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uab-my.sharepoint.com/personal/1165937_uab_cat/Documents/2025/ACTUACIONS 2025/0 OBRES/Facultat CC i BIOCC/Ref. 9423 Projecte Tècnic Reforma Espina C7 Parell Soterrani 2024-2025/PROJECTE LOT 1/PROJECTE DEFINITIU/EDITABLES/PRESSUPOST/"/>
    </mc:Choice>
  </mc:AlternateContent>
  <xr:revisionPtr revIDLastSave="0" documentId="8_{B50679E3-8494-4B22-B7D5-81DBB5E7DF14}" xr6:coauthVersionLast="47" xr6:coauthVersionMax="47" xr10:uidLastSave="{00000000-0000-0000-0000-000000000000}"/>
  <bookViews>
    <workbookView xWindow="3210" yWindow="3615" windowWidth="19410" windowHeight="11295" xr2:uid="{00000000-000D-0000-FFFF-FFFF00000000}"/>
  </bookViews>
  <sheets>
    <sheet name="Full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3" i="1" l="1"/>
  <c r="K563" i="1"/>
  <c r="M563" i="1" s="1"/>
  <c r="L561" i="1"/>
  <c r="K561" i="1"/>
  <c r="M561" i="1" s="1"/>
  <c r="J560" i="1"/>
  <c r="J559" i="1"/>
  <c r="J558" i="1"/>
  <c r="J557" i="1"/>
  <c r="K560" i="1" s="1"/>
  <c r="K554" i="1" s="1"/>
  <c r="M554" i="1" s="1"/>
  <c r="L554" i="1"/>
  <c r="K553" i="1"/>
  <c r="K549" i="1" s="1"/>
  <c r="M549" i="1" s="1"/>
  <c r="J553" i="1"/>
  <c r="J552" i="1"/>
  <c r="L549" i="1"/>
  <c r="J548" i="1"/>
  <c r="J547" i="1"/>
  <c r="K548" i="1" s="1"/>
  <c r="K544" i="1" s="1"/>
  <c r="M544" i="1" s="1"/>
  <c r="L544" i="1"/>
  <c r="K543" i="1"/>
  <c r="K538" i="1" s="1"/>
  <c r="M538" i="1" s="1"/>
  <c r="J543" i="1"/>
  <c r="J542" i="1"/>
  <c r="J541" i="1"/>
  <c r="L538" i="1"/>
  <c r="J537" i="1"/>
  <c r="J536" i="1"/>
  <c r="J535" i="1"/>
  <c r="J534" i="1"/>
  <c r="K537" i="1" s="1"/>
  <c r="K531" i="1" s="1"/>
  <c r="M531" i="1" s="1"/>
  <c r="L531" i="1"/>
  <c r="K530" i="1"/>
  <c r="K527" i="1" s="1"/>
  <c r="M527" i="1" s="1"/>
  <c r="J530" i="1"/>
  <c r="L527" i="1"/>
  <c r="J526" i="1"/>
  <c r="J525" i="1"/>
  <c r="J524" i="1"/>
  <c r="K526" i="1" s="1"/>
  <c r="K521" i="1" s="1"/>
  <c r="M521" i="1" s="1"/>
  <c r="L521" i="1"/>
  <c r="K520" i="1"/>
  <c r="K515" i="1" s="1"/>
  <c r="M515" i="1" s="1"/>
  <c r="J520" i="1"/>
  <c r="J519" i="1"/>
  <c r="J518" i="1"/>
  <c r="L515" i="1"/>
  <c r="J514" i="1"/>
  <c r="J513" i="1"/>
  <c r="J512" i="1"/>
  <c r="K514" i="1" s="1"/>
  <c r="K509" i="1" s="1"/>
  <c r="M509" i="1" s="1"/>
  <c r="L509" i="1"/>
  <c r="J508" i="1"/>
  <c r="K508" i="1" s="1"/>
  <c r="K505" i="1" s="1"/>
  <c r="M505" i="1" s="1"/>
  <c r="L505" i="1"/>
  <c r="J504" i="1"/>
  <c r="J503" i="1"/>
  <c r="J502" i="1"/>
  <c r="K504" i="1" s="1"/>
  <c r="K499" i="1" s="1"/>
  <c r="M499" i="1" s="1"/>
  <c r="L499" i="1"/>
  <c r="J498" i="1"/>
  <c r="K498" i="1" s="1"/>
  <c r="K495" i="1" s="1"/>
  <c r="M495" i="1" s="1"/>
  <c r="L495" i="1"/>
  <c r="J494" i="1"/>
  <c r="K494" i="1" s="1"/>
  <c r="K491" i="1" s="1"/>
  <c r="M491" i="1" s="1"/>
  <c r="L491" i="1"/>
  <c r="K490" i="1"/>
  <c r="K485" i="1" s="1"/>
  <c r="M485" i="1" s="1"/>
  <c r="J490" i="1"/>
  <c r="J489" i="1"/>
  <c r="J488" i="1"/>
  <c r="L485" i="1"/>
  <c r="J484" i="1"/>
  <c r="J483" i="1"/>
  <c r="J482" i="1"/>
  <c r="K484" i="1" s="1"/>
  <c r="K479" i="1" s="1"/>
  <c r="M479" i="1" s="1"/>
  <c r="L479" i="1"/>
  <c r="J478" i="1"/>
  <c r="K478" i="1" s="1"/>
  <c r="K475" i="1" s="1"/>
  <c r="M475" i="1" s="1"/>
  <c r="L475" i="1"/>
  <c r="M471" i="1"/>
  <c r="L473" i="1" s="1"/>
  <c r="L471" i="1"/>
  <c r="K471" i="1"/>
  <c r="L467" i="1"/>
  <c r="K467" i="1"/>
  <c r="M467" i="1" s="1"/>
  <c r="M465" i="1"/>
  <c r="L465" i="1"/>
  <c r="K465" i="1"/>
  <c r="L461" i="1"/>
  <c r="K461" i="1"/>
  <c r="M461" i="1" s="1"/>
  <c r="L459" i="1"/>
  <c r="K459" i="1"/>
  <c r="M459" i="1" s="1"/>
  <c r="L457" i="1"/>
  <c r="K457" i="1"/>
  <c r="M457" i="1" s="1"/>
  <c r="M455" i="1"/>
  <c r="L455" i="1"/>
  <c r="K455" i="1"/>
  <c r="L453" i="1"/>
  <c r="M453" i="1" s="1"/>
  <c r="K453" i="1"/>
  <c r="L451" i="1"/>
  <c r="K451" i="1"/>
  <c r="M451" i="1" s="1"/>
  <c r="L449" i="1"/>
  <c r="K449" i="1"/>
  <c r="M449" i="1" s="1"/>
  <c r="M447" i="1"/>
  <c r="L447" i="1"/>
  <c r="K447" i="1"/>
  <c r="L445" i="1"/>
  <c r="M445" i="1" s="1"/>
  <c r="L463" i="1" s="1"/>
  <c r="K445" i="1"/>
  <c r="K442" i="1"/>
  <c r="K434" i="1" s="1"/>
  <c r="M434" i="1" s="1"/>
  <c r="J442" i="1"/>
  <c r="J441" i="1"/>
  <c r="J440" i="1"/>
  <c r="J439" i="1"/>
  <c r="J438" i="1"/>
  <c r="J437" i="1"/>
  <c r="L434" i="1"/>
  <c r="K433" i="1"/>
  <c r="K428" i="1" s="1"/>
  <c r="M428" i="1" s="1"/>
  <c r="J433" i="1"/>
  <c r="J432" i="1"/>
  <c r="J431" i="1"/>
  <c r="L428" i="1"/>
  <c r="J427" i="1"/>
  <c r="J426" i="1"/>
  <c r="J425" i="1"/>
  <c r="J424" i="1"/>
  <c r="J423" i="1"/>
  <c r="J422" i="1"/>
  <c r="J421" i="1"/>
  <c r="K427" i="1" s="1"/>
  <c r="K418" i="1" s="1"/>
  <c r="M418" i="1" s="1"/>
  <c r="L418" i="1"/>
  <c r="J417" i="1"/>
  <c r="J416" i="1"/>
  <c r="J415" i="1"/>
  <c r="J414" i="1"/>
  <c r="J413" i="1"/>
  <c r="J412" i="1"/>
  <c r="J411" i="1"/>
  <c r="J410" i="1"/>
  <c r="J409" i="1"/>
  <c r="J408" i="1"/>
  <c r="J407" i="1"/>
  <c r="J406" i="1"/>
  <c r="J405" i="1"/>
  <c r="J404" i="1"/>
  <c r="K417" i="1" s="1"/>
  <c r="J402" i="1"/>
  <c r="J401" i="1"/>
  <c r="J400" i="1"/>
  <c r="J399" i="1"/>
  <c r="J398" i="1"/>
  <c r="J397" i="1"/>
  <c r="J396" i="1"/>
  <c r="J395" i="1"/>
  <c r="J394" i="1"/>
  <c r="J393" i="1"/>
  <c r="J392" i="1"/>
  <c r="J391" i="1"/>
  <c r="J390" i="1"/>
  <c r="J389" i="1"/>
  <c r="K402" i="1" s="1"/>
  <c r="L386" i="1"/>
  <c r="J383" i="1"/>
  <c r="K383" i="1" s="1"/>
  <c r="K380" i="1" s="1"/>
  <c r="M380" i="1" s="1"/>
  <c r="L380" i="1"/>
  <c r="K379" i="1"/>
  <c r="K376" i="1" s="1"/>
  <c r="M376" i="1" s="1"/>
  <c r="J379" i="1"/>
  <c r="L376" i="1"/>
  <c r="J375" i="1"/>
  <c r="K375" i="1" s="1"/>
  <c r="K372" i="1" s="1"/>
  <c r="M372" i="1" s="1"/>
  <c r="L372" i="1"/>
  <c r="J371" i="1"/>
  <c r="K371" i="1" s="1"/>
  <c r="K368" i="1" s="1"/>
  <c r="M368" i="1" s="1"/>
  <c r="L368" i="1"/>
  <c r="M366" i="1"/>
  <c r="L366" i="1"/>
  <c r="K366" i="1"/>
  <c r="K365" i="1"/>
  <c r="J365" i="1"/>
  <c r="M362" i="1"/>
  <c r="L362" i="1"/>
  <c r="K362" i="1"/>
  <c r="M358" i="1"/>
  <c r="L358" i="1"/>
  <c r="K358" i="1"/>
  <c r="L356" i="1"/>
  <c r="K356" i="1"/>
  <c r="M356" i="1" s="1"/>
  <c r="J355" i="1"/>
  <c r="K355" i="1" s="1"/>
  <c r="K352" i="1" s="1"/>
  <c r="M352" i="1" s="1"/>
  <c r="L352" i="1"/>
  <c r="K351" i="1"/>
  <c r="K348" i="1" s="1"/>
  <c r="M348" i="1" s="1"/>
  <c r="J351" i="1"/>
  <c r="L348" i="1"/>
  <c r="J347" i="1"/>
  <c r="K347" i="1" s="1"/>
  <c r="K343" i="1" s="1"/>
  <c r="M343" i="1" s="1"/>
  <c r="J346" i="1"/>
  <c r="L343" i="1"/>
  <c r="J342" i="1"/>
  <c r="K342" i="1" s="1"/>
  <c r="K339" i="1" s="1"/>
  <c r="M339" i="1" s="1"/>
  <c r="L339" i="1"/>
  <c r="J338" i="1"/>
  <c r="J337" i="1"/>
  <c r="J336" i="1"/>
  <c r="J335" i="1"/>
  <c r="K338" i="1" s="1"/>
  <c r="K332" i="1" s="1"/>
  <c r="M332" i="1" s="1"/>
  <c r="L332" i="1"/>
  <c r="K331" i="1"/>
  <c r="K326" i="1" s="1"/>
  <c r="M326" i="1" s="1"/>
  <c r="J331" i="1"/>
  <c r="J330" i="1"/>
  <c r="J329" i="1"/>
  <c r="L326" i="1"/>
  <c r="J323" i="1"/>
  <c r="J322" i="1"/>
  <c r="K323" i="1" s="1"/>
  <c r="K319" i="1" s="1"/>
  <c r="M319" i="1" s="1"/>
  <c r="L319" i="1"/>
  <c r="J318" i="1"/>
  <c r="J317" i="1"/>
  <c r="J316" i="1"/>
  <c r="J315" i="1"/>
  <c r="J314" i="1"/>
  <c r="J313" i="1"/>
  <c r="J312" i="1"/>
  <c r="J311" i="1"/>
  <c r="J310" i="1"/>
  <c r="J309" i="1"/>
  <c r="J308" i="1"/>
  <c r="K318" i="1" s="1"/>
  <c r="K305" i="1" s="1"/>
  <c r="M305" i="1" s="1"/>
  <c r="L305" i="1"/>
  <c r="J304" i="1"/>
  <c r="J303" i="1"/>
  <c r="J302" i="1"/>
  <c r="J301" i="1"/>
  <c r="J300" i="1"/>
  <c r="J299" i="1"/>
  <c r="J298" i="1"/>
  <c r="J297" i="1"/>
  <c r="J296" i="1"/>
  <c r="K304" i="1" s="1"/>
  <c r="K293" i="1" s="1"/>
  <c r="M293" i="1" s="1"/>
  <c r="L293" i="1"/>
  <c r="J292" i="1"/>
  <c r="K292" i="1" s="1"/>
  <c r="K288" i="1" s="1"/>
  <c r="M288" i="1" s="1"/>
  <c r="J291" i="1"/>
  <c r="L288" i="1"/>
  <c r="J287" i="1"/>
  <c r="J286" i="1"/>
  <c r="J285" i="1"/>
  <c r="J284" i="1"/>
  <c r="J283" i="1"/>
  <c r="J282" i="1"/>
  <c r="J281" i="1"/>
  <c r="J280" i="1"/>
  <c r="J279" i="1"/>
  <c r="J278" i="1"/>
  <c r="J277" i="1"/>
  <c r="J276" i="1"/>
  <c r="J275" i="1"/>
  <c r="J274" i="1"/>
  <c r="K287" i="1" s="1"/>
  <c r="K271" i="1" s="1"/>
  <c r="M271" i="1" s="1"/>
  <c r="L271" i="1"/>
  <c r="J270" i="1"/>
  <c r="K270" i="1" s="1"/>
  <c r="K266" i="1" s="1"/>
  <c r="M266" i="1" s="1"/>
  <c r="J269" i="1"/>
  <c r="L266" i="1"/>
  <c r="J265" i="1"/>
  <c r="J264" i="1"/>
  <c r="J263" i="1"/>
  <c r="J262" i="1"/>
  <c r="J261" i="1"/>
  <c r="K265" i="1" s="1"/>
  <c r="K258" i="1" s="1"/>
  <c r="M258" i="1" s="1"/>
  <c r="L258" i="1"/>
  <c r="K257" i="1"/>
  <c r="J257" i="1"/>
  <c r="J256" i="1"/>
  <c r="J255" i="1"/>
  <c r="J254" i="1"/>
  <c r="J253" i="1"/>
  <c r="J252" i="1"/>
  <c r="J251" i="1"/>
  <c r="J250" i="1"/>
  <c r="J249" i="1"/>
  <c r="M246" i="1"/>
  <c r="L246" i="1"/>
  <c r="K246" i="1"/>
  <c r="J243" i="1"/>
  <c r="K243" i="1" s="1"/>
  <c r="K240" i="1" s="1"/>
  <c r="M240" i="1" s="1"/>
  <c r="L240" i="1"/>
  <c r="K239" i="1"/>
  <c r="K236" i="1" s="1"/>
  <c r="M236" i="1" s="1"/>
  <c r="J239" i="1"/>
  <c r="L236" i="1"/>
  <c r="J235" i="1"/>
  <c r="J234" i="1"/>
  <c r="J233" i="1"/>
  <c r="J232" i="1"/>
  <c r="J231" i="1"/>
  <c r="J230" i="1"/>
  <c r="J229" i="1"/>
  <c r="J228" i="1"/>
  <c r="J227" i="1"/>
  <c r="J226" i="1"/>
  <c r="J225" i="1"/>
  <c r="J224" i="1"/>
  <c r="J223" i="1"/>
  <c r="K235" i="1" s="1"/>
  <c r="J221" i="1"/>
  <c r="J220" i="1"/>
  <c r="J219" i="1"/>
  <c r="J218" i="1"/>
  <c r="J217" i="1"/>
  <c r="J216" i="1"/>
  <c r="J215" i="1"/>
  <c r="J214" i="1"/>
  <c r="K221" i="1" s="1"/>
  <c r="K211" i="1" s="1"/>
  <c r="M211" i="1" s="1"/>
  <c r="L211" i="1"/>
  <c r="J210" i="1"/>
  <c r="K210" i="1" s="1"/>
  <c r="K207" i="1" s="1"/>
  <c r="M207" i="1" s="1"/>
  <c r="L207" i="1"/>
  <c r="K206" i="1"/>
  <c r="K203" i="1" s="1"/>
  <c r="M203" i="1" s="1"/>
  <c r="J206" i="1"/>
  <c r="L203" i="1"/>
  <c r="J202" i="1"/>
  <c r="J201" i="1"/>
  <c r="K202" i="1" s="1"/>
  <c r="K198" i="1" s="1"/>
  <c r="M198" i="1" s="1"/>
  <c r="L244" i="1" s="1"/>
  <c r="L198" i="1"/>
  <c r="M194" i="1"/>
  <c r="L194" i="1"/>
  <c r="K194" i="1"/>
  <c r="L192" i="1"/>
  <c r="K192" i="1"/>
  <c r="M192" i="1" s="1"/>
  <c r="L190" i="1"/>
  <c r="K190" i="1"/>
  <c r="M190" i="1" s="1"/>
  <c r="M186" i="1"/>
  <c r="L186" i="1"/>
  <c r="K186" i="1"/>
  <c r="J185" i="1"/>
  <c r="J184" i="1"/>
  <c r="J183" i="1"/>
  <c r="J182" i="1"/>
  <c r="J181" i="1"/>
  <c r="J180" i="1"/>
  <c r="J179" i="1"/>
  <c r="K185" i="1" s="1"/>
  <c r="K176" i="1" s="1"/>
  <c r="M176" i="1" s="1"/>
  <c r="L176" i="1"/>
  <c r="J175" i="1"/>
  <c r="J174" i="1"/>
  <c r="J173" i="1"/>
  <c r="J172" i="1"/>
  <c r="J171" i="1"/>
  <c r="K175" i="1" s="1"/>
  <c r="K168" i="1" s="1"/>
  <c r="M168" i="1" s="1"/>
  <c r="L168" i="1"/>
  <c r="K167" i="1"/>
  <c r="K164" i="1" s="1"/>
  <c r="M164" i="1" s="1"/>
  <c r="J167" i="1"/>
  <c r="L164" i="1"/>
  <c r="K163" i="1"/>
  <c r="J163" i="1"/>
  <c r="L160" i="1"/>
  <c r="K160" i="1"/>
  <c r="M160" i="1" s="1"/>
  <c r="J155" i="1"/>
  <c r="J154" i="1"/>
  <c r="K155" i="1" s="1"/>
  <c r="K151" i="1" s="1"/>
  <c r="M151" i="1" s="1"/>
  <c r="L151" i="1"/>
  <c r="J150" i="1"/>
  <c r="K150" i="1" s="1"/>
  <c r="K146" i="1" s="1"/>
  <c r="M146" i="1" s="1"/>
  <c r="J149" i="1"/>
  <c r="L146" i="1"/>
  <c r="J145" i="1"/>
  <c r="K145" i="1" s="1"/>
  <c r="K142" i="1" s="1"/>
  <c r="M142" i="1" s="1"/>
  <c r="L142" i="1"/>
  <c r="M138" i="1"/>
  <c r="L138" i="1"/>
  <c r="K138" i="1"/>
  <c r="L136" i="1"/>
  <c r="K136" i="1"/>
  <c r="M136" i="1" s="1"/>
  <c r="K135" i="1"/>
  <c r="J135" i="1"/>
  <c r="L132" i="1"/>
  <c r="K132" i="1"/>
  <c r="M132" i="1" s="1"/>
  <c r="J131" i="1"/>
  <c r="J130" i="1"/>
  <c r="J129" i="1"/>
  <c r="J128" i="1"/>
  <c r="J127" i="1"/>
  <c r="J126" i="1"/>
  <c r="J125" i="1"/>
  <c r="J124" i="1"/>
  <c r="K131" i="1" s="1"/>
  <c r="K120" i="1" s="1"/>
  <c r="M120" i="1" s="1"/>
  <c r="J123" i="1"/>
  <c r="L120" i="1"/>
  <c r="K119" i="1"/>
  <c r="K110" i="1" s="1"/>
  <c r="M110" i="1" s="1"/>
  <c r="J119" i="1"/>
  <c r="J118" i="1"/>
  <c r="J117" i="1"/>
  <c r="J116" i="1"/>
  <c r="J115" i="1"/>
  <c r="J114" i="1"/>
  <c r="J113" i="1"/>
  <c r="L110" i="1"/>
  <c r="J109" i="1"/>
  <c r="K109" i="1" s="1"/>
  <c r="K106" i="1" s="1"/>
  <c r="M106" i="1" s="1"/>
  <c r="L106" i="1"/>
  <c r="K105" i="1"/>
  <c r="K102" i="1" s="1"/>
  <c r="M102" i="1" s="1"/>
  <c r="J105" i="1"/>
  <c r="L102" i="1"/>
  <c r="J101" i="1"/>
  <c r="J100" i="1"/>
  <c r="J99" i="1"/>
  <c r="J98" i="1"/>
  <c r="J97" i="1"/>
  <c r="J96" i="1"/>
  <c r="J95" i="1"/>
  <c r="J94" i="1"/>
  <c r="J93" i="1"/>
  <c r="J92" i="1"/>
  <c r="J91" i="1"/>
  <c r="J90" i="1"/>
  <c r="J89" i="1"/>
  <c r="J88" i="1"/>
  <c r="J87" i="1"/>
  <c r="K101" i="1" s="1"/>
  <c r="K80" i="1" s="1"/>
  <c r="M80" i="1" s="1"/>
  <c r="J86" i="1"/>
  <c r="J85" i="1"/>
  <c r="J84" i="1"/>
  <c r="J83" i="1"/>
  <c r="L80" i="1"/>
  <c r="L78" i="1"/>
  <c r="K78" i="1"/>
  <c r="M78" i="1" s="1"/>
  <c r="J77" i="1"/>
  <c r="J76" i="1"/>
  <c r="J75" i="1"/>
  <c r="J74" i="1"/>
  <c r="J73" i="1"/>
  <c r="K77" i="1" s="1"/>
  <c r="K70" i="1" s="1"/>
  <c r="M70" i="1" s="1"/>
  <c r="L70" i="1"/>
  <c r="J69" i="1"/>
  <c r="J68" i="1"/>
  <c r="J67" i="1"/>
  <c r="J66" i="1"/>
  <c r="J65" i="1"/>
  <c r="K69" i="1" s="1"/>
  <c r="K62" i="1" s="1"/>
  <c r="M62" i="1" s="1"/>
  <c r="L62" i="1"/>
  <c r="L60" i="1"/>
  <c r="K60" i="1"/>
  <c r="M60" i="1" s="1"/>
  <c r="J59" i="1"/>
  <c r="J58" i="1"/>
  <c r="J57" i="1"/>
  <c r="K59" i="1" s="1"/>
  <c r="K54" i="1" s="1"/>
  <c r="M54" i="1" s="1"/>
  <c r="L54" i="1"/>
  <c r="J53" i="1"/>
  <c r="K53" i="1" s="1"/>
  <c r="K50" i="1" s="1"/>
  <c r="M50" i="1" s="1"/>
  <c r="L50" i="1"/>
  <c r="J49" i="1"/>
  <c r="J48" i="1"/>
  <c r="J47" i="1"/>
  <c r="J46" i="1"/>
  <c r="J45" i="1"/>
  <c r="J44" i="1"/>
  <c r="J43" i="1"/>
  <c r="J42" i="1"/>
  <c r="J41" i="1"/>
  <c r="J40" i="1"/>
  <c r="J39" i="1"/>
  <c r="J38" i="1"/>
  <c r="J37" i="1"/>
  <c r="K49" i="1" s="1"/>
  <c r="K34" i="1" s="1"/>
  <c r="M34" i="1" s="1"/>
  <c r="L34" i="1"/>
  <c r="J33" i="1"/>
  <c r="J32" i="1"/>
  <c r="J31" i="1"/>
  <c r="J30" i="1"/>
  <c r="J29" i="1"/>
  <c r="K33" i="1" s="1"/>
  <c r="K24" i="1" s="1"/>
  <c r="M24" i="1" s="1"/>
  <c r="J28" i="1"/>
  <c r="J27" i="1"/>
  <c r="L24" i="1"/>
  <c r="K23" i="1"/>
  <c r="K18" i="1" s="1"/>
  <c r="M18" i="1" s="1"/>
  <c r="J23" i="1"/>
  <c r="J22" i="1"/>
  <c r="J21" i="1"/>
  <c r="L18" i="1"/>
  <c r="J17" i="1"/>
  <c r="J16" i="1"/>
  <c r="J15" i="1"/>
  <c r="J14" i="1"/>
  <c r="J13" i="1"/>
  <c r="J12" i="1"/>
  <c r="J11" i="1"/>
  <c r="J10" i="1"/>
  <c r="J9" i="1"/>
  <c r="K17" i="1" s="1"/>
  <c r="K6" i="1" s="1"/>
  <c r="M6" i="1" s="1"/>
  <c r="L6" i="1"/>
  <c r="L384" i="1" l="1"/>
  <c r="L360" i="1"/>
  <c r="L197" i="1"/>
  <c r="M197" i="1" s="1"/>
  <c r="M244" i="1"/>
  <c r="L469" i="1"/>
  <c r="K386" i="1"/>
  <c r="M386" i="1" s="1"/>
  <c r="L443" i="1" s="1"/>
  <c r="L324" i="1"/>
  <c r="L156" i="1"/>
  <c r="L444" i="1"/>
  <c r="M444" i="1" s="1"/>
  <c r="M463" i="1"/>
  <c r="L470" i="1"/>
  <c r="M470" i="1" s="1"/>
  <c r="M473" i="1"/>
  <c r="L188" i="1"/>
  <c r="L196" i="1"/>
  <c r="L565" i="1"/>
  <c r="L140" i="1"/>
  <c r="M443" i="1" l="1"/>
  <c r="L385" i="1"/>
  <c r="M385" i="1" s="1"/>
  <c r="L141" i="1"/>
  <c r="M141" i="1" s="1"/>
  <c r="M156" i="1"/>
  <c r="M324" i="1"/>
  <c r="L245" i="1"/>
  <c r="M245" i="1" s="1"/>
  <c r="M469" i="1"/>
  <c r="L464" i="1"/>
  <c r="M464" i="1" s="1"/>
  <c r="M140" i="1"/>
  <c r="L5" i="1"/>
  <c r="M5" i="1" s="1"/>
  <c r="M565" i="1"/>
  <c r="L474" i="1"/>
  <c r="M474" i="1" s="1"/>
  <c r="M196" i="1"/>
  <c r="L189" i="1"/>
  <c r="M189" i="1" s="1"/>
  <c r="L325" i="1"/>
  <c r="M325" i="1" s="1"/>
  <c r="M360" i="1"/>
  <c r="M188" i="1"/>
  <c r="L159" i="1"/>
  <c r="M159" i="1" s="1"/>
  <c r="L361" i="1"/>
  <c r="M361" i="1" s="1"/>
  <c r="M384" i="1"/>
  <c r="L566" i="1" l="1"/>
  <c r="M566" i="1" l="1"/>
  <c r="L4" i="1"/>
  <c r="M4" i="1" s="1"/>
</calcChain>
</file>

<file path=xl/sharedStrings.xml><?xml version="1.0" encoding="utf-8"?>
<sst xmlns="http://schemas.openxmlformats.org/spreadsheetml/2006/main" count="1348" uniqueCount="1348">
  <si>
    <t>Obra:</t>
  </si>
  <si>
    <t>Reforma integral de la planta soterrani, de l'espina C7 parell de la Facultat de Ciències</t>
  </si>
  <si>
    <t>Pressupost</t>
  </si>
  <si>
    <t>% C.I.</t>
  </si>
  <si>
    <t>Codi</t>
  </si>
  <si>
    <t>Tipus</t>
  </si>
  <si>
    <t>U</t>
  </si>
  <si>
    <t>Resum</t>
  </si>
  <si>
    <t>Quantitat</t>
  </si>
  <si>
    <t>Preu (€)</t>
  </si>
  <si>
    <t>Import (€)</t>
  </si>
  <si>
    <t>UAB_SOTERRANI_REV3</t>
  </si>
  <si>
    <t>Capítol</t>
  </si>
  <si>
    <t>Reforma integral de la planta soterrani, de l'espina C7 parell de la Facultat de Ciències</t>
  </si>
  <si>
    <t>01</t>
  </si>
  <si>
    <t>Capítol</t>
  </si>
  <si>
    <t>ENDERROC</t>
  </si>
  <si>
    <t>DPT020</t>
  </si>
  <si>
    <t>Partida</t>
  </si>
  <si>
    <t>m²</t>
  </si>
  <si>
    <t>Demolició de partició interior de fàbrica revestida. 10cm</t>
  </si>
  <si>
    <t>Demolició de partició interior de fàbrica revestida, formada per maó foradat doble de 7/9 cm d'espessor, amb mitjans manuals, sense afectar a l'estabilitat dels elements constructius contigus, i càrrega manual sobre camió o contenidor.
Inclou: Demolició de la fàbrica i els seus revestiments.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</si>
  <si>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SOTERRANI (esquerra a dreta del plànol)</t>
  </si>
  <si>
    <t>Uts.</t>
  </si>
  <si>
    <t>Amplada</t>
  </si>
  <si>
    <t>Alçada</t>
  </si>
  <si>
    <t>Parcial</t>
  </si>
  <si>
    <t>Subtotal</t>
  </si>
  <si>
    <t>A*C*D</t>
  </si>
  <si>
    <t>Divisories transversals /nord</t>
  </si>
  <si>
    <t>A*C*D</t>
  </si>
  <si>
    <t>Divisories transversals / sud</t>
  </si>
  <si>
    <t>A*C*D</t>
  </si>
  <si>
    <t>Divisories longitudinal Passadis</t>
  </si>
  <si>
    <t>A*C*D</t>
  </si>
  <si>
    <t>Disisoria trasnversal Passadís</t>
  </si>
  <si>
    <t>A*C*D</t>
  </si>
  <si>
    <t>Divisoria longitudinal armari</t>
  </si>
  <si>
    <t>A*C*D</t>
  </si>
  <si>
    <t>Tram divisoria transversal armari</t>
  </si>
  <si>
    <t>A*C*D</t>
  </si>
  <si>
    <t>Divisories longitudinal passadís 2</t>
  </si>
  <si>
    <t>A*C*D</t>
  </si>
  <si>
    <t xml:space="preserve">Zona ampliació passadís </t>
  </si>
  <si>
    <t>A*C*D</t>
  </si>
  <si>
    <t>Laterals acces escala</t>
  </si>
  <si>
    <t>DPT020b</t>
  </si>
  <si>
    <t>Partida</t>
  </si>
  <si>
    <t>m²</t>
  </si>
  <si>
    <t>Demolició de partició interior de fàbrica revestida. 20/30cm</t>
  </si>
  <si>
    <t>Demolició de partició interior de fàbrica revestida, formada per fabrica d'un peu de 20 a 30 cm d'espessor, amb mitjans manuals, sense afectar a l'estabilitat dels elements constructius contigus, i càrrega manual sobre camió o contenidor.
Inclou: Demolició de la fàbrica i els seus revestiments.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</si>
  <si>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</si>
  <si>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Amplada</t>
  </si>
  <si>
    <t>Alçada</t>
  </si>
  <si>
    <t>Parcial</t>
  </si>
  <si>
    <t>Subtotal</t>
  </si>
  <si>
    <t>A*C*D</t>
  </si>
  <si>
    <t>Laterals C7/-112</t>
  </si>
  <si>
    <t>A*C*D</t>
  </si>
  <si>
    <t>Laterals C7/-120</t>
  </si>
  <si>
    <t>A*C*D</t>
  </si>
  <si>
    <t>Frontal porta escala</t>
  </si>
  <si>
    <t>DPM010</t>
  </si>
  <si>
    <t>Partida</t>
  </si>
  <si>
    <t>m²</t>
  </si>
  <si>
    <t>Desmuntatge de mampara.</t>
  </si>
  <si>
    <t>Desmuntatge de mampara separadora envidrada formada per panells d'acer, alumini, fusta, PVC o similar, amb mitjans manuals, sense deteriorar els elements constructius als quals se subjecta, i càrrega manual sobre camió o contenidor.
Inclou: Desmuntatge del vidre. Desmuntatge de l'element. Retirada i apilament del material desmuntat. Neteja de les restes de l'obra. Càrrega manual del material desmuntat i restes de l'obra sobre camió o contenidor.
Criteri d'amidament de projecte: Superfície mesurada segons documentació gràfica de Projecte.
Criteri de mesura d'obra: S'amidarà la superfície realment desmuntada segons especificacions de Projecte.</t>
  </si>
  <si>
    <t>SOTERRANI (de esquerra a dreta del plànol)</t>
  </si>
  <si>
    <t>Uts.</t>
  </si>
  <si>
    <t>Amplada</t>
  </si>
  <si>
    <t>Alçada</t>
  </si>
  <si>
    <t>Parcial</t>
  </si>
  <si>
    <t>Subtotal</t>
  </si>
  <si>
    <t>A*C*D</t>
  </si>
  <si>
    <t>A*C*D</t>
  </si>
  <si>
    <t>A*C*D</t>
  </si>
  <si>
    <t>A*C*D</t>
  </si>
  <si>
    <t>A*C*D</t>
  </si>
  <si>
    <t>A*C*D</t>
  </si>
  <si>
    <t>A*C*D</t>
  </si>
  <si>
    <t>DRT020</t>
  </si>
  <si>
    <t>Partida</t>
  </si>
  <si>
    <t>m²</t>
  </si>
  <si>
    <t>Demolició de fals sostre continu de plaques de guix laminat</t>
  </si>
  <si>
    <t>Demolició de fals sostre continu de plaques de guix laminat, situat a una altura menor de 4 m, amb mitjans manuals, sense deteriorar els elements constructius contigus, i càrrega manual sobre camió o contenidor.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</si>
  <si>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</si>
  <si>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Àrea</t>
  </si>
  <si>
    <t>Parcial</t>
  </si>
  <si>
    <t>Subtotal</t>
  </si>
  <si>
    <t>A*B</t>
  </si>
  <si>
    <t>C7/-102</t>
  </si>
  <si>
    <t>A*B</t>
  </si>
  <si>
    <t>C7/-104</t>
  </si>
  <si>
    <t>A*B</t>
  </si>
  <si>
    <t>C7/-106</t>
  </si>
  <si>
    <t>A*B</t>
  </si>
  <si>
    <t>C7/-108</t>
  </si>
  <si>
    <t>A*B</t>
  </si>
  <si>
    <t>A*B</t>
  </si>
  <si>
    <t>A*B</t>
  </si>
  <si>
    <t>C7/-130</t>
  </si>
  <si>
    <t>A*B</t>
  </si>
  <si>
    <t>C7/-128</t>
  </si>
  <si>
    <t>A*B</t>
  </si>
  <si>
    <t>C7/-126</t>
  </si>
  <si>
    <t>A*B</t>
  </si>
  <si>
    <t>C7/-124</t>
  </si>
  <si>
    <t>A*B</t>
  </si>
  <si>
    <t>passadis 1</t>
  </si>
  <si>
    <t>A*B</t>
  </si>
  <si>
    <t>passadis 2</t>
  </si>
  <si>
    <t>A*B</t>
  </si>
  <si>
    <t>repla escala</t>
  </si>
  <si>
    <t>DRT030</t>
  </si>
  <si>
    <t>Partida</t>
  </si>
  <si>
    <t>m²</t>
  </si>
  <si>
    <t>Demolició de fals sostre enregistrable de plaques de guix laminat</t>
  </si>
  <si>
    <t>Demolició de fals sostre enregistrable de plaques de guix laminat, situat a una altura menor de 4 m, amb mitjans manuals, sense deteriorar els elements constructius als quals se subjecta, i càrrega manual sobre camió o contenidor.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</si>
  <si>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</si>
  <si>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Àrea</t>
  </si>
  <si>
    <t>Parcial</t>
  </si>
  <si>
    <t>Subtotal</t>
  </si>
  <si>
    <t>A*B</t>
  </si>
  <si>
    <t>C7/-112</t>
  </si>
  <si>
    <t>DLP220</t>
  </si>
  <si>
    <t>Partida</t>
  </si>
  <si>
    <t>U</t>
  </si>
  <si>
    <t>Desmuntatge de fulla de porta interior.</t>
  </si>
  <si>
    <t>Desmuntatge de fulla de porta interior de fusteria de fusta, individual o doble, incloent la mampara lateral en cas d'existir, amb mitjans manuals, i càrrega manual sobre camió o contenidor.
Inclou: Desmuntatge de l'element. Desmuntatge dels suports ancorats al paviment. Retirada i apilament del material desmuntat. Neteja de les restes de l'obra. Càrrega manual del material desmuntat i restes de l'obra sobre camió o contenidor.
Criteri d'amidament de projecte: Nombre d'unitats previstes, segons documentació gràfica de Projecte.
Criteri de mesura d'obra: S'amidarà el nombre d'unitats realment desmuntades segons especificacions de Projecte.</t>
  </si>
  <si>
    <t>Planta -1</t>
  </si>
  <si>
    <t>Uts.</t>
  </si>
  <si>
    <t>Parcial</t>
  </si>
  <si>
    <t>Subtotal</t>
  </si>
  <si>
    <t>A</t>
  </si>
  <si>
    <t>Porta simple</t>
  </si>
  <si>
    <t>A</t>
  </si>
  <si>
    <t>Porta simple + targa</t>
  </si>
  <si>
    <t>A</t>
  </si>
  <si>
    <t>Porta doble</t>
  </si>
  <si>
    <t>DLC999</t>
  </si>
  <si>
    <t>Partida</t>
  </si>
  <si>
    <t>PA</t>
  </si>
  <si>
    <t>Enderroc de panells de fusta de protecció</t>
  </si>
  <si>
    <t>Retirada de tots els panells de fusta en finestres, col·locats de forma provisional, inclosa la desmuntada manual, apilat, càrrega manual en contenidor o mitjà de transport, i la neteja de la zona d’actuació. Sense afectació a elements estructurals ni tancaments definitius.</t>
  </si>
  <si>
    <t>DLC020</t>
  </si>
  <si>
    <t>Partida</t>
  </si>
  <si>
    <t>m²</t>
  </si>
  <si>
    <t>Aixecat de fusteria exterior.</t>
  </si>
  <si>
    <t>Aixecat de fusteria envidrada de qualsevol tipus situada en façana, amb mitjans manuals, sense deteriorar els elements constructius als quals està subjecta, i càrrega manual sobre camió o contenidor.
Inclou: Aixecat de l'element. Retirada i apilament del material aixecat. Neteja de les restes de l'obra. Càrrega manual del material aixecat i restes de l'obra sobre camió o contenidor.
Criteri d'amidament de projecte: Superfície mesurada segons documentació gràfica de Projecte.
Criteri de mesura d'obra: S'amidarà la superfície realment desmuntada segons especificacions de Projecte.</t>
  </si>
  <si>
    <t>Uts.</t>
  </si>
  <si>
    <t>Amplada</t>
  </si>
  <si>
    <t>Alçada</t>
  </si>
  <si>
    <t>Parcial</t>
  </si>
  <si>
    <t>Subtotal</t>
  </si>
  <si>
    <t>A*C*D</t>
  </si>
  <si>
    <t>Fusteria Tipus A</t>
  </si>
  <si>
    <t>A*C*D</t>
  </si>
  <si>
    <t>Fusteria Tipus B* correspon a tipus A per enderroc</t>
  </si>
  <si>
    <t>A*C*D</t>
  </si>
  <si>
    <t>Fusteria Tipus C</t>
  </si>
  <si>
    <t>A*C*D</t>
  </si>
  <si>
    <t>Fusteria Tipus D</t>
  </si>
  <si>
    <t>A*C*D</t>
  </si>
  <si>
    <t>Fusteria Tipus E</t>
  </si>
  <si>
    <t>DLS040</t>
  </si>
  <si>
    <t>Partida</t>
  </si>
  <si>
    <t>m²</t>
  </si>
  <si>
    <t>Desmuntatge de calaix i persiana enrotllable de lamel·les.</t>
  </si>
  <si>
    <t>Desmuntatge de persiana enrotllable de lamel·les, calaix de persiana format per estructura metàlica i folrat de plafons de fusta, amb mitjans manuals, sense deteriorar els elements constructius als quals està subjecta, i càrrega manual sobre camió o contenidor.
Inclou: Desmuntantge de calaix. Desmuntatge de l'element. Retirada i apilament del material desmuntat. Neteja de les restes de l'obra. Càrrega manual del material desmuntat i restes de l'obra sobre camió o contenidor.
Criteri d'amidament de projecte: Superfície mesurada segons documentació gràfica de Projecte.
Criteri de mesura d'obra: S'amidarà la superfície realment desmuntada segons especificacions de Projecte.</t>
  </si>
  <si>
    <t>Uts.</t>
  </si>
  <si>
    <t>Amplada</t>
  </si>
  <si>
    <t>Alçada</t>
  </si>
  <si>
    <t>Parcial</t>
  </si>
  <si>
    <t>Subtotal</t>
  </si>
  <si>
    <t>A*C*D</t>
  </si>
  <si>
    <t>Fusteria Tipus A</t>
  </si>
  <si>
    <t>A*C*D</t>
  </si>
  <si>
    <t>Fusteria Tipus B* correspon a tipus A per enderroc</t>
  </si>
  <si>
    <t>A*C*D</t>
  </si>
  <si>
    <t>Fusteria Tipus C</t>
  </si>
  <si>
    <t>A*C*D</t>
  </si>
  <si>
    <t>Fusteria Tipus D</t>
  </si>
  <si>
    <t>A*C*D</t>
  </si>
  <si>
    <t>Fusteria Tipus E</t>
  </si>
  <si>
    <t>DPT021</t>
  </si>
  <si>
    <t>Partida</t>
  </si>
  <si>
    <t>Ud</t>
  </si>
  <si>
    <t>Retirada d'ampit per obertura de buit en façana. 90x200</t>
  </si>
  <si>
    <t>Retirada d'ampit per apertura de buit per a posterior col·locació de la fusteria, en façana exterior, amb mitjans manuals, sense afectar a l'estabilitat de la partició o dels elements constructius contigus, i càrrega manual sobre camió o contenidor.
Inclou: Replanteig del buit en el parament. Tall previ del contorn del forat. Demolició de la fàbrica i els seus revestiments. Fragmentació dels enderrocs en peces manejables. Retirada i arreplegat de enderrocs. Neteja de les restes de l'obra. Càrrega manual d'enderrocs sobre camió o contenidor. Enmarcat de guix una vegada realizada la apertura.
Criteri d'amidament de projecte: Superfície mesurada segons documentació gràfica de Projecte.
Criteri de mesura d'obra: S'amidarà la superfície realment enderrocada segons especificacions de Projecte.</t>
  </si>
  <si>
    <t>DSC020</t>
  </si>
  <si>
    <t>Partida</t>
  </si>
  <si>
    <t>m</t>
  </si>
  <si>
    <t>Desmuntatge de conjunt de mobiliari de laboratori.</t>
  </si>
  <si>
    <t>Desmuntatge de conjunt de mobiliari de laboratori de entre 50 i 110cm d'ample, amb mitjans manuals, sense afectar a l'estabilitat dels elements resistents als quals puguin estar units, i càrrega manual sobre camió o contenidor.
Inclou: Desmuntatge de l'element. Retirada i apilament del material desmuntat. Neteja de les restes de l'obra. Càrrega manual del material desmuntat i restes de l'obra sobre camió o contenidor.
Criteri d'amidament de projecte: Longitud mesurada segons documentació gràfica de Projecte.
Criteri de mesura d'obra: S'amidarà la longitud realment desmuntada segons especificacions de Projecte.</t>
  </si>
  <si>
    <t>Uts.</t>
  </si>
  <si>
    <t>Llargada</t>
  </si>
  <si>
    <t>Parcial</t>
  </si>
  <si>
    <t>Subtotal</t>
  </si>
  <si>
    <t>A*B</t>
  </si>
  <si>
    <t>C7/-104</t>
  </si>
  <si>
    <t>A*B</t>
  </si>
  <si>
    <t>A*B</t>
  </si>
  <si>
    <t>A*B</t>
  </si>
  <si>
    <t>A*B</t>
  </si>
  <si>
    <t>C7/-106</t>
  </si>
  <si>
    <t>A*B</t>
  </si>
  <si>
    <t>A*B</t>
  </si>
  <si>
    <t>A*B</t>
  </si>
  <si>
    <t>C7/-108</t>
  </si>
  <si>
    <t>A*B</t>
  </si>
  <si>
    <t>C7/-108.1</t>
  </si>
  <si>
    <t>A*B</t>
  </si>
  <si>
    <t>C7/-110</t>
  </si>
  <si>
    <t>A*B</t>
  </si>
  <si>
    <t>C7/112</t>
  </si>
  <si>
    <t>A*B</t>
  </si>
  <si>
    <t>A*B</t>
  </si>
  <si>
    <t>A*B</t>
  </si>
  <si>
    <t>C7/-130</t>
  </si>
  <si>
    <t>A*B</t>
  </si>
  <si>
    <t>A*B</t>
  </si>
  <si>
    <t>C7/-124</t>
  </si>
  <si>
    <t>A*B</t>
  </si>
  <si>
    <t>A*B</t>
  </si>
  <si>
    <t>C7/-120</t>
  </si>
  <si>
    <t>A*B</t>
  </si>
  <si>
    <t>C7/ -114</t>
  </si>
  <si>
    <t>DRS060</t>
  </si>
  <si>
    <t>Partida</t>
  </si>
  <si>
    <t>m²</t>
  </si>
  <si>
    <t>Aixecat de paviment de PVC</t>
  </si>
  <si>
    <t>Aixecat de paviment de PVC existent a l'interior de l'edifici, amb mitjans manuals, sense deteriorar els elements constructius contigus, i càrrega manual sobre camió o contenidor.
Inclou: Aixecat de l'element. Retirada i apilament del material aixecat. Neteja de les restes de l'obra. Càrrega del material aixecat i restes de l'obra sobre camió o contenidor.
Criteri d'amidament de projecte: Superfície mesurada segons documentació gràfica de Projecte.
Criteri de mesura d'obra: S'amidarà la superfície realment desmuntada segons especificacions de Projecte.</t>
  </si>
  <si>
    <t>Uts.</t>
  </si>
  <si>
    <t>Àrea</t>
  </si>
  <si>
    <t>Parcial</t>
  </si>
  <si>
    <t>Subtotal</t>
  </si>
  <si>
    <t>A*B</t>
  </si>
  <si>
    <t>DRS010</t>
  </si>
  <si>
    <t>Partida</t>
  </si>
  <si>
    <t>m²</t>
  </si>
  <si>
    <t>Demolició de paviment de terratzo.</t>
  </si>
  <si>
    <t>Demolició de paviment existent a l'interior de l'edifici, de rajoles de terratzo, amb mitjans manuals, sense deteriorar els elements constructius contigus, i càrrega manual sobre camió o contenidor.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t>
  </si>
  <si>
    <t>Uts.</t>
  </si>
  <si>
    <t>Àrea</t>
  </si>
  <si>
    <t>Parcial</t>
  </si>
  <si>
    <t>Subtotal</t>
  </si>
  <si>
    <t>A*B</t>
  </si>
  <si>
    <t>Demolició paviment planta</t>
  </si>
  <si>
    <t>DRA010</t>
  </si>
  <si>
    <t>Partida</t>
  </si>
  <si>
    <t>m²</t>
  </si>
  <si>
    <t>Demolició d'alicatat.</t>
  </si>
  <si>
    <t>Demolició d'alicatat de rajola ceràmica, amb mitjans manuals, i càrrega manual sobre camió o contenidor.
Inclou: Demolició de l'element. Fragmentació dels enderrocs en peces manejables.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</si>
  <si>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</si>
  <si>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Llargada</t>
  </si>
  <si>
    <t>Amplada</t>
  </si>
  <si>
    <t>Alçada</t>
  </si>
  <si>
    <t>Parcial</t>
  </si>
  <si>
    <t>Subtotal</t>
  </si>
  <si>
    <t>C7/-106</t>
  </si>
  <si>
    <t>C7/-108</t>
  </si>
  <si>
    <t>C7/-120</t>
  </si>
  <si>
    <t>C7/-114</t>
  </si>
  <si>
    <t>Zona sortida emergencia</t>
  </si>
  <si>
    <t>DRF020</t>
  </si>
  <si>
    <t>Partida</t>
  </si>
  <si>
    <t>m²</t>
  </si>
  <si>
    <t>Eliminació de revestiment de guix.</t>
  </si>
  <si>
    <t>Eliminació de revestiment de guix aplicat sobre parament vertical de fins a 3 m d'altura, amb mitjans manuals, sense deteriorar la superfície suport, que quedarà al descobert i preparada per al seu posterior revestiment, i càrrega manual sobre camió o contenidor.
Inclou: Eliminació del revestiment.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</si>
  <si>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</si>
  <si>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Amplada</t>
  </si>
  <si>
    <t>Alçada</t>
  </si>
  <si>
    <t>Parcial</t>
  </si>
  <si>
    <t>Subtotal</t>
  </si>
  <si>
    <t>A*C*D</t>
  </si>
  <si>
    <t>C7/-112</t>
  </si>
  <si>
    <t>A*C*D</t>
  </si>
  <si>
    <t>C7/-130</t>
  </si>
  <si>
    <t>A*C*D</t>
  </si>
  <si>
    <t>C7/-128</t>
  </si>
  <si>
    <t>A*C*D</t>
  </si>
  <si>
    <t>A*C*D</t>
  </si>
  <si>
    <t>C7/-126</t>
  </si>
  <si>
    <t>A*C*D</t>
  </si>
  <si>
    <t>C7/-124</t>
  </si>
  <si>
    <t>A*C*D</t>
  </si>
  <si>
    <t>A*C*D</t>
  </si>
  <si>
    <t>C7/-122</t>
  </si>
  <si>
    <t>A*C*D</t>
  </si>
  <si>
    <t>passadis (nou bany)</t>
  </si>
  <si>
    <t>DRS070</t>
  </si>
  <si>
    <t>Partida</t>
  </si>
  <si>
    <t>m²</t>
  </si>
  <si>
    <t>Demolició de solera de formigó.</t>
  </si>
  <si>
    <t>Demolició de solera formigó fins a 20 cm de gruix, amb martell pneumàtic, sense deteriorar els elements constructius contigus, i càrrega manual sobre camió o contenidor.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</si>
  <si>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</si>
  <si>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Llargada</t>
  </si>
  <si>
    <t>Amplada</t>
  </si>
  <si>
    <t>Alçada</t>
  </si>
  <si>
    <t>Parcial</t>
  </si>
  <si>
    <t>Subtotal</t>
  </si>
  <si>
    <t>Zona sortida emergencia</t>
  </si>
  <si>
    <t>GRA020</t>
  </si>
  <si>
    <t>Partida</t>
  </si>
  <si>
    <t>m³</t>
  </si>
  <si>
    <t>Transport de residus inertes amb camió.</t>
  </si>
  <si>
    <t>Transport amb camió de residus inertes de formigons, morters i prefabricats produïts en obres de construcció i/o demolició, a abocador específic, instal·lació de tractament de residus de construcció i demolició externa a l'obra o centre de valorització o eliminació de residus, situat a 10 km de distància.
Criteri d'amidament de projecte: Volum teòric, estimat a partir del pes i la densitat aparent dels diferents materials que componen els residus, segons documentació gràfica de Projecte.
Criteri de mesura d'obra: Es mesurarà, incloent l'estufament, el volum de residus realment transportat segons especificacions de Projecte.</t>
  </si>
  <si>
    <t>GRB020</t>
  </si>
  <si>
    <t>Partida</t>
  </si>
  <si>
    <t>m³</t>
  </si>
  <si>
    <t>Cànon d'abocament per lliurament de residus inerts a gestor autoritzat.</t>
  </si>
  <si>
    <t>Cànon d'abocament per lliurament de mescla sense classificar de residus inerts produïts a obres de construcció i/o demolició, en abocador específic, instal·lació de tractament de residus de construcció i demolició externa a l'obra o centre de valorització o eliminació de residus.
Criteri d'amidament de projecte: Volum teòric, estimat a partir del pes i la densitat aparent dels diferents materials que componen els residus, segons documentació gràfica de Projecte.
Criteri de mesura d'obra: Es mesurarà, incloent l'estufament, el volum de residus realment entregat segons especificacions de Projecte.</t>
  </si>
  <si>
    <t>01</t>
  </si>
  <si>
    <t>02</t>
  </si>
  <si>
    <t>Capítol</t>
  </si>
  <si>
    <t>MOVIMENT DE TERRES</t>
  </si>
  <si>
    <t>ADE006</t>
  </si>
  <si>
    <t>Partida</t>
  </si>
  <si>
    <t>m³</t>
  </si>
  <si>
    <t>Excavació a l'interior de l'edifici.</t>
  </si>
  <si>
    <t>Excavació a l'interior de l'edifici, en qualsevol tipus de terreny, amb mitjans manuals, i càrrega manual a camió o contenidor.
Inclou: Replanteig general i fixació dels punts i nivells de referència. Excavació en successives rases horitzontals i extracció de terres. Refinat de fons i laterals a mà, amb extracció de les terres. Càrrega manual a camió o contenidor dels materials excavats.
Criteri de mesura d'obra: Es mesurarà el volum teòric executat segons especificacions de Projecte, sense incloure els increments per excessos d'excavació no autoritzats, ni el reblert necessari per a reconstruir la secció teòrica per defectes imputables al Contractista. Es mesurarà l'excavació una vegada realitzada i abans que sobre ella s'efectuï cap tipus de reblert. Si el Contractista tanqués l'excavació abans de conformat l'amidament, s'entendrà que s'avé al que unilateralment determini el director de l'execució de l'obra.</t>
  </si>
  <si>
    <t>Uts.</t>
  </si>
  <si>
    <t>Llargada</t>
  </si>
  <si>
    <t>Amplada</t>
  </si>
  <si>
    <t>Alçada</t>
  </si>
  <si>
    <t>Parcial</t>
  </si>
  <si>
    <t>Subtotal</t>
  </si>
  <si>
    <t>A*B*C*D</t>
  </si>
  <si>
    <t>Nou accés emergencia P-1</t>
  </si>
  <si>
    <t>GTA020</t>
  </si>
  <si>
    <t>Partida</t>
  </si>
  <si>
    <t>m³</t>
  </si>
  <si>
    <t>Transport de terres amb camió.</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</si>
  <si>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màxima de 10 km.
Inclou: Transport de terres a l'abocador específic, instal·lació de tractament de residus de construcció i demolició externa a l'obra o centre de valorització o eliminació de residus, amb protecció de les mateixes mitjançant la seva cobertura amb teles.
Criteri de mesura d'obra: Es mesurarà, incloent l'estufament, el volum de terres realment transportat segons especificacions de Projecte.</t>
  </si>
  <si>
    <t>Uts.</t>
  </si>
  <si>
    <t>Llargada</t>
  </si>
  <si>
    <t>Amplada</t>
  </si>
  <si>
    <t>Alçada</t>
  </si>
  <si>
    <t>Parcial</t>
  </si>
  <si>
    <t>Subtotal</t>
  </si>
  <si>
    <t>A*B*C*D</t>
  </si>
  <si>
    <t>Rampa</t>
  </si>
  <si>
    <t>A*B*C*D</t>
  </si>
  <si>
    <t>Rases per sanejament</t>
  </si>
  <si>
    <t>GTB020</t>
  </si>
  <si>
    <t>Partida</t>
  </si>
  <si>
    <t>m³</t>
  </si>
  <si>
    <t>Cànon d'abocament per lliurament de terres a gestor autoritzat.</t>
  </si>
  <si>
    <t>Cànon d'abocament per lliurament de terres procedents de l'excavació, en abocador específic, instal·lació de tractament de residus de construcció i demolició externa a l'obra o centre de valorització o eliminació de residus.
Criteri d'amidament de projecte: Volum mesurat sobre les seccions teòriques de les excavacions, incrementades cadascuna d'elles pel seu corresponent coeficient d'esponjament, d'acord amb el tipus de terreny considerat.
Criteri de mesura d'obra: Es mesurarà, incloent l'estufament, el volum de terres realment entregat segons especificacions de Projecte.</t>
  </si>
  <si>
    <t>Uts.</t>
  </si>
  <si>
    <t>Llargada</t>
  </si>
  <si>
    <t>Amplada</t>
  </si>
  <si>
    <t>Alçada</t>
  </si>
  <si>
    <t>Parcial</t>
  </si>
  <si>
    <t>Subtotal</t>
  </si>
  <si>
    <t>A*B*C*D</t>
  </si>
  <si>
    <t>Rampa</t>
  </si>
  <si>
    <t>A*B*C*D</t>
  </si>
  <si>
    <t>Rases per sanejament</t>
  </si>
  <si>
    <t>02</t>
  </si>
  <si>
    <t>03</t>
  </si>
  <si>
    <t>Capítol</t>
  </si>
  <si>
    <t>ESTRUCTURA</t>
  </si>
  <si>
    <t>03</t>
  </si>
  <si>
    <t>04</t>
  </si>
  <si>
    <t>Capítol</t>
  </si>
  <si>
    <t>RAM DE PALETA</t>
  </si>
  <si>
    <t>ANS010</t>
  </si>
  <si>
    <t>Partida</t>
  </si>
  <si>
    <t>m²</t>
  </si>
  <si>
    <t>Solera de formigó.</t>
  </si>
  <si>
    <t>Solera de formigó armat de 15 cm d'espessor, realitzada amb formigó HA-25/F/20/XC2 fabricat en central, i abocament des de camió, i malla electrosoldada ME 20x20 Ø 5-5 B 500 T 6x2,20 UNE-EN 10080 com a armadura de repartiment, col·locada sobre separadors homologats, estès i vibrat manual mitjançant regla vibrant, sense tractament de la seva superfície; amb junts de retracció de 5 mm d'espessor, mitjançant tall amb disc de diamant. Inclús panell de poliestirè expandit de 3 cm d'espessor, per a l'execució de juntes de retracció.
Inclou: Preparació de la superfície de recolzament del formigó. Replanteig dels junts de construcció i de dilatació. Estesa de nivells mitjançant tocaments, mestres de formigó o regles. Reg de la superfície base. Formació de juntes de construcció i de juntes perimetrals de dilatació. Col·locació de la malla electrosoldada amb separadors homologats. Abocat, estesa i vibrat del formigó. Curat del formigó. Raspatllat del formigó. Replanteig dels junts de retracció. Cort del formigó. Neteja final dels junts de retracció.
Criteri d'amidament de projecte: Superfície mesurada segons documentació gràfica de Projecte.
Criteri de mesura d'obra: Es mesurarà la superfície realment executada segons especificacions de Projecte, sense deduir la superfície ocupada pels pilars situats dintre del seu perímetre.</t>
  </si>
  <si>
    <t>Uts.</t>
  </si>
  <si>
    <t>Llargada</t>
  </si>
  <si>
    <t>Amplada</t>
  </si>
  <si>
    <t>Parcial</t>
  </si>
  <si>
    <t>Subtotal</t>
  </si>
  <si>
    <t>Nou accés</t>
  </si>
  <si>
    <t>FDD130</t>
  </si>
  <si>
    <t>Partida</t>
  </si>
  <si>
    <t>m</t>
  </si>
  <si>
    <t>Passamans d'acer.</t>
  </si>
  <si>
    <t>Passamans recte metàl·lic, format per tub buit d'acer inoxidable, de 40 mm de diàmetre, amb suports metàl·lics fixats al parament mitjançant ancoratge mecànic amb tacs de niló i cargols d'acer galvanitzat.
Inclou: Replanteig dels suports. Fixació dels suports al parament. Fixació del passamans als suports.
Criteri d'amidament de projecte: Longitud mesurada a eixos, segons documentació gràfica de Projecte.
Criteri de mesura d'obra: Es mesurarà a eixos, la longitud realment executada segons especificacions de Projecte.</t>
  </si>
  <si>
    <t>Uts.</t>
  </si>
  <si>
    <t>Llargada</t>
  </si>
  <si>
    <t>Amplada</t>
  </si>
  <si>
    <t>Parcial</t>
  </si>
  <si>
    <t>Subtotal</t>
  </si>
  <si>
    <t>Rampa</t>
  </si>
  <si>
    <t>RPG010</t>
  </si>
  <si>
    <t>Partida</t>
  </si>
  <si>
    <t>m²</t>
  </si>
  <si>
    <t>Enguixat de guix.</t>
  </si>
  <si>
    <t>Guarnit de guix de construcció B1 a bona vista, sobre parament vertical, de fins 3 m d'altura, armat i reforçat amb malla antiàlcalis inclús en els canvis de material, i acabat de lliscat de guix d'aplicació en capa fina C6, amb cantoneres.
Inclou: Preparació del suport que es revestirà. Realització de mestres. Col·locació de cantoneres a les cantonades i sortints. Pastat del guix gruixut. Extès de la pasta de guix entre les mestres, col·locació de la malla de fibra de vidre i regulartizació del revestiment. Pastat del guix fi. Execució del lliscat, estenent la pasta de guix fi sobre la superfície prèviament enguixada.
Criteri d'amidament de projecte: Superfície mesurada des del paviment fins al sostre, segons documentació gràfica de Projecte, sense deduir forats menors de 4 m² i deduint, en els buits de superfície major de 4 m², l'excés sobre 4 m². No han sigut objecte de descompte els paraments verticals que tenen armaris encastats, sigui com sigui la seva dimensió.
Criteri de mesura d'obra: Es mesurarà a cinta correguda, la superfície realment executada segons especificacions de Projecte, considerant com altura la distància entre el paviment i el sostre, sense deduir forats menors de 4 m² i deduint, en els buits de superfície major de 4 m², l'excés sobre 4 m². Els paraments que tinguin armaris de paret no seran objecte de descompte sigui com sigui la seva dimensió.</t>
  </si>
  <si>
    <t>Uts.</t>
  </si>
  <si>
    <t>Amplada</t>
  </si>
  <si>
    <t>Alçada</t>
  </si>
  <si>
    <t>Parcial</t>
  </si>
  <si>
    <t>Subtotal</t>
  </si>
  <si>
    <t>A*C*D</t>
  </si>
  <si>
    <t>Despatx</t>
  </si>
  <si>
    <t>A*C*D</t>
  </si>
  <si>
    <t>Local de risc 1</t>
  </si>
  <si>
    <t>A*C*D</t>
  </si>
  <si>
    <t>SAQ</t>
  </si>
  <si>
    <t>A*C*D</t>
  </si>
  <si>
    <t>A*C*D</t>
  </si>
  <si>
    <t>Sala de reunions</t>
  </si>
  <si>
    <t>RPE012</t>
  </si>
  <si>
    <t>Partida</t>
  </si>
  <si>
    <t>m²</t>
  </si>
  <si>
    <t>Arrebossat de ciment per a base d'enrajolat.</t>
  </si>
  <si>
    <t>Arrebossat de ciment, reglejat, aplicat sobre un parament vertical interior, acabat superficial ratllat, per a servir de base a un posterior enrajolat, amb morter de ciment, tipus GP CSII W0.
Inclou: Especejament de panys de treball. Col·locació de regles i estès de corretges. Col·locació de tocs. Realització de mestres. Aplicació del morter. Realització de juntes i punts de trobada. Acabat superficial. Cura del morter.
Criteri d'amidament de projecte: Superfície mesurada segons documentació gràfica de Projecte, sense deduir forats menors de 4 m² i deduint, en els buits de superfície major de 4 m², l'excés sobre 4 m².
Criteri de mesura d'obra: Es mesurarà la superfície realment executada segons especificacions de Projecte, deduint, en els buits de superfície major de 4 m², l'excés sobre 4 m².</t>
  </si>
  <si>
    <t>Uts.</t>
  </si>
  <si>
    <t>Amplada</t>
  </si>
  <si>
    <t>Alçada</t>
  </si>
  <si>
    <t>Parcial</t>
  </si>
  <si>
    <t>Subtotal</t>
  </si>
  <si>
    <t>A*C*D</t>
  </si>
  <si>
    <t>Laboratori 1</t>
  </si>
  <si>
    <t>A*C*D</t>
  </si>
  <si>
    <t>Bany</t>
  </si>
  <si>
    <t>A*C*D</t>
  </si>
  <si>
    <t>Laboratori 2</t>
  </si>
  <si>
    <t>A*C*D</t>
  </si>
  <si>
    <t>A*C*D</t>
  </si>
  <si>
    <t>Laboratori 3</t>
  </si>
  <si>
    <t>A*C*D</t>
  </si>
  <si>
    <t>Equips</t>
  </si>
  <si>
    <t>A*C*D</t>
  </si>
  <si>
    <t>Equips</t>
  </si>
  <si>
    <t>HPH010</t>
  </si>
  <si>
    <t>Partida</t>
  </si>
  <si>
    <t>U</t>
  </si>
  <si>
    <t>Perforació en mur per al pas d'instal·lacions. 100x200</t>
  </si>
  <si>
    <t>Perforació en mur d'obra per al pas d'instal·lacions de 100x200
Inclou: Replanteig de les zones a perforar.  Retirada i arreplegat de enderrocs. Neteja de les restes de l'obra. Càrrega manual d'enderrocs sobre camió o contenidor. Reforç i consolidació del forat resultant
Criteri d'amidament de projecte: Nombre d'unitats previstes, segons documentació gràfica de Projecte.
Criteri de mesura d'obra: Es mesurarà el nombre d'unitats realment executades segons especificacions de Projecte.</t>
  </si>
  <si>
    <t>04</t>
  </si>
  <si>
    <t>05</t>
  </si>
  <si>
    <t>Capítol</t>
  </si>
  <si>
    <t>SANEJAMENT I VENTILACIÓ</t>
  </si>
  <si>
    <t>ISD024</t>
  </si>
  <si>
    <t>Partida</t>
  </si>
  <si>
    <t>U</t>
  </si>
  <si>
    <t>Xarxa interior d'evacuació per usos complementaris.</t>
  </si>
  <si>
    <t>Xarxa interior d'evacuació insonoritzada, per usos complementaris amb dotació per: laboratoris/aules realitzada amb tub de polipropilè amb càrrega mineral per la xarxa de desguassos.
Inclou: Replanteig del recorregut de la canonada i de la situació dels elements de subjecció. Presentació en sec dels tubs. Fixació del material auxiliar per a muntatge i subjecció a l'obra.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</si>
  <si>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ASC010</t>
  </si>
  <si>
    <t>Partida</t>
  </si>
  <si>
    <t>m</t>
  </si>
  <si>
    <t>Col·lector soterrat. 110</t>
  </si>
  <si>
    <t>Col·lector soterrat de xarxa horitzontal de sanejament, amb pericons, amb una pendent mínima del 2%, per a l'evacuació d'aigües residuals i/o pluvials, format per tub de PVC llis, sèrie SN-4, rigidesa anular nominal 4 kN/m², de 110 mm de diàmetre exterior, enganxat mitjançant adhesiu, col·locat sobre llit de sorra de 10 cm d'espessor, degudament compactada i anivellada amb picó vibrant de guiat manual, reblert lateral compactant fins als ronyons i posterior reblert amb la mateixa sorra fins a 30 cm per sobre de la generatriu superior de la canonada. Inclús líquid netejador i adhesiu per a tubs i accessoris de PVC.
Inclou: Replanteig i traçat del conducte en planta i pendents. Presentació en sec de tubs i peces especials. Abocat de la sorra en el fons de la rasa. Descens i col·locació dels col·lectors en el fons de la rasa. Muntatge, connexionat i comprovació del seu correcte funcionament. Execució del reblert envoltant.
Criteri d'amidament de projecte: Longitud mesurada en projecció horitzontal, segons documentació gràfica de Projecte, entre cares interiors de pericons.
Criteri de mesura d'obra: Es mesurarà en projecció horitzontal, la longitud realment executada segons especificacions de Projecte, entre cares interiors de pericons, incloent els trams ocupats per peces especials.</t>
  </si>
  <si>
    <t>HYO010</t>
  </si>
  <si>
    <t>Partida</t>
  </si>
  <si>
    <t>m</t>
  </si>
  <si>
    <t>Apertura de regata per sanejament</t>
  </si>
  <si>
    <t>Obertura i tancament de fregues amb morter de ciment, industrial, M-5 en solera de formigó, amb regatadores elèctriques sense afectar a l'estabilitat de l'element constructiu. Retirada de graves i terra fins arribar a nivell necessari per garantitzar el pendent 
Inclou: Preparació de la zona de treball. Protecció dels elements de l'entorn. Replanteig. Execució de la regata amb regatadora elèctrica. Excavació de graves i terres. Reblert amb sorra fins a nivell de solera. Tancament de les regates. Retirada i arreplegat de enderrocs. Neteja de les restes de l'obra. Càrrega d'enderrocs sobre camió o contenidor.
Criteri d'amidament de projecte: Longitud mesurada segons documentació gràfica de Projecte.</t>
  </si>
  <si>
    <t>05</t>
  </si>
  <si>
    <t>06</t>
  </si>
  <si>
    <t>Capítol</t>
  </si>
  <si>
    <t>PAVIMENT</t>
  </si>
  <si>
    <t>RSB010</t>
  </si>
  <si>
    <t>Partida</t>
  </si>
  <si>
    <t>m²</t>
  </si>
  <si>
    <t>Base de morter de ciment.</t>
  </si>
  <si>
    <t>Base per a paviment, de 4 cm d'espessor, de morter de ciment CEM II/B-P 32,5 N tipus M-10, reglejada i arremolinada. Inclús banda de panell rígid de poliestirè expandit per a la preparació dels junts perimetrals de dilatació.
Inclou: Replanteig i marcat de nivells. Preparació de les juntes perimetrals de dilatació. Posada en obra del morter. Formació de juntes de retracció. Execució del paviment remolinat. Cura del morter.
Criteri d'amidament de projecte: Superfície mesurada segons documentació gràfica de Projecte.
Criteri de mesura d'obra: Es mesurarà la superfície realment executada segons especificacions de Projecte, sense deduir la superfície ocupada pels pilars situats dintre del seu perímetre.</t>
  </si>
  <si>
    <t>Uts.</t>
  </si>
  <si>
    <t>Longitud</t>
  </si>
  <si>
    <t>Ample</t>
  </si>
  <si>
    <t>Alçada</t>
  </si>
  <si>
    <t>Parcial</t>
  </si>
  <si>
    <t>Subtotal</t>
  </si>
  <si>
    <t>A*B*C</t>
  </si>
  <si>
    <t>Rampa</t>
  </si>
  <si>
    <t>A*B*C</t>
  </si>
  <si>
    <t>Bany</t>
  </si>
  <si>
    <t>RSC010</t>
  </si>
  <si>
    <t>Partida</t>
  </si>
  <si>
    <t>m²</t>
  </si>
  <si>
    <t>Paviment interior de peces de terratzo 40x40. Col·locació en capa gruixuda.</t>
  </si>
  <si>
    <t>Paviment interior de peces de terratzo, microgra (menor o igual a 6 mm), ús normal segons UNE-EN 13748-1, de 40x40 cm, color gris i en possessió de certificats d'assaigss, amb un polit inicial en fàbrica, per a polir i abrillantar en obra. COL·LOCACIÓ: en capa grossa, a cop de martell sobre llit de morter de ciment, industrial, M-5, de 3 cm d'espessor. Inclou reopsició de zones afectades. Inclou franjes antilliscants a zona rampa, amb el rebaix inclòs. REJUNTAT: amb morter de ciment blanc acolorit en junts de 1 a 1,5 mm de gruix. Inclou reopsició de zones afectades. Inclou franjes antilliscants a zona rampa, amb el rebaix inclòs.
Inclou: Replanteig i marcat de nivells. Humectació de les peces. Preparació dels junts. Formació de juntes de moviment. Estesa de la capa de morter d'unió i llit de suport. Col·locació de les peces. Reblert de juntes de separació entre peces.
Criteri d'amidament de projecte: Superfície mesurada segons documentació gràfica de Projecte. No s'ha incrementat l'amidament per trencaments i retallades, ja que en la descomposició s'ha considerat un 5% més de peces.
Criteri de mesura d'obra: Es mesurarà la superfície realment executada segons especificacions de Projecte.</t>
  </si>
  <si>
    <t>Uts.</t>
  </si>
  <si>
    <t>Àrea</t>
  </si>
  <si>
    <t>Parcial</t>
  </si>
  <si>
    <t>Subtotal</t>
  </si>
  <si>
    <t>A*B</t>
  </si>
  <si>
    <t>Planta completa</t>
  </si>
  <si>
    <t>RSC030</t>
  </si>
  <si>
    <t>Partida</t>
  </si>
  <si>
    <t>m²</t>
  </si>
  <si>
    <t>Tractament d'acabat superficial en obra de paviment interior de terratzo.</t>
  </si>
  <si>
    <t>Polit i abrillantat mecànics en obra de paviment interior de terratzo, mitjançant estesa de beurada acolorada amb la mateixa tonalitat de les rajoles; desbastat o rebaix, amb una mola basta entre 36 i 60, segons el tipus de terratzo i l'estat en que es trobi el sòl; planificat o polit bast, amb abrasiu de gra entre 80 i 120; estesa d'una nova beurada de les mateixes característiques que la primera; planificat o polit bast, amb abrasiu de gra entre 80 i 120; i abrillantat amb moles de 400 o superior, prèvia aplicació de líquid cristalitzador.
Inclou: Preparació i estesa de la beurada. Desbastat o rebaix. Planificat o polit bast. Estesa de nova beurada. Afinat. Repàs dels racons de difícil accés, amb polidora de mà o fixa. Rentat del paviment. Evacuació de les aigües brutes. Protecció del paviment. Aplicació del líquid cristalitzador. Abrillantat. Retirada i apilament de les restes generades. Càrrega de les restes generades sobre camió o contenidor.
Criteri d'amidament de projecte: Superfície mesurada segons documentació gràfica de Projecte.
Criteri de mesura d'obra: Es mesurarà la superfície realment executada segons especificacions de Projecte.</t>
  </si>
  <si>
    <t>Uts.</t>
  </si>
  <si>
    <t>Àrea</t>
  </si>
  <si>
    <t>Parcial</t>
  </si>
  <si>
    <t>Subtotal</t>
  </si>
  <si>
    <t>A*B</t>
  </si>
  <si>
    <t>Planta completa</t>
  </si>
  <si>
    <t>RSC020</t>
  </si>
  <si>
    <t>Partida</t>
  </si>
  <si>
    <t>m</t>
  </si>
  <si>
    <t>Entornpeu interior de terratzo.</t>
  </si>
  <si>
    <t>Entornpeu de terratzo microgra per a interior, del mateix color que el paviment, 40x7 cm, amb el cantell rebaixat i un grau de polit de 220. COL·LOCACIÓ: amb adhesiu cimentós. REJUNTAT: amb beurada de ciment blanc BL-V 22,5 acolorada amb la mateixa tonalitat de les peces.
Inclou: Replanteig de les peces. Tall de les peces i formació d'encaixos en cantonades i racons. Col·locació de l'entornpeu. Rejuntat. Abrillantat i neteja de l'entornpeu.
Criteri d'amidament de projecte: Longitud mesurada segons documentació gràfica de Projecte, sense incloure buits de portes. No s'ha incrementat l'amidament per trencaments i retallades, ja que en la descomposició s'ha considerat un 5% més de peces.
Criteri de mesura d'obra: Es mesurarà la longitud realment executada segons especificacions de Projecte.</t>
  </si>
  <si>
    <t>Uts.</t>
  </si>
  <si>
    <t>Perímetre</t>
  </si>
  <si>
    <t>Amplada</t>
  </si>
  <si>
    <t>Alçada</t>
  </si>
  <si>
    <t>Parcial</t>
  </si>
  <si>
    <t>Subtotal</t>
  </si>
  <si>
    <t>A*B</t>
  </si>
  <si>
    <t>Espai polivalent</t>
  </si>
  <si>
    <t>A*B</t>
  </si>
  <si>
    <t>Despatx</t>
  </si>
  <si>
    <t>A*B</t>
  </si>
  <si>
    <t>Local de risc 2</t>
  </si>
  <si>
    <t>A*B</t>
  </si>
  <si>
    <t>Local de risc 1</t>
  </si>
  <si>
    <t>A*B</t>
  </si>
  <si>
    <t>SAQ</t>
  </si>
  <si>
    <t>A*B</t>
  </si>
  <si>
    <t>Sala reunions</t>
  </si>
  <si>
    <t>A*B</t>
  </si>
  <si>
    <t>Passadís 1</t>
  </si>
  <si>
    <t>A*B</t>
  </si>
  <si>
    <t>Vestíbul</t>
  </si>
  <si>
    <t>Descompte portes</t>
  </si>
  <si>
    <t>Uts.</t>
  </si>
  <si>
    <t>Llargada</t>
  </si>
  <si>
    <t>Parcial</t>
  </si>
  <si>
    <t>Subtotal</t>
  </si>
  <si>
    <t>A*B</t>
  </si>
  <si>
    <t>Espai polivalent</t>
  </si>
  <si>
    <t>A*B</t>
  </si>
  <si>
    <t>Despatx</t>
  </si>
  <si>
    <t>A*B</t>
  </si>
  <si>
    <t>Bany</t>
  </si>
  <si>
    <t>A*B</t>
  </si>
  <si>
    <t>Laboratori 1</t>
  </si>
  <si>
    <t>A*B</t>
  </si>
  <si>
    <t>Local de Risc 2</t>
  </si>
  <si>
    <t>A*B</t>
  </si>
  <si>
    <t>Local de Risc 1</t>
  </si>
  <si>
    <t>A*B</t>
  </si>
  <si>
    <t>Accés vestíbul</t>
  </si>
  <si>
    <t>A*B</t>
  </si>
  <si>
    <t>Sala Reunions</t>
  </si>
  <si>
    <t>A*B</t>
  </si>
  <si>
    <t>Equips</t>
  </si>
  <si>
    <t>A*B</t>
  </si>
  <si>
    <t>Equips</t>
  </si>
  <si>
    <t>A*B</t>
  </si>
  <si>
    <t>Laboratori 3</t>
  </si>
  <si>
    <t>A*B</t>
  </si>
  <si>
    <t>Laboratori 2</t>
  </si>
  <si>
    <t>A*B</t>
  </si>
  <si>
    <t>Sortida</t>
  </si>
  <si>
    <t>RSG010</t>
  </si>
  <si>
    <t>Partida</t>
  </si>
  <si>
    <t>m²</t>
  </si>
  <si>
    <t>Enrajolat de rajoles porcelaniques imitació terrazo 40x40.Per rampa. Clase 2</t>
  </si>
  <si>
    <t>Enrajolat de rajoles ceràmiques de gres de porcellana, acabat esmaltat, de 40x40 cm, 29 €/m², capacitat d'absorció d'aigua E&lt;0,5%, grup BIa, resistència al lliscament 35&lt;Rd&lt;=45, classe 2, rebudes amb adhesiu cimentós millorat, C2 sense cap característica addicional, color gris amb doble encolat i rejuntades amb morter de junts cimentós tipus L, color blanc, per junts de fins a 3 mm.
Inclou: Neteja i comprovació de la superfície suport. Replanteig dels nivells d'acabat. Replanteig de la disposició de les peces i junts de moviment. Aplicació de l'adhesiu. Col·locació de les rajoles a punta de paleta. Formació de junts de partició, perimetrals i estructurals. Rejuntat. Eliminació i neteja del material sobrant. Neteja final del paviment.
Criteri d'amidament de projecte: Superfície útil, mesura segons documentació gràfica de Projecte. No s'ha incrementat l'amidament per trencaments i retallades, ja que en la descomposició s'ha considerat un 5% més de peces.
Criteri de mesura d'obra: Es mesurarà la superfície realment executada segons especificacions de Projecte.</t>
  </si>
  <si>
    <t>Uts.</t>
  </si>
  <si>
    <t>Longitud</t>
  </si>
  <si>
    <t>Ample</t>
  </si>
  <si>
    <t>Alçada</t>
  </si>
  <si>
    <t>Parcial</t>
  </si>
  <si>
    <t>Subtotal</t>
  </si>
  <si>
    <t>A*B*C</t>
  </si>
  <si>
    <t>Rampa</t>
  </si>
  <si>
    <t>RSG010b</t>
  </si>
  <si>
    <t>Partida</t>
  </si>
  <si>
    <t>m²</t>
  </si>
  <si>
    <t>Enrajolat de rajoles porcelaniques 40x40. Per bany. Clase 2</t>
  </si>
  <si>
    <t>Enrajolat de rajoles ceràmiques de gres de porcellana, acabat esmaltat, de 40x40 cm, 29 €/m², capacitat d'absorció d'aigua E&lt;0,5%, grup BIa, resistència al lliscament 35&lt;Rd&lt;=45, classe 2, rebudes amb adhesiu cimentós millorat, C2 sense cap característica addicional, color gris amb doble encolat i rejuntades amb morter de junts cimentós tipus L, color blanc, per junts de fins a 3 mm.
Inclou: Neteja i comprovació de la superfície suport. Replanteig dels nivells d'acabat. Replanteig de la disposició de les peces i junts de moviment. Aplicació de l'adhesiu. Col·locació de les rajoles a punta de paleta. Formació de junts de partició, perimetrals i estructurals. Rejuntat. Eliminació i neteja del material sobrant. Neteja final del paviment.
Criteri d'amidament de projecte: Superfície útil, mesura segons documentació gràfica de Projecte. No s'ha incrementat l'amidament per trencaments i retallades, ja que en la descomposició s'ha considerat un 5% més de peces.
Criteri de mesura d'obra: Es mesurarà la superfície realment executada segons especificacions de Projecte.</t>
  </si>
  <si>
    <t>Uts.</t>
  </si>
  <si>
    <t>Àrea</t>
  </si>
  <si>
    <t>Parcial</t>
  </si>
  <si>
    <t>Subtotal</t>
  </si>
  <si>
    <t>A*B</t>
  </si>
  <si>
    <t>Bany</t>
  </si>
  <si>
    <t>06</t>
  </si>
  <si>
    <t>07</t>
  </si>
  <si>
    <t>Capítol</t>
  </si>
  <si>
    <t>CEL RAS / GUIX LAMINAT</t>
  </si>
  <si>
    <t>RTB028</t>
  </si>
  <si>
    <t>Partida</t>
  </si>
  <si>
    <t>m²</t>
  </si>
  <si>
    <t>Fals sostre registrable de plaques d'escaiola. Sistema "PLACO". DECOGIPS CORAL FONO. Perfileria Semioculta</t>
  </si>
  <si>
    <t>Fals sostre registrable suspès, Decogips "PLACO", situat a una altura menor de 4 m. Sistema Placo Prima "PLACO", constituït per: ESTRUCTURA: perfileria semioculta, d'acer galvanitzat, color blanc, amb sola de 24 mm d'amplària, comprenent perfils primaris d'acer galvanitzat, Quick-lock "PLACO", de 3000 mm de longitud i 15x38 mm de secció, perfils secundaris d'acer galvanitzat, Quick-lock "PLACO", de 1200 mm de longitud i 15x38 mm de secció i perfils secundaris d'acer galvanitzat, Quick-lock "PLACO", de 600 mm de longitud i 15x38 mm de secció, suspesos del forjat o element suport amb varetes i penjants; PLAQUES: plaques d'escaiola, de superfície semiperforada, gamma Decor model Coral "PLACO", de 600x600 mm i 19 mm de gruix. Inclús perfils angulars Quick-lock "PLACO", fixacions per a l'ancoratge dels perfils i accessoris de muntatge.
Inclou: Replanteig dels eixos de la trama modular. Anivellació i col·fixació dels perfils perimetrals. Replanteig dels perfils primaris de la trama. Senyalització dels punts d'ancoratge al forjat o element de suport. Anivellació i suspensió dels perfils primaris i secundaris de la trama. Tall de les plaques. Col·locació de les plaques. Resolució de trobades i punts singulars.
Criteri d'amidament de projecte: Superfície mesurada entre paraments, segons documentació gràfica de Projecte, sense descomptar buits per instal·lacions.
Criteri de mesura d'obra: Es mesurarà la superfície realment executada segons especificacions de Projecte, sense descomptar buits per instal·lacions.</t>
  </si>
  <si>
    <t>Uts.</t>
  </si>
  <si>
    <t>Àrea</t>
  </si>
  <si>
    <t>Parcial</t>
  </si>
  <si>
    <t>Subtotal</t>
  </si>
  <si>
    <t>A*B</t>
  </si>
  <si>
    <t>espai polivalent</t>
  </si>
  <si>
    <t>A*B</t>
  </si>
  <si>
    <t>despatx</t>
  </si>
  <si>
    <t>A*B</t>
  </si>
  <si>
    <t>laboratori 1</t>
  </si>
  <si>
    <t>A*B</t>
  </si>
  <si>
    <t>SAQ</t>
  </si>
  <si>
    <t>A*B</t>
  </si>
  <si>
    <t>laboratori 2</t>
  </si>
  <si>
    <t>A*B</t>
  </si>
  <si>
    <t>laboratori 3</t>
  </si>
  <si>
    <t>A*B</t>
  </si>
  <si>
    <t>equips</t>
  </si>
  <si>
    <t>A*B</t>
  </si>
  <si>
    <t>equips</t>
  </si>
  <si>
    <t>A*B</t>
  </si>
  <si>
    <t>sala reunions</t>
  </si>
  <si>
    <t>RTB028b</t>
  </si>
  <si>
    <t>Partida</t>
  </si>
  <si>
    <t>m²</t>
  </si>
  <si>
    <t>Fals sostre registrable de plaques d'escaiola. Sistema "PLACO". DECOGIPS APOLO. Perfileria Semioculta</t>
  </si>
  <si>
    <t>Fals sostre registrable suspès, Decogips "PLACO", situat a una altura menor de 4 m. Sistema Placo Prima "PLACO", constituït per: ESTRUCTURA: perfileria semioculta, d'acer galvanitzat, color blanc, amb sola de 24 mm d'amplària, comprenent perfils primaris d'acer galvanitzat, Quick-lock "PLACO", de 3000 mm de longitud i 15x38 mm de secció, perfils secundaris d'acer galvanitzat, Quick-lock "PLACO", de 1200 mm de longitud i 15x38 mm de secció i perfils secundaris d'acer galvanitzat, Quick-lock "PLACO", de 600 mm de longitud i 15x38 mm de secció, suspesos del forjat o element suport amb varetes i penjants; PLAQUES: plaques d'escaiola, de superfície granulada, gamma Básica model APOLO "PLACO", de 600x600 mm i 19 mm de gruix. Inclús perfils angulars Quick-lock "PLACO", fixacions per a l'ancoratge dels perfils i accessoris de muntatge.
Inclou: Replanteig dels eixos de la trama modular. Anivellació i col·fixació dels perfils perimetrals. Replanteig dels perfils primaris de la trama. Senyalització dels punts d'ancoratge al forjat o element de suport. Anivellació i suspensió dels perfils primaris i secundaris de la trama. Tall de les plaques. Col·locació de les plaques. Resolució de trobades i punts singulars.
Criteri d'amidament de projecte: Superfície mesurada entre paraments, segons documentació gràfica de Projecte, sense descomptar buits per instal·lacions.
Criteri de mesura d'obra: Es mesurarà la superfície realment executada segons especificacions de Projecte, sense descomptar buits per instal·lacions.</t>
  </si>
  <si>
    <t>Uts.</t>
  </si>
  <si>
    <t>Àrea</t>
  </si>
  <si>
    <t>Parcial</t>
  </si>
  <si>
    <t>Subtotal</t>
  </si>
  <si>
    <t>A*B</t>
  </si>
  <si>
    <t>local de risc 2</t>
  </si>
  <si>
    <t>A*B</t>
  </si>
  <si>
    <t>local de risc 1</t>
  </si>
  <si>
    <t>A*B</t>
  </si>
  <si>
    <t>Bany</t>
  </si>
  <si>
    <t>A*B</t>
  </si>
  <si>
    <t>passadís</t>
  </si>
  <si>
    <t>A*B</t>
  </si>
  <si>
    <t>Vestibul</t>
  </si>
  <si>
    <t>RTC020b</t>
  </si>
  <si>
    <t>Partida</t>
  </si>
  <si>
    <t>m</t>
  </si>
  <si>
    <t>Fosat a fals sostre continu de plaques de guix laminat per suport de remat de caixa persiana.</t>
  </si>
  <si>
    <t>Fosat de fals sostre continu, amb base de 30cm, mitjançant plaques de guix laminat rebudes amb pasta d'unió, per tancar un espai de 20 cm d'altura. Inclús tall, fixació amb pasta d'unió, pasta segelladora i cinta de juntes.
Inclou: Replanteig i traçat en els paraments de la situació de la tapa. Presentació i tall de les peces. Estesa de la pasta d'aferrament. Fixació de les plaques. Resolució de trobades i punts singulars. Tractament de junts.
Criteri d'amidament de projecte: Longitud mesurada segons documentació gràfica de Projecte.
Criteri de mesura d'obra: Es mesurarà la longitud realment executada segons especificacions de Projecte.</t>
  </si>
  <si>
    <t>Uts.</t>
  </si>
  <si>
    <t>Llargada</t>
  </si>
  <si>
    <t>Parcial</t>
  </si>
  <si>
    <t>Subtotal</t>
  </si>
  <si>
    <t>A*B</t>
  </si>
  <si>
    <t>Fosejat per registre persiana façana</t>
  </si>
  <si>
    <t>A*B</t>
  </si>
  <si>
    <t>RTC015</t>
  </si>
  <si>
    <t>Partida</t>
  </si>
  <si>
    <t>m²</t>
  </si>
  <si>
    <t>Franja de fals sostre continu de plaques de guix laminat.</t>
  </si>
  <si>
    <t>Franja perimetral de fins 80 cm d'ample de 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A / UNE-EN 520 - 1200 / longitud / 12,5 / amb les vores longitudinals afinades. Inclús banda autoadhesiva desolidaritzant, fixacions per a l'ancoratge dels perfils, cargols per a la fixació de les plaques, pasta de segellament, cinta microperforada de paper i accessoris de muntatge.
Inclou: Replanteig dels eixos de l'estructura metàl·lica. Col·locació de la banda acústica. Anivellació i col·fixació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
Criteri d'amidament de projecte: Superfície mesurada entre paraments, segons documentació gràfica de Projecte, sense descomptar buits per instal·lacions.
Criteri de mesura d'obra: Es mesurarà la superfície realment executada segons especificacions de Projecte, seguint els criteris d'amidament exposats en la norma UNE 92305.</t>
  </si>
  <si>
    <t>Uts.</t>
  </si>
  <si>
    <t>Àrea</t>
  </si>
  <si>
    <t>Parcial</t>
  </si>
  <si>
    <t>Subtotal</t>
  </si>
  <si>
    <t>A*B</t>
  </si>
  <si>
    <t>espai polivalent</t>
  </si>
  <si>
    <t>A*B</t>
  </si>
  <si>
    <t>despatx</t>
  </si>
  <si>
    <t>A*B</t>
  </si>
  <si>
    <t>laboratori 1</t>
  </si>
  <si>
    <t>A*B</t>
  </si>
  <si>
    <t>local de risc 2</t>
  </si>
  <si>
    <t>A*B</t>
  </si>
  <si>
    <t>local de risc 1</t>
  </si>
  <si>
    <t>A*B</t>
  </si>
  <si>
    <t>SAQ</t>
  </si>
  <si>
    <t>A*B</t>
  </si>
  <si>
    <t>Bany</t>
  </si>
  <si>
    <t>A*B</t>
  </si>
  <si>
    <t>passadís</t>
  </si>
  <si>
    <t>A*B</t>
  </si>
  <si>
    <t>laboratori 2</t>
  </si>
  <si>
    <t>A*B</t>
  </si>
  <si>
    <t>laboratori 3</t>
  </si>
  <si>
    <t>A*B</t>
  </si>
  <si>
    <t>equips</t>
  </si>
  <si>
    <t>A*B</t>
  </si>
  <si>
    <t>equips</t>
  </si>
  <si>
    <t>A*B</t>
  </si>
  <si>
    <t>sala de reunions</t>
  </si>
  <si>
    <t>A*B</t>
  </si>
  <si>
    <t>Vestibul</t>
  </si>
  <si>
    <t>RTC020</t>
  </si>
  <si>
    <t>Partida</t>
  </si>
  <si>
    <t>m</t>
  </si>
  <si>
    <t>Fosat per iluminació per a fals sostre continu de plaques de guix laminat.</t>
  </si>
  <si>
    <t>Tabica vertical en canvi de nivell de fals sostre continu, mitjançant plaques de guix laminat rebudes amb pasta d'unió, per tancar un espai de 20 cm d'altura. Inclús tall, fixació amb pasta d'unió, pasta segelladora i cinta de juntes.
Inclou: Replanteig i traçat en els paraments de la situació de la tapa. Presentació i tall de les peces. Estesa de la pasta d'aferrament. Fixació de les plaques. Resolució de trobades i punts singulars. Tractament de junts.
Criteri d'amidament de projecte: Longitud mesurada segons documentació gràfica de Projecte.
Criteri de mesura d'obra: Es mesurarà la longitud realment executada segons especificacions de Projecte.</t>
  </si>
  <si>
    <t>Uts.</t>
  </si>
  <si>
    <t>Llargada</t>
  </si>
  <si>
    <t>Parcial</t>
  </si>
  <si>
    <t>Subtotal</t>
  </si>
  <si>
    <t>A*B</t>
  </si>
  <si>
    <t>Fosejat per iluminació a passadís</t>
  </si>
  <si>
    <t>A*B</t>
  </si>
  <si>
    <t>FBY010</t>
  </si>
  <si>
    <t>Partida</t>
  </si>
  <si>
    <t>m²</t>
  </si>
  <si>
    <t>Envà de plaques de guix laminat. (15+15+48+15+15)/400 (48) LM - (4 normal) . 108 mm</t>
  </si>
  <si>
    <t>Envà múltiple (15+15+48+15+15)/400 (48) LM - (4 normal), amb plaques de guix laminat, de 93 mm de gruix total, amb nivell de qualitat de l'acabat estàndard (Q2), format per una estructura simple de perfils de xapa d'acer galvanitzat de 48 mm d'amplada, a base de muntants (elements verticals) separats 400 mm entre si, amb disposició reforçada "H" i canals (elements horitzontals), a la què es cargolen quatre plaques en total (dues plaques tipus normal en cada cara, de 15 mm d'espessor cada placa); aïllament acústic mitjançant panell semirígid de llana mineral, espessor 45 mm, segons UNE-EN 13162, en l'ànima. Inclús banda acústica de dilatació autoadhesiva; fixacions per a l'ancoratge de canals i muntants metàl·lics; cargols per a la fixació de les plaques; cinta de paper amb reforç metàl·lic i pasta i cinta per al tractament de junts.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Col·locació dels plafons de llana mineral entre els muntants. Fixació de les plaques per al tancament de la segona cara de l'envà. Replanteig de les caixes per a allotjament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</si>
  <si>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Uts.</t>
  </si>
  <si>
    <t>Amplada</t>
  </si>
  <si>
    <t>Alçada</t>
  </si>
  <si>
    <t>Parcial</t>
  </si>
  <si>
    <t>Subtotal</t>
  </si>
  <si>
    <t>A*C*D</t>
  </si>
  <si>
    <t>espai polivalent- despatx</t>
  </si>
  <si>
    <t>A*C*D</t>
  </si>
  <si>
    <t>longitudinal passadis espai polivalent + despatx</t>
  </si>
  <si>
    <t>A*C*D</t>
  </si>
  <si>
    <t>Sala reunions/ passadís</t>
  </si>
  <si>
    <t>A*C*D</t>
  </si>
  <si>
    <t>A*C*D</t>
  </si>
  <si>
    <t>Calaixos iluminació passadís</t>
  </si>
  <si>
    <t>A*C*D</t>
  </si>
  <si>
    <t>Acces escala</t>
  </si>
  <si>
    <t>A*C*D</t>
  </si>
  <si>
    <t>Divisoria transversal locals de risc</t>
  </si>
  <si>
    <t>A*C*D</t>
  </si>
  <si>
    <t>Divisoria transversal local de risc/ SAQ</t>
  </si>
  <si>
    <t>A*C*D</t>
  </si>
  <si>
    <t>Divisoria passadis/ locals de risc</t>
  </si>
  <si>
    <t>FBY010b</t>
  </si>
  <si>
    <t>Partida</t>
  </si>
  <si>
    <t>m²</t>
  </si>
  <si>
    <t>Envà de plaques de guix laminat. (15+15+48+15+15)/400 (48) LM - (1 hidrofugat + 3 normal). 108 mm</t>
  </si>
  <si>
    <t>Envà múltiple (15+15+48+15)/400 (48) (1 hidrofugat + 3 normal), amb plaques de guix laminat, de 108 mm de gruix total, amb nivell de qualitat de l'acabat estàndard (Q2), format per una estructura simple de perfils de xapa d'acer galvanitzat de 48 mm d'amplada, a base de muntants (elements verticals) separats 400 mm entre si, amb disposició reforçada "H" i canals (elements horitzontals), a la què es cargolen quatre plaques en total (una placa tipus hidrofugat en una cara, de 15 mm d'espessor i una placa tipus normal de 15 mm d'espessor en l'altra cara) aïllament acústic mitjançant panell semirígid de llana mineral, espessor 45 mm, segons UNE-EN 13162, en l'ànima. Inclús banda acústica de dilatació autoadhesiva; fixacions per a l'ancoratge de canals i muntants metàl·lics; cargols per a la fixació de les plaques; cinta de paper amb reforç metàl·lic i pasta i cinta per al tractament de junts.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Col·locació dels plafons de llana mineral entre els muntants. Fixació de les plaques per al tancament de la segona cara de l'envà. Replanteig de les caixes per a allotjament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</si>
  <si>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Uts.</t>
  </si>
  <si>
    <t>Amplada</t>
  </si>
  <si>
    <t>Alçada</t>
  </si>
  <si>
    <t>Parcial</t>
  </si>
  <si>
    <t>Subtotal</t>
  </si>
  <si>
    <t>A*C*D</t>
  </si>
  <si>
    <t>Lateral bany</t>
  </si>
  <si>
    <t>A*C*D</t>
  </si>
  <si>
    <t>Frontal bany</t>
  </si>
  <si>
    <t>A*C*D</t>
  </si>
  <si>
    <t>despatx - laboratori 1</t>
  </si>
  <si>
    <t>A*C*D</t>
  </si>
  <si>
    <t>laboratori 1 - local de risc 2</t>
  </si>
  <si>
    <t>A*C*D</t>
  </si>
  <si>
    <t>laterals rampa evacuació</t>
  </si>
  <si>
    <t>A*C*D</t>
  </si>
  <si>
    <t>laboratori 2 - passadís</t>
  </si>
  <si>
    <t>A*C*D</t>
  </si>
  <si>
    <t>laboratori 3 - passadís</t>
  </si>
  <si>
    <t>A*C*D</t>
  </si>
  <si>
    <t>laboratori 1- passadis</t>
  </si>
  <si>
    <t>A*C*D</t>
  </si>
  <si>
    <t>equips - sala de reunions</t>
  </si>
  <si>
    <t>A*C*D</t>
  </si>
  <si>
    <t>equips -  passadís</t>
  </si>
  <si>
    <t>A*C*D</t>
  </si>
  <si>
    <t>Calaixos iluminació passadís</t>
  </si>
  <si>
    <t>FBY010d</t>
  </si>
  <si>
    <t>Partida</t>
  </si>
  <si>
    <t>m²</t>
  </si>
  <si>
    <t>Envà de plaques de guix laminat (15+15+48+15+15)/400 (48) LM - (2 hidrofugat + 2 normal). 108mm</t>
  </si>
  <si>
    <t>Envà múltiple (15+15+48+15+15)/400 (48) LM - (2 hidrofugat + 2 normal), amb plaques de guix laminat, de 108 mm de gruix total, amb nivell de qualitat de l'acabat estàndard (Q2), format per una estructura simple de perfils de xapa d'acer galvanitzat de 48 mm d'amplada, a base de muntants (elements verticals) separats 400 mm entre si, amb disposició reforçada "H" i canals (elements horitzontals), a la què es cargolen quatre plaques en total (una placa normal i una hidrofuga plaques tipus normal en cada cara, de 15 mm d'espessor cada placa); aïllament acústic mitjançant panell semirígid de llana mineral, espessor 45 mm, segons UNE-EN 13162, en l'ànima. Inclús banda acústica de dilatació autoadhesiva; fixacions per a l'ancoratge de canals i muntants metàl·lics; cargols per a la fixació de les plaques; cinta de paper amb reforç metàl·lic i pasta i cinta per al tractament de junts.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Col·locació dels plafons de llana mineral entre els muntants. Fixació de les plaques per al tancament de la segona cara de l'envà. Replanteig de les caixes per a allotjament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</si>
  <si>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Uts.</t>
  </si>
  <si>
    <t>Amplada</t>
  </si>
  <si>
    <t>Alçada</t>
  </si>
  <si>
    <t>Parcial</t>
  </si>
  <si>
    <t>Subtotal</t>
  </si>
  <si>
    <t>A*C*D</t>
  </si>
  <si>
    <t>laterals equips 1</t>
  </si>
  <si>
    <t>A*C*D</t>
  </si>
  <si>
    <t>Lateral bany</t>
  </si>
  <si>
    <t>07</t>
  </si>
  <si>
    <t>08</t>
  </si>
  <si>
    <t>Capítol</t>
  </si>
  <si>
    <t>FUSTERIA INTERIOR</t>
  </si>
  <si>
    <t>LTM010</t>
  </si>
  <si>
    <t>Partida</t>
  </si>
  <si>
    <t>U</t>
  </si>
  <si>
    <t>Block de porta interior tècnica abatible, ARLEX, en edifici d'ús públic. 80+40 x 265</t>
  </si>
  <si>
    <t>PORTA  BATENT AMB MELAMINA DE LA CASA ARLEX (EAF8JB79) ORTA BATENT TIPUS "ARLEX" DE MELAMINA, DE 80 + 40  de  2,65 d'alçada , MUNTANTS AMB ALUMINI ANODITZAT, FRONTISES EXTREMES, PANY i TANCAMENT "ELITE.  Inclús pomel·les, maneta i pany d'acer inoxidable, accessoris, ferraments de penjar i escuma de poliuretà per a reomplert de la folgança entre bastiment de base i bloc de porta de miním 40mm de gruix.
Inclou: Neteja del bastiment de base ja instal·lat. Allotjament i calçat del block de porta en el bastiment de base. Fixació del block de porta al bastiment de base. Reomplert de la folgança entre bastiment de base i block de porta amb escuma de poliuretà. Col·locació de ferraments de tancament i accessoris.
Criteri d'amidament de projecte: Nombre d'unitats previstes, segons documentació gràfica de Projecte.
Criteri de mesura d'obra: Es mesurarà el nombre d'unitats realment executades segons especificacions de Projecte.</t>
  </si>
  <si>
    <t>Uts.</t>
  </si>
  <si>
    <t>Parcial</t>
  </si>
  <si>
    <t>Subtotal</t>
  </si>
  <si>
    <t>A</t>
  </si>
  <si>
    <t>espai polivalent</t>
  </si>
  <si>
    <t>A</t>
  </si>
  <si>
    <t>despatx</t>
  </si>
  <si>
    <t>A</t>
  </si>
  <si>
    <t>sala de reunions</t>
  </si>
  <si>
    <t>LTM010d</t>
  </si>
  <si>
    <t>Partida</t>
  </si>
  <si>
    <t>U</t>
  </si>
  <si>
    <t>Block de porta interior tècnica abatible, ARLEX, en edifici d'ús públic. 90+50 x 265</t>
  </si>
  <si>
    <t>PORTA  BATENT AMB MELAMINA DE LA CASA ARLEX (EAF8JB79) ORTA BATENT TIPUS "ARLEX" DE MELAMINA, DE 90 + 50  de  2,65m d'alçada , MUNTANTS AMB ALUMINI ANODITZAT, FRONTISES EXTREMES, PANY i TANCAMENT "ELITE.  Inclús pomel·les, maneta i pany d'acer inoxidable, accessoris, ferraments de penjar i escuma de poliuretà per a reomplert de la folgança entre bastiment de base i bloc de porta de miním 40mm de gruix.
Inclou: Neteja del bastiment de base ja instal·lat. Allotjament i calçat del block de porta en el bastiment de base. Fixació del block de porta al bastiment de base. Reomplert de la folgança entre bastiment de base i block de porta amb escuma de poliuretà. Col·locació de ferraments de tancament i accessoris.
Criteri d'amidament de projecte: Nombre d'unitats previstes, segons documentació gràfica de Projecte.
Criteri de mesura d'obra: Es mesurarà el nombre d'unitats realment executades segons especificacions de Projecte.</t>
  </si>
  <si>
    <t>Uts.</t>
  </si>
  <si>
    <t>Parcial</t>
  </si>
  <si>
    <t>Subtotal</t>
  </si>
  <si>
    <t>A</t>
  </si>
  <si>
    <t>laboratori 1</t>
  </si>
  <si>
    <t>A</t>
  </si>
  <si>
    <t>laboratori 2</t>
  </si>
  <si>
    <t>A</t>
  </si>
  <si>
    <t>laboratori 3</t>
  </si>
  <si>
    <t>A</t>
  </si>
  <si>
    <t>equips</t>
  </si>
  <si>
    <t>LTM010b</t>
  </si>
  <si>
    <t>Partida</t>
  </si>
  <si>
    <t>U</t>
  </si>
  <si>
    <t>Block de porta interior tècnica abatible, ARLEX, en edifici d'ús públic. 90 x 265</t>
  </si>
  <si>
    <t>PORTA  BATENT AMB MELAMINA DE LA CASA ARLEX (EAF8JB79) ORTA BATENT TIPUS "ARLEX" DE MELAMINA, DE 90  2,65m. ALÇADA, MUNTANTS AMB ALUMINI ANODITZAT, FRONTISES EXTREMES, PANY i TANCAMENT "ELITE.  Inclús pomel·les, maneta i pany d'acer inoxidable, accessoris, ferraments de penjar i escuma de poliuretà per a reomplert de la folgança entre bastiment de base i bloc de porta de miním 40mm de gruix. Condena de la mateixa gamma que'ls herratges.
Inclou: Col·locació del bastiment base. Allotjament i calçat del block de porta en el bastiment de base. Fixació del block de porta al bastiment de base. Reomplert de la folgança entre bastiment de base i block de porta amb escuma de poliuretà. Col·locació de ferraments de tancament i accessoris.
Criteri d'amidament de projecte: Nombre d'unitats previstes, segons documentació gràfica de Projecte.
Criteri de mesura d'obra: Es mesurarà el nombre d'unitats realment executades segons especificacions de Projecte.</t>
  </si>
  <si>
    <t>Uts.</t>
  </si>
  <si>
    <t>Parcial</t>
  </si>
  <si>
    <t>Subtotal</t>
  </si>
  <si>
    <t>A</t>
  </si>
  <si>
    <t xml:space="preserve">Bany </t>
  </si>
  <si>
    <t>LTM010c</t>
  </si>
  <si>
    <t>Partida</t>
  </si>
  <si>
    <t>m2</t>
  </si>
  <si>
    <t>Block mampara P600, ARLEX, en edifici d'ús públic. 50 x 265</t>
  </si>
  <si>
    <t>MAMPARA  TIPUS P-600 VIDRE, DE LA CASA "ARLEX"(EAQDU239)MAMPARA P-600 VIDRE, "Luxwall Extra -dry"  amb	estructura d'alumini anoditzat	envidramentstadip 6+6 mm. 
Inclou: Colocació del bastiment base. Allotjament i calçat del block de porta en el bastiment de base. Fixació del block de porta al bastiment de base. Reomplert de la folgança entre bastiment de base i block de porta amb escuma de poliuretà. Col·locació de ferraments de tancament i accessoris.
Criteri d'amidament de projecte: Nombre d'unitats previstes, segons documentació gràfica de Projecte.
Criteri de mesura d'obra: Es mesurarà el nombre d'unitats realment executades segons especificacions de Projecte.</t>
  </si>
  <si>
    <t>Uts.</t>
  </si>
  <si>
    <t>Parcial</t>
  </si>
  <si>
    <t>Subtotal</t>
  </si>
  <si>
    <t>A*B*C</t>
  </si>
  <si>
    <t>Laterals porta</t>
  </si>
  <si>
    <t>A*B*C</t>
  </si>
  <si>
    <t>Mampara lampara</t>
  </si>
  <si>
    <t>LFA010b</t>
  </si>
  <si>
    <t>Partida</t>
  </si>
  <si>
    <t>U</t>
  </si>
  <si>
    <t>Porta tallafocs d'acer galvanitzat.70+70x200</t>
  </si>
  <si>
    <t>Porta tallafocs pivotant homologada, EI2 60-C5, de dues fulles de 63 mm d'espessor, 70+70x2000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ambdues fulles provistes de tancaportes per a ús freqüent, selector de tancament per a assegurar l'adequat tancament de les portes, manovella antienganxable per a la cara exterior. Inclús silicona neutra per al segellat dels junts perimetrals.
Inclou: Marcat de punts de fixació i aplomat del cèrcol. Fixació del cèrcol al parament. Segellat de junts perimetrals. Col·locació de la fulla. Col·locació de ferraments de tancament i accessoris.
Criteri d'amidament de projecte: Nombre d'unitats previstes, segons documentació gràfica de Projecte.
Criteri de mesura d'obra: Es mesurarà el nombre d'unitats realment executades segons especificacions de Projecte.</t>
  </si>
  <si>
    <t>Uts.</t>
  </si>
  <si>
    <t>Parcial</t>
  </si>
  <si>
    <t>Subtotal</t>
  </si>
  <si>
    <t>A</t>
  </si>
  <si>
    <t>locals de risc</t>
  </si>
  <si>
    <t>LFA010d</t>
  </si>
  <si>
    <t>Partida</t>
  </si>
  <si>
    <t>U</t>
  </si>
  <si>
    <t>Porta tallafocs d'acer galvanitzat. 70+70x200. Barra antipànic. Electroiman.</t>
  </si>
  <si>
    <t>Porta tallafocs pivotant homologada, EI2 60-C5, de dues fulles de 63 mm d'espessor, 1400x2000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ambdues fulles provistes de tancaportes per a ús freqüent, selector de tancament per a assegurar l'adequat tancament de les portes, barra antipànic, manovella antienganxable per a la cara exterior, electroimant, amb caixa de bornes, polsador i placa d'ancoratge articulada. Inclús silicona neutra per al segellat dels junts perimetrals.
Inclou: Marcat de punts de fixació i aplomat del cèrcol. Fixació del cèrcol al parament. Segellat de junts perimetrals. Col·locació de la fulla. Col·locació de ferraments de tancament i accessoris.
Criteri d'amidament de projecte: Nombre d'unitats previstes, segons documentació gràfica de Projecte.
Criteri de mesura d'obra: Es mesurarà el nombre d'unitats realment executades segons especificacions de Projecte.</t>
  </si>
  <si>
    <t>Uts.</t>
  </si>
  <si>
    <t>Parcial</t>
  </si>
  <si>
    <t>Subtotal</t>
  </si>
  <si>
    <t>A</t>
  </si>
  <si>
    <t>porta vestíbul</t>
  </si>
  <si>
    <t>LFA010c</t>
  </si>
  <si>
    <t>Partida</t>
  </si>
  <si>
    <t>U</t>
  </si>
  <si>
    <t>Porta evacuació d'acer galvanitzat.200x200. Barra antipànic</t>
  </si>
  <si>
    <t>Porta evacuació, de dues fulles 100 mm d'ample i de 63 mm d'espessor, ajustada a buit existent de 2000x2000 mm de llum i altura de pas (aproximadament,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ambdues fulles provistes de tancaportes per a ús freqüent, selector de tancament per a assegurar l'adequat tancament de les portes, barra antipànic, clau i manovella antienganxable per a la cara exterior. Inclús silicona neutra per al segellat dels junts perimetrals.
Inclou: Marcat de punts de fixació i aplomat del cèrcol. Fixació del cèrcol al parament. Segellat de junts perimetrals. Col·locació de la fulla. Col·locació de ferraments de tancament i accessoris.
Criteri d'amidament de projecte: Nombre d'unitats previstes, segons documentació gràfica de Projecte.
Criteri de mesura d'obra: Es mesurarà el nombre d'unitats realment executades segons especificacions de Projecte.</t>
  </si>
  <si>
    <t>LSZ020</t>
  </si>
  <si>
    <t>Partida</t>
  </si>
  <si>
    <t>U</t>
  </si>
  <si>
    <t>Gelosia de lamel·les de fusta. 100x265</t>
  </si>
  <si>
    <t>Gelosia fixa formada per lamel·les fixes de fusta de pi de 100x30 , de 100 cm d'amplada per 265cm d'alçada,  acabat barniçat natural, col·locades en posició verical, enrasades amb el marc compost muntants de fusta 10x3cm. Inclús platines per a fixació mitjançant cargolat en obra de fàbrica amb tacs de niló i cargols d'acer i reforç al fals sostre
Inclou: Replanteig. Presentació i anivellació. Reforç de fals sostreResolució de les unions del marc als paraments. Muntatge d'elements complementaris.
Criteri d'amidament de projecte: Superfície mesurada segons documentació gràfica de Projecte, deduint els buits de superfície major de 3 m².
Criteri de mesura d'obra: Es mesurarà la superfície realment executada segons especificacions de Projecte, deduint els buits de superfície major de 3 m².</t>
  </si>
  <si>
    <t>08</t>
  </si>
  <si>
    <t>09</t>
  </si>
  <si>
    <t>Capítol</t>
  </si>
  <si>
    <t>FUSTERIA EXTERIOR</t>
  </si>
  <si>
    <t>LCL060d</t>
  </si>
  <si>
    <t>Partida</t>
  </si>
  <si>
    <t>U</t>
  </si>
  <si>
    <t>Tipus B' . Fusteria exterior oscilobatet d'alumini 145x140. Vidre BE+CS 4+4/16/3+3. Persiana alumini motor eléctric. Escupidor alumini. Tapiat forat persiana</t>
  </si>
  <si>
    <t>Finestra d'alumini, mantenint els marcs existents, amb trencament de pont tèrmic, fulla oscilobatent, amb obertura cap a l'interior, dimensions 1450x1400 mm, acabat lacat RAL 9006, amb el segell QUALICOAT, que garanteix el gruix i la qualitat del procés de lacat, composta de fulla de 68 mm i marc de 60 mm, rivets, galze, junts d'estanquitat d'EPDM, maneta i ferraments, segons UNE-EN 14351-1; transmitància tèrmica del marc: Uh,m = des de 2,8 W/(m²K); gruix màxim de l'envidriament: 46 mm, amb classificació a la permeabilitat a l'aire classe 4, segons UNE-EN 12207, classificació a l'estanquitat a l'aigua classe E1650, segons UNE-EN 12208, i classificació a la resistència a la força del vent classe C5, segons UNE-EN 12210, sense bastiment de base. Inclús patilles d'ancoratge per a la fixació de la fusteria, segellador adhesiu i silicona neutra per a segellat perimetral dels junts exterior i interior, entre la fusteria i l'obra. Doble envidriament de baixa emissió tèrmica, control solar i seguretat (laminar), 4+4/16/3+3, conjunt format per vidre exterior laminar de baixa emissió tèrmica i control solar 4+4 mm compost per dues llunes de vidre de 4 mm, unides mitjançant una làmina incolor de butiral de polivinil cambra d'aire deshidratada amb perfil separador d'alumini i doble segellat perimetral, de 16 mm, i vidre interior laminar 3+3 mm compost per dues llunes de vidre de 3 mm, unides mitjançant una làmina incolor de butiral de polivinil; espessor total 32 mm, fixat sobre fusteria amb sola mitjançant falques de recolzament perimetrals i laterals, segellat en fred amb silicona sintètica incolora, compatible amb el material suport. Persiana enrotllable de lamel·les d'alumini amb aillament a l'interior, color RAL 9006, equipada amb eix, discos, càpsules i tots els seus accessoris, amb accionament automàtic mitjançant un motor elèctric de 30Nm de força per unitat de persiana. Escopidor de xapa plegada d'alumini lacat en color, amb 60 micres de gruix mínim de pel·lícula seca, espessor 1,5 mm, desenvolupament 200 mm i 3 plecs, amb goteró, encastat en els brancals; col·locació amb adhesiu bituminós d'aplicació en fred; i segellat dels junts entre peces i de les unions amb els murs amb segellador adhesiu monocomponent.  Recobriment superior per tapiar calaix de persiana existent de xapa plegada d'alumini lacat en color, amb 60 micres de gruix mínim de pel·lícula seca, espessor 1,5 mm, desenvolupament 600 mm i 4 plecs, col·locació amb adhesiu bituminós d'aplicació en fred; i segellat dels junts entre peces i de les unions amb els murs amb segellador adhesiu monocomponent
Inclou: Ajust final de les fulles. Segellat perimetral del junt entre la fusteria exterior i el parament. Replanteig del escopidor. Tall de les peces de l'escopidor. Preparació i regularització del suport. Col·locació i fixació de les peces metàl·liques, anivellades i aplomades. Segellat de juntes i neteja. Col·locació, calçat, muntatge i ajustament en la fusteria. Segellat final d'estanquitat. Senyalització de les fulles. Muntatge del sistema d'accionament de la persiana. Colocació de les guies. Connexionat del motor elèctric.
Criteri d'amidament de projecte: Nombre d'unitats previstes, segons documentació gràfica de Projecte.
Criteri de mesura d'obra: Es mesurarà el nombre d'unitats realment executades segons especificacions de Projecte.</t>
  </si>
  <si>
    <t>Uts.</t>
  </si>
  <si>
    <t>-</t>
  </si>
  <si>
    <t>-</t>
  </si>
  <si>
    <t>-</t>
  </si>
  <si>
    <t>Parcial</t>
  </si>
  <si>
    <t>Subtotal</t>
  </si>
  <si>
    <t>A</t>
  </si>
  <si>
    <t>Tipus B</t>
  </si>
  <si>
    <t>LCL060b</t>
  </si>
  <si>
    <t>Partida</t>
  </si>
  <si>
    <t>U</t>
  </si>
  <si>
    <t>Tipus B. Nova porta exterior d'alumini. 90x256. Vidre BE+CS4+4/16/3+3. Amb palanca antipànic</t>
  </si>
  <si>
    <t>Porta d'alumini, gamma mitja, amb trencament de pont tèrmic, fulla practicable, amb palanca antipànic, amb obertura cap a l'exterior, dimensions 90x2560 mm, acabat lacat RAL 9006, amb el segell QUALICOAT, que garanteix el gruix i la qualitat del procés de lacat, composta de fulla de 68 mm i marc de 60 mm, rivets, galze, junts d'estanquitat d'EPDM, ferraments, segons UNE-EN 14351-1; transmitància tèrmica del marc: Uh,m = des de 2,8 W/(m²K); gruix màxim de l'envidriament: 46 mm, amb classificació a la permeabilitat a l'aire classe 4, segons UNE-EN 12207, classificació a l'estanquitat a l'aigua classe E1650, segons UNE-EN 12208, i classificació a la resistència a la força del vent classe C5, segons UNE-EN 12210, amb bastiment de base. Inclús patilles d'ancoratge per a la fixació de la fusteria, segellador adhesiu i silicona neutra per a segellat perimetral dels junts exterior i interior, entre la fusteria i l'obra.Doble envidriament de baixa emissió tèrmica i seguretat (laminar), 4+4/16/3+3, conjunt format per vidre exterior laminar de baixa emissió tèrmica 4+4 mm compost per dues llunes de vidre de 4 mm, unides mitjançant una làmina incolor de butiral de polivinil cambra d'aire deshidratada amb perfil separador d'alumini i doble segellat perimetral, de 16 mm, i vidre interior laminar 3+3 mm compost per dues llunes de vidre de 3 mm, unides mitjançant una làmina incolor de butiral de polivinil; espessor total 32 mm, fixat sobre fusteria amb sola mitjançant falques de recolzament perimetrals i laterals, segellat en fred amb silicona sintètica incolora, compatible amb el material suport.
Inclou: Ajust final de les fulles. Segellat perimetral del junt entre la fusteria exterior i el parament.
Criteri d'amidament de projecte: Nombre d'unitats previstes, segons documentació gràfica de Projecte.
Criteri de mesura d'obra: Es mesurarà el nombre d'unitats realment executades segons especificacions de Projecte.</t>
  </si>
  <si>
    <t>LCL060e</t>
  </si>
  <si>
    <t>Partida</t>
  </si>
  <si>
    <t>U</t>
  </si>
  <si>
    <t>Tipus C. Fusteria exterior corredera d'alumini 310x140. Vidre BE+CS 4+4/16/3+3. Dos persianes alumini amb motors eléctrics.. Tapiat forat persiana</t>
  </si>
  <si>
    <t>Finestra d'alumini, mantenint els marcs existents, amb trencament de pont tèrmic, 2 fulles corredisses, dimensions 3100x1400 mm, acabat lacat RAL 9006, dos punts de tancament, amb el segell QUALICOAT, que garanteix el gruix i la qualitat del procés de lacat, composta de fulla de 68 mm i marc de 60 mm, rivets, galze, junts d'estanquitat d'EPDM, maneta i ferraments, segons UNE-EN 14351-1; transmitància tèrmica del marc: Uh,m = des de 2,8 W/(m²K); gruix màxim de l'envidriament: 46 mm, amb classificació a la permeabilitat a l'aire classe 4, segons UNE-EN 12207, classificació a l'estanquitat a l'aigua classe E1650, segons UNE-EN 12208, i classificació a la resistència a la força del vent classe C5, segons UNE-EN 12210, sense bastiment de base. Inclús patilles d'ancoratge per a la fixació de la fusteria, segellador adhesiu i silicona neutra per a segellat perimetral dels junts exterior i interior, entre la fusteria i l'obra. Inclou tapiat de calaix de persiana existent. Doble envidriament de baixa emissió tèrmica, control solar i seguretat (laminar), 4+4/16/3+3, conjunt format per vidre exterior laminar de baixa emissió i control solar 4+4 mm compost per dues llunes de vidre de 4 mm, unides mitjançant una làmina incolor de butiral de polivinil cambra d'aire deshidratada amb perfil separador d'alumini i doble segellat perimetral, de 16 mm, i vidre interior laminar 3+3 mm compost per dues llunes de vidre de 3 mm, unides mitjançant una làmina incolor de butiral de polivinil; espessor total 32 mm, fixat sobre fusteria amb sola mitjançant falques de recolzament perimetrals i laterals, segellat en fred amb silicona sintètica incolora, compatible amb el material suport. Dos unitats de persiana enrotllable de lamel·les d'alumini amb aillament a l'interior, color RAL 9006, equipada amb eix, discos, càpsules i tots els seus accessoris, amb accionament automàtic mitjançant un motor elèctric de 30Nm de força per unitat de persiana (2 unitats). Recobriment superior per tapiar calaix de persiana existent de xapa plegada d'alumini lacat en color, amb 60 micres de gruix mínim de pel·lícula seca, espessor 1,5 mm, desenvolupament 600 mm i 4 plecs, col·locació amb adhesiu bituminós d'aplicació en fred; i segellat dels junts entre peces i de les unions amb els murs amb segellador adhesiu monocomponent
Inclou: Ajust final de les fulles. Segellat perimetral del junt entre la fusteria exterior i el parament. Replanteig del escopidor. Tall de les peces de l'escopidor. Preparació i regularització del suport. Col·locació i fixació de les peces metàl·liques, anivellades i aplomades. Segellat de juntes i neteja. Col·locació, calçat, muntatge i ajustament en la fusteria. Segellat final d'estanquitat. Senyalització de les fulles. Muntatge del sistema d'accionament de la persiana. Colocació de les guies. Connexionat del motor elèctric.
Criteri d'amidament de projecte: Nombre d'unitats previstes, segons documentació gràfica de Projecte.
Criteri de mesura d'obra: Es mesurarà el nombre d'unitats realment executades segons especificacions de Projecte.</t>
  </si>
  <si>
    <t>Uts.</t>
  </si>
  <si>
    <t>-</t>
  </si>
  <si>
    <t>-</t>
  </si>
  <si>
    <t>-</t>
  </si>
  <si>
    <t>Parcial</t>
  </si>
  <si>
    <t>Subtotal</t>
  </si>
  <si>
    <t>A</t>
  </si>
  <si>
    <t>Tipus C</t>
  </si>
  <si>
    <t>LCL060g</t>
  </si>
  <si>
    <t>Partida</t>
  </si>
  <si>
    <t>U</t>
  </si>
  <si>
    <t>Tipus E . Fusteria exterior oscilobatet d'alumini 160x140. Vidre BE+CS 4+4/16/3+3. Persiana alumini motor eléctric per finestra.  Escupidor alumini. Tapiat forat persiana</t>
  </si>
  <si>
    <t>Finestra d'alumini, mantenint els marcs existents, amb trencament de pont tèrmic, fixe, dimensions 1600x1400 mm, acabat lacat RAL 9006, amb el segell QUALICOAT, que garanteix el gruix i la qualitat del procés de lacat, composta de fulla de 68 mm i marc de 60 mm, rivets, galze, junts d'estanquitat d'EPDM,  segons UNE-EN 14351-1; transmitància tèrmica del marc: Uh,m = des de 2,8 W/(m²K); gruix màxim de l'envidriament: 46 mm, amb classificació a la permeabilitat a l'aire classe 4, segons UNE-EN 12207, classificació a l'estanquitat a l'aigua classe E1650, segons UNE-EN 12208, i classificació a la resistència a la força del vent classe C5, segons UNE-EN 12210, sense bastiment de base. Inclús patilles d'ancoratge per a la fixació de la fusteria, segellador adhesiu i silicona neutra per a segellat perimetral dels junts exterior i interior, entre la fusteria i l'obra. Doble envidriament de baixa emissió tèrmica, control solar i seguretat (laminar), 4+4/16/3+3, conjunt format per vidre exterior laminar de baixa emissió tèrmica i control solar 4+4 mm compost per dues llunes de vidre de 4 mm, unides mitjançant una làmina incolor de butiral de polivinil cambra d'aire deshidratada amb perfil separador d'alumini i doble segellat perimetral, de 16 mm, i vidre interior laminar 3+3 mm compost per dues llunes de vidre de 3 mm, unides mitjançant una làmina incolor de butiral de polivinil; espessor total 32 mm, fixat sobre fusteria amb sola mitjançant falques de recolzament perimetrals i laterals, segellat en fred amb silicona sintètica incolora, compatible amb el material suport. Persiana enrotllable de lamel·les d'alumini amb aillament a l'interior, color RAL 9006, equipada amb eix, discos, càpsules i tots els seus accessoris, amb accionament automàtic mitjançant un motor elèctric de 30Nm de força per unitat de persiana. Escopidor de xapa plegada d'alumini lacat en color, amb 60 micres de gruix mínim de pel·lícula seca, espessor 1,5 mm, desenvolupament 200 mm i 3 plecs, amb goteró, encastat en els brancals; col·locació amb adhesiu bituminós d'aplicació en fred; i segellat dels junts entre peces i de les unions amb els murs amb segellador adhesiu monocomponent.  Recobriment superior per tapiar calaix de persiana existent de xapa plegada d'alumini lacat en color, amb 60 micres de gruix mínim de pel·lícula seca, espessor 1,5 mm, desenvolupament 600 mm i 4 plecs, col·locació amb adhesiu bituminós d'aplicació en fred; i segellat dels junts entre peces i de les unions amb els murs amb segellador adhesiu monocomponent
Inclou: Ajust final de les fulles. Segellat perimetral del junt entre la fusteria exterior i el parament. Replanteig del escopidor. Tall de les peces de l'escopidor. Preparació i regularització del suport. Col·locació i fixació de les peces metàl·liques, anivellades i aplomades. Segellat de juntes i neteja. Col·locació, calçat, muntatge i ajustament en la fusteria. Segellat final d'estanquitat. Senyalització de les fulles. Muntatge del sistema d'accionament de la persiana. Colocació de les guies. Connexionat del motor elèctric.
Criteri d'amidament de projecte: Nombre d'unitats previstes, segons documentació gràfica de Projecte.
Criteri de mesura d'obra: Es mesurarà el nombre d'unitats realment executades segons especificacions de Projecte.</t>
  </si>
  <si>
    <t>Uts.</t>
  </si>
  <si>
    <t>-</t>
  </si>
  <si>
    <t>-</t>
  </si>
  <si>
    <t>-</t>
  </si>
  <si>
    <t>Parcial</t>
  </si>
  <si>
    <t>Subtotal</t>
  </si>
  <si>
    <t>A</t>
  </si>
  <si>
    <t>Tipus E</t>
  </si>
  <si>
    <t>LCL060h</t>
  </si>
  <si>
    <t>Partida</t>
  </si>
  <si>
    <t>U</t>
  </si>
  <si>
    <t>Tipus F . Conjunt fusteria exterior doble oscilobatet d'alumini 310x140. Vidre BE+CS 4+4/16/3+3. Tapeta 10cm intermitja. Dos persianes alumini amb motors eléctrics. Tapiat forat persiana</t>
  </si>
  <si>
    <t>Conjunt de Finestra d'alumini, mantenint els marcs existents, amb trencament de pont tèrmic, dos fulles oscilobatent, amb obertura cap a l'interior, dimensions totals 3100x1400 mm, acabat lacat RAL 9006, amb el segell QUALICOAT, que garanteix el gruix i la qualitat del procés de lacat, composta de fulla de 68 mm i marc de 60 mm, rivets, galze, junts d'estanquitat d'EPDM, maneta i ferraments, segons UNE-EN 14351-1; transmitància tèrmica del marc: Uh,m = des de 2,8 W/(m²K); gruix màxim de l'envidriament: 46 mm, amb classificació a la permeabilitat a l'aire classe 4, segons UNE-EN 12207, classificació a l'estanquitat a l'aigua classe E1650, segons UNE-EN 12208, i classificació a la resistència a la força del vent classe C5, segons UNE-EN 12210, sense bastiment de base. Inclús patilles d'ancoratge per a la fixació de la fusteria, segellador adhesiu i silicona neutra per a segellat perimetral dels junts exterior i interior, entre la fusteria i l'obra. Doble envidriament de baixa emissió tèrmica, control solar i seguretat (laminar), 4+4/16/3+3, conjunt format per vidre exterior laminar de baixa emissió i control solar 4+4 mm compost per dues llunes de vidre de 4 mm, unides mitjançant una làmina incolor de butiral de polivinil cambra d'aire deshidratada amb perfil separador d'alumini i doble segellat perimetral, de 16 mm, i vidre interior laminar 3+3 mm compost per dues llunes de vidre de 3 mm, unides mitjançant una làmina incolor de butiral de polivinil; espessor total 32 mm, fixat sobre fusteria amb sola mitjançant falques de recolzament perimetrals i laterals, segellat en fred amb silicona sintètica incolora, compatible amb el material suport. Dos unitats de persiana enrotllable de lamel·les d'alumini amb aillament a l'interior, color RAL 9006, equipada amb eix, discos, càpsules i tots els seus accessoris, amb accionament automàtic mitjançant un motor elèctric de 30Nm de força per unitat de persiana (2 unitats). Remat intemig per recepció d'enva interior. Recobriment superior per tapiar calaix de persiana existent de xapa plegada d'alumini lacat en color, amb 60 micres de gruix mínim de pel·lícula seca, espessor 1,5 mm, desenvolupament 600 mm i 4 plecs, col·locació amb adhesiu bituminós d'aplicació en fred; i segellat dels junts entre peces i de les unions amb els murs amb segellador adhesiu monocomponent
Inclou: Ajust final de les fulles. Segellat perimetral del junt entre la fusteria exterior i el parament. Replanteig del escopidor. Tall de les peces de l'escopidor. Preparació i regularització del suport. Col·locació i fixació de les peces metàl·liques, anivellades i aplomades. Segellat de juntes i neteja. Col·locació, calçat, muntatge i ajustament en la fusteria. Segellat final d'estanquitat. Senyalització de les fulles. Muntatge del sistema d'accionament de la persiana. Colocació de les guies. Connexionat del motor elèctric.
Criteri d'amidament de projecte: Nombre d'unitats previstes, segons documentació gràfica de Projecte.
Criteri de mesura d'obra: Es mesurarà el nombre d'unitats realment executades segons especificacions de Projecte.</t>
  </si>
  <si>
    <t>Uts.</t>
  </si>
  <si>
    <t>-</t>
  </si>
  <si>
    <t>-</t>
  </si>
  <si>
    <t>-</t>
  </si>
  <si>
    <t>Parcial</t>
  </si>
  <si>
    <t>Subtotal</t>
  </si>
  <si>
    <t>A</t>
  </si>
  <si>
    <t>Tipus F</t>
  </si>
  <si>
    <t>LCL060c</t>
  </si>
  <si>
    <t>Partida</t>
  </si>
  <si>
    <t>U</t>
  </si>
  <si>
    <t>FIXE . Fixe 160x140. Vidre 4+4/16/3+3. Translucid. Escupidor alumini. Tapiat forat persiana</t>
  </si>
  <si>
    <t>Fixe d'alumini, mantenint els marcs existents, amb trencament de pont tèrmic, fixe, dimensions 1600x1400 mm, acabat lacat RAL 9006, amb el segell QUALICOAT, que garanteix el gruix i la qualitat del procés de lacat, composta de fulla de 68 mm i marc de 60 mm, rivets, galze, junts d'estanquitat d'EPDM,  segons UNE-EN 14351-1; transmitància tèrmica del marc: Uh,m = des de 2,8 W/(m²K); gruix màxim de l'envidriament: 46 mm, amb classificació a la permeabilitat a l'aire classe 4, segons UNE-EN 12207, classificació a l'estanquitat a l'aigua classe E1650, segons UNE-EN 12208, i classificació a la resistència a la força del vent classe C5, segons UNE-EN 12210, sense bastiment de base. Inclús patilles d'ancoratge per a la fixació de la fusteria, segellador adhesiu i silicona neutra per a segellat perimetral dels junts exterior i interior, entre la fusteria i l'obra. Doble envidriament de baixa emissió tèrmica i seguretat (laminar), 4+4/16/3+3, trasnlucid, conjunt format per vidre exterior laminar de baixa emissió tèrmica 4+4 mm compost per dues llunes de vidre de 4 mm, unides mitjançant una làmina incolor de butiral de polivinil cambra d'aire deshidratada amb perfil separador d'alumini i doble segellat perimetral, de 16 mm, i vidre interior laminar 3+3 mm compost per dues llunes de vidre de 3 mm, unides mitjançant una làmina incolor de butiral de polivinil; espessor total 32 mm, fixat sobre fusteria amb sola mitjançant falques de recolzament perimetrals i laterals, segellat en fred amb silicona sintètica incolora, compatible amb el material suport. Escopidor de xapa plegada d'alumini lacat en color, amb 60 micres de gruix mínim de pel·lícula seca, espessor 1,5 mm, desenvolupament 200 mm i 3 plecs, amb goteró, encastat en els brancals; col·locació amb adhesiu bituminós d'aplicació en fred; i segellat dels junts entre peces i de les unions amb els murs amb segellador adhesiu monocomponent.  Recobriment superior per tapiar calaix de persiana existent de xapa plegada d'alumini lacat en color, amb 60 micres de gruix mínim de pel·lícula seca, espessor 1,5 mm, desenvolupament 600 mm i 4 plecs, col·locació amb adhesiu bituminós d'aplicació en fred; i segellat dels junts entre peces i de les unions amb els murs amb segellador adhesiu monocomponent
Inclou: Ajust final de les fulles. Segellat perimetral del junt entre la fusteria exterior i el parament. Replanteig del escopidor. Tall de les peces de l'escopidor. Preparació i regularització del suport. Col·locació i fixació de les peces metàl·liques, anivellades i aplomades. Segellat de juntes i neteja. Col·locació, calçat, muntatge i ajustament en la fusteria. Segellat final d'estanquitat. Senyalització de les fulles.
Criteri d'amidament de projecte: Nombre d'unitats previstes, segons documentació gràfica de Projecte.
Criteri de mesura d'obra: Es mesurarà el nombre d'unitats realment executades segons especificacions de Projecte.</t>
  </si>
  <si>
    <t>Uts.</t>
  </si>
  <si>
    <t>-</t>
  </si>
  <si>
    <t>-</t>
  </si>
  <si>
    <t>-</t>
  </si>
  <si>
    <t>Parcial</t>
  </si>
  <si>
    <t>Subtotal</t>
  </si>
  <si>
    <t>A</t>
  </si>
  <si>
    <t>Fixe</t>
  </si>
  <si>
    <t>09</t>
  </si>
  <si>
    <t>10</t>
  </si>
  <si>
    <t>Capítol</t>
  </si>
  <si>
    <t>REVESTIMENTS</t>
  </si>
  <si>
    <t>RIP035</t>
  </si>
  <si>
    <t>Partida</t>
  </si>
  <si>
    <t>m²</t>
  </si>
  <si>
    <t>Pintura plàstica sobre parament interior de guix o plaques de guix laminat vertical.</t>
  </si>
  <si>
    <t>Aplicació manual de dues mans de pintura plàstica, color a escollir, acabat mat, textura llisa, la primera mà diluïda amb un 20% d'aigua i la següent sense diluir, (rendiment: 0,1 l/m² cada mà); prèvia aplicació d'una mà d'emprimació a base de copolímers acrílics en suspensió aquosa, sobre parament interior de guix projectat o plaques de guix laminat, vertical, de fins 3 m d'altura.
Inclou: Preparació del suport. Aplicació d'una mà de fons. Aplicació de dues mans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</si>
  <si>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Sostre</t>
  </si>
  <si>
    <t>Uts.</t>
  </si>
  <si>
    <t>Àrea</t>
  </si>
  <si>
    <t>Parcial</t>
  </si>
  <si>
    <t>Subtotal</t>
  </si>
  <si>
    <t>A*B</t>
  </si>
  <si>
    <t>espai polivalent</t>
  </si>
  <si>
    <t>A*B</t>
  </si>
  <si>
    <t>despatx</t>
  </si>
  <si>
    <t>A*B</t>
  </si>
  <si>
    <t>laboratori 1</t>
  </si>
  <si>
    <t>A*B</t>
  </si>
  <si>
    <t>local de risc 2</t>
  </si>
  <si>
    <t>A*B</t>
  </si>
  <si>
    <t>local de risc 1</t>
  </si>
  <si>
    <t>A*B</t>
  </si>
  <si>
    <t>SAQ</t>
  </si>
  <si>
    <t>A*B</t>
  </si>
  <si>
    <t>Bany</t>
  </si>
  <si>
    <t>A*B</t>
  </si>
  <si>
    <t>passadís</t>
  </si>
  <si>
    <t>A*B</t>
  </si>
  <si>
    <t>laboratori 2</t>
  </si>
  <si>
    <t>A*B</t>
  </si>
  <si>
    <t>laboratori 3</t>
  </si>
  <si>
    <t>A*B</t>
  </si>
  <si>
    <t>equips</t>
  </si>
  <si>
    <t>A*B</t>
  </si>
  <si>
    <t>equips</t>
  </si>
  <si>
    <t>A*B</t>
  </si>
  <si>
    <t>sala de reunions</t>
  </si>
  <si>
    <t>A*B</t>
  </si>
  <si>
    <t>Vestibul</t>
  </si>
  <si>
    <t>parets</t>
  </si>
  <si>
    <t>Uts.</t>
  </si>
  <si>
    <t>Perímetre</t>
  </si>
  <si>
    <t>Amplada</t>
  </si>
  <si>
    <t>Alçada</t>
  </si>
  <si>
    <t>Parcial</t>
  </si>
  <si>
    <t>Subtotal</t>
  </si>
  <si>
    <t>A*B*D</t>
  </si>
  <si>
    <t>Espai polivalent</t>
  </si>
  <si>
    <t>A*B*D</t>
  </si>
  <si>
    <t>Despatx</t>
  </si>
  <si>
    <t>A*B*D</t>
  </si>
  <si>
    <t>Local de risc 2</t>
  </si>
  <si>
    <t>A*B*D</t>
  </si>
  <si>
    <t>Local de risc 1</t>
  </si>
  <si>
    <t>A*B*D</t>
  </si>
  <si>
    <t>SAQ</t>
  </si>
  <si>
    <t>A*B*D</t>
  </si>
  <si>
    <t>Sala reunions</t>
  </si>
  <si>
    <t>A*B*D</t>
  </si>
  <si>
    <t>Passadís 1</t>
  </si>
  <si>
    <t>A*B*D</t>
  </si>
  <si>
    <t>Vestíbul</t>
  </si>
  <si>
    <t>A*B*D</t>
  </si>
  <si>
    <t xml:space="preserve">Bany </t>
  </si>
  <si>
    <t>A*B*D</t>
  </si>
  <si>
    <t>laboratori 1</t>
  </si>
  <si>
    <t>A*B*D</t>
  </si>
  <si>
    <t>laboratori 2</t>
  </si>
  <si>
    <t>A*B*D</t>
  </si>
  <si>
    <t>laboratori 3</t>
  </si>
  <si>
    <t>A*B*D</t>
  </si>
  <si>
    <t>equips</t>
  </si>
  <si>
    <t>A*B*D</t>
  </si>
  <si>
    <t>equips</t>
  </si>
  <si>
    <t>RDM010</t>
  </si>
  <si>
    <t>Partida</t>
  </si>
  <si>
    <t>m²</t>
  </si>
  <si>
    <t>Revestiment mural amb tauler de fusta.</t>
  </si>
  <si>
    <t>Revestiment decoratiu amb tauler aglomerat de partícules, recobert per ambdues cares amb una xapa fina de fusta de roure blanc europeu, de 16 mm d'espessor, clavat a llistons de fusta de 5x5 cm, disposats cada 40 cm, fixació amb cargols a la superfície regularitzada de paraments verticals interiors.
Inclou: Neteja i preparació de la superfície suport. Replanteig de les llates sobre el parament. Fixació de les llates sobre el parament. Tall i preparació del revestiment. Col·locació i fixació del revestiment. Resolució de trobades i punts singulars.
Criteri d'amidament de projecte: Superfície mesurada segons documentació gràfica de Projecte, deduint els buits de superfície major de 2 m².
Criteri de mesura d'obra: Es mesurarà la superfície realment executada segons especificacions de Projecte, deduint els buits de superfície major de 2 m².</t>
  </si>
  <si>
    <t>Uts.</t>
  </si>
  <si>
    <t>Amplada</t>
  </si>
  <si>
    <t>Alçada</t>
  </si>
  <si>
    <t>Parcial</t>
  </si>
  <si>
    <t>Subtotal</t>
  </si>
  <si>
    <t>A*C*D</t>
  </si>
  <si>
    <t>Passadís</t>
  </si>
  <si>
    <t>A*C*D</t>
  </si>
  <si>
    <t>Laterals accés</t>
  </si>
  <si>
    <t>A*C*D</t>
  </si>
  <si>
    <t>Descompte portes</t>
  </si>
  <si>
    <t>A*C*D</t>
  </si>
  <si>
    <t>A*C*D</t>
  </si>
  <si>
    <t>A*C*D</t>
  </si>
  <si>
    <t>A*C*D</t>
  </si>
  <si>
    <t>RDM010b</t>
  </si>
  <si>
    <t>Partida</t>
  </si>
  <si>
    <t>m²</t>
  </si>
  <si>
    <t>Plafonat de portes amb tauler de fusta.</t>
  </si>
  <si>
    <t>Revestiment decoratiu amb tauler aglomerat de partícules, recobert per ambdues cares amb una xapa fina de fusta de roure blanc europeu, de 16 mm d'espessor, clavat a llistons de fusta de 5x5 cm, sobre portes batents interiors. 
Inclou: Neteja i preparació de la superfície suport. Replanteig de les llates sobre el parament. Fixació de les llates sobre el parament. Tall i preparació del revestiment. Col·locació i fixació del revestiment. Resolució de trobades i punts singulars. Ajust de les fusteries en cas de ser necessari.
Criteri d'amidament de projecte: Superfície mesurada segons documentació gràfica de Projecte, deduint els buits de superfície major de 2 m².
Criteri de mesura d'obra: Es mesurarà la superfície realment executada segons especificacions de Projecte, deduint els buits de superfície major de 2 m².</t>
  </si>
  <si>
    <t>Uts.</t>
  </si>
  <si>
    <t>Amplada</t>
  </si>
  <si>
    <t>Alçada</t>
  </si>
  <si>
    <t>Parcial</t>
  </si>
  <si>
    <t>Subtotal</t>
  </si>
  <si>
    <t>A*C*D</t>
  </si>
  <si>
    <t>A*C*D</t>
  </si>
  <si>
    <t>A*C*D</t>
  </si>
  <si>
    <t>RAA030</t>
  </si>
  <si>
    <t>Partida</t>
  </si>
  <si>
    <t>m²</t>
  </si>
  <si>
    <t>Revestiment interior amb peces de gres esmaltat. Col·locació en capa fina.</t>
  </si>
  <si>
    <t>Revestiment interior amb peces de gres esmaltat blanc de pasta vermella, de 200x200 mm, gamma mitja, capacitat d'absorció d'aigua E&lt;3%, grup BIb, segons UNE-EN 14411. SUPORT: parament de plaques de guix laminat, vertical, de fins 3 m d'altura. COL·LOCACIÓ: en capa fina i mitjançant encolat simple amb adhesiu en dispersió normal, D1, segons UNE-EN 12004, REJUNTAT: amb morter de junts cimentós millorat, amb absorció d'aigua reduïda i resistència elevada a l'abrasió tipus CG 2 W A, color blanc, en junts de 3 mm d'espessor. Inclús creuetes de PVC.
Inclou: Preparació de la superfície suport. Replanteig dels nivells, de la disposició de peces i dels junts. Tall i encaixonat de les peces. Preparació i aplicació del material de col·locació. Formació de juntes de moviment. Col·locació de les peces. Rejuntat. Acabat i neteja final.
Criteri d'amidament de projecte: Superfície mesurada segons documentació gràfica de Projecte, deduint els buits de superfície major de 3 m². No s'ha incrementat l'amidament per trencaments i retallades, ja que en la descomposició s'ha considerat un 5% més de peces.
Criteri de mesura d'obra: Es mesurarà la superfície realment executada segons especificacions de Projecte, deduint els buits de superfície major de 3 m².</t>
  </si>
  <si>
    <t>Uts.</t>
  </si>
  <si>
    <t>Longitud</t>
  </si>
  <si>
    <t>Alçada</t>
  </si>
  <si>
    <t>Parcial</t>
  </si>
  <si>
    <t>Subtotal</t>
  </si>
  <si>
    <t>A*B*C</t>
  </si>
  <si>
    <t xml:space="preserve">Bany </t>
  </si>
  <si>
    <t>A*B*C</t>
  </si>
  <si>
    <t>laboratori 1</t>
  </si>
  <si>
    <t>A*B*C</t>
  </si>
  <si>
    <t>laboratori 2</t>
  </si>
  <si>
    <t>A*B*C</t>
  </si>
  <si>
    <t>laboratori 3</t>
  </si>
  <si>
    <t>A*B*C</t>
  </si>
  <si>
    <t>equips</t>
  </si>
  <si>
    <t>A*B*C</t>
  </si>
  <si>
    <t>equips</t>
  </si>
  <si>
    <t>10</t>
  </si>
  <si>
    <t>11</t>
  </si>
  <si>
    <t>Capítol</t>
  </si>
  <si>
    <t>SANITARIS</t>
  </si>
  <si>
    <t>SPI005</t>
  </si>
  <si>
    <t>Partida</t>
  </si>
  <si>
    <t>U</t>
  </si>
  <si>
    <t>Wàter accessible</t>
  </si>
  <si>
    <t>Tassa de vàter accessible segons codi accessibilitat de Catalunya amb sortida per a connexió vertical, de porcellana sanitària, acabat termoesmaltat, color blanc, amb vora de descàrrega, amb cisterna de vàter, de doble descàrrega accessible, amb connexió de subministrament inferior, de porcellana sanitària, acabat termoesmaltat, color blanc i amb seient i tapa de vàter, de Duroplast, color blanc. Inclús silicona per a segellat de junts.
Inclou: Replanteig. Col·locació i fixació de l'aparell. Muntatge del desguàs. Connexió a la xarxa d'evacuació. Muntatge de l'aixeteria. Connexió a la xarxa d'aigua freda. Comprovació del seu correcte funcionament. Segellat de junts.
Criteri d'amidament de projecte: Nombre d'unitats previstes, segons documentació gràfica de Projecte.
Criteri de mesura d'obra: Es mesurarà el nombre d'unitats realment col·locades segons especificacions de Projecte.</t>
  </si>
  <si>
    <t>SPL010</t>
  </si>
  <si>
    <t>Partida</t>
  </si>
  <si>
    <t>U</t>
  </si>
  <si>
    <t>Lavabo mural accessible amb aixeta</t>
  </si>
  <si>
    <t>Lavabo de porcellana sanitària, mural, d'altura fixa, equipat amb aixeta de monocomandament amb broc extraïble d'accionament per palanca, cos de llautó cromat i flexible de 1,25 m de longitud, instal·lat sobre mènsules fixades a bastidor metàl·lic regulable, d'acer pintat amb polièster, encastat a mur de fàbrica o a envà de plaques de guix, de 495 mm d'amplada i 1120 a 1320 mm d'altura. Inclús vàlvula de desguàs, sifó individual cromat i mènsules de fixació i silicona per a segellat de junts.
Inclou: Replanteig. Col·locació i fixació del bastidor. Col·locació i fixació de l'aparell. Muntatge del desguàs. Connexió a la xarxa d'evacuació. Muntatge de l'aixeteria. Connexió a les xarxes d'aigua freda i calenta. Comprovació del seu correcte funcionament. Segellat de junts.
Criteri d'amidament de projecte: Nombre d'unitats previstes, segons documentació gràfica de Projecte.
Criteri de mesura d'obra: Es mesurarà el nombre d'unitats realment col·locades segons especificacions de Projecte.</t>
  </si>
  <si>
    <t>SPA020</t>
  </si>
  <si>
    <t>Partida</t>
  </si>
  <si>
    <t>U</t>
  </si>
  <si>
    <t>Barra de subjecció per a minusvàlids, rehabilitació i tercera edat.</t>
  </si>
  <si>
    <t>Barra de subjecció per a minusvàlids, rehabilitació i tercera edat, per a inodor, col·locada en paret, abatible, amb forma d'U, d'acer inoxidable AISI 304 acabat mat, de dimensions totals 790x130 mm amb tub de 33 mm de diàmetre exterior i 1,5 mm de gruix, amb porta-rotlles de paper higiènic. Inclús elements de fixació.
Inclou: Replanteig i traçat en el parament de la situació de la barra. Col·locació, anivellació i fixació dels elements de suport. Neteja de l'element.
Criteri d'amidament de projecte: Nombre d'unitats previstes, segons documentació gràfica de Projecte.
Criteri de mesura d'obra: Es mesurarà el nombre d'unitats realment col·locades segons especificacions de Projecte.</t>
  </si>
  <si>
    <t>SMA040</t>
  </si>
  <si>
    <t>Partida</t>
  </si>
  <si>
    <t>U</t>
  </si>
  <si>
    <t>Porta-rotlles per a bany.</t>
  </si>
  <si>
    <t>Porta-rotlles de paper higiènic, domèstic, d'acer inoxidable AISI 304, acabat cromat, de 132x132x80 mm. Fixació al suport amb les subjeccions subministrades pel fabricant.
Inclou: Replanteig. Col·locació i fixació.
Criteri d'amidament de projecte: Nombre d'unitats previstes, segons documentació gràfica de Projecte.
Criteri de mesura d'obra: Es mesurarà el nombre d'unitats realment col·locades segons especificacions de Projecte.</t>
  </si>
  <si>
    <t>SMA050</t>
  </si>
  <si>
    <t>Partida</t>
  </si>
  <si>
    <t>U</t>
  </si>
  <si>
    <t>Penjador per a bany.</t>
  </si>
  <si>
    <t>Penjador per a bany, simple, d'acer inoxidable AISI 304, acabat setinat. Fixació al suport amb les subjeccions subministrades pel fabricant.
Inclou: Replanteig. Col·locació i fixació.
Criteri d'amidament de projecte: Nombre d'unitats previstes, segons documentació gràfica de Projecte.
Criteri de mesura d'obra: Es mesurarà el nombre d'unitats realment col·locades segons especificacions de Projecte.</t>
  </si>
  <si>
    <t>SMB010</t>
  </si>
  <si>
    <t>Partida</t>
  </si>
  <si>
    <t>U</t>
  </si>
  <si>
    <t>Assecador de mans.</t>
  </si>
  <si>
    <t>Eixugamans elèctric, de 1600 W de potència calorífica, amb carcassa d'acer inoxidable, amb interruptor òptic per aproximació de les mans amb 1' de temps màxim de funcionament, de 225x160x282 mm. Inclús elements de fixació.
Inclou: Replanteig. Col·locació i fixació. Connexió a la xarxa elèctrica. Comprovació del seu correcte funcionament.
Criteri d'amidament de projecte: Nombre d'unitats previstes, segons documentació gràfica de Projecte.
Criteri de mesura d'obra: Es mesurarà el nombre d'unitats realment col·locades segons especificacions de Projecte.</t>
  </si>
  <si>
    <t>SMA032</t>
  </si>
  <si>
    <t>Partida</t>
  </si>
  <si>
    <t>U</t>
  </si>
  <si>
    <t>Portaescombreta per a bany.</t>
  </si>
  <si>
    <t>Portaescombreta de paret, per a bany, d'acer inoxidable AISI 304, acabat setinat, amb suport mural, amb sistema de tancament mitjançant pressió. Fixació al suport amb les subjeccions subministrades pel fabricant.
Inclou: Replanteig. Col·locació i fixació.
Criteri d'amidament de projecte: Nombre d'unitats previstes, segons documentació gràfica de Projecte.
Criteri de mesura d'obra: Es mesurarà el nombre d'unitats realment col·locades segons especificacions de Projecte.</t>
  </si>
  <si>
    <t>SMH010</t>
  </si>
  <si>
    <t>Partida</t>
  </si>
  <si>
    <t>U</t>
  </si>
  <si>
    <t>Paperera higiènica.</t>
  </si>
  <si>
    <t>Paperera higiènica, de 3 litres de capacitat, d'acer inoxidable AISI 430, amb pedal d'obertura de tapa, de 270 mm d'altura i 170 mm de diàmetre.
Criteri d'amidament de projecte: Nombre d'unitats previstes, segons documentació gràfica de Projecte.
Criteri de mesura d'obra: Es mesurarà el nombre d'unitats realment col·locades segons especificacions de Projecte.</t>
  </si>
  <si>
    <t>RVE010</t>
  </si>
  <si>
    <t>Partida</t>
  </si>
  <si>
    <t>U</t>
  </si>
  <si>
    <t>Mirall 600X1100</t>
  </si>
  <si>
    <t>Mirall incolor, de 600x1100 mm i 5 mm de gruix, amb cantejat perimetral i protegit amb pintura de color plata en la seva cara posterior, fixat amb massilla al parament.
Inclou: Neteja i preparació del suport. Col·locació del mirall. Neteja final.
Criteri d'amidament de projecte: Superfície mesurada segons documentació gràfica de Projecte.
Criteri de mesura d'obra: Es mesurarà la superfície realment executada segons especificacions de Projecte.</t>
  </si>
  <si>
    <t>11</t>
  </si>
  <si>
    <t>12</t>
  </si>
  <si>
    <t>Capítol</t>
  </si>
  <si>
    <t>VARIS</t>
  </si>
  <si>
    <t>HYA999</t>
  </si>
  <si>
    <t>Partida</t>
  </si>
  <si>
    <t>PA</t>
  </si>
  <si>
    <t>Ajudes de paleta per a execució d'instal·lacions.</t>
  </si>
  <si>
    <t>Repercussió per m² de superfície construïda d'obra, d'ajudes de qualsevol treball de ram de paleta, necessàries per a la correcta execució de les diferents instal·lacións, electriques, telecomunicacions, climatització, fontaneria, sanejament, ventilació y d'ascensors , inclosa p/p d'elements comuns.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Segellat de forats i buits de pas d'instal·lacions.
Criteri d'amidament de projecte: Superfície construïda, mesurada segons documentació gràfica de Projecte.
Criteri de mesura d'obra: Es mesurarà la superfície realment executada segons especificacions de Projecte.</t>
  </si>
  <si>
    <t>HYL020</t>
  </si>
  <si>
    <t>Partida</t>
  </si>
  <si>
    <t>U</t>
  </si>
  <si>
    <t>Neteja final d'obra.</t>
  </si>
  <si>
    <t>Neteja final d'obra en edifici docent, amb una superfície construïda aproximada de 500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
Inclou: Treballs de neteja. Retirada i apilament de les restes generades. Càrrega manual de les restes generades sobre camió o contenidor.
Criteri d'amidament de projecte: Nombre d'unitats previstes, segons documentació gràfica de Projecte.
Criteri de mesura d'obra: Es mesurarà el nombre d'unitats realment executades segons especificacions de Projecte.</t>
  </si>
  <si>
    <t>12</t>
  </si>
  <si>
    <t>13</t>
  </si>
  <si>
    <t>Capítol</t>
  </si>
  <si>
    <t>SEGURETAT I SALUD</t>
  </si>
  <si>
    <t>YCX010</t>
  </si>
  <si>
    <t>Partida</t>
  </si>
  <si>
    <t>U</t>
  </si>
  <si>
    <t>Conjunt de sistemes de protecció col·lectiva, equips de protecció individual, señalització i altres elements inclosos al Estudi de Seguretat i Salud</t>
  </si>
  <si>
    <t>Conjunt de sistemes de protecció col·lectiva, necessaris per al compliment de la normativa vigent en matèria de Seguretat i Salut en el Treball. Inclús manteniment en condicions segures durant tot el període de temps que es requereixi, reparació o reposició i transport fins al lloc d'emmagatzematge o retirada a contenidor.</t>
  </si>
  <si>
    <t>13</t>
  </si>
  <si>
    <t>14</t>
  </si>
  <si>
    <t>Capítol</t>
  </si>
  <si>
    <t>EXTERIORS</t>
  </si>
  <si>
    <t>DIS015</t>
  </si>
  <si>
    <t>Partida</t>
  </si>
  <si>
    <t>m</t>
  </si>
  <si>
    <t>Demolició de canal de formigó exterior d'1m ample</t>
  </si>
  <si>
    <t>Demolició de canaleta de drenatge de formigó d'un metre de ample , amb martell pneumàtic, sense deteriorar els col·lectors que poguessin enllaçar amb ella i condicionant els seus extrems, i càrrega manual sobre camió o contenidor.
Inclou: Demolició de l'element. Fragmentació dels enderrocs en peces manejables. Retirada i arreplegat de enderrocs. Neteja de les restes de l'obra. Càrrega manual d'enderrocs sobre camió o contenidor.
Criteri d'amidament de projecte: Longitud mesurada en projecció horitzontal, segons documentació gràfica de Projecte.
Criteri de mesura d'obra: S'amidarà, en projecció horitzontal, la longitud realment enderrocada segons especificacions de Projecte.</t>
  </si>
  <si>
    <t>Uts.</t>
  </si>
  <si>
    <t>Llargada</t>
  </si>
  <si>
    <t>Parcial</t>
  </si>
  <si>
    <t>Subtotal</t>
  </si>
  <si>
    <t>A*B</t>
  </si>
  <si>
    <t>DRS070b</t>
  </si>
  <si>
    <t>Partida</t>
  </si>
  <si>
    <t>m²</t>
  </si>
  <si>
    <t>Demolició de solera de formigó.</t>
  </si>
  <si>
    <t>Demolició de solera formigó fins a 20 cm de gruix, amb martell pneumàtic, sense deteriorar els elements constructius contigus, i càrrega manual sobre camió o contenidor.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</si>
  <si>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</si>
  <si>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Llargada</t>
  </si>
  <si>
    <t>Amplada</t>
  </si>
  <si>
    <t>Alçada</t>
  </si>
  <si>
    <t>Parcial</t>
  </si>
  <si>
    <t>Subtotal</t>
  </si>
  <si>
    <t>Bases fomigó exterior</t>
  </si>
  <si>
    <t>ADL005</t>
  </si>
  <si>
    <t>Partida</t>
  </si>
  <si>
    <t>m²</t>
  </si>
  <si>
    <t>Esbrossada i neteja de zona afectada per nou paviment</t>
  </si>
  <si>
    <t>Esbrossada i neteja de zona nou paviment, amb mitjans manuals. Comprèn els treballs necessaris per retirar de les zones previstes per la urbanització: petites plantes, mala herba, brossa, fustes caigudes, runes, escombraries o qualsevol altre material existent, fins a una profunditat no menor que el gruix de la capa de terra vegetal, considerant com mínima 25 cm; i carga manual a camió.
Inclou: Replanteig en el terreny. Remoció manual dels materials d'esbrossada. Retirada i disposició manual dels materials objecte d'esbrossada. Carga manual a camió.
Criteri d'amidament de projecte: Superfície mesurada en projecció horitzontal, segons documentació gràfica de Projecte.
Criteri de mesura d'obra: Es mesurarà, en projecció horitzontal, la superfície realment executada segons especificacions de Projecte, sense incloure els increments per excessos d'excavació no autoritzats.</t>
  </si>
  <si>
    <t>Uts.</t>
  </si>
  <si>
    <t>Llargada</t>
  </si>
  <si>
    <t>Amplada</t>
  </si>
  <si>
    <t>Parcial</t>
  </si>
  <si>
    <t>Subtotal</t>
  </si>
  <si>
    <t>Vorera Espina C7</t>
  </si>
  <si>
    <t>Rampa accés principal</t>
  </si>
  <si>
    <t>Vorera CM7</t>
  </si>
  <si>
    <t>GTA020b</t>
  </si>
  <si>
    <t>Partida</t>
  </si>
  <si>
    <t>m³</t>
  </si>
  <si>
    <t>Transport de terres amb camió.</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</si>
  <si>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màxima de 10 km.
Inclou: Transport de terres a l'abocador específic, instal·lació de tractament de residus de construcció i demolició externa a l'obra o centre de valorització o eliminació de residus, amb protecció de les mateixes mitjançant la seva cobertura amb teles.
Criteri de mesura d'obra: Es mesurarà, incloent l'estufament, el volum de terres realment transportat segons especificacions de Projecte.</t>
  </si>
  <si>
    <t>Uts.</t>
  </si>
  <si>
    <t>Llargada</t>
  </si>
  <si>
    <t>Amplada</t>
  </si>
  <si>
    <t>Alçada</t>
  </si>
  <si>
    <t>Parcial</t>
  </si>
  <si>
    <t>Subtotal</t>
  </si>
  <si>
    <t>A*B*C*D</t>
  </si>
  <si>
    <t>Enmarcat de caixa de solera</t>
  </si>
  <si>
    <t>GTB020b</t>
  </si>
  <si>
    <t>Partida</t>
  </si>
  <si>
    <t>m³</t>
  </si>
  <si>
    <t>Cànon d'abocament per lliurament de terres a gestor autoritzat.</t>
  </si>
  <si>
    <t>Cànon d'abocament per lliurament de terres procedents de l'excavació, en abocador específic, instal·lació de tractament de residus de construcció i demolició externa a l'obra o centre de valorització o eliminació de residus.
Inclou: Nada.
Criteri d'amidament de projecte: Volum mesurat sobre les seccions teòriques de les excavacions, incrementades cadascuna d'elles pel seu corresponent coeficient d'esponjament, d'acord amb el tipus de terreny considerat.
Criteri de mesura d'obra: Es mesurarà, incloent l'estufament, el volum de terres realment entregat segons especificacions de Projecte.</t>
  </si>
  <si>
    <t>Uts.</t>
  </si>
  <si>
    <t>Llargada</t>
  </si>
  <si>
    <t>Amplada</t>
  </si>
  <si>
    <t>Alçada</t>
  </si>
  <si>
    <t>Parcial</t>
  </si>
  <si>
    <t>Subtotal</t>
  </si>
  <si>
    <t>A*B*C*D</t>
  </si>
  <si>
    <t>Enmarcat de caixa de solera</t>
  </si>
  <si>
    <t>ADR030</t>
  </si>
  <si>
    <t>Partida</t>
  </si>
  <si>
    <t>m³</t>
  </si>
  <si>
    <t>Reblert per base de paviment.</t>
  </si>
  <si>
    <t>Base de paviment realitzada mitjançant reblert a cel obert, amb sorra de 0 a 5 mm de diàmetre, i compactació en tongades successives de 30 cm d'espessor màxim amb safata vibrant de guiat manual, fins a assolir una densitat seca no inferior al 95% de la màxima obtinguda en l'assaig Proctor Modificat, realitzat segons UNE 103501.
Inclou: Transport i descàrrega del material de reblert a peu de tall. Estesa del material de reblert en tongades d'espessor uniforme. Humectació o dessecació de cada tongada. Compactació.
Criteri d'amidament de projecte: Volum mesurat sobre els plànols de perfils transversals del Projecte, que defineixen el moviment de terres a realitzar en obra.
Criteri de mesura d'obra: Es mesurarà, en perfil compactat, el volum realment executat segons especificacions de Projecte, sense incloure els increments per excessos d'excavació no autoritzats.</t>
  </si>
  <si>
    <t>Uts.</t>
  </si>
  <si>
    <t>Llargada</t>
  </si>
  <si>
    <t>Amplada</t>
  </si>
  <si>
    <t>Alçada</t>
  </si>
  <si>
    <t>Parcial</t>
  </si>
  <si>
    <t>Subtotal</t>
  </si>
  <si>
    <t>Bases fomigó exterior</t>
  </si>
  <si>
    <t>UVM010</t>
  </si>
  <si>
    <t>Partida</t>
  </si>
  <si>
    <t>m</t>
  </si>
  <si>
    <t>Mur de fàbrica per contencio de rampa</t>
  </si>
  <si>
    <t>Mur de fabrica, de fins a 0,7 m d'altura i de 14 cm d'espessor de fàbrica de maó ceràmic calat (gero), per revestir, 29x14x9 cm, amb junts horitzontals i verticals de 10 mm d'espessor, rebuda amb morter de ciment industrial, color gris, M-5, subministrat a granel. Base de comigó per sustentacio. Revestiment amb morter acrilic. 
Inclou: Neteja i preparació de la superfície de recolzament. Replanteig. Seient de la primera filada sobre capa de morter. Col·locació i aplomat de mires de referència. Estesa de fils entre mires. Col·locació de les peces per filades a nivell. Realització de tots els treballs necessaris per a la resolució dels buits.
Criteri d'amidament de projecte: Longitud mesurada segons documentació gràfica de Projecte, deduint la longitud dels buits de portes i cancel·les.
Criteri de mesura d'obra: Es mesurarà la longitud realment executada segons especificacions de Projecte, deduint la longitud dels buits de portes i cancel·les.</t>
  </si>
  <si>
    <t>Uts.</t>
  </si>
  <si>
    <t>Llargada</t>
  </si>
  <si>
    <t>Parcial</t>
  </si>
  <si>
    <t>Subtotal</t>
  </si>
  <si>
    <t>A*B</t>
  </si>
  <si>
    <t>ANE010</t>
  </si>
  <si>
    <t>Partida</t>
  </si>
  <si>
    <t>m²</t>
  </si>
  <si>
    <t>Emmacat en caixa per base de solera.</t>
  </si>
  <si>
    <t>Emmacat en caixa per base de solera de 15 cm d'espessor, mitjançant reblert i estès en tongades d'espessor no superior a 20 cm de graves procedents de pedrera calcària; i posterior compactació mitjançant equip manual amb safata vibrant, sobre l'esplanada homogènia i anivellada; previ rebaix i encaixonat en terra, fent servir els mitjans mecànics.
Inclou: Rebaix i encaixonat de terres per allotjament de l'emmacat. Càrrega mecànica sobre camió del terra excavat. Transport i descàrrega del material de reblert a peu de tall. Estesa del material de reblert en tongades d'espessor uniforme. Humectació o dessecació de cada tongada. Compactació i anivellació.
Criteri d'amidament de projecte: Superfície mesurada segons documentació gràfica de Projecte.
Criteri de mesura d'obra: Es mesurarà la superfície realment executada segons especificacions de Projecte.</t>
  </si>
  <si>
    <t>Uts.</t>
  </si>
  <si>
    <t>Llargada</t>
  </si>
  <si>
    <t>Amplada</t>
  </si>
  <si>
    <t>Parcial</t>
  </si>
  <si>
    <t>Subtotal</t>
  </si>
  <si>
    <t>Vorera Espina C7</t>
  </si>
  <si>
    <t>Rampa accés principal</t>
  </si>
  <si>
    <t>Vorera CM7</t>
  </si>
  <si>
    <t>ANS010c</t>
  </si>
  <si>
    <t>Partida</t>
  </si>
  <si>
    <t>m²</t>
  </si>
  <si>
    <t>Solera de formigó. Acabat raspatllat</t>
  </si>
  <si>
    <t>Solera de formigó armat de 15 cm d'espessor, realitzada amb formigó HA-25/F/20/XC2 fabricat en central, i abocament amb bomba, i malla electrosoldada ME 20x20 Ø 6-6 B 500 T 6x2,20 UNE-EN 10080 com a armadura de repartiment, col·locada sobre separadors homologats, estès i vibrat manual mitjançant regla vibrant, amb acabat superficial mitjançant raspatllat; amb junts de retracció de 5 mm d'espessor, mitjançant tall amb disc de diamant. Inclús panell de poliestirè expandit de 3 cm d'espessor, per a l'execució de juntes de retracció.
Inclou: Preparació de la superfície de recolzament del formigó. Replanteig dels junts de construcció i de dilatació. Estesa de nivells mitjançant tocaments, mestres de formigó o regles. Reg de la superfície base. Formació de juntes de construcció i de juntes perimetrals de dilatació. Col·locació de la malla electrosoldada amb separadors homologats. Abocat, estesa i vibrat del formigó. Connexió dels elements exteriors. Curat del formigó. RAspatllat mecànic de la superfície. Replanteig dels junts de retracció. Cort del formigó. Neteja final dels junts de retracció.
Criteri d'amidament de projecte: Superfície mesurada segons documentació gràfica de Projecte.
Criteri de mesura d'obra: Es mesurarà la superfície realment executada segons especificacions de Projecte, sense deduir la superfície ocupada pels pilars situats dintre del seu perímetre.</t>
  </si>
  <si>
    <t>Uts.</t>
  </si>
  <si>
    <t>Llargada</t>
  </si>
  <si>
    <t>Amplada</t>
  </si>
  <si>
    <t>Amplada</t>
  </si>
  <si>
    <t>Parcial</t>
  </si>
  <si>
    <t>Subtotal</t>
  </si>
  <si>
    <t>Vorera Espina C7</t>
  </si>
  <si>
    <t>Rampa accés principal</t>
  </si>
  <si>
    <t>Vorera CM7</t>
  </si>
  <si>
    <t>ANS035</t>
  </si>
  <si>
    <t>Partida</t>
  </si>
  <si>
    <t>m²</t>
  </si>
  <si>
    <t>Sistema d'encofrat per a solera.</t>
  </si>
  <si>
    <t>Muntatge de sistema d'encofrat recuperable de fusta, per a solera, format per taulons de fusta, amortitzables en 10 usos, i posterior desmuntatge del sistema d'encofrat. Inclús elements de sustentació, fixació i apuntalaments necessaris per a la seva estabilitat i líquid desencofrant, per evitar l'adherència del formigó a l'encofrat.
Inclou: Neteja i preparació del plànol de suport. Replanteig. Aplicació del líquid desencofrant. Muntatge del sistema d'encofrat. Col·locació d'elements de sustentació, fixació i apuntalament. Aplomat i anivellació de l'encofrat. Humectació de l'encofrat. Desmuntatge del sistema d'encofrat. Neteja i emmagatzematge de l'encofrat.
Criteri d'amidament de projecte: Superfície d'encofrat en contacte amb el formigó, mesurada segons documentació gràfica de Projecte.
Criteri de mesura d'obra: Es mesurarà la superfície d'encofrat en contacte amb el formigó realment executada segons especificacions de Projecte.</t>
  </si>
  <si>
    <t>Uts.</t>
  </si>
  <si>
    <t>Llargada</t>
  </si>
  <si>
    <t>Amplada</t>
  </si>
  <si>
    <t>Parcial</t>
  </si>
  <si>
    <t>Subtotal</t>
  </si>
  <si>
    <t>Vorera Espina C7</t>
  </si>
  <si>
    <t>Rampa acces principsl</t>
  </si>
  <si>
    <t>Vorera CM7</t>
  </si>
  <si>
    <t>EAE100</t>
  </si>
  <si>
    <t>Partida</t>
  </si>
  <si>
    <t>m²</t>
  </si>
  <si>
    <t>Paviment de xapa metalica perforada.</t>
  </si>
  <si>
    <t>Paviment de xapa perforada antilliscant, acabat galvanitzat en calent, realitzada amb platines portants d'acer laminat UNE-EN 10025 S235JR, en perfil pla laminat en calent, de 20x2 mm, separadors de vareta quadrada retorçada, d'acer amb baix contingut en carboni UNE-EN ISO 16120-2 C4D, de 4 mm de costat, separats 38 mm entre si i marc d'acer laminat UNE-EN 10025 S235JR, en perfil omega laminat en calent, de 20x2 mm, fixat amb peces de subjecció, per a passarel·la de vianants.
Inclou: Replanteig. Suministre i col·locació de la subestructura de suport. Col·locació i fixació provisional de la reixeta electrosoldada. Aplomat i anivellació. Execució de les unions. Neteja final.</t>
  </si>
  <si>
    <t>Uts.</t>
  </si>
  <si>
    <t>Llargada</t>
  </si>
  <si>
    <t>Amplada</t>
  </si>
  <si>
    <t>Parcial</t>
  </si>
  <si>
    <t>Subtotal</t>
  </si>
  <si>
    <t>A*B*C</t>
  </si>
  <si>
    <t>NID021</t>
  </si>
  <si>
    <t>Partida</t>
  </si>
  <si>
    <t>m²</t>
  </si>
  <si>
    <t>Impermeabilització de jardinera, per l'interior, amb morter.</t>
  </si>
  <si>
    <t>Impermeabilització de jardinera, per l'interior, amb morter cimentós impermeabilitzant flexible bicomponent, color gris, textura llisa, a base de resines sintètiques, ciment especial i àrids seleccionats, resistència a pressió hidrostàtica positiva de 9 bar i a pressió hidrostàtica negativa de 3 bar, amb resistència a la penetració d'arrels, amb certificat de potabilitat, aplicat amb brotxa en dues o més capes sobre el suport humitejat, fins a aconseguir un gruix mínim total de 2 mm.
Inclou: Humectació del suport. Estesa d'una primera capa sobre el suport humitejat. Assecat. Estesa d'una segona capa amb la mateixa consistència que la primera. Repassos i neteja final. Curat.
Criteri d'amidament de projecte: Superfície mesurada segons documentació gràfica de Projecte.
Criteri de mesura d'obra: Es mesurarà la superfície realment executada segons especificacions de Projecte.</t>
  </si>
  <si>
    <t>Uts.</t>
  </si>
  <si>
    <t>Llargada</t>
  </si>
  <si>
    <t>Amplada</t>
  </si>
  <si>
    <t>Alçada</t>
  </si>
  <si>
    <t>Parcial</t>
  </si>
  <si>
    <t>Subtotal</t>
  </si>
  <si>
    <t>A*B*C</t>
  </si>
  <si>
    <t>A*B*C</t>
  </si>
  <si>
    <t>A*B*C</t>
  </si>
  <si>
    <t>laterals</t>
  </si>
  <si>
    <t>A*B*C</t>
  </si>
  <si>
    <t>UXD010</t>
  </si>
  <si>
    <t>Partida</t>
  </si>
  <si>
    <t>m</t>
  </si>
  <si>
    <t>Vora metàl·lica d'acer corten.</t>
  </si>
  <si>
    <t>Vora metàl·lica de peces flexibles de xapa llisa d'acer corten, de fins a 400 mm d'altura, 1,5 mm de gruix, amb l'extrem superior arrodonit amb un ample de 7 mm, unides entre si mitjançant platines d'ancoratge i cargolam d'acer inoxidable, per delimitar espais i separar materials de pavimentació.
Inclou: Preparació del terreny. Excavació de la rasa. Introducció de les peces de vora en la rasa. Unió entre peces de vora. Resolució de cantonades. Reomplert de la rasa i compactació del terreny. Neteja i eliminació del material sobrant.
Criteri d'amidament de projecte: Longitud mesurada segons documentació gràfica de Projecte.
Criteri de mesura d'obra: Es mesurarà la longitud realment executada segons especificacions de Projecte.</t>
  </si>
  <si>
    <t>Uts.</t>
  </si>
  <si>
    <t>Llargada</t>
  </si>
  <si>
    <t>Parcial</t>
  </si>
  <si>
    <t>Subtotal</t>
  </si>
  <si>
    <t>A*B</t>
  </si>
  <si>
    <t>A*B</t>
  </si>
  <si>
    <t>A*B</t>
  </si>
  <si>
    <t>UJA050</t>
  </si>
  <si>
    <t>Partida</t>
  </si>
  <si>
    <t>m³</t>
  </si>
  <si>
    <t>Aportació de terra vegetal.</t>
  </si>
  <si>
    <t>Aportació de terra vegetal garbellada, subministrada a granel i estesa amb mitjans mecànics, mitjançant miniretroexcavadora, en capes de gruix uniforme i sense produir danys a les plantes existents.
Inclou: Aplec de la terra vegetal. Estesa i perfilat de la terra vegetal. Senyalització i protecció del terreny.
Criteri d'amidament de projecte: Volum mesurat segons documentació gràfica de Projecte.
Criteri de mesura d'obra: Es mesurarà el volum realment executat segons especificacions de Projecte.</t>
  </si>
  <si>
    <t>Uts.</t>
  </si>
  <si>
    <t>Llargada</t>
  </si>
  <si>
    <t>Amplada</t>
  </si>
  <si>
    <t>Alçada</t>
  </si>
  <si>
    <t>Parcial</t>
  </si>
  <si>
    <t>Subtotal</t>
  </si>
  <si>
    <t>A*B*C*D</t>
  </si>
  <si>
    <t>A*B*C*D</t>
  </si>
  <si>
    <t>RGS010</t>
  </si>
  <si>
    <t>Partida</t>
  </si>
  <si>
    <t>m²</t>
  </si>
  <si>
    <t>Revestiment amb morter acrílic.</t>
  </si>
  <si>
    <t>Revestiment decoratiu en façanes, amb morter de naturalesa sintètic mineral, de 2 a 3 mm d'espessor, color Tierra, acabat remolinat, prèvia aplicació d'una mà d'emprimació enduridora, a base de resines de poliuretà i una altra mà de làtex multiús, en aquells llocs de la seva superfície on presenti deficiències.
Inclou: Preparació del parament suport ja revestit. Aplicació de l'emprimació per endurir. Aplicació del producte regulador de l'absorció. Execució de l'acabat superficial.
Criteri d'amidament de projecte: Superfície mesurada segons documentació gràfica de Projecte, deduint els buits de superfície major de 3 m², afegint a canvi la superfície de la part interior del buit, corresponent al desenvolupament de brancals i llindes. No s'ha incrementat l'amidament per trencaments i retallades, ja que en la descomposició s'ha considerat un 5% més de peces.
Criteri de mesura d'obra: Es mesurarà la superfície realment executada segons especificacions de Projecte, deduint els buits de superfície major de 3 m², afegint a canvi la superfície de la part interior del buit, corresponent al desenvolupament de brancals i llindes.</t>
  </si>
  <si>
    <t>Uts.</t>
  </si>
  <si>
    <t>Amplada</t>
  </si>
  <si>
    <t>Alçada</t>
  </si>
  <si>
    <t>Parcial</t>
  </si>
  <si>
    <t>Subtotal</t>
  </si>
  <si>
    <t>A*C*D</t>
  </si>
  <si>
    <t>Façanes laterals</t>
  </si>
  <si>
    <t>A*C*D</t>
  </si>
  <si>
    <t>Testera</t>
  </si>
  <si>
    <t>RFP010</t>
  </si>
  <si>
    <t>Partida</t>
  </si>
  <si>
    <t>m²</t>
  </si>
  <si>
    <t>Pintura plàstica sobre parament exterior de formigó</t>
  </si>
  <si>
    <t>Aplicació manual de dues mans de pintura plàstica, color a escollir, acabat mat, textura llisa, la primera mà diluïda amb un 15 a 20% d'aigua i la següent diluïda amb un 5 a 10% d'aigua o sense diluir, (rendiment: 0,1 l/m² cada mà); prèvia aplicació d'una mà d'emprimació acrílica, reguladora de l'absorció, sobre parament exterior de formigó.
Inclou: Preparació, neteja i escatat previ del suport. Preparació de la mescla. Aplicació d'una mà de fons. Aplicació de dues mans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</si>
  <si>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Uts.</t>
  </si>
  <si>
    <t>Amplada</t>
  </si>
  <si>
    <t>Alçada</t>
  </si>
  <si>
    <t>Parcial</t>
  </si>
  <si>
    <t>Subtotal</t>
  </si>
  <si>
    <t>A*C*D</t>
  </si>
  <si>
    <t>Pilars exteriors</t>
  </si>
  <si>
    <t>A*C*D</t>
  </si>
  <si>
    <t>A*C*D</t>
  </si>
  <si>
    <t>Viga cantell</t>
  </si>
  <si>
    <t>A*C*D</t>
  </si>
  <si>
    <t xml:space="preserve">Laterals vigues cantell </t>
  </si>
  <si>
    <t>ASA012b</t>
  </si>
  <si>
    <t>Partida</t>
  </si>
  <si>
    <t>U</t>
  </si>
  <si>
    <t>Tapa de perico 80x80 de forja</t>
  </si>
  <si>
    <t>Nova tapa prefabricada de 80x80 de forja,  amb tancament hermètic al pas dels olors mefítics a arqueta interior existent.
Inclou: Retirada de la tapa existent. Col·locació de la tapa prefabricada. Ajust del forat a la mida de la nova tapa. Acoblament i rejuntat dels col·lectors al pericó. Col·locació de la tapa i els accessoris. Reblert paviment. Comprovació del seu correcte funcionament.
Criteri d'amidament de projecte: Nombre d'unitats previstes, segons documentació gràfica de Projecte.
Criteri de mesura d'obra: Es mesurarà el nombre d'unitats realment executades segons especificacions de Projecte.</t>
  </si>
  <si>
    <t>ASA012</t>
  </si>
  <si>
    <t>Partida</t>
  </si>
  <si>
    <t>U</t>
  </si>
  <si>
    <t>Pericó prefabricat. 100x100</t>
  </si>
  <si>
    <t>Pericó de pas soterrada, de polipropilè, de dimensions interiors 100x100x100 cm, sobre solera de formigó en massa HM-20/B/20/X0 de 20 cm de gruix, amb tapa prefabricada de polipropilè amb tancament hermètic al pas dels olors mefítics; prèvia excavació amb mitjans mecànics i posterior reomplert de l'extradós amb material granular.
Inclou: Replanteig. Excavació amb mitjans mecànics. Eliminació de les terres soltes del fons de l'excavació. Abocat i compactació del formigó en formació de solera. Col·locació de l'arqueta prefabricada. Execució de forats pel connexionat dels col·lectors a l'arqueta. Acoblament i rejuntat dels col·lectors al pericó. Col·locació de la tapa i els accessoris. Reblert de l'extradós. Comprovació del seu correcte funcionament.
Criteri d'amidament de projecte: Nombre d'unitats previstes, segons documentació gràfica de Projecte.
Criteri de mesura d'obra: Es mesurarà el nombre d'unitats realment executades segons especificacions de Projecte.</t>
  </si>
  <si>
    <t>14</t>
  </si>
  <si>
    <t>UAB_SOTERRANI_REV3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</si>
</sst>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10"/>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5">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47">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righ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0" fontId="0" fillId="0" borderId="4" xfId="0" applyBorder="1" applyAlignment="1">
      <alignment horizontal="center" vertical="center" wrapText="1"/>
    </xf>
    <xf numFmtId="164" fontId="6" fillId="0" borderId="0" xfId="0" applyNumberFormat="1" applyFont="1" applyAlignment="1">
      <alignment horizontal="right" vertical="top" wrapText="1"/>
    </xf>
    <xf numFmtId="164" fontId="6" fillId="0" borderId="4" xfId="0" applyNumberFormat="1" applyFont="1" applyBorder="1" applyAlignment="1">
      <alignment horizontal="right" vertical="top" wrapText="1"/>
    </xf>
    <xf numFmtId="0" fontId="0" fillId="0" borderId="1" xfId="0" applyBorder="1" applyAlignment="1">
      <alignment horizontal="center" vertical="center"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0" fillId="0" borderId="5" xfId="0" applyBorder="1" applyAlignment="1">
      <alignment horizontal="center" vertical="center"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2" fillId="0" borderId="0" xfId="0" applyFont="1" applyAlignment="1">
      <alignment horizontal="justify" vertical="top" wrapText="1"/>
    </xf>
    <xf numFmtId="0" fontId="4" fillId="4"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6"/>
  <sheetViews>
    <sheetView tabSelected="1" view="pageLayout" workbookViewId="0"/>
  </sheetViews>
  <sheetFormatPr defaultColWidth="11.19921875" defaultRowHeight="15" x14ac:dyDescent="0.2"/>
  <cols>
    <col min="1" max="1" width="7.5" customWidth="1"/>
    <col min="2" max="2" width="6.59765625" customWidth="1"/>
    <col min="3" max="3" width="3.19921875" customWidth="1"/>
    <col min="4" max="4" width="17.8984375" customWidth="1"/>
    <col min="5" max="5" width="10.3984375" customWidth="1"/>
    <col min="6" max="7" width="5.69921875" customWidth="1"/>
    <col min="8" max="8" width="5.796875" customWidth="1"/>
    <col min="9" max="9" width="5" customWidth="1"/>
    <col min="10" max="10" width="6.296875" customWidth="1"/>
    <col min="11" max="13" width="8.19921875" customWidth="1"/>
  </cols>
  <sheetData>
    <row r="1" spans="1:13" ht="17.649999999999999" customHeight="1" thickBot="1" x14ac:dyDescent="0.25">
      <c r="A1" s="1" t="s">
        <v>0</v>
      </c>
      <c r="B1" s="42" t="s">
        <v>1</v>
      </c>
      <c r="C1" s="42"/>
      <c r="D1" s="42"/>
      <c r="E1" s="42"/>
      <c r="F1" s="42"/>
      <c r="G1" s="42"/>
      <c r="H1" s="42"/>
      <c r="I1" s="42"/>
      <c r="J1" s="42"/>
      <c r="K1" s="42"/>
      <c r="L1" s="42"/>
      <c r="M1" s="42"/>
    </row>
    <row r="2" spans="1:13" ht="17.649999999999999" customHeight="1" thickBot="1" x14ac:dyDescent="0.25">
      <c r="A2" s="42" t="s">
        <v>2</v>
      </c>
      <c r="B2" s="42"/>
      <c r="C2" s="42"/>
      <c r="D2" s="2"/>
      <c r="E2" s="2"/>
      <c r="F2" s="2"/>
      <c r="G2" s="2"/>
      <c r="H2" s="2"/>
      <c r="I2" s="2"/>
      <c r="J2" s="2"/>
      <c r="K2" s="2"/>
      <c r="L2" s="4" t="s">
        <v>3</v>
      </c>
      <c r="M2" s="6">
        <v>3</v>
      </c>
    </row>
    <row r="3" spans="1:13" ht="16.350000000000001" customHeight="1" thickBot="1" x14ac:dyDescent="0.25">
      <c r="A3" s="7" t="s">
        <v>4</v>
      </c>
      <c r="B3" s="7" t="s">
        <v>5</v>
      </c>
      <c r="C3" s="7" t="s">
        <v>6</v>
      </c>
      <c r="D3" s="7" t="s">
        <v>7</v>
      </c>
      <c r="E3" s="8"/>
      <c r="F3" s="8"/>
      <c r="G3" s="8"/>
      <c r="H3" s="8"/>
      <c r="I3" s="8"/>
      <c r="J3" s="8"/>
      <c r="K3" s="9" t="s">
        <v>8</v>
      </c>
      <c r="L3" s="9" t="s">
        <v>9</v>
      </c>
      <c r="M3" s="9" t="s">
        <v>10</v>
      </c>
    </row>
    <row r="4" spans="1:13" ht="24.95" customHeight="1" thickBot="1" x14ac:dyDescent="0.25">
      <c r="A4" s="11" t="s">
        <v>11</v>
      </c>
      <c r="B4" s="11" t="s">
        <v>12</v>
      </c>
      <c r="C4" s="12"/>
      <c r="D4" s="43" t="s">
        <v>13</v>
      </c>
      <c r="E4" s="43"/>
      <c r="F4" s="43"/>
      <c r="G4" s="43"/>
      <c r="H4" s="43"/>
      <c r="I4" s="43"/>
      <c r="J4" s="43"/>
      <c r="K4" s="12"/>
      <c r="L4" s="13">
        <f>L566</f>
        <v>277197.55</v>
      </c>
      <c r="M4" s="13">
        <f>ROUND(L4,2)</f>
        <v>277197.55</v>
      </c>
    </row>
    <row r="5" spans="1:13" ht="15.4" customHeight="1" thickBot="1" x14ac:dyDescent="0.25">
      <c r="A5" s="14" t="s">
        <v>14</v>
      </c>
      <c r="B5" s="14" t="s">
        <v>15</v>
      </c>
      <c r="C5" s="15"/>
      <c r="D5" s="44" t="s">
        <v>16</v>
      </c>
      <c r="E5" s="44"/>
      <c r="F5" s="44"/>
      <c r="G5" s="44"/>
      <c r="H5" s="44"/>
      <c r="I5" s="44"/>
      <c r="J5" s="44"/>
      <c r="K5" s="15"/>
      <c r="L5" s="16">
        <f>L140</f>
        <v>33939.440000000002</v>
      </c>
      <c r="M5" s="16">
        <f>ROUND(L5,2)</f>
        <v>33939.440000000002</v>
      </c>
    </row>
    <row r="6" spans="1:13" ht="15.4" customHeight="1" thickBot="1" x14ac:dyDescent="0.25">
      <c r="A6" s="10" t="s">
        <v>17</v>
      </c>
      <c r="B6" s="5" t="s">
        <v>18</v>
      </c>
      <c r="C6" s="5" t="s">
        <v>19</v>
      </c>
      <c r="D6" s="45" t="s">
        <v>20</v>
      </c>
      <c r="E6" s="45"/>
      <c r="F6" s="45"/>
      <c r="G6" s="45"/>
      <c r="H6" s="45"/>
      <c r="I6" s="45"/>
      <c r="J6" s="45"/>
      <c r="K6" s="17">
        <f>SUM(K9:K17)</f>
        <v>333.28199999999998</v>
      </c>
      <c r="L6" s="18">
        <f>ROUND(9.33*(1+M2/100),2)</f>
        <v>9.61</v>
      </c>
      <c r="M6" s="18">
        <f>ROUND(K6*L6,2)</f>
        <v>3202.84</v>
      </c>
    </row>
    <row r="7" spans="1:13" ht="57.95" customHeight="1" thickBot="1" x14ac:dyDescent="0.25">
      <c r="A7" s="19"/>
      <c r="B7" s="19"/>
      <c r="C7" s="19"/>
      <c r="D7" s="45" t="s">
        <v>21</v>
      </c>
      <c r="E7" s="45"/>
      <c r="F7" s="45"/>
      <c r="G7" s="45"/>
      <c r="H7" s="45"/>
      <c r="I7" s="45"/>
      <c r="J7" s="45"/>
      <c r="K7" s="45"/>
      <c r="L7" s="45"/>
      <c r="M7" s="45"/>
    </row>
    <row r="8" spans="1:13" ht="30.4" customHeight="1" thickBot="1" x14ac:dyDescent="0.25">
      <c r="A8" s="19"/>
      <c r="B8" s="19"/>
      <c r="C8" s="19"/>
      <c r="D8" s="19"/>
      <c r="E8" s="21" t="s">
        <v>22</v>
      </c>
      <c r="F8" s="22" t="s">
        <v>23</v>
      </c>
      <c r="G8" s="22"/>
      <c r="H8" s="22" t="s">
        <v>24</v>
      </c>
      <c r="I8" s="22" t="s">
        <v>25</v>
      </c>
      <c r="J8" s="22" t="s">
        <v>26</v>
      </c>
      <c r="K8" s="22" t="s">
        <v>27</v>
      </c>
      <c r="L8" s="19"/>
      <c r="M8" s="19"/>
    </row>
    <row r="9" spans="1:13" ht="21.2" customHeight="1" thickBot="1" x14ac:dyDescent="0.25">
      <c r="A9" s="19"/>
      <c r="B9" s="19"/>
      <c r="C9" s="19"/>
      <c r="D9" s="20" t="s">
        <v>28</v>
      </c>
      <c r="E9" s="23" t="s">
        <v>29</v>
      </c>
      <c r="F9" s="24">
        <v>4</v>
      </c>
      <c r="G9" s="25"/>
      <c r="H9" s="25">
        <v>4.9000000000000004</v>
      </c>
      <c r="I9" s="25">
        <v>2.98</v>
      </c>
      <c r="J9" s="27">
        <f t="shared" ref="J9:J17" si="0">ROUND(F9*H9*I9,3)</f>
        <v>58.408000000000001</v>
      </c>
      <c r="K9" s="28"/>
      <c r="L9" s="19"/>
      <c r="M9" s="19"/>
    </row>
    <row r="10" spans="1:13" ht="21.2" customHeight="1" thickBot="1" x14ac:dyDescent="0.25">
      <c r="A10" s="19"/>
      <c r="B10" s="19"/>
      <c r="C10" s="19"/>
      <c r="D10" s="20" t="s">
        <v>30</v>
      </c>
      <c r="E10" s="5" t="s">
        <v>31</v>
      </c>
      <c r="F10" s="3">
        <v>4</v>
      </c>
      <c r="G10" s="17"/>
      <c r="H10" s="17">
        <v>4.9000000000000004</v>
      </c>
      <c r="I10" s="17">
        <v>2.98</v>
      </c>
      <c r="J10" s="26">
        <f t="shared" si="0"/>
        <v>58.408000000000001</v>
      </c>
      <c r="K10" s="19"/>
      <c r="L10" s="19"/>
      <c r="M10" s="19"/>
    </row>
    <row r="11" spans="1:13" ht="30.4" customHeight="1" thickBot="1" x14ac:dyDescent="0.25">
      <c r="A11" s="19"/>
      <c r="B11" s="19"/>
      <c r="C11" s="19"/>
      <c r="D11" s="20" t="s">
        <v>32</v>
      </c>
      <c r="E11" s="5" t="s">
        <v>33</v>
      </c>
      <c r="F11" s="3">
        <v>2</v>
      </c>
      <c r="G11" s="17"/>
      <c r="H11" s="17">
        <v>20.2</v>
      </c>
      <c r="I11" s="17">
        <v>3.6</v>
      </c>
      <c r="J11" s="26">
        <f t="shared" si="0"/>
        <v>145.44</v>
      </c>
      <c r="K11" s="19"/>
      <c r="L11" s="19"/>
      <c r="M11" s="19"/>
    </row>
    <row r="12" spans="1:13" ht="21.2" customHeight="1" thickBot="1" x14ac:dyDescent="0.25">
      <c r="A12" s="19"/>
      <c r="B12" s="19"/>
      <c r="C12" s="19"/>
      <c r="D12" s="20" t="s">
        <v>34</v>
      </c>
      <c r="E12" s="5" t="s">
        <v>35</v>
      </c>
      <c r="F12" s="3">
        <v>1</v>
      </c>
      <c r="G12" s="17"/>
      <c r="H12" s="17">
        <v>1.6</v>
      </c>
      <c r="I12" s="17">
        <v>2.98</v>
      </c>
      <c r="J12" s="26">
        <f t="shared" si="0"/>
        <v>4.7679999999999998</v>
      </c>
      <c r="K12" s="19"/>
      <c r="L12" s="19"/>
      <c r="M12" s="19"/>
    </row>
    <row r="13" spans="1:13" ht="21.2" customHeight="1" thickBot="1" x14ac:dyDescent="0.25">
      <c r="A13" s="19"/>
      <c r="B13" s="19"/>
      <c r="C13" s="19"/>
      <c r="D13" s="20" t="s">
        <v>36</v>
      </c>
      <c r="E13" s="5" t="s">
        <v>37</v>
      </c>
      <c r="F13" s="3">
        <v>1</v>
      </c>
      <c r="G13" s="17"/>
      <c r="H13" s="17">
        <v>1.45</v>
      </c>
      <c r="I13" s="17">
        <v>3.6</v>
      </c>
      <c r="J13" s="26">
        <f t="shared" si="0"/>
        <v>5.22</v>
      </c>
      <c r="K13" s="19"/>
      <c r="L13" s="19"/>
      <c r="M13" s="19"/>
    </row>
    <row r="14" spans="1:13" ht="21.2" customHeight="1" thickBot="1" x14ac:dyDescent="0.25">
      <c r="A14" s="19"/>
      <c r="B14" s="19"/>
      <c r="C14" s="19"/>
      <c r="D14" s="20" t="s">
        <v>38</v>
      </c>
      <c r="E14" s="5" t="s">
        <v>39</v>
      </c>
      <c r="F14" s="3">
        <v>1</v>
      </c>
      <c r="G14" s="17"/>
      <c r="H14" s="17">
        <v>1.1000000000000001</v>
      </c>
      <c r="I14" s="17">
        <v>2.98</v>
      </c>
      <c r="J14" s="26">
        <f t="shared" si="0"/>
        <v>3.278</v>
      </c>
      <c r="K14" s="19"/>
      <c r="L14" s="19"/>
      <c r="M14" s="19"/>
    </row>
    <row r="15" spans="1:13" ht="30.4" customHeight="1" thickBot="1" x14ac:dyDescent="0.25">
      <c r="A15" s="19"/>
      <c r="B15" s="19"/>
      <c r="C15" s="19"/>
      <c r="D15" s="20" t="s">
        <v>40</v>
      </c>
      <c r="E15" s="5" t="s">
        <v>41</v>
      </c>
      <c r="F15" s="3">
        <v>2</v>
      </c>
      <c r="G15" s="17"/>
      <c r="H15" s="17">
        <v>7.3</v>
      </c>
      <c r="I15" s="17">
        <v>2.98</v>
      </c>
      <c r="J15" s="26">
        <f t="shared" si="0"/>
        <v>43.508000000000003</v>
      </c>
      <c r="K15" s="19"/>
      <c r="L15" s="19"/>
      <c r="M15" s="19"/>
    </row>
    <row r="16" spans="1:13" ht="21.2" customHeight="1" thickBot="1" x14ac:dyDescent="0.25">
      <c r="A16" s="19"/>
      <c r="B16" s="19"/>
      <c r="C16" s="19"/>
      <c r="D16" s="20" t="s">
        <v>42</v>
      </c>
      <c r="E16" s="5" t="s">
        <v>43</v>
      </c>
      <c r="F16" s="3">
        <v>2</v>
      </c>
      <c r="G16" s="17"/>
      <c r="H16" s="17">
        <v>0.7</v>
      </c>
      <c r="I16" s="17">
        <v>2.98</v>
      </c>
      <c r="J16" s="26">
        <f t="shared" si="0"/>
        <v>4.1719999999999997</v>
      </c>
      <c r="K16" s="19"/>
      <c r="L16" s="19"/>
      <c r="M16" s="19"/>
    </row>
    <row r="17" spans="1:13" ht="21.2" customHeight="1" thickBot="1" x14ac:dyDescent="0.25">
      <c r="A17" s="19"/>
      <c r="B17" s="19"/>
      <c r="C17" s="19"/>
      <c r="D17" s="20" t="s">
        <v>44</v>
      </c>
      <c r="E17" s="5" t="s">
        <v>45</v>
      </c>
      <c r="F17" s="3">
        <v>2</v>
      </c>
      <c r="G17" s="17"/>
      <c r="H17" s="17">
        <v>1.4</v>
      </c>
      <c r="I17" s="17">
        <v>3.6</v>
      </c>
      <c r="J17" s="26">
        <f t="shared" si="0"/>
        <v>10.08</v>
      </c>
      <c r="K17" s="29">
        <f>SUM(J9:J17)</f>
        <v>333.28199999999998</v>
      </c>
      <c r="L17" s="19"/>
      <c r="M17" s="19"/>
    </row>
    <row r="18" spans="1:13" ht="15.4" customHeight="1" thickBot="1" x14ac:dyDescent="0.25">
      <c r="A18" s="10" t="s">
        <v>46</v>
      </c>
      <c r="B18" s="5" t="s">
        <v>47</v>
      </c>
      <c r="C18" s="5" t="s">
        <v>48</v>
      </c>
      <c r="D18" s="45" t="s">
        <v>49</v>
      </c>
      <c r="E18" s="45"/>
      <c r="F18" s="45"/>
      <c r="G18" s="45"/>
      <c r="H18" s="45"/>
      <c r="I18" s="45"/>
      <c r="J18" s="45"/>
      <c r="K18" s="17">
        <f>SUM(K21:K23)</f>
        <v>74.98</v>
      </c>
      <c r="L18" s="18">
        <f>ROUND(32.35*(1+M2/100),2)</f>
        <v>33.32</v>
      </c>
      <c r="M18" s="18">
        <f>ROUND(K18*L18,2)</f>
        <v>2498.33</v>
      </c>
    </row>
    <row r="19" spans="1:13" ht="57.95" customHeight="1" thickBot="1" x14ac:dyDescent="0.25">
      <c r="A19" s="19"/>
      <c r="B19" s="19"/>
      <c r="C19" s="19"/>
      <c r="D19" s="45" t="s">
        <v>50</v>
      </c>
      <c r="E19" s="45"/>
      <c r="F19" s="45"/>
      <c r="G19" s="45"/>
      <c r="H19" s="45"/>
      <c r="I19" s="45"/>
      <c r="J19" s="45"/>
      <c r="K19" s="45"/>
      <c r="L19" s="45"/>
      <c r="M19" s="45"/>
    </row>
    <row r="20" spans="1:13" ht="15" customHeight="1" thickBot="1" x14ac:dyDescent="0.25">
      <c r="A20" s="19"/>
      <c r="B20" s="19"/>
      <c r="C20" s="19"/>
      <c r="D20" s="19"/>
      <c r="E20" s="21"/>
      <c r="F20" s="22" t="s">
        <v>51</v>
      </c>
      <c r="G20" s="22"/>
      <c r="H20" s="22" t="s">
        <v>52</v>
      </c>
      <c r="I20" s="22" t="s">
        <v>53</v>
      </c>
      <c r="J20" s="22" t="s">
        <v>54</v>
      </c>
      <c r="K20" s="22" t="s">
        <v>55</v>
      </c>
      <c r="L20" s="19"/>
      <c r="M20" s="19"/>
    </row>
    <row r="21" spans="1:13" ht="15" customHeight="1" thickBot="1" x14ac:dyDescent="0.25">
      <c r="A21" s="19"/>
      <c r="B21" s="19"/>
      <c r="C21" s="19"/>
      <c r="D21" s="20" t="s">
        <v>56</v>
      </c>
      <c r="E21" s="23" t="s">
        <v>57</v>
      </c>
      <c r="F21" s="24">
        <v>2</v>
      </c>
      <c r="G21" s="25"/>
      <c r="H21" s="25">
        <v>5</v>
      </c>
      <c r="I21" s="25">
        <v>3.6</v>
      </c>
      <c r="J21" s="27">
        <f>ROUND(F21*H21*I21,3)</f>
        <v>36</v>
      </c>
      <c r="K21" s="28"/>
      <c r="L21" s="19"/>
      <c r="M21" s="19"/>
    </row>
    <row r="22" spans="1:13" ht="15" customHeight="1" thickBot="1" x14ac:dyDescent="0.25">
      <c r="A22" s="19"/>
      <c r="B22" s="19"/>
      <c r="C22" s="19"/>
      <c r="D22" s="20" t="s">
        <v>58</v>
      </c>
      <c r="E22" s="5" t="s">
        <v>59</v>
      </c>
      <c r="F22" s="3">
        <v>2</v>
      </c>
      <c r="G22" s="17"/>
      <c r="H22" s="17">
        <v>5</v>
      </c>
      <c r="I22" s="17">
        <v>3.6</v>
      </c>
      <c r="J22" s="26">
        <f>ROUND(F22*H22*I22,3)</f>
        <v>36</v>
      </c>
      <c r="K22" s="19"/>
      <c r="L22" s="19"/>
      <c r="M22" s="19"/>
    </row>
    <row r="23" spans="1:13" ht="15" customHeight="1" thickBot="1" x14ac:dyDescent="0.25">
      <c r="A23" s="19"/>
      <c r="B23" s="19"/>
      <c r="C23" s="19"/>
      <c r="D23" s="20" t="s">
        <v>60</v>
      </c>
      <c r="E23" s="5" t="s">
        <v>61</v>
      </c>
      <c r="F23" s="3">
        <v>1</v>
      </c>
      <c r="G23" s="17"/>
      <c r="H23" s="17">
        <v>1</v>
      </c>
      <c r="I23" s="17">
        <v>2.98</v>
      </c>
      <c r="J23" s="26">
        <f>ROUND(F23*H23*I23,3)</f>
        <v>2.98</v>
      </c>
      <c r="K23" s="29">
        <f>SUM(J21:J23)</f>
        <v>74.98</v>
      </c>
      <c r="L23" s="19"/>
      <c r="M23" s="19"/>
    </row>
    <row r="24" spans="1:13" ht="15.4" customHeight="1" thickBot="1" x14ac:dyDescent="0.25">
      <c r="A24" s="10" t="s">
        <v>62</v>
      </c>
      <c r="B24" s="5" t="s">
        <v>63</v>
      </c>
      <c r="C24" s="5" t="s">
        <v>64</v>
      </c>
      <c r="D24" s="45" t="s">
        <v>65</v>
      </c>
      <c r="E24" s="45"/>
      <c r="F24" s="45"/>
      <c r="G24" s="45"/>
      <c r="H24" s="45"/>
      <c r="I24" s="45"/>
      <c r="J24" s="45"/>
      <c r="K24" s="17">
        <f>SUM(K27:K33)</f>
        <v>53.1</v>
      </c>
      <c r="L24" s="18">
        <f>ROUND(15.72*(1+M2/100),2)</f>
        <v>16.190000000000001</v>
      </c>
      <c r="M24" s="18">
        <f>ROUND(K24*L24,2)</f>
        <v>859.69</v>
      </c>
    </row>
    <row r="25" spans="1:13" ht="57.95" customHeight="1" thickBot="1" x14ac:dyDescent="0.25">
      <c r="A25" s="19"/>
      <c r="B25" s="19"/>
      <c r="C25" s="19"/>
      <c r="D25" s="45" t="s">
        <v>66</v>
      </c>
      <c r="E25" s="45"/>
      <c r="F25" s="45"/>
      <c r="G25" s="45"/>
      <c r="H25" s="45"/>
      <c r="I25" s="45"/>
      <c r="J25" s="45"/>
      <c r="K25" s="45"/>
      <c r="L25" s="45"/>
      <c r="M25" s="45"/>
    </row>
    <row r="26" spans="1:13" ht="30.4" customHeight="1" thickBot="1" x14ac:dyDescent="0.25">
      <c r="A26" s="19"/>
      <c r="B26" s="19"/>
      <c r="C26" s="19"/>
      <c r="D26" s="19"/>
      <c r="E26" s="21" t="s">
        <v>67</v>
      </c>
      <c r="F26" s="22" t="s">
        <v>68</v>
      </c>
      <c r="G26" s="22"/>
      <c r="H26" s="22" t="s">
        <v>69</v>
      </c>
      <c r="I26" s="22" t="s">
        <v>70</v>
      </c>
      <c r="J26" s="22" t="s">
        <v>71</v>
      </c>
      <c r="K26" s="22" t="s">
        <v>72</v>
      </c>
      <c r="L26" s="19"/>
      <c r="M26" s="19"/>
    </row>
    <row r="27" spans="1:13" ht="15" customHeight="1" thickBot="1" x14ac:dyDescent="0.25">
      <c r="A27" s="19"/>
      <c r="B27" s="19"/>
      <c r="C27" s="19"/>
      <c r="D27" s="20" t="s">
        <v>73</v>
      </c>
      <c r="E27" s="23"/>
      <c r="F27" s="24">
        <v>1</v>
      </c>
      <c r="G27" s="25"/>
      <c r="H27" s="25">
        <v>1.6</v>
      </c>
      <c r="I27" s="25">
        <v>2.5</v>
      </c>
      <c r="J27" s="27">
        <f t="shared" ref="J27:J33" si="1">ROUND(F27*H27*I27,3)</f>
        <v>4</v>
      </c>
      <c r="K27" s="28"/>
      <c r="L27" s="19"/>
      <c r="M27" s="19"/>
    </row>
    <row r="28" spans="1:13" ht="15" customHeight="1" thickBot="1" x14ac:dyDescent="0.25">
      <c r="A28" s="19"/>
      <c r="B28" s="19"/>
      <c r="C28" s="19"/>
      <c r="D28" s="20" t="s">
        <v>74</v>
      </c>
      <c r="E28" s="5"/>
      <c r="F28" s="3">
        <v>1</v>
      </c>
      <c r="G28" s="17"/>
      <c r="H28" s="17">
        <v>5.3</v>
      </c>
      <c r="I28" s="17">
        <v>2.5</v>
      </c>
      <c r="J28" s="26">
        <f t="shared" si="1"/>
        <v>13.25</v>
      </c>
      <c r="K28" s="19"/>
      <c r="L28" s="19"/>
      <c r="M28" s="19"/>
    </row>
    <row r="29" spans="1:13" ht="15" customHeight="1" thickBot="1" x14ac:dyDescent="0.25">
      <c r="A29" s="19"/>
      <c r="B29" s="19"/>
      <c r="C29" s="19"/>
      <c r="D29" s="20" t="s">
        <v>75</v>
      </c>
      <c r="E29" s="5"/>
      <c r="F29" s="3">
        <v>1</v>
      </c>
      <c r="G29" s="17"/>
      <c r="H29" s="17">
        <v>3.3</v>
      </c>
      <c r="I29" s="17">
        <v>2.5</v>
      </c>
      <c r="J29" s="26">
        <f t="shared" si="1"/>
        <v>8.25</v>
      </c>
      <c r="K29" s="19"/>
      <c r="L29" s="19"/>
      <c r="M29" s="19"/>
    </row>
    <row r="30" spans="1:13" ht="15" customHeight="1" thickBot="1" x14ac:dyDescent="0.25">
      <c r="A30" s="19"/>
      <c r="B30" s="19"/>
      <c r="C30" s="19"/>
      <c r="D30" s="20" t="s">
        <v>76</v>
      </c>
      <c r="E30" s="5"/>
      <c r="F30" s="3">
        <v>1</v>
      </c>
      <c r="G30" s="17"/>
      <c r="H30" s="17">
        <v>2.94</v>
      </c>
      <c r="I30" s="17">
        <v>2.5</v>
      </c>
      <c r="J30" s="26">
        <f t="shared" si="1"/>
        <v>7.35</v>
      </c>
      <c r="K30" s="19"/>
      <c r="L30" s="19"/>
      <c r="M30" s="19"/>
    </row>
    <row r="31" spans="1:13" ht="15" customHeight="1" thickBot="1" x14ac:dyDescent="0.25">
      <c r="A31" s="19"/>
      <c r="B31" s="19"/>
      <c r="C31" s="19"/>
      <c r="D31" s="20" t="s">
        <v>77</v>
      </c>
      <c r="E31" s="5"/>
      <c r="F31" s="3">
        <v>1</v>
      </c>
      <c r="G31" s="17"/>
      <c r="H31" s="17">
        <v>2.5</v>
      </c>
      <c r="I31" s="17">
        <v>2.5</v>
      </c>
      <c r="J31" s="26">
        <f t="shared" si="1"/>
        <v>6.25</v>
      </c>
      <c r="K31" s="19"/>
      <c r="L31" s="19"/>
      <c r="M31" s="19"/>
    </row>
    <row r="32" spans="1:13" ht="15" customHeight="1" thickBot="1" x14ac:dyDescent="0.25">
      <c r="A32" s="19"/>
      <c r="B32" s="19"/>
      <c r="C32" s="19"/>
      <c r="D32" s="20" t="s">
        <v>78</v>
      </c>
      <c r="E32" s="5"/>
      <c r="F32" s="3">
        <v>1</v>
      </c>
      <c r="G32" s="17"/>
      <c r="H32" s="17">
        <v>4</v>
      </c>
      <c r="I32" s="17">
        <v>2.5</v>
      </c>
      <c r="J32" s="26">
        <f t="shared" si="1"/>
        <v>10</v>
      </c>
      <c r="K32" s="19"/>
      <c r="L32" s="19"/>
      <c r="M32" s="19"/>
    </row>
    <row r="33" spans="1:13" ht="15" customHeight="1" thickBot="1" x14ac:dyDescent="0.25">
      <c r="A33" s="19"/>
      <c r="B33" s="19"/>
      <c r="C33" s="19"/>
      <c r="D33" s="20" t="s">
        <v>79</v>
      </c>
      <c r="E33" s="5"/>
      <c r="F33" s="3">
        <v>1</v>
      </c>
      <c r="G33" s="17"/>
      <c r="H33" s="17">
        <v>1.6</v>
      </c>
      <c r="I33" s="17">
        <v>2.5</v>
      </c>
      <c r="J33" s="26">
        <f t="shared" si="1"/>
        <v>4</v>
      </c>
      <c r="K33" s="29">
        <f>SUM(J27:J33)</f>
        <v>53.1</v>
      </c>
      <c r="L33" s="19"/>
      <c r="M33" s="19"/>
    </row>
    <row r="34" spans="1:13" ht="15.4" customHeight="1" thickBot="1" x14ac:dyDescent="0.25">
      <c r="A34" s="10" t="s">
        <v>80</v>
      </c>
      <c r="B34" s="5" t="s">
        <v>81</v>
      </c>
      <c r="C34" s="5" t="s">
        <v>82</v>
      </c>
      <c r="D34" s="45" t="s">
        <v>83</v>
      </c>
      <c r="E34" s="45"/>
      <c r="F34" s="45"/>
      <c r="G34" s="45"/>
      <c r="H34" s="45"/>
      <c r="I34" s="45"/>
      <c r="J34" s="45"/>
      <c r="K34" s="17">
        <f>SUM(K37:K49)</f>
        <v>219.34999999999994</v>
      </c>
      <c r="L34" s="18">
        <f>ROUND(11*(1+M2/100),2)</f>
        <v>11.33</v>
      </c>
      <c r="M34" s="18">
        <f>ROUND(K34*L34,2)</f>
        <v>2485.2399999999998</v>
      </c>
    </row>
    <row r="35" spans="1:13" ht="57.95" customHeight="1" thickBot="1" x14ac:dyDescent="0.25">
      <c r="A35" s="19"/>
      <c r="B35" s="19"/>
      <c r="C35" s="19"/>
      <c r="D35" s="45" t="s">
        <v>84</v>
      </c>
      <c r="E35" s="45"/>
      <c r="F35" s="45"/>
      <c r="G35" s="45"/>
      <c r="H35" s="45"/>
      <c r="I35" s="45"/>
      <c r="J35" s="45"/>
      <c r="K35" s="45"/>
      <c r="L35" s="45"/>
      <c r="M35" s="45"/>
    </row>
    <row r="36" spans="1:13" ht="15" customHeight="1" thickBot="1" x14ac:dyDescent="0.25">
      <c r="A36" s="19"/>
      <c r="B36" s="19"/>
      <c r="C36" s="19"/>
      <c r="D36" s="19"/>
      <c r="E36" s="21"/>
      <c r="F36" s="22" t="s">
        <v>85</v>
      </c>
      <c r="G36" s="22" t="s">
        <v>86</v>
      </c>
      <c r="H36" s="22"/>
      <c r="I36" s="22"/>
      <c r="J36" s="22" t="s">
        <v>87</v>
      </c>
      <c r="K36" s="22" t="s">
        <v>88</v>
      </c>
      <c r="L36" s="19"/>
      <c r="M36" s="19"/>
    </row>
    <row r="37" spans="1:13" ht="15" customHeight="1" thickBot="1" x14ac:dyDescent="0.25">
      <c r="A37" s="19"/>
      <c r="B37" s="19"/>
      <c r="C37" s="19"/>
      <c r="D37" s="20" t="s">
        <v>89</v>
      </c>
      <c r="E37" s="23" t="s">
        <v>90</v>
      </c>
      <c r="F37" s="24">
        <v>1</v>
      </c>
      <c r="G37" s="25">
        <v>22.73</v>
      </c>
      <c r="H37" s="25"/>
      <c r="I37" s="25"/>
      <c r="J37" s="27">
        <f t="shared" ref="J37:J49" si="2">ROUND(F37*G37,3)</f>
        <v>22.73</v>
      </c>
      <c r="K37" s="28"/>
      <c r="L37" s="19"/>
      <c r="M37" s="19"/>
    </row>
    <row r="38" spans="1:13" ht="15" customHeight="1" thickBot="1" x14ac:dyDescent="0.25">
      <c r="A38" s="19"/>
      <c r="B38" s="19"/>
      <c r="C38" s="19"/>
      <c r="D38" s="20" t="s">
        <v>91</v>
      </c>
      <c r="E38" s="5" t="s">
        <v>92</v>
      </c>
      <c r="F38" s="3">
        <v>1</v>
      </c>
      <c r="G38" s="17">
        <v>18.170000000000002</v>
      </c>
      <c r="H38" s="17"/>
      <c r="I38" s="17"/>
      <c r="J38" s="26">
        <f t="shared" si="2"/>
        <v>18.170000000000002</v>
      </c>
      <c r="K38" s="19"/>
      <c r="L38" s="19"/>
      <c r="M38" s="19"/>
    </row>
    <row r="39" spans="1:13" ht="15" customHeight="1" thickBot="1" x14ac:dyDescent="0.25">
      <c r="A39" s="19"/>
      <c r="B39" s="19"/>
      <c r="C39" s="19"/>
      <c r="D39" s="20" t="s">
        <v>93</v>
      </c>
      <c r="E39" s="5" t="s">
        <v>94</v>
      </c>
      <c r="F39" s="3">
        <v>1</v>
      </c>
      <c r="G39" s="17">
        <v>23.02</v>
      </c>
      <c r="H39" s="17"/>
      <c r="I39" s="17"/>
      <c r="J39" s="26">
        <f t="shared" si="2"/>
        <v>23.02</v>
      </c>
      <c r="K39" s="19"/>
      <c r="L39" s="19"/>
      <c r="M39" s="19"/>
    </row>
    <row r="40" spans="1:13" ht="15" customHeight="1" thickBot="1" x14ac:dyDescent="0.25">
      <c r="A40" s="19"/>
      <c r="B40" s="19"/>
      <c r="C40" s="19"/>
      <c r="D40" s="20" t="s">
        <v>95</v>
      </c>
      <c r="E40" s="5" t="s">
        <v>96</v>
      </c>
      <c r="F40" s="3">
        <v>1</v>
      </c>
      <c r="G40" s="17">
        <v>25.97</v>
      </c>
      <c r="H40" s="17"/>
      <c r="I40" s="17"/>
      <c r="J40" s="26">
        <f t="shared" si="2"/>
        <v>25.97</v>
      </c>
      <c r="K40" s="19"/>
      <c r="L40" s="19"/>
      <c r="M40" s="19"/>
    </row>
    <row r="41" spans="1:13" ht="15" customHeight="1" thickBot="1" x14ac:dyDescent="0.25">
      <c r="A41" s="19"/>
      <c r="B41" s="19"/>
      <c r="C41" s="19"/>
      <c r="D41" s="20" t="s">
        <v>97</v>
      </c>
      <c r="E41" s="5"/>
      <c r="F41" s="3">
        <v>1</v>
      </c>
      <c r="G41" s="17">
        <v>3.34</v>
      </c>
      <c r="H41" s="17"/>
      <c r="I41" s="17"/>
      <c r="J41" s="26">
        <f t="shared" si="2"/>
        <v>3.34</v>
      </c>
      <c r="K41" s="19"/>
      <c r="L41" s="19"/>
      <c r="M41" s="19"/>
    </row>
    <row r="42" spans="1:13" ht="15" customHeight="1" thickBot="1" x14ac:dyDescent="0.25">
      <c r="A42" s="19"/>
      <c r="B42" s="19"/>
      <c r="C42" s="19"/>
      <c r="D42" s="20" t="s">
        <v>98</v>
      </c>
      <c r="E42" s="5"/>
      <c r="F42" s="3">
        <v>1</v>
      </c>
      <c r="G42" s="17">
        <v>3.63</v>
      </c>
      <c r="H42" s="17"/>
      <c r="I42" s="17"/>
      <c r="J42" s="26">
        <f t="shared" si="2"/>
        <v>3.63</v>
      </c>
      <c r="K42" s="19"/>
      <c r="L42" s="19"/>
      <c r="M42" s="19"/>
    </row>
    <row r="43" spans="1:13" ht="15" customHeight="1" thickBot="1" x14ac:dyDescent="0.25">
      <c r="A43" s="19"/>
      <c r="B43" s="19"/>
      <c r="C43" s="19"/>
      <c r="D43" s="20" t="s">
        <v>99</v>
      </c>
      <c r="E43" s="5" t="s">
        <v>100</v>
      </c>
      <c r="F43" s="3">
        <v>1</v>
      </c>
      <c r="G43" s="17">
        <v>30.5</v>
      </c>
      <c r="H43" s="17"/>
      <c r="I43" s="17"/>
      <c r="J43" s="26">
        <f t="shared" si="2"/>
        <v>30.5</v>
      </c>
      <c r="K43" s="19"/>
      <c r="L43" s="19"/>
      <c r="M43" s="19"/>
    </row>
    <row r="44" spans="1:13" ht="15" customHeight="1" thickBot="1" x14ac:dyDescent="0.25">
      <c r="A44" s="19"/>
      <c r="B44" s="19"/>
      <c r="C44" s="19"/>
      <c r="D44" s="20" t="s">
        <v>101</v>
      </c>
      <c r="E44" s="5" t="s">
        <v>102</v>
      </c>
      <c r="F44" s="3">
        <v>1</v>
      </c>
      <c r="G44" s="17">
        <v>18.059999999999999</v>
      </c>
      <c r="H44" s="17"/>
      <c r="I44" s="17"/>
      <c r="J44" s="26">
        <f t="shared" si="2"/>
        <v>18.059999999999999</v>
      </c>
      <c r="K44" s="19"/>
      <c r="L44" s="19"/>
      <c r="M44" s="19"/>
    </row>
    <row r="45" spans="1:13" ht="15" customHeight="1" thickBot="1" x14ac:dyDescent="0.25">
      <c r="A45" s="19"/>
      <c r="B45" s="19"/>
      <c r="C45" s="19"/>
      <c r="D45" s="20" t="s">
        <v>103</v>
      </c>
      <c r="E45" s="5" t="s">
        <v>104</v>
      </c>
      <c r="F45" s="3">
        <v>1</v>
      </c>
      <c r="G45" s="17">
        <v>15.13</v>
      </c>
      <c r="H45" s="17"/>
      <c r="I45" s="17"/>
      <c r="J45" s="26">
        <f t="shared" si="2"/>
        <v>15.13</v>
      </c>
      <c r="K45" s="19"/>
      <c r="L45" s="19"/>
      <c r="M45" s="19"/>
    </row>
    <row r="46" spans="1:13" ht="15" customHeight="1" thickBot="1" x14ac:dyDescent="0.25">
      <c r="A46" s="19"/>
      <c r="B46" s="19"/>
      <c r="C46" s="19"/>
      <c r="D46" s="20" t="s">
        <v>105</v>
      </c>
      <c r="E46" s="5" t="s">
        <v>106</v>
      </c>
      <c r="F46" s="3">
        <v>1</v>
      </c>
      <c r="G46" s="17">
        <v>18.04</v>
      </c>
      <c r="H46" s="17"/>
      <c r="I46" s="17"/>
      <c r="J46" s="26">
        <f t="shared" si="2"/>
        <v>18.04</v>
      </c>
      <c r="K46" s="19"/>
      <c r="L46" s="19"/>
      <c r="M46" s="19"/>
    </row>
    <row r="47" spans="1:13" ht="15" customHeight="1" thickBot="1" x14ac:dyDescent="0.25">
      <c r="A47" s="19"/>
      <c r="B47" s="19"/>
      <c r="C47" s="19"/>
      <c r="D47" s="20" t="s">
        <v>107</v>
      </c>
      <c r="E47" s="5" t="s">
        <v>108</v>
      </c>
      <c r="F47" s="3">
        <v>1</v>
      </c>
      <c r="G47" s="17">
        <v>16.079999999999998</v>
      </c>
      <c r="H47" s="17"/>
      <c r="I47" s="17"/>
      <c r="J47" s="26">
        <f t="shared" si="2"/>
        <v>16.079999999999998</v>
      </c>
      <c r="K47" s="19"/>
      <c r="L47" s="19"/>
      <c r="M47" s="19"/>
    </row>
    <row r="48" spans="1:13" ht="15" customHeight="1" thickBot="1" x14ac:dyDescent="0.25">
      <c r="A48" s="19"/>
      <c r="B48" s="19"/>
      <c r="C48" s="19"/>
      <c r="D48" s="20" t="s">
        <v>109</v>
      </c>
      <c r="E48" s="5" t="s">
        <v>110</v>
      </c>
      <c r="F48" s="3">
        <v>1</v>
      </c>
      <c r="G48" s="17">
        <v>16.079999999999998</v>
      </c>
      <c r="H48" s="17"/>
      <c r="I48" s="17"/>
      <c r="J48" s="26">
        <f t="shared" si="2"/>
        <v>16.079999999999998</v>
      </c>
      <c r="K48" s="19"/>
      <c r="L48" s="19"/>
      <c r="M48" s="19"/>
    </row>
    <row r="49" spans="1:13" ht="15" customHeight="1" thickBot="1" x14ac:dyDescent="0.25">
      <c r="A49" s="19"/>
      <c r="B49" s="19"/>
      <c r="C49" s="19"/>
      <c r="D49" s="20" t="s">
        <v>111</v>
      </c>
      <c r="E49" s="5" t="s">
        <v>112</v>
      </c>
      <c r="F49" s="3">
        <v>1</v>
      </c>
      <c r="G49" s="17">
        <v>8.6</v>
      </c>
      <c r="H49" s="17"/>
      <c r="I49" s="17"/>
      <c r="J49" s="26">
        <f t="shared" si="2"/>
        <v>8.6</v>
      </c>
      <c r="K49" s="29">
        <f>SUM(J37:J49)</f>
        <v>219.34999999999994</v>
      </c>
      <c r="L49" s="19"/>
      <c r="M49" s="19"/>
    </row>
    <row r="50" spans="1:13" ht="15.4" customHeight="1" thickBot="1" x14ac:dyDescent="0.25">
      <c r="A50" s="10" t="s">
        <v>113</v>
      </c>
      <c r="B50" s="5" t="s">
        <v>114</v>
      </c>
      <c r="C50" s="5" t="s">
        <v>115</v>
      </c>
      <c r="D50" s="45" t="s">
        <v>116</v>
      </c>
      <c r="E50" s="45"/>
      <c r="F50" s="45"/>
      <c r="G50" s="45"/>
      <c r="H50" s="45"/>
      <c r="I50" s="45"/>
      <c r="J50" s="45"/>
      <c r="K50" s="17">
        <f>SUM(K53:K53)</f>
        <v>34.36</v>
      </c>
      <c r="L50" s="18">
        <f>ROUND(9.89*(1+M2/100),2)</f>
        <v>10.19</v>
      </c>
      <c r="M50" s="18">
        <f>ROUND(K50*L50,2)</f>
        <v>350.13</v>
      </c>
    </row>
    <row r="51" spans="1:13" ht="57.95" customHeight="1" thickBot="1" x14ac:dyDescent="0.25">
      <c r="A51" s="19"/>
      <c r="B51" s="19"/>
      <c r="C51" s="19"/>
      <c r="D51" s="45" t="s">
        <v>117</v>
      </c>
      <c r="E51" s="45"/>
      <c r="F51" s="45"/>
      <c r="G51" s="45"/>
      <c r="H51" s="45"/>
      <c r="I51" s="45"/>
      <c r="J51" s="45"/>
      <c r="K51" s="45"/>
      <c r="L51" s="45"/>
      <c r="M51" s="45"/>
    </row>
    <row r="52" spans="1:13" ht="15" customHeight="1" thickBot="1" x14ac:dyDescent="0.25">
      <c r="A52" s="19"/>
      <c r="B52" s="19"/>
      <c r="C52" s="19"/>
      <c r="D52" s="19"/>
      <c r="E52" s="21"/>
      <c r="F52" s="22" t="s">
        <v>118</v>
      </c>
      <c r="G52" s="22" t="s">
        <v>119</v>
      </c>
      <c r="H52" s="22"/>
      <c r="I52" s="22"/>
      <c r="J52" s="22" t="s">
        <v>120</v>
      </c>
      <c r="K52" s="22" t="s">
        <v>121</v>
      </c>
      <c r="L52" s="19"/>
      <c r="M52" s="19"/>
    </row>
    <row r="53" spans="1:13" ht="15" customHeight="1" thickBot="1" x14ac:dyDescent="0.25">
      <c r="A53" s="19"/>
      <c r="B53" s="19"/>
      <c r="C53" s="19"/>
      <c r="D53" s="20" t="s">
        <v>122</v>
      </c>
      <c r="E53" s="23" t="s">
        <v>123</v>
      </c>
      <c r="F53" s="24">
        <v>1</v>
      </c>
      <c r="G53" s="25">
        <v>34.36</v>
      </c>
      <c r="H53" s="25"/>
      <c r="I53" s="25"/>
      <c r="J53" s="27">
        <f>ROUND(F53*G53,3)</f>
        <v>34.36</v>
      </c>
      <c r="K53" s="30">
        <f>SUM(J53:J53)</f>
        <v>34.36</v>
      </c>
      <c r="L53" s="19"/>
      <c r="M53" s="19"/>
    </row>
    <row r="54" spans="1:13" ht="15.4" customHeight="1" thickBot="1" x14ac:dyDescent="0.25">
      <c r="A54" s="10" t="s">
        <v>124</v>
      </c>
      <c r="B54" s="5" t="s">
        <v>125</v>
      </c>
      <c r="C54" s="5" t="s">
        <v>126</v>
      </c>
      <c r="D54" s="45" t="s">
        <v>127</v>
      </c>
      <c r="E54" s="45"/>
      <c r="F54" s="45"/>
      <c r="G54" s="45"/>
      <c r="H54" s="45"/>
      <c r="I54" s="45"/>
      <c r="J54" s="45"/>
      <c r="K54" s="17">
        <f>SUM(K57:K59)</f>
        <v>18</v>
      </c>
      <c r="L54" s="18">
        <f>ROUND(6.66*(1+M2/100),2)</f>
        <v>6.86</v>
      </c>
      <c r="M54" s="18">
        <f>ROUND(K54*L54,2)</f>
        <v>123.48</v>
      </c>
    </row>
    <row r="55" spans="1:13" ht="57.95" customHeight="1" thickBot="1" x14ac:dyDescent="0.25">
      <c r="A55" s="19"/>
      <c r="B55" s="19"/>
      <c r="C55" s="19"/>
      <c r="D55" s="45" t="s">
        <v>128</v>
      </c>
      <c r="E55" s="45"/>
      <c r="F55" s="45"/>
      <c r="G55" s="45"/>
      <c r="H55" s="45"/>
      <c r="I55" s="45"/>
      <c r="J55" s="45"/>
      <c r="K55" s="45"/>
      <c r="L55" s="45"/>
      <c r="M55" s="45"/>
    </row>
    <row r="56" spans="1:13" ht="15" customHeight="1" thickBot="1" x14ac:dyDescent="0.25">
      <c r="A56" s="19"/>
      <c r="B56" s="19"/>
      <c r="C56" s="19"/>
      <c r="D56" s="19"/>
      <c r="E56" s="21" t="s">
        <v>129</v>
      </c>
      <c r="F56" s="22" t="s">
        <v>130</v>
      </c>
      <c r="G56" s="22"/>
      <c r="H56" s="22"/>
      <c r="I56" s="22"/>
      <c r="J56" s="22" t="s">
        <v>131</v>
      </c>
      <c r="K56" s="22" t="s">
        <v>132</v>
      </c>
      <c r="L56" s="19"/>
      <c r="M56" s="19"/>
    </row>
    <row r="57" spans="1:13" ht="15" customHeight="1" thickBot="1" x14ac:dyDescent="0.25">
      <c r="A57" s="19"/>
      <c r="B57" s="19"/>
      <c r="C57" s="19"/>
      <c r="D57" s="20" t="s">
        <v>133</v>
      </c>
      <c r="E57" s="23" t="s">
        <v>134</v>
      </c>
      <c r="F57" s="24">
        <v>8</v>
      </c>
      <c r="G57" s="25"/>
      <c r="H57" s="25"/>
      <c r="I57" s="25"/>
      <c r="J57" s="27">
        <f>ROUND(F57,3)</f>
        <v>8</v>
      </c>
      <c r="K57" s="28"/>
      <c r="L57" s="19"/>
      <c r="M57" s="19"/>
    </row>
    <row r="58" spans="1:13" ht="15" customHeight="1" thickBot="1" x14ac:dyDescent="0.25">
      <c r="A58" s="19"/>
      <c r="B58" s="19"/>
      <c r="C58" s="19"/>
      <c r="D58" s="20" t="s">
        <v>135</v>
      </c>
      <c r="E58" s="5" t="s">
        <v>136</v>
      </c>
      <c r="F58" s="3">
        <v>3</v>
      </c>
      <c r="G58" s="17"/>
      <c r="H58" s="17"/>
      <c r="I58" s="17"/>
      <c r="J58" s="26">
        <f>ROUND(F58,3)</f>
        <v>3</v>
      </c>
      <c r="K58" s="19"/>
      <c r="L58" s="19"/>
      <c r="M58" s="19"/>
    </row>
    <row r="59" spans="1:13" ht="15" customHeight="1" thickBot="1" x14ac:dyDescent="0.25">
      <c r="A59" s="19"/>
      <c r="B59" s="19"/>
      <c r="C59" s="19"/>
      <c r="D59" s="20" t="s">
        <v>137</v>
      </c>
      <c r="E59" s="5" t="s">
        <v>138</v>
      </c>
      <c r="F59" s="3">
        <v>7</v>
      </c>
      <c r="G59" s="17"/>
      <c r="H59" s="17"/>
      <c r="I59" s="17"/>
      <c r="J59" s="26">
        <f>ROUND(F59,3)</f>
        <v>7</v>
      </c>
      <c r="K59" s="29">
        <f>SUM(J57:J59)</f>
        <v>18</v>
      </c>
      <c r="L59" s="19"/>
      <c r="M59" s="19"/>
    </row>
    <row r="60" spans="1:13" ht="15.4" customHeight="1" thickBot="1" x14ac:dyDescent="0.25">
      <c r="A60" s="10" t="s">
        <v>139</v>
      </c>
      <c r="B60" s="5" t="s">
        <v>140</v>
      </c>
      <c r="C60" s="5" t="s">
        <v>141</v>
      </c>
      <c r="D60" s="45" t="s">
        <v>142</v>
      </c>
      <c r="E60" s="45"/>
      <c r="F60" s="45"/>
      <c r="G60" s="45"/>
      <c r="H60" s="45"/>
      <c r="I60" s="45"/>
      <c r="J60" s="45"/>
      <c r="K60" s="17">
        <f>ROUND(1,2)</f>
        <v>1</v>
      </c>
      <c r="L60" s="18">
        <f>ROUND(349.515*(1+M2/100),2)</f>
        <v>360</v>
      </c>
      <c r="M60" s="18">
        <f>ROUND(K60*L60,2)</f>
        <v>360</v>
      </c>
    </row>
    <row r="61" spans="1:13" ht="21.2" customHeight="1" thickBot="1" x14ac:dyDescent="0.25">
      <c r="A61" s="19"/>
      <c r="B61" s="19"/>
      <c r="C61" s="19"/>
      <c r="D61" s="45" t="s">
        <v>143</v>
      </c>
      <c r="E61" s="45"/>
      <c r="F61" s="45"/>
      <c r="G61" s="45"/>
      <c r="H61" s="45"/>
      <c r="I61" s="45"/>
      <c r="J61" s="45"/>
      <c r="K61" s="45"/>
      <c r="L61" s="45"/>
      <c r="M61" s="45"/>
    </row>
    <row r="62" spans="1:13" ht="15.4" customHeight="1" thickBot="1" x14ac:dyDescent="0.25">
      <c r="A62" s="10" t="s">
        <v>144</v>
      </c>
      <c r="B62" s="5" t="s">
        <v>145</v>
      </c>
      <c r="C62" s="5" t="s">
        <v>146</v>
      </c>
      <c r="D62" s="45" t="s">
        <v>147</v>
      </c>
      <c r="E62" s="45"/>
      <c r="F62" s="45"/>
      <c r="G62" s="45"/>
      <c r="H62" s="45"/>
      <c r="I62" s="45"/>
      <c r="J62" s="45"/>
      <c r="K62" s="17">
        <f>SUM(K65:K69)</f>
        <v>71.75</v>
      </c>
      <c r="L62" s="18">
        <f>ROUND(7.85*(1+M2/100),2)</f>
        <v>8.09</v>
      </c>
      <c r="M62" s="18">
        <f>ROUND(K62*L62,2)</f>
        <v>580.46</v>
      </c>
    </row>
    <row r="63" spans="1:13" ht="57.95" customHeight="1" thickBot="1" x14ac:dyDescent="0.25">
      <c r="A63" s="19"/>
      <c r="B63" s="19"/>
      <c r="C63" s="19"/>
      <c r="D63" s="45" t="s">
        <v>148</v>
      </c>
      <c r="E63" s="45"/>
      <c r="F63" s="45"/>
      <c r="G63" s="45"/>
      <c r="H63" s="45"/>
      <c r="I63" s="45"/>
      <c r="J63" s="45"/>
      <c r="K63" s="45"/>
      <c r="L63" s="45"/>
      <c r="M63" s="45"/>
    </row>
    <row r="64" spans="1:13" ht="15" customHeight="1" thickBot="1" x14ac:dyDescent="0.25">
      <c r="A64" s="19"/>
      <c r="B64" s="19"/>
      <c r="C64" s="19"/>
      <c r="D64" s="19"/>
      <c r="E64" s="21"/>
      <c r="F64" s="22" t="s">
        <v>149</v>
      </c>
      <c r="G64" s="22"/>
      <c r="H64" s="22" t="s">
        <v>150</v>
      </c>
      <c r="I64" s="22" t="s">
        <v>151</v>
      </c>
      <c r="J64" s="22" t="s">
        <v>152</v>
      </c>
      <c r="K64" s="22" t="s">
        <v>153</v>
      </c>
      <c r="L64" s="19"/>
      <c r="M64" s="19"/>
    </row>
    <row r="65" spans="1:13" ht="15" customHeight="1" thickBot="1" x14ac:dyDescent="0.25">
      <c r="A65" s="19"/>
      <c r="B65" s="19"/>
      <c r="C65" s="19"/>
      <c r="D65" s="20" t="s">
        <v>154</v>
      </c>
      <c r="E65" s="23" t="s">
        <v>155</v>
      </c>
      <c r="F65" s="24">
        <v>4</v>
      </c>
      <c r="G65" s="25"/>
      <c r="H65" s="25">
        <v>6.2</v>
      </c>
      <c r="I65" s="25">
        <v>1.4</v>
      </c>
      <c r="J65" s="27">
        <f>ROUND(F65*H65*I65,3)</f>
        <v>34.72</v>
      </c>
      <c r="K65" s="28"/>
      <c r="L65" s="19"/>
      <c r="M65" s="19"/>
    </row>
    <row r="66" spans="1:13" ht="30.4" customHeight="1" thickBot="1" x14ac:dyDescent="0.25">
      <c r="A66" s="19"/>
      <c r="B66" s="19"/>
      <c r="C66" s="19"/>
      <c r="D66" s="20" t="s">
        <v>156</v>
      </c>
      <c r="E66" s="5" t="s">
        <v>157</v>
      </c>
      <c r="F66" s="3">
        <v>1</v>
      </c>
      <c r="G66" s="17"/>
      <c r="H66" s="17">
        <v>6.2</v>
      </c>
      <c r="I66" s="17">
        <v>1.4</v>
      </c>
      <c r="J66" s="26">
        <f>ROUND(F66*H66*I66,3)</f>
        <v>8.68</v>
      </c>
      <c r="K66" s="19"/>
      <c r="L66" s="19"/>
      <c r="M66" s="19"/>
    </row>
    <row r="67" spans="1:13" ht="15" customHeight="1" thickBot="1" x14ac:dyDescent="0.25">
      <c r="A67" s="19"/>
      <c r="B67" s="19"/>
      <c r="C67" s="19"/>
      <c r="D67" s="20" t="s">
        <v>158</v>
      </c>
      <c r="E67" s="5" t="s">
        <v>159</v>
      </c>
      <c r="F67" s="3">
        <v>4</v>
      </c>
      <c r="G67" s="17"/>
      <c r="H67" s="17">
        <v>3.1</v>
      </c>
      <c r="I67" s="17">
        <v>1.4</v>
      </c>
      <c r="J67" s="26">
        <f>ROUND(F67*H67*I67,3)</f>
        <v>17.36</v>
      </c>
      <c r="K67" s="19"/>
      <c r="L67" s="19"/>
      <c r="M67" s="19"/>
    </row>
    <row r="68" spans="1:13" ht="15" customHeight="1" thickBot="1" x14ac:dyDescent="0.25">
      <c r="A68" s="19"/>
      <c r="B68" s="19"/>
      <c r="C68" s="19"/>
      <c r="D68" s="20" t="s">
        <v>160</v>
      </c>
      <c r="E68" s="5" t="s">
        <v>161</v>
      </c>
      <c r="F68" s="3">
        <v>1</v>
      </c>
      <c r="G68" s="17"/>
      <c r="H68" s="17">
        <v>4.6500000000000004</v>
      </c>
      <c r="I68" s="17">
        <v>1.4</v>
      </c>
      <c r="J68" s="26">
        <f>ROUND(F68*H68*I68,3)</f>
        <v>6.51</v>
      </c>
      <c r="K68" s="19"/>
      <c r="L68" s="19"/>
      <c r="M68" s="19"/>
    </row>
    <row r="69" spans="1:13" ht="15" customHeight="1" thickBot="1" x14ac:dyDescent="0.25">
      <c r="A69" s="19"/>
      <c r="B69" s="19"/>
      <c r="C69" s="19"/>
      <c r="D69" s="20" t="s">
        <v>162</v>
      </c>
      <c r="E69" s="5" t="s">
        <v>163</v>
      </c>
      <c r="F69" s="3">
        <v>2</v>
      </c>
      <c r="G69" s="17"/>
      <c r="H69" s="17">
        <v>1.6</v>
      </c>
      <c r="I69" s="17">
        <v>1.4</v>
      </c>
      <c r="J69" s="26">
        <f>ROUND(F69*H69*I69,3)</f>
        <v>4.4800000000000004</v>
      </c>
      <c r="K69" s="29">
        <f>SUM(J65:J69)</f>
        <v>71.75</v>
      </c>
      <c r="L69" s="19"/>
      <c r="M69" s="19"/>
    </row>
    <row r="70" spans="1:13" ht="15.4" customHeight="1" thickBot="1" x14ac:dyDescent="0.25">
      <c r="A70" s="10" t="s">
        <v>164</v>
      </c>
      <c r="B70" s="5" t="s">
        <v>165</v>
      </c>
      <c r="C70" s="5" t="s">
        <v>166</v>
      </c>
      <c r="D70" s="45" t="s">
        <v>167</v>
      </c>
      <c r="E70" s="45"/>
      <c r="F70" s="45"/>
      <c r="G70" s="45"/>
      <c r="H70" s="45"/>
      <c r="I70" s="45"/>
      <c r="J70" s="45"/>
      <c r="K70" s="17">
        <f>SUM(K73:K77)</f>
        <v>71.75</v>
      </c>
      <c r="L70" s="18">
        <f>ROUND(19.83*(1+M2/100),2)</f>
        <v>20.420000000000002</v>
      </c>
      <c r="M70" s="18">
        <f>ROUND(K70*L70,2)</f>
        <v>1465.14</v>
      </c>
    </row>
    <row r="71" spans="1:13" ht="57.95" customHeight="1" thickBot="1" x14ac:dyDescent="0.25">
      <c r="A71" s="19"/>
      <c r="B71" s="19"/>
      <c r="C71" s="19"/>
      <c r="D71" s="45" t="s">
        <v>168</v>
      </c>
      <c r="E71" s="45"/>
      <c r="F71" s="45"/>
      <c r="G71" s="45"/>
      <c r="H71" s="45"/>
      <c r="I71" s="45"/>
      <c r="J71" s="45"/>
      <c r="K71" s="45"/>
      <c r="L71" s="45"/>
      <c r="M71" s="45"/>
    </row>
    <row r="72" spans="1:13" ht="15" customHeight="1" thickBot="1" x14ac:dyDescent="0.25">
      <c r="A72" s="19"/>
      <c r="B72" s="19"/>
      <c r="C72" s="19"/>
      <c r="D72" s="19"/>
      <c r="E72" s="21"/>
      <c r="F72" s="22" t="s">
        <v>169</v>
      </c>
      <c r="G72" s="22"/>
      <c r="H72" s="22" t="s">
        <v>170</v>
      </c>
      <c r="I72" s="22" t="s">
        <v>171</v>
      </c>
      <c r="J72" s="22" t="s">
        <v>172</v>
      </c>
      <c r="K72" s="22" t="s">
        <v>173</v>
      </c>
      <c r="L72" s="19"/>
      <c r="M72" s="19"/>
    </row>
    <row r="73" spans="1:13" ht="15" customHeight="1" thickBot="1" x14ac:dyDescent="0.25">
      <c r="A73" s="19"/>
      <c r="B73" s="19"/>
      <c r="C73" s="19"/>
      <c r="D73" s="20" t="s">
        <v>174</v>
      </c>
      <c r="E73" s="23" t="s">
        <v>175</v>
      </c>
      <c r="F73" s="24">
        <v>4</v>
      </c>
      <c r="G73" s="25"/>
      <c r="H73" s="25">
        <v>6.2</v>
      </c>
      <c r="I73" s="25">
        <v>1.4</v>
      </c>
      <c r="J73" s="27">
        <f>ROUND(F73*H73*I73,3)</f>
        <v>34.72</v>
      </c>
      <c r="K73" s="28"/>
      <c r="L73" s="19"/>
      <c r="M73" s="19"/>
    </row>
    <row r="74" spans="1:13" ht="30.4" customHeight="1" thickBot="1" x14ac:dyDescent="0.25">
      <c r="A74" s="19"/>
      <c r="B74" s="19"/>
      <c r="C74" s="19"/>
      <c r="D74" s="20" t="s">
        <v>176</v>
      </c>
      <c r="E74" s="5" t="s">
        <v>177</v>
      </c>
      <c r="F74" s="3">
        <v>1</v>
      </c>
      <c r="G74" s="17"/>
      <c r="H74" s="17">
        <v>6.2</v>
      </c>
      <c r="I74" s="17">
        <v>1.4</v>
      </c>
      <c r="J74" s="26">
        <f>ROUND(F74*H74*I74,3)</f>
        <v>8.68</v>
      </c>
      <c r="K74" s="19"/>
      <c r="L74" s="19"/>
      <c r="M74" s="19"/>
    </row>
    <row r="75" spans="1:13" ht="15" customHeight="1" thickBot="1" x14ac:dyDescent="0.25">
      <c r="A75" s="19"/>
      <c r="B75" s="19"/>
      <c r="C75" s="19"/>
      <c r="D75" s="20" t="s">
        <v>178</v>
      </c>
      <c r="E75" s="5" t="s">
        <v>179</v>
      </c>
      <c r="F75" s="3">
        <v>4</v>
      </c>
      <c r="G75" s="17"/>
      <c r="H75" s="17">
        <v>3.1</v>
      </c>
      <c r="I75" s="17">
        <v>1.4</v>
      </c>
      <c r="J75" s="26">
        <f>ROUND(F75*H75*I75,3)</f>
        <v>17.36</v>
      </c>
      <c r="K75" s="19"/>
      <c r="L75" s="19"/>
      <c r="M75" s="19"/>
    </row>
    <row r="76" spans="1:13" ht="15" customHeight="1" thickBot="1" x14ac:dyDescent="0.25">
      <c r="A76" s="19"/>
      <c r="B76" s="19"/>
      <c r="C76" s="19"/>
      <c r="D76" s="20" t="s">
        <v>180</v>
      </c>
      <c r="E76" s="5" t="s">
        <v>181</v>
      </c>
      <c r="F76" s="3">
        <v>1</v>
      </c>
      <c r="G76" s="17"/>
      <c r="H76" s="17">
        <v>4.6500000000000004</v>
      </c>
      <c r="I76" s="17">
        <v>1.4</v>
      </c>
      <c r="J76" s="26">
        <f>ROUND(F76*H76*I76,3)</f>
        <v>6.51</v>
      </c>
      <c r="K76" s="19"/>
      <c r="L76" s="19"/>
      <c r="M76" s="19"/>
    </row>
    <row r="77" spans="1:13" ht="15" customHeight="1" thickBot="1" x14ac:dyDescent="0.25">
      <c r="A77" s="19"/>
      <c r="B77" s="19"/>
      <c r="C77" s="19"/>
      <c r="D77" s="20" t="s">
        <v>182</v>
      </c>
      <c r="E77" s="5" t="s">
        <v>183</v>
      </c>
      <c r="F77" s="3">
        <v>2</v>
      </c>
      <c r="G77" s="17"/>
      <c r="H77" s="17">
        <v>1.6</v>
      </c>
      <c r="I77" s="17">
        <v>1.4</v>
      </c>
      <c r="J77" s="26">
        <f>ROUND(F77*H77*I77,3)</f>
        <v>4.4800000000000004</v>
      </c>
      <c r="K77" s="29">
        <f>SUM(J73:J77)</f>
        <v>71.75</v>
      </c>
      <c r="L77" s="19"/>
      <c r="M77" s="19"/>
    </row>
    <row r="78" spans="1:13" ht="15.4" customHeight="1" thickBot="1" x14ac:dyDescent="0.25">
      <c r="A78" s="10" t="s">
        <v>184</v>
      </c>
      <c r="B78" s="5" t="s">
        <v>185</v>
      </c>
      <c r="C78" s="5" t="s">
        <v>186</v>
      </c>
      <c r="D78" s="45" t="s">
        <v>187</v>
      </c>
      <c r="E78" s="45"/>
      <c r="F78" s="45"/>
      <c r="G78" s="45"/>
      <c r="H78" s="45"/>
      <c r="I78" s="45"/>
      <c r="J78" s="45"/>
      <c r="K78" s="17">
        <f>ROUND(1,2)</f>
        <v>1</v>
      </c>
      <c r="L78" s="18">
        <f>ROUND(741.74*(1+M2/100),2)</f>
        <v>763.99</v>
      </c>
      <c r="M78" s="18">
        <f>ROUND(K78*L78,2)</f>
        <v>763.99</v>
      </c>
    </row>
    <row r="79" spans="1:13" ht="67.150000000000006" customHeight="1" thickBot="1" x14ac:dyDescent="0.25">
      <c r="A79" s="19"/>
      <c r="B79" s="19"/>
      <c r="C79" s="19"/>
      <c r="D79" s="45" t="s">
        <v>188</v>
      </c>
      <c r="E79" s="45"/>
      <c r="F79" s="45"/>
      <c r="G79" s="45"/>
      <c r="H79" s="45"/>
      <c r="I79" s="45"/>
      <c r="J79" s="45"/>
      <c r="K79" s="45"/>
      <c r="L79" s="45"/>
      <c r="M79" s="45"/>
    </row>
    <row r="80" spans="1:13" ht="15.4" customHeight="1" thickBot="1" x14ac:dyDescent="0.25">
      <c r="A80" s="10" t="s">
        <v>189</v>
      </c>
      <c r="B80" s="5" t="s">
        <v>190</v>
      </c>
      <c r="C80" s="5" t="s">
        <v>191</v>
      </c>
      <c r="D80" s="45" t="s">
        <v>192</v>
      </c>
      <c r="E80" s="45"/>
      <c r="F80" s="45"/>
      <c r="G80" s="45"/>
      <c r="H80" s="45"/>
      <c r="I80" s="45"/>
      <c r="J80" s="45"/>
      <c r="K80" s="17">
        <f>SUM(K83:K101)</f>
        <v>74.460000000000008</v>
      </c>
      <c r="L80" s="18">
        <f>ROUND(33.65*(1+M2/100),2)</f>
        <v>34.659999999999997</v>
      </c>
      <c r="M80" s="18">
        <f>ROUND(K80*L80,2)</f>
        <v>2580.7800000000002</v>
      </c>
    </row>
    <row r="81" spans="1:13" ht="57.95" customHeight="1" thickBot="1" x14ac:dyDescent="0.25">
      <c r="A81" s="19"/>
      <c r="B81" s="19"/>
      <c r="C81" s="19"/>
      <c r="D81" s="45" t="s">
        <v>193</v>
      </c>
      <c r="E81" s="45"/>
      <c r="F81" s="45"/>
      <c r="G81" s="45"/>
      <c r="H81" s="45"/>
      <c r="I81" s="45"/>
      <c r="J81" s="45"/>
      <c r="K81" s="45"/>
      <c r="L81" s="45"/>
      <c r="M81" s="45"/>
    </row>
    <row r="82" spans="1:13" ht="15" customHeight="1" thickBot="1" x14ac:dyDescent="0.25">
      <c r="A82" s="19"/>
      <c r="B82" s="19"/>
      <c r="C82" s="19"/>
      <c r="D82" s="19"/>
      <c r="E82" s="21"/>
      <c r="F82" s="22" t="s">
        <v>194</v>
      </c>
      <c r="G82" s="22" t="s">
        <v>195</v>
      </c>
      <c r="H82" s="22"/>
      <c r="I82" s="22"/>
      <c r="J82" s="22" t="s">
        <v>196</v>
      </c>
      <c r="K82" s="22" t="s">
        <v>197</v>
      </c>
      <c r="L82" s="19"/>
      <c r="M82" s="19"/>
    </row>
    <row r="83" spans="1:13" ht="15" customHeight="1" thickBot="1" x14ac:dyDescent="0.25">
      <c r="A83" s="19"/>
      <c r="B83" s="19"/>
      <c r="C83" s="19"/>
      <c r="D83" s="20" t="s">
        <v>198</v>
      </c>
      <c r="E83" s="23" t="s">
        <v>199</v>
      </c>
      <c r="F83" s="24">
        <v>1</v>
      </c>
      <c r="G83" s="25">
        <v>4.9000000000000004</v>
      </c>
      <c r="H83" s="25"/>
      <c r="I83" s="25"/>
      <c r="J83" s="27">
        <f t="shared" ref="J83:J101" si="3">ROUND(F83*G83,3)</f>
        <v>4.9000000000000004</v>
      </c>
      <c r="K83" s="28"/>
      <c r="L83" s="19"/>
      <c r="M83" s="19"/>
    </row>
    <row r="84" spans="1:13" ht="15" customHeight="1" thickBot="1" x14ac:dyDescent="0.25">
      <c r="A84" s="19"/>
      <c r="B84" s="19"/>
      <c r="C84" s="19"/>
      <c r="D84" s="20" t="s">
        <v>200</v>
      </c>
      <c r="E84" s="5"/>
      <c r="F84" s="3">
        <v>1</v>
      </c>
      <c r="G84" s="17">
        <v>2.11</v>
      </c>
      <c r="H84" s="17"/>
      <c r="I84" s="17"/>
      <c r="J84" s="26">
        <f t="shared" si="3"/>
        <v>2.11</v>
      </c>
      <c r="K84" s="19"/>
      <c r="L84" s="19"/>
      <c r="M84" s="19"/>
    </row>
    <row r="85" spans="1:13" ht="15" customHeight="1" thickBot="1" x14ac:dyDescent="0.25">
      <c r="A85" s="19"/>
      <c r="B85" s="19"/>
      <c r="C85" s="19"/>
      <c r="D85" s="20" t="s">
        <v>201</v>
      </c>
      <c r="E85" s="5"/>
      <c r="F85" s="3">
        <v>1</v>
      </c>
      <c r="G85" s="17">
        <v>3.64</v>
      </c>
      <c r="H85" s="17"/>
      <c r="I85" s="17"/>
      <c r="J85" s="26">
        <f t="shared" si="3"/>
        <v>3.64</v>
      </c>
      <c r="K85" s="19"/>
      <c r="L85" s="19"/>
      <c r="M85" s="19"/>
    </row>
    <row r="86" spans="1:13" ht="15" customHeight="1" thickBot="1" x14ac:dyDescent="0.25">
      <c r="A86" s="19"/>
      <c r="B86" s="19"/>
      <c r="C86" s="19"/>
      <c r="D86" s="20" t="s">
        <v>202</v>
      </c>
      <c r="E86" s="5"/>
      <c r="F86" s="3">
        <v>2</v>
      </c>
      <c r="G86" s="17">
        <v>1.85</v>
      </c>
      <c r="H86" s="17"/>
      <c r="I86" s="17"/>
      <c r="J86" s="26">
        <f t="shared" si="3"/>
        <v>3.7</v>
      </c>
      <c r="K86" s="19"/>
      <c r="L86" s="19"/>
      <c r="M86" s="19"/>
    </row>
    <row r="87" spans="1:13" ht="15" customHeight="1" thickBot="1" x14ac:dyDescent="0.25">
      <c r="A87" s="19"/>
      <c r="B87" s="19"/>
      <c r="C87" s="19"/>
      <c r="D87" s="20" t="s">
        <v>203</v>
      </c>
      <c r="E87" s="5" t="s">
        <v>204</v>
      </c>
      <c r="F87" s="3">
        <v>1</v>
      </c>
      <c r="G87" s="17">
        <v>3.63</v>
      </c>
      <c r="H87" s="17"/>
      <c r="I87" s="17"/>
      <c r="J87" s="26">
        <f t="shared" si="3"/>
        <v>3.63</v>
      </c>
      <c r="K87" s="19"/>
      <c r="L87" s="19"/>
      <c r="M87" s="19"/>
    </row>
    <row r="88" spans="1:13" ht="15" customHeight="1" thickBot="1" x14ac:dyDescent="0.25">
      <c r="A88" s="19"/>
      <c r="B88" s="19"/>
      <c r="C88" s="19"/>
      <c r="D88" s="20" t="s">
        <v>205</v>
      </c>
      <c r="E88" s="5"/>
      <c r="F88" s="3">
        <v>1</v>
      </c>
      <c r="G88" s="17">
        <v>3.1</v>
      </c>
      <c r="H88" s="17"/>
      <c r="I88" s="17"/>
      <c r="J88" s="26">
        <f t="shared" si="3"/>
        <v>3.1</v>
      </c>
      <c r="K88" s="19"/>
      <c r="L88" s="19"/>
      <c r="M88" s="19"/>
    </row>
    <row r="89" spans="1:13" ht="15" customHeight="1" thickBot="1" x14ac:dyDescent="0.25">
      <c r="A89" s="19"/>
      <c r="B89" s="19"/>
      <c r="C89" s="19"/>
      <c r="D89" s="20" t="s">
        <v>206</v>
      </c>
      <c r="E89" s="5"/>
      <c r="F89" s="3">
        <v>1</v>
      </c>
      <c r="G89" s="17">
        <v>4.9000000000000004</v>
      </c>
      <c r="H89" s="17"/>
      <c r="I89" s="17"/>
      <c r="J89" s="26">
        <f t="shared" si="3"/>
        <v>4.9000000000000004</v>
      </c>
      <c r="K89" s="19"/>
      <c r="L89" s="19"/>
      <c r="M89" s="19"/>
    </row>
    <row r="90" spans="1:13" ht="15" customHeight="1" thickBot="1" x14ac:dyDescent="0.25">
      <c r="A90" s="19"/>
      <c r="B90" s="19"/>
      <c r="C90" s="19"/>
      <c r="D90" s="20" t="s">
        <v>207</v>
      </c>
      <c r="E90" s="5" t="s">
        <v>208</v>
      </c>
      <c r="F90" s="3">
        <v>1</v>
      </c>
      <c r="G90" s="17">
        <v>5.3</v>
      </c>
      <c r="H90" s="17"/>
      <c r="I90" s="17"/>
      <c r="J90" s="26">
        <f t="shared" si="3"/>
        <v>5.3</v>
      </c>
      <c r="K90" s="19"/>
      <c r="L90" s="19"/>
      <c r="M90" s="19"/>
    </row>
    <row r="91" spans="1:13" ht="15" customHeight="1" thickBot="1" x14ac:dyDescent="0.25">
      <c r="A91" s="19"/>
      <c r="B91" s="19"/>
      <c r="C91" s="19"/>
      <c r="D91" s="20" t="s">
        <v>209</v>
      </c>
      <c r="E91" s="5" t="s">
        <v>210</v>
      </c>
      <c r="F91" s="3">
        <v>1</v>
      </c>
      <c r="G91" s="17">
        <v>2.5499999999999998</v>
      </c>
      <c r="H91" s="17"/>
      <c r="I91" s="17"/>
      <c r="J91" s="26">
        <f t="shared" si="3"/>
        <v>2.5499999999999998</v>
      </c>
      <c r="K91" s="19"/>
      <c r="L91" s="19"/>
      <c r="M91" s="19"/>
    </row>
    <row r="92" spans="1:13" ht="15" customHeight="1" thickBot="1" x14ac:dyDescent="0.25">
      <c r="A92" s="19"/>
      <c r="B92" s="19"/>
      <c r="C92" s="19"/>
      <c r="D92" s="20" t="s">
        <v>211</v>
      </c>
      <c r="E92" s="5" t="s">
        <v>212</v>
      </c>
      <c r="F92" s="3">
        <v>1</v>
      </c>
      <c r="G92" s="17">
        <v>1.45</v>
      </c>
      <c r="H92" s="17"/>
      <c r="I92" s="17"/>
      <c r="J92" s="26">
        <f t="shared" si="3"/>
        <v>1.45</v>
      </c>
      <c r="K92" s="19"/>
      <c r="L92" s="19"/>
      <c r="M92" s="19"/>
    </row>
    <row r="93" spans="1:13" ht="15" customHeight="1" thickBot="1" x14ac:dyDescent="0.25">
      <c r="A93" s="19"/>
      <c r="B93" s="19"/>
      <c r="C93" s="19"/>
      <c r="D93" s="20" t="s">
        <v>213</v>
      </c>
      <c r="E93" s="5" t="s">
        <v>214</v>
      </c>
      <c r="F93" s="3">
        <v>1</v>
      </c>
      <c r="G93" s="17">
        <v>4.3</v>
      </c>
      <c r="H93" s="17"/>
      <c r="I93" s="17"/>
      <c r="J93" s="26">
        <f t="shared" si="3"/>
        <v>4.3</v>
      </c>
      <c r="K93" s="19"/>
      <c r="L93" s="19"/>
      <c r="M93" s="19"/>
    </row>
    <row r="94" spans="1:13" ht="15" customHeight="1" thickBot="1" x14ac:dyDescent="0.25">
      <c r="A94" s="19"/>
      <c r="B94" s="19"/>
      <c r="C94" s="19"/>
      <c r="D94" s="20" t="s">
        <v>215</v>
      </c>
      <c r="E94" s="5"/>
      <c r="F94" s="3">
        <v>1</v>
      </c>
      <c r="G94" s="17">
        <v>4.1500000000000004</v>
      </c>
      <c r="H94" s="17"/>
      <c r="I94" s="17"/>
      <c r="J94" s="26">
        <f t="shared" si="3"/>
        <v>4.1500000000000004</v>
      </c>
      <c r="K94" s="19"/>
      <c r="L94" s="19"/>
      <c r="M94" s="19"/>
    </row>
    <row r="95" spans="1:13" ht="15" customHeight="1" thickBot="1" x14ac:dyDescent="0.25">
      <c r="A95" s="19"/>
      <c r="B95" s="19"/>
      <c r="C95" s="19"/>
      <c r="D95" s="20" t="s">
        <v>216</v>
      </c>
      <c r="E95" s="5"/>
      <c r="F95" s="3">
        <v>1</v>
      </c>
      <c r="G95" s="17">
        <v>4.9000000000000004</v>
      </c>
      <c r="H95" s="17"/>
      <c r="I95" s="17"/>
      <c r="J95" s="26">
        <f t="shared" si="3"/>
        <v>4.9000000000000004</v>
      </c>
      <c r="K95" s="19"/>
      <c r="L95" s="19"/>
      <c r="M95" s="19"/>
    </row>
    <row r="96" spans="1:13" ht="15" customHeight="1" thickBot="1" x14ac:dyDescent="0.25">
      <c r="A96" s="19"/>
      <c r="B96" s="19"/>
      <c r="C96" s="19"/>
      <c r="D96" s="20" t="s">
        <v>217</v>
      </c>
      <c r="E96" s="5" t="s">
        <v>218</v>
      </c>
      <c r="F96" s="3">
        <v>1</v>
      </c>
      <c r="G96" s="17">
        <v>3.7</v>
      </c>
      <c r="H96" s="17"/>
      <c r="I96" s="17"/>
      <c r="J96" s="26">
        <f t="shared" si="3"/>
        <v>3.7</v>
      </c>
      <c r="K96" s="19"/>
      <c r="L96" s="19"/>
      <c r="M96" s="19"/>
    </row>
    <row r="97" spans="1:13" ht="15" customHeight="1" thickBot="1" x14ac:dyDescent="0.25">
      <c r="A97" s="19"/>
      <c r="B97" s="19"/>
      <c r="C97" s="19"/>
      <c r="D97" s="20" t="s">
        <v>219</v>
      </c>
      <c r="E97" s="5"/>
      <c r="F97" s="3">
        <v>1</v>
      </c>
      <c r="G97" s="17">
        <v>3.05</v>
      </c>
      <c r="H97" s="17"/>
      <c r="I97" s="17"/>
      <c r="J97" s="26">
        <f t="shared" si="3"/>
        <v>3.05</v>
      </c>
      <c r="K97" s="19"/>
      <c r="L97" s="19"/>
      <c r="M97" s="19"/>
    </row>
    <row r="98" spans="1:13" ht="15" customHeight="1" thickBot="1" x14ac:dyDescent="0.25">
      <c r="A98" s="19"/>
      <c r="B98" s="19"/>
      <c r="C98" s="19"/>
      <c r="D98" s="20" t="s">
        <v>220</v>
      </c>
      <c r="E98" s="5" t="s">
        <v>221</v>
      </c>
      <c r="F98" s="3">
        <v>1</v>
      </c>
      <c r="G98" s="17">
        <v>4.88</v>
      </c>
      <c r="H98" s="17"/>
      <c r="I98" s="17"/>
      <c r="J98" s="26">
        <f t="shared" si="3"/>
        <v>4.88</v>
      </c>
      <c r="K98" s="19"/>
      <c r="L98" s="19"/>
      <c r="M98" s="19"/>
    </row>
    <row r="99" spans="1:13" ht="15" customHeight="1" thickBot="1" x14ac:dyDescent="0.25">
      <c r="A99" s="19"/>
      <c r="B99" s="19"/>
      <c r="C99" s="19"/>
      <c r="D99" s="20" t="s">
        <v>222</v>
      </c>
      <c r="E99" s="5"/>
      <c r="F99" s="3">
        <v>1</v>
      </c>
      <c r="G99" s="17">
        <v>2.9</v>
      </c>
      <c r="H99" s="17"/>
      <c r="I99" s="17"/>
      <c r="J99" s="26">
        <f t="shared" si="3"/>
        <v>2.9</v>
      </c>
      <c r="K99" s="19"/>
      <c r="L99" s="19"/>
      <c r="M99" s="19"/>
    </row>
    <row r="100" spans="1:13" ht="15" customHeight="1" thickBot="1" x14ac:dyDescent="0.25">
      <c r="A100" s="19"/>
      <c r="B100" s="19"/>
      <c r="C100" s="19"/>
      <c r="D100" s="20" t="s">
        <v>223</v>
      </c>
      <c r="E100" s="5" t="s">
        <v>224</v>
      </c>
      <c r="F100" s="3">
        <v>1</v>
      </c>
      <c r="G100" s="17">
        <v>7.3</v>
      </c>
      <c r="H100" s="17"/>
      <c r="I100" s="17"/>
      <c r="J100" s="26">
        <f t="shared" si="3"/>
        <v>7.3</v>
      </c>
      <c r="K100" s="19"/>
      <c r="L100" s="19"/>
      <c r="M100" s="19"/>
    </row>
    <row r="101" spans="1:13" ht="15" customHeight="1" thickBot="1" x14ac:dyDescent="0.25">
      <c r="A101" s="19"/>
      <c r="B101" s="19"/>
      <c r="C101" s="19"/>
      <c r="D101" s="20" t="s">
        <v>225</v>
      </c>
      <c r="E101" s="5" t="s">
        <v>226</v>
      </c>
      <c r="F101" s="3">
        <v>1</v>
      </c>
      <c r="G101" s="17">
        <v>4</v>
      </c>
      <c r="H101" s="17"/>
      <c r="I101" s="17"/>
      <c r="J101" s="26">
        <f t="shared" si="3"/>
        <v>4</v>
      </c>
      <c r="K101" s="29">
        <f>SUM(J83:J101)</f>
        <v>74.460000000000008</v>
      </c>
      <c r="L101" s="19"/>
      <c r="M101" s="19"/>
    </row>
    <row r="102" spans="1:13" ht="15.4" customHeight="1" thickBot="1" x14ac:dyDescent="0.25">
      <c r="A102" s="10" t="s">
        <v>227</v>
      </c>
      <c r="B102" s="5" t="s">
        <v>228</v>
      </c>
      <c r="C102" s="5" t="s">
        <v>229</v>
      </c>
      <c r="D102" s="45" t="s">
        <v>230</v>
      </c>
      <c r="E102" s="45"/>
      <c r="F102" s="45"/>
      <c r="G102" s="45"/>
      <c r="H102" s="45"/>
      <c r="I102" s="45"/>
      <c r="J102" s="45"/>
      <c r="K102" s="17">
        <f>SUM(K105:K105)</f>
        <v>34.36</v>
      </c>
      <c r="L102" s="18">
        <f>ROUND(11.9*(1+M2/100),2)</f>
        <v>12.26</v>
      </c>
      <c r="M102" s="18">
        <f>ROUND(K102*L102,2)</f>
        <v>421.25</v>
      </c>
    </row>
    <row r="103" spans="1:13" ht="57.95" customHeight="1" thickBot="1" x14ac:dyDescent="0.25">
      <c r="A103" s="19"/>
      <c r="B103" s="19"/>
      <c r="C103" s="19"/>
      <c r="D103" s="45" t="s">
        <v>231</v>
      </c>
      <c r="E103" s="45"/>
      <c r="F103" s="45"/>
      <c r="G103" s="45"/>
      <c r="H103" s="45"/>
      <c r="I103" s="45"/>
      <c r="J103" s="45"/>
      <c r="K103" s="45"/>
      <c r="L103" s="45"/>
      <c r="M103" s="45"/>
    </row>
    <row r="104" spans="1:13" ht="15" customHeight="1" thickBot="1" x14ac:dyDescent="0.25">
      <c r="A104" s="19"/>
      <c r="B104" s="19"/>
      <c r="C104" s="19"/>
      <c r="D104" s="19"/>
      <c r="E104" s="21"/>
      <c r="F104" s="22" t="s">
        <v>232</v>
      </c>
      <c r="G104" s="22" t="s">
        <v>233</v>
      </c>
      <c r="H104" s="22"/>
      <c r="I104" s="22"/>
      <c r="J104" s="22" t="s">
        <v>234</v>
      </c>
      <c r="K104" s="22" t="s">
        <v>235</v>
      </c>
      <c r="L104" s="19"/>
      <c r="M104" s="19"/>
    </row>
    <row r="105" spans="1:13" ht="15" customHeight="1" thickBot="1" x14ac:dyDescent="0.25">
      <c r="A105" s="19"/>
      <c r="B105" s="19"/>
      <c r="C105" s="19"/>
      <c r="D105" s="20" t="s">
        <v>236</v>
      </c>
      <c r="E105" s="23"/>
      <c r="F105" s="24">
        <v>1</v>
      </c>
      <c r="G105" s="25">
        <v>34.36</v>
      </c>
      <c r="H105" s="25"/>
      <c r="I105" s="25"/>
      <c r="J105" s="27">
        <f>ROUND(F105*G105,3)</f>
        <v>34.36</v>
      </c>
      <c r="K105" s="30">
        <f>SUM(J105:J105)</f>
        <v>34.36</v>
      </c>
      <c r="L105" s="19"/>
      <c r="M105" s="19"/>
    </row>
    <row r="106" spans="1:13" ht="15.4" customHeight="1" thickBot="1" x14ac:dyDescent="0.25">
      <c r="A106" s="10" t="s">
        <v>237</v>
      </c>
      <c r="B106" s="5" t="s">
        <v>238</v>
      </c>
      <c r="C106" s="5" t="s">
        <v>239</v>
      </c>
      <c r="D106" s="45" t="s">
        <v>240</v>
      </c>
      <c r="E106" s="45"/>
      <c r="F106" s="45"/>
      <c r="G106" s="45"/>
      <c r="H106" s="45"/>
      <c r="I106" s="45"/>
      <c r="J106" s="45"/>
      <c r="K106" s="17">
        <f>SUM(K109:K109)</f>
        <v>455</v>
      </c>
      <c r="L106" s="18">
        <f>ROUND(19.17*(1+M2/100),2)</f>
        <v>19.75</v>
      </c>
      <c r="M106" s="18">
        <f>ROUND(K106*L106,2)</f>
        <v>8986.25</v>
      </c>
    </row>
    <row r="107" spans="1:13" ht="48.75" customHeight="1" thickBot="1" x14ac:dyDescent="0.25">
      <c r="A107" s="19"/>
      <c r="B107" s="19"/>
      <c r="C107" s="19"/>
      <c r="D107" s="45" t="s">
        <v>241</v>
      </c>
      <c r="E107" s="45"/>
      <c r="F107" s="45"/>
      <c r="G107" s="45"/>
      <c r="H107" s="45"/>
      <c r="I107" s="45"/>
      <c r="J107" s="45"/>
      <c r="K107" s="45"/>
      <c r="L107" s="45"/>
      <c r="M107" s="45"/>
    </row>
    <row r="108" spans="1:13" ht="15" customHeight="1" thickBot="1" x14ac:dyDescent="0.25">
      <c r="A108" s="19"/>
      <c r="B108" s="19"/>
      <c r="C108" s="19"/>
      <c r="D108" s="19"/>
      <c r="E108" s="21"/>
      <c r="F108" s="22" t="s">
        <v>242</v>
      </c>
      <c r="G108" s="22" t="s">
        <v>243</v>
      </c>
      <c r="H108" s="22"/>
      <c r="I108" s="22"/>
      <c r="J108" s="22" t="s">
        <v>244</v>
      </c>
      <c r="K108" s="22" t="s">
        <v>245</v>
      </c>
      <c r="L108" s="19"/>
      <c r="M108" s="19"/>
    </row>
    <row r="109" spans="1:13" ht="21.2" customHeight="1" thickBot="1" x14ac:dyDescent="0.25">
      <c r="A109" s="19"/>
      <c r="B109" s="19"/>
      <c r="C109" s="19"/>
      <c r="D109" s="20" t="s">
        <v>246</v>
      </c>
      <c r="E109" s="23" t="s">
        <v>247</v>
      </c>
      <c r="F109" s="24">
        <v>1</v>
      </c>
      <c r="G109" s="25">
        <v>455</v>
      </c>
      <c r="H109" s="25"/>
      <c r="I109" s="25"/>
      <c r="J109" s="27">
        <f>ROUND(F109*G109,3)</f>
        <v>455</v>
      </c>
      <c r="K109" s="30">
        <f>SUM(J109:J109)</f>
        <v>455</v>
      </c>
      <c r="L109" s="19"/>
      <c r="M109" s="19"/>
    </row>
    <row r="110" spans="1:13" ht="15.4" customHeight="1" thickBot="1" x14ac:dyDescent="0.25">
      <c r="A110" s="10" t="s">
        <v>248</v>
      </c>
      <c r="B110" s="5" t="s">
        <v>249</v>
      </c>
      <c r="C110" s="5" t="s">
        <v>250</v>
      </c>
      <c r="D110" s="45" t="s">
        <v>251</v>
      </c>
      <c r="E110" s="45"/>
      <c r="F110" s="45"/>
      <c r="G110" s="45"/>
      <c r="H110" s="45"/>
      <c r="I110" s="45"/>
      <c r="J110" s="45"/>
      <c r="K110" s="17">
        <f>SUM(K113:K119)</f>
        <v>75.287999999999997</v>
      </c>
      <c r="L110" s="18">
        <f>ROUND(14.41*(1+M2/100),2)</f>
        <v>14.84</v>
      </c>
      <c r="M110" s="18">
        <f>ROUND(K110*L110,2)</f>
        <v>1117.27</v>
      </c>
    </row>
    <row r="111" spans="1:13" ht="39.6" customHeight="1" thickBot="1" x14ac:dyDescent="0.25">
      <c r="A111" s="19"/>
      <c r="B111" s="19"/>
      <c r="C111" s="19"/>
      <c r="D111" s="45" t="s">
        <v>252</v>
      </c>
      <c r="E111" s="45"/>
      <c r="F111" s="45"/>
      <c r="G111" s="45"/>
      <c r="H111" s="45"/>
      <c r="I111" s="45"/>
      <c r="J111" s="45"/>
      <c r="K111" s="45"/>
      <c r="L111" s="45"/>
      <c r="M111" s="45"/>
    </row>
    <row r="112" spans="1:13" ht="15" customHeight="1" thickBot="1" x14ac:dyDescent="0.25">
      <c r="A112" s="19"/>
      <c r="B112" s="19"/>
      <c r="C112" s="19"/>
      <c r="D112" s="19"/>
      <c r="E112" s="21"/>
      <c r="F112" s="22" t="s">
        <v>253</v>
      </c>
      <c r="G112" s="22" t="s">
        <v>254</v>
      </c>
      <c r="H112" s="22" t="s">
        <v>255</v>
      </c>
      <c r="I112" s="22" t="s">
        <v>256</v>
      </c>
      <c r="J112" s="22" t="s">
        <v>257</v>
      </c>
      <c r="K112" s="22" t="s">
        <v>258</v>
      </c>
      <c r="L112" s="19"/>
      <c r="M112" s="19"/>
    </row>
    <row r="113" spans="1:13" ht="15" customHeight="1" thickBot="1" x14ac:dyDescent="0.25">
      <c r="A113" s="19"/>
      <c r="B113" s="19"/>
      <c r="C113" s="19"/>
      <c r="D113" s="20"/>
      <c r="E113" s="23" t="s">
        <v>259</v>
      </c>
      <c r="F113" s="24">
        <v>1</v>
      </c>
      <c r="G113" s="25"/>
      <c r="H113" s="25">
        <v>4.7</v>
      </c>
      <c r="I113" s="25">
        <v>2.1</v>
      </c>
      <c r="J113" s="27">
        <f t="shared" ref="J113:J119" si="4">ROUND(F113*H113*I113,3)</f>
        <v>9.8699999999999992</v>
      </c>
      <c r="K113" s="28"/>
      <c r="L113" s="19"/>
      <c r="M113" s="19"/>
    </row>
    <row r="114" spans="1:13" ht="15" customHeight="1" thickBot="1" x14ac:dyDescent="0.25">
      <c r="A114" s="19"/>
      <c r="B114" s="19"/>
      <c r="C114" s="19"/>
      <c r="D114" s="20"/>
      <c r="E114" s="5" t="s">
        <v>260</v>
      </c>
      <c r="F114" s="3">
        <v>1</v>
      </c>
      <c r="G114" s="17"/>
      <c r="H114" s="17">
        <v>6.87</v>
      </c>
      <c r="I114" s="17">
        <v>2.1</v>
      </c>
      <c r="J114" s="26">
        <f t="shared" si="4"/>
        <v>14.427</v>
      </c>
      <c r="K114" s="19"/>
      <c r="L114" s="19"/>
      <c r="M114" s="19"/>
    </row>
    <row r="115" spans="1:13" ht="15" customHeight="1" thickBot="1" x14ac:dyDescent="0.25">
      <c r="A115" s="19"/>
      <c r="B115" s="19"/>
      <c r="C115" s="19"/>
      <c r="D115" s="20"/>
      <c r="E115" s="5" t="s">
        <v>261</v>
      </c>
      <c r="F115" s="3">
        <v>1</v>
      </c>
      <c r="G115" s="17"/>
      <c r="H115" s="17">
        <v>7.3</v>
      </c>
      <c r="I115" s="17">
        <v>0.3</v>
      </c>
      <c r="J115" s="26">
        <f t="shared" si="4"/>
        <v>2.19</v>
      </c>
      <c r="K115" s="19"/>
      <c r="L115" s="19"/>
      <c r="M115" s="19"/>
    </row>
    <row r="116" spans="1:13" ht="15" customHeight="1" thickBot="1" x14ac:dyDescent="0.25">
      <c r="A116" s="19"/>
      <c r="B116" s="19"/>
      <c r="C116" s="19"/>
      <c r="D116" s="20"/>
      <c r="E116" s="5" t="s">
        <v>262</v>
      </c>
      <c r="F116" s="3">
        <v>1</v>
      </c>
      <c r="G116" s="17"/>
      <c r="H116" s="17">
        <v>10.02</v>
      </c>
      <c r="I116" s="17">
        <v>2.1</v>
      </c>
      <c r="J116" s="26">
        <f t="shared" si="4"/>
        <v>21.042000000000002</v>
      </c>
      <c r="K116" s="19"/>
      <c r="L116" s="19"/>
      <c r="M116" s="19"/>
    </row>
    <row r="117" spans="1:13" ht="15" customHeight="1" thickBot="1" x14ac:dyDescent="0.25">
      <c r="A117" s="19"/>
      <c r="B117" s="19"/>
      <c r="C117" s="19"/>
      <c r="D117" s="20"/>
      <c r="E117" s="5"/>
      <c r="F117" s="3">
        <v>1</v>
      </c>
      <c r="G117" s="17"/>
      <c r="H117" s="17">
        <v>5.13</v>
      </c>
      <c r="I117" s="17">
        <v>2.1</v>
      </c>
      <c r="J117" s="26">
        <f t="shared" si="4"/>
        <v>10.773</v>
      </c>
      <c r="K117" s="19"/>
      <c r="L117" s="19"/>
      <c r="M117" s="19"/>
    </row>
    <row r="118" spans="1:13" ht="15" customHeight="1" thickBot="1" x14ac:dyDescent="0.25">
      <c r="A118" s="19"/>
      <c r="B118" s="19"/>
      <c r="C118" s="19"/>
      <c r="D118" s="20"/>
      <c r="E118" s="5"/>
      <c r="F118" s="3">
        <v>1</v>
      </c>
      <c r="G118" s="17"/>
      <c r="H118" s="17">
        <v>4.16</v>
      </c>
      <c r="I118" s="17">
        <v>2.1</v>
      </c>
      <c r="J118" s="26">
        <f t="shared" si="4"/>
        <v>8.7360000000000007</v>
      </c>
      <c r="K118" s="19"/>
      <c r="L118" s="19"/>
      <c r="M118" s="19"/>
    </row>
    <row r="119" spans="1:13" ht="21.2" customHeight="1" thickBot="1" x14ac:dyDescent="0.25">
      <c r="A119" s="19"/>
      <c r="B119" s="19"/>
      <c r="C119" s="19"/>
      <c r="D119" s="20"/>
      <c r="E119" s="5" t="s">
        <v>263</v>
      </c>
      <c r="F119" s="3">
        <v>1</v>
      </c>
      <c r="G119" s="17"/>
      <c r="H119" s="17">
        <v>1.5</v>
      </c>
      <c r="I119" s="17">
        <v>5.5</v>
      </c>
      <c r="J119" s="26">
        <f t="shared" si="4"/>
        <v>8.25</v>
      </c>
      <c r="K119" s="29">
        <f>SUM(J113:J119)</f>
        <v>75.287999999999997</v>
      </c>
      <c r="L119" s="19"/>
      <c r="M119" s="19"/>
    </row>
    <row r="120" spans="1:13" ht="15.4" customHeight="1" thickBot="1" x14ac:dyDescent="0.25">
      <c r="A120" s="10" t="s">
        <v>264</v>
      </c>
      <c r="B120" s="5" t="s">
        <v>265</v>
      </c>
      <c r="C120" s="5" t="s">
        <v>266</v>
      </c>
      <c r="D120" s="45" t="s">
        <v>267</v>
      </c>
      <c r="E120" s="45"/>
      <c r="F120" s="45"/>
      <c r="G120" s="45"/>
      <c r="H120" s="45"/>
      <c r="I120" s="45"/>
      <c r="J120" s="45"/>
      <c r="K120" s="17">
        <f>SUM(K123:K131)</f>
        <v>30.161999999999999</v>
      </c>
      <c r="L120" s="18">
        <f>ROUND(12.03*(1+M2/100),2)</f>
        <v>12.39</v>
      </c>
      <c r="M120" s="18">
        <f>ROUND(K120*L120,2)</f>
        <v>373.71</v>
      </c>
    </row>
    <row r="121" spans="1:13" ht="48.75" customHeight="1" thickBot="1" x14ac:dyDescent="0.25">
      <c r="A121" s="19"/>
      <c r="B121" s="19"/>
      <c r="C121" s="19"/>
      <c r="D121" s="45" t="s">
        <v>268</v>
      </c>
      <c r="E121" s="45"/>
      <c r="F121" s="45"/>
      <c r="G121" s="45"/>
      <c r="H121" s="45"/>
      <c r="I121" s="45"/>
      <c r="J121" s="45"/>
      <c r="K121" s="45"/>
      <c r="L121" s="45"/>
      <c r="M121" s="45"/>
    </row>
    <row r="122" spans="1:13" ht="15" customHeight="1" thickBot="1" x14ac:dyDescent="0.25">
      <c r="A122" s="19"/>
      <c r="B122" s="19"/>
      <c r="C122" s="19"/>
      <c r="D122" s="19"/>
      <c r="E122" s="21"/>
      <c r="F122" s="22" t="s">
        <v>269</v>
      </c>
      <c r="G122" s="22"/>
      <c r="H122" s="22" t="s">
        <v>270</v>
      </c>
      <c r="I122" s="22" t="s">
        <v>271</v>
      </c>
      <c r="J122" s="22" t="s">
        <v>272</v>
      </c>
      <c r="K122" s="22" t="s">
        <v>273</v>
      </c>
      <c r="L122" s="19"/>
      <c r="M122" s="19"/>
    </row>
    <row r="123" spans="1:13" ht="15" customHeight="1" thickBot="1" x14ac:dyDescent="0.25">
      <c r="A123" s="19"/>
      <c r="B123" s="19"/>
      <c r="C123" s="19"/>
      <c r="D123" s="20" t="s">
        <v>274</v>
      </c>
      <c r="E123" s="23" t="s">
        <v>275</v>
      </c>
      <c r="F123" s="24">
        <v>1</v>
      </c>
      <c r="G123" s="25"/>
      <c r="H123" s="25">
        <v>0.43</v>
      </c>
      <c r="I123" s="25">
        <v>2.2000000000000002</v>
      </c>
      <c r="J123" s="27">
        <f t="shared" ref="J123:J131" si="5">ROUND(F123*H123*I123,3)</f>
        <v>0.94599999999999995</v>
      </c>
      <c r="K123" s="28"/>
      <c r="L123" s="19"/>
      <c r="M123" s="19"/>
    </row>
    <row r="124" spans="1:13" ht="15" customHeight="1" thickBot="1" x14ac:dyDescent="0.25">
      <c r="A124" s="19"/>
      <c r="B124" s="19"/>
      <c r="C124" s="19"/>
      <c r="D124" s="20" t="s">
        <v>276</v>
      </c>
      <c r="E124" s="5" t="s">
        <v>277</v>
      </c>
      <c r="F124" s="3">
        <v>1</v>
      </c>
      <c r="G124" s="17"/>
      <c r="H124" s="17">
        <v>6.25</v>
      </c>
      <c r="I124" s="17">
        <v>1.1599999999999999</v>
      </c>
      <c r="J124" s="26">
        <f t="shared" si="5"/>
        <v>7.25</v>
      </c>
      <c r="K124" s="19"/>
      <c r="L124" s="19"/>
      <c r="M124" s="19"/>
    </row>
    <row r="125" spans="1:13" ht="15" customHeight="1" thickBot="1" x14ac:dyDescent="0.25">
      <c r="A125" s="19"/>
      <c r="B125" s="19"/>
      <c r="C125" s="19"/>
      <c r="D125" s="20" t="s">
        <v>278</v>
      </c>
      <c r="E125" s="5" t="s">
        <v>279</v>
      </c>
      <c r="F125" s="3">
        <v>1</v>
      </c>
      <c r="G125" s="17"/>
      <c r="H125" s="17">
        <v>3.7</v>
      </c>
      <c r="I125" s="17">
        <v>1.1599999999999999</v>
      </c>
      <c r="J125" s="26">
        <f t="shared" si="5"/>
        <v>4.2919999999999998</v>
      </c>
      <c r="K125" s="19"/>
      <c r="L125" s="19"/>
      <c r="M125" s="19"/>
    </row>
    <row r="126" spans="1:13" ht="15" customHeight="1" thickBot="1" x14ac:dyDescent="0.25">
      <c r="A126" s="19"/>
      <c r="B126" s="19"/>
      <c r="C126" s="19"/>
      <c r="D126" s="20" t="s">
        <v>280</v>
      </c>
      <c r="E126" s="5"/>
      <c r="F126" s="3">
        <v>1</v>
      </c>
      <c r="G126" s="17"/>
      <c r="H126" s="17">
        <v>0.65</v>
      </c>
      <c r="I126" s="17">
        <v>1.04</v>
      </c>
      <c r="J126" s="26">
        <f t="shared" si="5"/>
        <v>0.67600000000000005</v>
      </c>
      <c r="K126" s="19"/>
      <c r="L126" s="19"/>
      <c r="M126" s="19"/>
    </row>
    <row r="127" spans="1:13" ht="15" customHeight="1" thickBot="1" x14ac:dyDescent="0.25">
      <c r="A127" s="19"/>
      <c r="B127" s="19"/>
      <c r="C127" s="19"/>
      <c r="D127" s="20" t="s">
        <v>281</v>
      </c>
      <c r="E127" s="5" t="s">
        <v>282</v>
      </c>
      <c r="F127" s="3">
        <v>1</v>
      </c>
      <c r="G127" s="17"/>
      <c r="H127" s="17">
        <v>3.1</v>
      </c>
      <c r="I127" s="17">
        <v>1.1599999999999999</v>
      </c>
      <c r="J127" s="26">
        <f t="shared" si="5"/>
        <v>3.5960000000000001</v>
      </c>
      <c r="K127" s="19"/>
      <c r="L127" s="19"/>
      <c r="M127" s="19"/>
    </row>
    <row r="128" spans="1:13" ht="15" customHeight="1" thickBot="1" x14ac:dyDescent="0.25">
      <c r="A128" s="19"/>
      <c r="B128" s="19"/>
      <c r="C128" s="19"/>
      <c r="D128" s="20" t="s">
        <v>283</v>
      </c>
      <c r="E128" s="5" t="s">
        <v>284</v>
      </c>
      <c r="F128" s="3">
        <v>1</v>
      </c>
      <c r="G128" s="17"/>
      <c r="H128" s="17">
        <v>3.7</v>
      </c>
      <c r="I128" s="17">
        <v>1.1599999999999999</v>
      </c>
      <c r="J128" s="26">
        <f t="shared" si="5"/>
        <v>4.2919999999999998</v>
      </c>
      <c r="K128" s="19"/>
      <c r="L128" s="19"/>
      <c r="M128" s="19"/>
    </row>
    <row r="129" spans="1:13" ht="15" customHeight="1" thickBot="1" x14ac:dyDescent="0.25">
      <c r="A129" s="19"/>
      <c r="B129" s="19"/>
      <c r="C129" s="19"/>
      <c r="D129" s="20" t="s">
        <v>285</v>
      </c>
      <c r="E129" s="5"/>
      <c r="F129" s="3">
        <v>1</v>
      </c>
      <c r="G129" s="17"/>
      <c r="H129" s="17">
        <v>0.65</v>
      </c>
      <c r="I129" s="17">
        <v>1.04</v>
      </c>
      <c r="J129" s="26">
        <f t="shared" si="5"/>
        <v>0.67600000000000005</v>
      </c>
      <c r="K129" s="19"/>
      <c r="L129" s="19"/>
      <c r="M129" s="19"/>
    </row>
    <row r="130" spans="1:13" ht="15" customHeight="1" thickBot="1" x14ac:dyDescent="0.25">
      <c r="A130" s="19"/>
      <c r="B130" s="19"/>
      <c r="C130" s="19"/>
      <c r="D130" s="20" t="s">
        <v>286</v>
      </c>
      <c r="E130" s="5" t="s">
        <v>287</v>
      </c>
      <c r="F130" s="3">
        <v>1</v>
      </c>
      <c r="G130" s="17"/>
      <c r="H130" s="17">
        <v>3.05</v>
      </c>
      <c r="I130" s="17">
        <v>1.1599999999999999</v>
      </c>
      <c r="J130" s="26">
        <f t="shared" si="5"/>
        <v>3.5379999999999998</v>
      </c>
      <c r="K130" s="19"/>
      <c r="L130" s="19"/>
      <c r="M130" s="19"/>
    </row>
    <row r="131" spans="1:13" ht="15" customHeight="1" thickBot="1" x14ac:dyDescent="0.25">
      <c r="A131" s="19"/>
      <c r="B131" s="19"/>
      <c r="C131" s="19"/>
      <c r="D131" s="20" t="s">
        <v>288</v>
      </c>
      <c r="E131" s="5" t="s">
        <v>289</v>
      </c>
      <c r="F131" s="3">
        <v>1</v>
      </c>
      <c r="G131" s="17"/>
      <c r="H131" s="17">
        <v>2.04</v>
      </c>
      <c r="I131" s="17">
        <v>2.4</v>
      </c>
      <c r="J131" s="26">
        <f t="shared" si="5"/>
        <v>4.8959999999999999</v>
      </c>
      <c r="K131" s="29">
        <f>SUM(J123:J131)</f>
        <v>30.161999999999999</v>
      </c>
      <c r="L131" s="19"/>
      <c r="M131" s="19"/>
    </row>
    <row r="132" spans="1:13" ht="15.4" customHeight="1" thickBot="1" x14ac:dyDescent="0.25">
      <c r="A132" s="10" t="s">
        <v>290</v>
      </c>
      <c r="B132" s="5" t="s">
        <v>291</v>
      </c>
      <c r="C132" s="5" t="s">
        <v>292</v>
      </c>
      <c r="D132" s="45" t="s">
        <v>293</v>
      </c>
      <c r="E132" s="45"/>
      <c r="F132" s="45"/>
      <c r="G132" s="45"/>
      <c r="H132" s="45"/>
      <c r="I132" s="45"/>
      <c r="J132" s="45"/>
      <c r="K132" s="17">
        <f>SUM(K135:K135)</f>
        <v>8.25</v>
      </c>
      <c r="L132" s="18">
        <f>ROUND(18.93*(1+M2/100),2)</f>
        <v>19.5</v>
      </c>
      <c r="M132" s="18">
        <f>ROUND(K132*L132,2)</f>
        <v>160.88</v>
      </c>
    </row>
    <row r="133" spans="1:13" ht="57.95" customHeight="1" thickBot="1" x14ac:dyDescent="0.25">
      <c r="A133" s="19"/>
      <c r="B133" s="19"/>
      <c r="C133" s="19"/>
      <c r="D133" s="45" t="s">
        <v>294</v>
      </c>
      <c r="E133" s="45"/>
      <c r="F133" s="45"/>
      <c r="G133" s="45"/>
      <c r="H133" s="45"/>
      <c r="I133" s="45"/>
      <c r="J133" s="45"/>
      <c r="K133" s="45"/>
      <c r="L133" s="45"/>
      <c r="M133" s="45"/>
    </row>
    <row r="134" spans="1:13" ht="15" customHeight="1" thickBot="1" x14ac:dyDescent="0.25">
      <c r="A134" s="19"/>
      <c r="B134" s="19"/>
      <c r="C134" s="19"/>
      <c r="D134" s="19"/>
      <c r="E134" s="21"/>
      <c r="F134" s="22" t="s">
        <v>295</v>
      </c>
      <c r="G134" s="22" t="s">
        <v>296</v>
      </c>
      <c r="H134" s="22" t="s">
        <v>297</v>
      </c>
      <c r="I134" s="22" t="s">
        <v>298</v>
      </c>
      <c r="J134" s="22" t="s">
        <v>299</v>
      </c>
      <c r="K134" s="22" t="s">
        <v>300</v>
      </c>
      <c r="L134" s="19"/>
      <c r="M134" s="19"/>
    </row>
    <row r="135" spans="1:13" ht="21.2" customHeight="1" thickBot="1" x14ac:dyDescent="0.25">
      <c r="A135" s="19"/>
      <c r="B135" s="19"/>
      <c r="C135" s="19"/>
      <c r="D135" s="20"/>
      <c r="E135" s="23" t="s">
        <v>301</v>
      </c>
      <c r="F135" s="24">
        <v>1</v>
      </c>
      <c r="G135" s="25"/>
      <c r="H135" s="25">
        <v>1.5</v>
      </c>
      <c r="I135" s="25">
        <v>5.5</v>
      </c>
      <c r="J135" s="27">
        <f>ROUND(F135*H135*I135,3)</f>
        <v>8.25</v>
      </c>
      <c r="K135" s="30">
        <f>SUM(J135:J135)</f>
        <v>8.25</v>
      </c>
      <c r="L135" s="19"/>
      <c r="M135" s="19"/>
    </row>
    <row r="136" spans="1:13" ht="15.4" customHeight="1" thickBot="1" x14ac:dyDescent="0.25">
      <c r="A136" s="10" t="s">
        <v>302</v>
      </c>
      <c r="B136" s="5" t="s">
        <v>303</v>
      </c>
      <c r="C136" s="5" t="s">
        <v>304</v>
      </c>
      <c r="D136" s="45" t="s">
        <v>305</v>
      </c>
      <c r="E136" s="45"/>
      <c r="F136" s="45"/>
      <c r="G136" s="45"/>
      <c r="H136" s="45"/>
      <c r="I136" s="45"/>
      <c r="J136" s="45"/>
      <c r="K136" s="17">
        <f>ROUND(250,2)</f>
        <v>250</v>
      </c>
      <c r="L136" s="18">
        <f>ROUND(8.96*(1+M2/100),2)</f>
        <v>9.23</v>
      </c>
      <c r="M136" s="18">
        <f>ROUND(K136*L136,2)</f>
        <v>2307.5</v>
      </c>
    </row>
    <row r="137" spans="1:13" ht="48.75" customHeight="1" thickBot="1" x14ac:dyDescent="0.25">
      <c r="A137" s="19"/>
      <c r="B137" s="19"/>
      <c r="C137" s="19"/>
      <c r="D137" s="45" t="s">
        <v>306</v>
      </c>
      <c r="E137" s="45"/>
      <c r="F137" s="45"/>
      <c r="G137" s="45"/>
      <c r="H137" s="45"/>
      <c r="I137" s="45"/>
      <c r="J137" s="45"/>
      <c r="K137" s="45"/>
      <c r="L137" s="45"/>
      <c r="M137" s="45"/>
    </row>
    <row r="138" spans="1:13" ht="15.4" customHeight="1" thickBot="1" x14ac:dyDescent="0.25">
      <c r="A138" s="10" t="s">
        <v>307</v>
      </c>
      <c r="B138" s="5" t="s">
        <v>308</v>
      </c>
      <c r="C138" s="5" t="s">
        <v>309</v>
      </c>
      <c r="D138" s="45" t="s">
        <v>310</v>
      </c>
      <c r="E138" s="45"/>
      <c r="F138" s="45"/>
      <c r="G138" s="45"/>
      <c r="H138" s="45"/>
      <c r="I138" s="45"/>
      <c r="J138" s="45"/>
      <c r="K138" s="17">
        <f>ROUND(250,2)</f>
        <v>250</v>
      </c>
      <c r="L138" s="18">
        <f>ROUND(20.59*(1+M2/100),2)</f>
        <v>21.21</v>
      </c>
      <c r="M138" s="18">
        <f>ROUND(K138*L138,2)</f>
        <v>5302.5</v>
      </c>
    </row>
    <row r="139" spans="1:13" ht="48.75" customHeight="1" thickBot="1" x14ac:dyDescent="0.25">
      <c r="A139" s="19"/>
      <c r="B139" s="19"/>
      <c r="C139" s="19"/>
      <c r="D139" s="45" t="s">
        <v>311</v>
      </c>
      <c r="E139" s="45"/>
      <c r="F139" s="45"/>
      <c r="G139" s="45"/>
      <c r="H139" s="45"/>
      <c r="I139" s="45"/>
      <c r="J139" s="45"/>
      <c r="K139" s="45"/>
      <c r="L139" s="45"/>
      <c r="M139" s="45"/>
    </row>
    <row r="140" spans="1:13" ht="15.4" customHeight="1" thickBot="1" x14ac:dyDescent="0.25">
      <c r="A140" s="31"/>
      <c r="B140" s="31"/>
      <c r="C140" s="31"/>
      <c r="D140" s="32" t="s">
        <v>312</v>
      </c>
      <c r="E140" s="33"/>
      <c r="F140" s="33"/>
      <c r="G140" s="33"/>
      <c r="H140" s="33"/>
      <c r="I140" s="33"/>
      <c r="J140" s="33"/>
      <c r="K140" s="33"/>
      <c r="L140" s="34">
        <f>M6+M18+M24+M34+M50+M54+M60+M62+M70+M78+M80+M102+M106+M110+M120+M132+M136+M138</f>
        <v>33939.440000000002</v>
      </c>
      <c r="M140" s="34">
        <f>ROUND(L140,2)</f>
        <v>33939.440000000002</v>
      </c>
    </row>
    <row r="141" spans="1:13" ht="15.4" customHeight="1" thickBot="1" x14ac:dyDescent="0.25">
      <c r="A141" s="35" t="s">
        <v>313</v>
      </c>
      <c r="B141" s="35" t="s">
        <v>314</v>
      </c>
      <c r="C141" s="36"/>
      <c r="D141" s="46" t="s">
        <v>315</v>
      </c>
      <c r="E141" s="46"/>
      <c r="F141" s="46"/>
      <c r="G141" s="46"/>
      <c r="H141" s="46"/>
      <c r="I141" s="46"/>
      <c r="J141" s="46"/>
      <c r="K141" s="36"/>
      <c r="L141" s="37">
        <f>L156</f>
        <v>2184.8199999999997</v>
      </c>
      <c r="M141" s="37">
        <f>ROUND(L141,2)</f>
        <v>2184.8200000000002</v>
      </c>
    </row>
    <row r="142" spans="1:13" ht="15.4" customHeight="1" thickBot="1" x14ac:dyDescent="0.25">
      <c r="A142" s="10" t="s">
        <v>316</v>
      </c>
      <c r="B142" s="5" t="s">
        <v>317</v>
      </c>
      <c r="C142" s="5" t="s">
        <v>318</v>
      </c>
      <c r="D142" s="45" t="s">
        <v>319</v>
      </c>
      <c r="E142" s="45"/>
      <c r="F142" s="45"/>
      <c r="G142" s="45"/>
      <c r="H142" s="45"/>
      <c r="I142" s="45"/>
      <c r="J142" s="45"/>
      <c r="K142" s="17">
        <f>SUM(K145:K145)</f>
        <v>5.625</v>
      </c>
      <c r="L142" s="18">
        <f>ROUND(251.02*(1+M2/100),2)</f>
        <v>258.55</v>
      </c>
      <c r="M142" s="18">
        <f>ROUND(K142*L142,2)</f>
        <v>1454.34</v>
      </c>
    </row>
    <row r="143" spans="1:13" ht="67.150000000000006" customHeight="1" thickBot="1" x14ac:dyDescent="0.25">
      <c r="A143" s="19"/>
      <c r="B143" s="19"/>
      <c r="C143" s="19"/>
      <c r="D143" s="45" t="s">
        <v>320</v>
      </c>
      <c r="E143" s="45"/>
      <c r="F143" s="45"/>
      <c r="G143" s="45"/>
      <c r="H143" s="45"/>
      <c r="I143" s="45"/>
      <c r="J143" s="45"/>
      <c r="K143" s="45"/>
      <c r="L143" s="45"/>
      <c r="M143" s="45"/>
    </row>
    <row r="144" spans="1:13" ht="15" customHeight="1" thickBot="1" x14ac:dyDescent="0.25">
      <c r="A144" s="19"/>
      <c r="B144" s="19"/>
      <c r="C144" s="19"/>
      <c r="D144" s="19"/>
      <c r="E144" s="21"/>
      <c r="F144" s="22" t="s">
        <v>321</v>
      </c>
      <c r="G144" s="22" t="s">
        <v>322</v>
      </c>
      <c r="H144" s="22" t="s">
        <v>323</v>
      </c>
      <c r="I144" s="22" t="s">
        <v>324</v>
      </c>
      <c r="J144" s="22" t="s">
        <v>325</v>
      </c>
      <c r="K144" s="22" t="s">
        <v>326</v>
      </c>
      <c r="L144" s="19"/>
      <c r="M144" s="19"/>
    </row>
    <row r="145" spans="1:13" ht="21.2" customHeight="1" thickBot="1" x14ac:dyDescent="0.25">
      <c r="A145" s="19"/>
      <c r="B145" s="19"/>
      <c r="C145" s="19"/>
      <c r="D145" s="20" t="s">
        <v>327</v>
      </c>
      <c r="E145" s="23" t="s">
        <v>328</v>
      </c>
      <c r="F145" s="24">
        <v>1</v>
      </c>
      <c r="G145" s="25">
        <v>5</v>
      </c>
      <c r="H145" s="25">
        <v>1.5</v>
      </c>
      <c r="I145" s="25">
        <v>0.75</v>
      </c>
      <c r="J145" s="27">
        <f>ROUND(F145*G145*H145*I145,3)</f>
        <v>5.625</v>
      </c>
      <c r="K145" s="30">
        <f>SUM(J145:J145)</f>
        <v>5.625</v>
      </c>
      <c r="L145" s="19"/>
      <c r="M145" s="19"/>
    </row>
    <row r="146" spans="1:13" ht="15.4" customHeight="1" thickBot="1" x14ac:dyDescent="0.25">
      <c r="A146" s="10" t="s">
        <v>329</v>
      </c>
      <c r="B146" s="5" t="s">
        <v>330</v>
      </c>
      <c r="C146" s="5" t="s">
        <v>331</v>
      </c>
      <c r="D146" s="45" t="s">
        <v>332</v>
      </c>
      <c r="E146" s="45"/>
      <c r="F146" s="45"/>
      <c r="G146" s="45"/>
      <c r="H146" s="45"/>
      <c r="I146" s="45"/>
      <c r="J146" s="45"/>
      <c r="K146" s="17">
        <f>SUM(K149:K150)</f>
        <v>12.938000000000001</v>
      </c>
      <c r="L146" s="18">
        <f>ROUND(51.4*(1+M2/100),2)</f>
        <v>52.94</v>
      </c>
      <c r="M146" s="18">
        <f>ROUND(K146*L146,2)</f>
        <v>684.94</v>
      </c>
    </row>
    <row r="147" spans="1:13" ht="48.75" customHeight="1" thickBot="1" x14ac:dyDescent="0.25">
      <c r="A147" s="19"/>
      <c r="B147" s="19"/>
      <c r="C147" s="19"/>
      <c r="D147" s="45" t="s">
        <v>333</v>
      </c>
      <c r="E147" s="45"/>
      <c r="F147" s="45"/>
      <c r="G147" s="45"/>
      <c r="H147" s="45"/>
      <c r="I147" s="45"/>
      <c r="J147" s="45"/>
      <c r="K147" s="45"/>
      <c r="L147" s="45"/>
      <c r="M147" s="45"/>
    </row>
    <row r="148" spans="1:13" ht="15" customHeight="1" thickBot="1" x14ac:dyDescent="0.25">
      <c r="A148" s="19"/>
      <c r="B148" s="19"/>
      <c r="C148" s="19"/>
      <c r="D148" s="19"/>
      <c r="E148" s="21"/>
      <c r="F148" s="22" t="s">
        <v>334</v>
      </c>
      <c r="G148" s="22" t="s">
        <v>335</v>
      </c>
      <c r="H148" s="22" t="s">
        <v>336</v>
      </c>
      <c r="I148" s="22" t="s">
        <v>337</v>
      </c>
      <c r="J148" s="22" t="s">
        <v>338</v>
      </c>
      <c r="K148" s="22" t="s">
        <v>339</v>
      </c>
      <c r="L148" s="19"/>
      <c r="M148" s="19"/>
    </row>
    <row r="149" spans="1:13" ht="15" customHeight="1" thickBot="1" x14ac:dyDescent="0.25">
      <c r="A149" s="19"/>
      <c r="B149" s="19"/>
      <c r="C149" s="19"/>
      <c r="D149" s="20" t="s">
        <v>340</v>
      </c>
      <c r="E149" s="23" t="s">
        <v>341</v>
      </c>
      <c r="F149" s="24">
        <v>1.5</v>
      </c>
      <c r="G149" s="25">
        <v>5</v>
      </c>
      <c r="H149" s="25">
        <v>1.5</v>
      </c>
      <c r="I149" s="25">
        <v>0.75</v>
      </c>
      <c r="J149" s="27">
        <f>ROUND(F149*G149*H149*I149,3)</f>
        <v>8.4380000000000006</v>
      </c>
      <c r="K149" s="28"/>
      <c r="L149" s="19"/>
      <c r="M149" s="19"/>
    </row>
    <row r="150" spans="1:13" ht="21.2" customHeight="1" thickBot="1" x14ac:dyDescent="0.25">
      <c r="A150" s="19"/>
      <c r="B150" s="19"/>
      <c r="C150" s="19"/>
      <c r="D150" s="20" t="s">
        <v>342</v>
      </c>
      <c r="E150" s="5" t="s">
        <v>343</v>
      </c>
      <c r="F150" s="3">
        <v>1.5</v>
      </c>
      <c r="G150" s="17">
        <v>15</v>
      </c>
      <c r="H150" s="17">
        <v>0.4</v>
      </c>
      <c r="I150" s="17">
        <v>0.5</v>
      </c>
      <c r="J150" s="26">
        <f>ROUND(F150*G150*H150*I150,3)</f>
        <v>4.5</v>
      </c>
      <c r="K150" s="29">
        <f>SUM(J149:J150)</f>
        <v>12.938000000000001</v>
      </c>
      <c r="L150" s="19"/>
      <c r="M150" s="19"/>
    </row>
    <row r="151" spans="1:13" ht="15.4" customHeight="1" thickBot="1" x14ac:dyDescent="0.25">
      <c r="A151" s="10" t="s">
        <v>344</v>
      </c>
      <c r="B151" s="5" t="s">
        <v>345</v>
      </c>
      <c r="C151" s="5" t="s">
        <v>346</v>
      </c>
      <c r="D151" s="45" t="s">
        <v>347</v>
      </c>
      <c r="E151" s="45"/>
      <c r="F151" s="45"/>
      <c r="G151" s="45"/>
      <c r="H151" s="45"/>
      <c r="I151" s="45"/>
      <c r="J151" s="45"/>
      <c r="K151" s="17">
        <f>SUM(K154:K155)</f>
        <v>12.938000000000001</v>
      </c>
      <c r="L151" s="18">
        <f>ROUND(3.42*(1+M2/100),2)</f>
        <v>3.52</v>
      </c>
      <c r="M151" s="18">
        <f>ROUND(K151*L151,2)</f>
        <v>45.54</v>
      </c>
    </row>
    <row r="152" spans="1:13" ht="48.75" customHeight="1" thickBot="1" x14ac:dyDescent="0.25">
      <c r="A152" s="19"/>
      <c r="B152" s="19"/>
      <c r="C152" s="19"/>
      <c r="D152" s="45" t="s">
        <v>348</v>
      </c>
      <c r="E152" s="45"/>
      <c r="F152" s="45"/>
      <c r="G152" s="45"/>
      <c r="H152" s="45"/>
      <c r="I152" s="45"/>
      <c r="J152" s="45"/>
      <c r="K152" s="45"/>
      <c r="L152" s="45"/>
      <c r="M152" s="45"/>
    </row>
    <row r="153" spans="1:13" ht="15" customHeight="1" thickBot="1" x14ac:dyDescent="0.25">
      <c r="A153" s="19"/>
      <c r="B153" s="19"/>
      <c r="C153" s="19"/>
      <c r="D153" s="19"/>
      <c r="E153" s="21"/>
      <c r="F153" s="22" t="s">
        <v>349</v>
      </c>
      <c r="G153" s="22" t="s">
        <v>350</v>
      </c>
      <c r="H153" s="22" t="s">
        <v>351</v>
      </c>
      <c r="I153" s="22" t="s">
        <v>352</v>
      </c>
      <c r="J153" s="22" t="s">
        <v>353</v>
      </c>
      <c r="K153" s="22" t="s">
        <v>354</v>
      </c>
      <c r="L153" s="19"/>
      <c r="M153" s="19"/>
    </row>
    <row r="154" spans="1:13" ht="15" customHeight="1" thickBot="1" x14ac:dyDescent="0.25">
      <c r="A154" s="19"/>
      <c r="B154" s="19"/>
      <c r="C154" s="19"/>
      <c r="D154" s="20" t="s">
        <v>355</v>
      </c>
      <c r="E154" s="23" t="s">
        <v>356</v>
      </c>
      <c r="F154" s="24">
        <v>1.5</v>
      </c>
      <c r="G154" s="25">
        <v>5</v>
      </c>
      <c r="H154" s="25">
        <v>1.5</v>
      </c>
      <c r="I154" s="25">
        <v>0.75</v>
      </c>
      <c r="J154" s="27">
        <f>ROUND(F154*G154*H154*I154,3)</f>
        <v>8.4380000000000006</v>
      </c>
      <c r="K154" s="28"/>
      <c r="L154" s="19"/>
      <c r="M154" s="19"/>
    </row>
    <row r="155" spans="1:13" ht="21.2" customHeight="1" thickBot="1" x14ac:dyDescent="0.25">
      <c r="A155" s="19"/>
      <c r="B155" s="19"/>
      <c r="C155" s="19"/>
      <c r="D155" s="20" t="s">
        <v>357</v>
      </c>
      <c r="E155" s="5" t="s">
        <v>358</v>
      </c>
      <c r="F155" s="3">
        <v>1.5</v>
      </c>
      <c r="G155" s="17">
        <v>15</v>
      </c>
      <c r="H155" s="17">
        <v>0.4</v>
      </c>
      <c r="I155" s="17">
        <v>0.5</v>
      </c>
      <c r="J155" s="26">
        <f>ROUND(F155*G155*H155*I155,3)</f>
        <v>4.5</v>
      </c>
      <c r="K155" s="29">
        <f>SUM(J154:J155)</f>
        <v>12.938000000000001</v>
      </c>
      <c r="L155" s="19"/>
      <c r="M155" s="19"/>
    </row>
    <row r="156" spans="1:13" ht="15.4" customHeight="1" thickBot="1" x14ac:dyDescent="0.25">
      <c r="A156" s="31"/>
      <c r="B156" s="31"/>
      <c r="C156" s="31"/>
      <c r="D156" s="32" t="s">
        <v>359</v>
      </c>
      <c r="E156" s="33"/>
      <c r="F156" s="33"/>
      <c r="G156" s="33"/>
      <c r="H156" s="33"/>
      <c r="I156" s="33"/>
      <c r="J156" s="33"/>
      <c r="K156" s="33"/>
      <c r="L156" s="34">
        <f>M142+M146+M151</f>
        <v>2184.8199999999997</v>
      </c>
      <c r="M156" s="34">
        <f>ROUND(L156,2)</f>
        <v>2184.8200000000002</v>
      </c>
    </row>
    <row r="157" spans="1:13" ht="15.4" customHeight="1" thickBot="1" x14ac:dyDescent="0.25">
      <c r="A157" s="35" t="s">
        <v>360</v>
      </c>
      <c r="B157" s="35" t="s">
        <v>361</v>
      </c>
      <c r="C157" s="36"/>
      <c r="D157" s="46" t="s">
        <v>362</v>
      </c>
      <c r="E157" s="46"/>
      <c r="F157" s="46"/>
      <c r="G157" s="46"/>
      <c r="H157" s="46"/>
      <c r="I157" s="46"/>
      <c r="J157" s="46"/>
      <c r="K157" s="36"/>
      <c r="L157" s="37">
        <v>0</v>
      </c>
      <c r="M157" s="37">
        <v>0</v>
      </c>
    </row>
    <row r="158" spans="1:13" ht="15.4" customHeight="1" thickBot="1" x14ac:dyDescent="0.25">
      <c r="A158" s="31"/>
      <c r="B158" s="31"/>
      <c r="C158" s="31"/>
      <c r="D158" s="32" t="s">
        <v>363</v>
      </c>
      <c r="E158" s="33"/>
      <c r="F158" s="33"/>
      <c r="G158" s="33"/>
      <c r="H158" s="33"/>
      <c r="I158" s="33"/>
      <c r="J158" s="33"/>
      <c r="K158" s="33"/>
      <c r="L158" s="34">
        <v>0</v>
      </c>
      <c r="M158" s="34">
        <v>0</v>
      </c>
    </row>
    <row r="159" spans="1:13" ht="15.4" customHeight="1" thickBot="1" x14ac:dyDescent="0.25">
      <c r="A159" s="35" t="s">
        <v>364</v>
      </c>
      <c r="B159" s="35" t="s">
        <v>365</v>
      </c>
      <c r="C159" s="36"/>
      <c r="D159" s="46" t="s">
        <v>366</v>
      </c>
      <c r="E159" s="46"/>
      <c r="F159" s="46"/>
      <c r="G159" s="46"/>
      <c r="H159" s="46"/>
      <c r="I159" s="46"/>
      <c r="J159" s="46"/>
      <c r="K159" s="36"/>
      <c r="L159" s="37">
        <f>L188</f>
        <v>5889.21</v>
      </c>
      <c r="M159" s="37">
        <f>ROUND(L159,2)</f>
        <v>5889.21</v>
      </c>
    </row>
    <row r="160" spans="1:13" ht="15.4" customHeight="1" thickBot="1" x14ac:dyDescent="0.25">
      <c r="A160" s="10" t="s">
        <v>367</v>
      </c>
      <c r="B160" s="5" t="s">
        <v>368</v>
      </c>
      <c r="C160" s="5" t="s">
        <v>369</v>
      </c>
      <c r="D160" s="45" t="s">
        <v>370</v>
      </c>
      <c r="E160" s="45"/>
      <c r="F160" s="45"/>
      <c r="G160" s="45"/>
      <c r="H160" s="45"/>
      <c r="I160" s="45"/>
      <c r="J160" s="45"/>
      <c r="K160" s="17">
        <f>SUM(K163:K163)</f>
        <v>7.5</v>
      </c>
      <c r="L160" s="18">
        <f>ROUND(29.33*(1+M2/100),2)</f>
        <v>30.21</v>
      </c>
      <c r="M160" s="18">
        <f>ROUND(K160*L160,2)</f>
        <v>226.58</v>
      </c>
    </row>
    <row r="161" spans="1:13" ht="104.1" customHeight="1" thickBot="1" x14ac:dyDescent="0.25">
      <c r="A161" s="19"/>
      <c r="B161" s="19"/>
      <c r="C161" s="19"/>
      <c r="D161" s="45" t="s">
        <v>371</v>
      </c>
      <c r="E161" s="45"/>
      <c r="F161" s="45"/>
      <c r="G161" s="45"/>
      <c r="H161" s="45"/>
      <c r="I161" s="45"/>
      <c r="J161" s="45"/>
      <c r="K161" s="45"/>
      <c r="L161" s="45"/>
      <c r="M161" s="45"/>
    </row>
    <row r="162" spans="1:13" ht="15" customHeight="1" thickBot="1" x14ac:dyDescent="0.25">
      <c r="A162" s="19"/>
      <c r="B162" s="19"/>
      <c r="C162" s="19"/>
      <c r="D162" s="19"/>
      <c r="E162" s="21"/>
      <c r="F162" s="22" t="s">
        <v>372</v>
      </c>
      <c r="G162" s="22" t="s">
        <v>373</v>
      </c>
      <c r="H162" s="22" t="s">
        <v>374</v>
      </c>
      <c r="I162" s="22"/>
      <c r="J162" s="22" t="s">
        <v>375</v>
      </c>
      <c r="K162" s="22" t="s">
        <v>376</v>
      </c>
      <c r="L162" s="19"/>
      <c r="M162" s="19"/>
    </row>
    <row r="163" spans="1:13" ht="15" customHeight="1" thickBot="1" x14ac:dyDescent="0.25">
      <c r="A163" s="19"/>
      <c r="B163" s="19"/>
      <c r="C163" s="19"/>
      <c r="D163" s="20"/>
      <c r="E163" s="23" t="s">
        <v>377</v>
      </c>
      <c r="F163" s="24">
        <v>1</v>
      </c>
      <c r="G163" s="25">
        <v>5</v>
      </c>
      <c r="H163" s="25">
        <v>1.5</v>
      </c>
      <c r="I163" s="25"/>
      <c r="J163" s="27">
        <f>ROUND(F163*G163*H163,3)</f>
        <v>7.5</v>
      </c>
      <c r="K163" s="30">
        <f>SUM(J163:J163)</f>
        <v>7.5</v>
      </c>
      <c r="L163" s="19"/>
      <c r="M163" s="19"/>
    </row>
    <row r="164" spans="1:13" ht="15.4" customHeight="1" thickBot="1" x14ac:dyDescent="0.25">
      <c r="A164" s="10" t="s">
        <v>378</v>
      </c>
      <c r="B164" s="5" t="s">
        <v>379</v>
      </c>
      <c r="C164" s="5" t="s">
        <v>380</v>
      </c>
      <c r="D164" s="45" t="s">
        <v>381</v>
      </c>
      <c r="E164" s="45"/>
      <c r="F164" s="45"/>
      <c r="G164" s="45"/>
      <c r="H164" s="45"/>
      <c r="I164" s="45"/>
      <c r="J164" s="45"/>
      <c r="K164" s="17">
        <f>SUM(K167:K167)</f>
        <v>7.48</v>
      </c>
      <c r="L164" s="18">
        <f>ROUND(41.39*(1+M2/100),2)</f>
        <v>42.63</v>
      </c>
      <c r="M164" s="18">
        <f>ROUND(K164*L164,2)</f>
        <v>318.87</v>
      </c>
    </row>
    <row r="165" spans="1:13" ht="48.75" customHeight="1" thickBot="1" x14ac:dyDescent="0.25">
      <c r="A165" s="19"/>
      <c r="B165" s="19"/>
      <c r="C165" s="19"/>
      <c r="D165" s="45" t="s">
        <v>382</v>
      </c>
      <c r="E165" s="45"/>
      <c r="F165" s="45"/>
      <c r="G165" s="45"/>
      <c r="H165" s="45"/>
      <c r="I165" s="45"/>
      <c r="J165" s="45"/>
      <c r="K165" s="45"/>
      <c r="L165" s="45"/>
      <c r="M165" s="45"/>
    </row>
    <row r="166" spans="1:13" ht="15" customHeight="1" thickBot="1" x14ac:dyDescent="0.25">
      <c r="A166" s="19"/>
      <c r="B166" s="19"/>
      <c r="C166" s="19"/>
      <c r="D166" s="19"/>
      <c r="E166" s="21"/>
      <c r="F166" s="22" t="s">
        <v>383</v>
      </c>
      <c r="G166" s="22" t="s">
        <v>384</v>
      </c>
      <c r="H166" s="22" t="s">
        <v>385</v>
      </c>
      <c r="I166" s="22"/>
      <c r="J166" s="22" t="s">
        <v>386</v>
      </c>
      <c r="K166" s="22" t="s">
        <v>387</v>
      </c>
      <c r="L166" s="19"/>
      <c r="M166" s="19"/>
    </row>
    <row r="167" spans="1:13" ht="15" customHeight="1" thickBot="1" x14ac:dyDescent="0.25">
      <c r="A167" s="19"/>
      <c r="B167" s="19"/>
      <c r="C167" s="19"/>
      <c r="D167" s="20"/>
      <c r="E167" s="23" t="s">
        <v>388</v>
      </c>
      <c r="F167" s="24">
        <v>2</v>
      </c>
      <c r="G167" s="25">
        <v>3.74</v>
      </c>
      <c r="H167" s="25"/>
      <c r="I167" s="25"/>
      <c r="J167" s="27">
        <f>ROUND(F167*G167,3)</f>
        <v>7.48</v>
      </c>
      <c r="K167" s="30">
        <f>SUM(J167:J167)</f>
        <v>7.48</v>
      </c>
      <c r="L167" s="19"/>
      <c r="M167" s="19"/>
    </row>
    <row r="168" spans="1:13" ht="15.4" customHeight="1" thickBot="1" x14ac:dyDescent="0.25">
      <c r="A168" s="10" t="s">
        <v>389</v>
      </c>
      <c r="B168" s="5" t="s">
        <v>390</v>
      </c>
      <c r="C168" s="5" t="s">
        <v>391</v>
      </c>
      <c r="D168" s="45" t="s">
        <v>392</v>
      </c>
      <c r="E168" s="45"/>
      <c r="F168" s="45"/>
      <c r="G168" s="45"/>
      <c r="H168" s="45"/>
      <c r="I168" s="45"/>
      <c r="J168" s="45"/>
      <c r="K168" s="17">
        <f>SUM(K171:K175)</f>
        <v>48.519999999999996</v>
      </c>
      <c r="L168" s="18">
        <f>ROUND(22.03*(1+M2/100),2)</f>
        <v>22.69</v>
      </c>
      <c r="M168" s="18">
        <f>ROUND(K168*L168,2)</f>
        <v>1100.92</v>
      </c>
    </row>
    <row r="169" spans="1:13" ht="104.1" customHeight="1" thickBot="1" x14ac:dyDescent="0.25">
      <c r="A169" s="19"/>
      <c r="B169" s="19"/>
      <c r="C169" s="19"/>
      <c r="D169" s="45" t="s">
        <v>393</v>
      </c>
      <c r="E169" s="45"/>
      <c r="F169" s="45"/>
      <c r="G169" s="45"/>
      <c r="H169" s="45"/>
      <c r="I169" s="45"/>
      <c r="J169" s="45"/>
      <c r="K169" s="45"/>
      <c r="L169" s="45"/>
      <c r="M169" s="45"/>
    </row>
    <row r="170" spans="1:13" ht="15" customHeight="1" thickBot="1" x14ac:dyDescent="0.25">
      <c r="A170" s="19"/>
      <c r="B170" s="19"/>
      <c r="C170" s="19"/>
      <c r="D170" s="19"/>
      <c r="E170" s="21"/>
      <c r="F170" s="22" t="s">
        <v>394</v>
      </c>
      <c r="G170" s="22"/>
      <c r="H170" s="22" t="s">
        <v>395</v>
      </c>
      <c r="I170" s="22" t="s">
        <v>396</v>
      </c>
      <c r="J170" s="22" t="s">
        <v>397</v>
      </c>
      <c r="K170" s="22" t="s">
        <v>398</v>
      </c>
      <c r="L170" s="19"/>
      <c r="M170" s="19"/>
    </row>
    <row r="171" spans="1:13" ht="15" customHeight="1" thickBot="1" x14ac:dyDescent="0.25">
      <c r="A171" s="19"/>
      <c r="B171" s="19"/>
      <c r="C171" s="19"/>
      <c r="D171" s="20" t="s">
        <v>399</v>
      </c>
      <c r="E171" s="23" t="s">
        <v>400</v>
      </c>
      <c r="F171" s="24">
        <v>1</v>
      </c>
      <c r="G171" s="25"/>
      <c r="H171" s="25">
        <v>3.05</v>
      </c>
      <c r="I171" s="25">
        <v>1.1599999999999999</v>
      </c>
      <c r="J171" s="27">
        <f>ROUND(F171*H171*I171,3)</f>
        <v>3.5379999999999998</v>
      </c>
      <c r="K171" s="28"/>
      <c r="L171" s="19"/>
      <c r="M171" s="19"/>
    </row>
    <row r="172" spans="1:13" ht="15" customHeight="1" thickBot="1" x14ac:dyDescent="0.25">
      <c r="A172" s="19"/>
      <c r="B172" s="19"/>
      <c r="C172" s="19"/>
      <c r="D172" s="20" t="s">
        <v>401</v>
      </c>
      <c r="E172" s="5" t="s">
        <v>402</v>
      </c>
      <c r="F172" s="3">
        <v>1</v>
      </c>
      <c r="G172" s="17"/>
      <c r="H172" s="17">
        <v>6.85</v>
      </c>
      <c r="I172" s="17">
        <v>2.1</v>
      </c>
      <c r="J172" s="26">
        <f>ROUND(F172*H172*I172,3)</f>
        <v>14.385</v>
      </c>
      <c r="K172" s="19"/>
      <c r="L172" s="19"/>
      <c r="M172" s="19"/>
    </row>
    <row r="173" spans="1:13" ht="15" customHeight="1" thickBot="1" x14ac:dyDescent="0.25">
      <c r="A173" s="19"/>
      <c r="B173" s="19"/>
      <c r="C173" s="19"/>
      <c r="D173" s="20" t="s">
        <v>403</v>
      </c>
      <c r="E173" s="5" t="s">
        <v>404</v>
      </c>
      <c r="F173" s="3">
        <v>1</v>
      </c>
      <c r="G173" s="17"/>
      <c r="H173" s="17">
        <v>5.13</v>
      </c>
      <c r="I173" s="17">
        <v>2.1</v>
      </c>
      <c r="J173" s="26">
        <f>ROUND(F173*H173*I173,3)</f>
        <v>10.773</v>
      </c>
      <c r="K173" s="19"/>
      <c r="L173" s="19"/>
      <c r="M173" s="19"/>
    </row>
    <row r="174" spans="1:13" ht="15" customHeight="1" thickBot="1" x14ac:dyDescent="0.25">
      <c r="A174" s="19"/>
      <c r="B174" s="19"/>
      <c r="C174" s="19"/>
      <c r="D174" s="20" t="s">
        <v>405</v>
      </c>
      <c r="E174" s="5"/>
      <c r="F174" s="3">
        <v>1</v>
      </c>
      <c r="G174" s="17"/>
      <c r="H174" s="17">
        <v>4.1900000000000004</v>
      </c>
      <c r="I174" s="17">
        <v>2.1</v>
      </c>
      <c r="J174" s="26">
        <f>ROUND(F174*H174*I174,3)</f>
        <v>8.7989999999999995</v>
      </c>
      <c r="K174" s="19"/>
      <c r="L174" s="19"/>
      <c r="M174" s="19"/>
    </row>
    <row r="175" spans="1:13" ht="15" customHeight="1" thickBot="1" x14ac:dyDescent="0.25">
      <c r="A175" s="19"/>
      <c r="B175" s="19"/>
      <c r="C175" s="19"/>
      <c r="D175" s="20" t="s">
        <v>406</v>
      </c>
      <c r="E175" s="5" t="s">
        <v>407</v>
      </c>
      <c r="F175" s="3">
        <v>1</v>
      </c>
      <c r="G175" s="17"/>
      <c r="H175" s="17">
        <v>5.25</v>
      </c>
      <c r="I175" s="17">
        <v>2.1</v>
      </c>
      <c r="J175" s="26">
        <f>ROUND(F175*H175*I175,3)</f>
        <v>11.025</v>
      </c>
      <c r="K175" s="29">
        <f>SUM(J171:J175)</f>
        <v>48.519999999999996</v>
      </c>
      <c r="L175" s="19"/>
      <c r="M175" s="19"/>
    </row>
    <row r="176" spans="1:13" ht="15.4" customHeight="1" thickBot="1" x14ac:dyDescent="0.25">
      <c r="A176" s="10" t="s">
        <v>408</v>
      </c>
      <c r="B176" s="5" t="s">
        <v>409</v>
      </c>
      <c r="C176" s="5" t="s">
        <v>410</v>
      </c>
      <c r="D176" s="45" t="s">
        <v>411</v>
      </c>
      <c r="E176" s="45"/>
      <c r="F176" s="45"/>
      <c r="G176" s="45"/>
      <c r="H176" s="45"/>
      <c r="I176" s="45"/>
      <c r="J176" s="45"/>
      <c r="K176" s="17">
        <f>SUM(K179:K185)</f>
        <v>103.554</v>
      </c>
      <c r="L176" s="18">
        <f>ROUND(31.63*(1+M2/100),2)</f>
        <v>32.58</v>
      </c>
      <c r="M176" s="18">
        <f>ROUND(K176*L176,2)</f>
        <v>3373.79</v>
      </c>
    </row>
    <row r="177" spans="1:13" ht="76.349999999999994" customHeight="1" thickBot="1" x14ac:dyDescent="0.25">
      <c r="A177" s="19"/>
      <c r="B177" s="19"/>
      <c r="C177" s="19"/>
      <c r="D177" s="45" t="s">
        <v>412</v>
      </c>
      <c r="E177" s="45"/>
      <c r="F177" s="45"/>
      <c r="G177" s="45"/>
      <c r="H177" s="45"/>
      <c r="I177" s="45"/>
      <c r="J177" s="45"/>
      <c r="K177" s="45"/>
      <c r="L177" s="45"/>
      <c r="M177" s="45"/>
    </row>
    <row r="178" spans="1:13" ht="15" customHeight="1" thickBot="1" x14ac:dyDescent="0.25">
      <c r="A178" s="19"/>
      <c r="B178" s="19"/>
      <c r="C178" s="19"/>
      <c r="D178" s="19"/>
      <c r="E178" s="21"/>
      <c r="F178" s="22" t="s">
        <v>413</v>
      </c>
      <c r="G178" s="22"/>
      <c r="H178" s="22" t="s">
        <v>414</v>
      </c>
      <c r="I178" s="22" t="s">
        <v>415</v>
      </c>
      <c r="J178" s="22" t="s">
        <v>416</v>
      </c>
      <c r="K178" s="22" t="s">
        <v>417</v>
      </c>
      <c r="L178" s="19"/>
      <c r="M178" s="19"/>
    </row>
    <row r="179" spans="1:13" ht="15" customHeight="1" thickBot="1" x14ac:dyDescent="0.25">
      <c r="A179" s="19"/>
      <c r="B179" s="19"/>
      <c r="C179" s="19"/>
      <c r="D179" s="20" t="s">
        <v>418</v>
      </c>
      <c r="E179" s="23" t="s">
        <v>419</v>
      </c>
      <c r="F179" s="24">
        <v>1</v>
      </c>
      <c r="G179" s="25"/>
      <c r="H179" s="25">
        <v>9.0500000000000007</v>
      </c>
      <c r="I179" s="25">
        <v>2.2000000000000002</v>
      </c>
      <c r="J179" s="27">
        <f t="shared" ref="J179:J185" si="6">ROUND(F179*H179*I179,3)</f>
        <v>19.91</v>
      </c>
      <c r="K179" s="28"/>
      <c r="L179" s="19"/>
      <c r="M179" s="19"/>
    </row>
    <row r="180" spans="1:13" ht="15" customHeight="1" thickBot="1" x14ac:dyDescent="0.25">
      <c r="A180" s="19"/>
      <c r="B180" s="19"/>
      <c r="C180" s="19"/>
      <c r="D180" s="20" t="s">
        <v>420</v>
      </c>
      <c r="E180" s="5" t="s">
        <v>421</v>
      </c>
      <c r="F180" s="3">
        <v>1</v>
      </c>
      <c r="G180" s="17"/>
      <c r="H180" s="17">
        <v>2</v>
      </c>
      <c r="I180" s="17">
        <v>2.2000000000000002</v>
      </c>
      <c r="J180" s="26">
        <f t="shared" si="6"/>
        <v>4.4000000000000004</v>
      </c>
      <c r="K180" s="19"/>
      <c r="L180" s="19"/>
      <c r="M180" s="19"/>
    </row>
    <row r="181" spans="1:13" ht="15" customHeight="1" thickBot="1" x14ac:dyDescent="0.25">
      <c r="A181" s="19"/>
      <c r="B181" s="19"/>
      <c r="C181" s="19"/>
      <c r="D181" s="20" t="s">
        <v>422</v>
      </c>
      <c r="E181" s="5" t="s">
        <v>423</v>
      </c>
      <c r="F181" s="3">
        <v>1</v>
      </c>
      <c r="G181" s="17"/>
      <c r="H181" s="17">
        <v>8.43</v>
      </c>
      <c r="I181" s="17">
        <v>2.2000000000000002</v>
      </c>
      <c r="J181" s="26">
        <f t="shared" si="6"/>
        <v>18.545999999999999</v>
      </c>
      <c r="K181" s="19"/>
      <c r="L181" s="19"/>
      <c r="M181" s="19"/>
    </row>
    <row r="182" spans="1:13" ht="15" customHeight="1" thickBot="1" x14ac:dyDescent="0.25">
      <c r="A182" s="19"/>
      <c r="B182" s="19"/>
      <c r="C182" s="19"/>
      <c r="D182" s="20" t="s">
        <v>424</v>
      </c>
      <c r="E182" s="5"/>
      <c r="F182" s="3">
        <v>1</v>
      </c>
      <c r="G182" s="17"/>
      <c r="H182" s="17">
        <v>5.45</v>
      </c>
      <c r="I182" s="17">
        <v>2.2000000000000002</v>
      </c>
      <c r="J182" s="26">
        <f t="shared" si="6"/>
        <v>11.99</v>
      </c>
      <c r="K182" s="19"/>
      <c r="L182" s="19"/>
      <c r="M182" s="19"/>
    </row>
    <row r="183" spans="1:13" ht="15" customHeight="1" thickBot="1" x14ac:dyDescent="0.25">
      <c r="A183" s="19"/>
      <c r="B183" s="19"/>
      <c r="C183" s="19"/>
      <c r="D183" s="20" t="s">
        <v>425</v>
      </c>
      <c r="E183" s="5" t="s">
        <v>426</v>
      </c>
      <c r="F183" s="3">
        <v>1</v>
      </c>
      <c r="G183" s="17"/>
      <c r="H183" s="17">
        <v>8.4499999999999993</v>
      </c>
      <c r="I183" s="17">
        <v>2.2000000000000002</v>
      </c>
      <c r="J183" s="26">
        <f t="shared" si="6"/>
        <v>18.59</v>
      </c>
      <c r="K183" s="19"/>
      <c r="L183" s="19"/>
      <c r="M183" s="19"/>
    </row>
    <row r="184" spans="1:13" ht="15" customHeight="1" thickBot="1" x14ac:dyDescent="0.25">
      <c r="A184" s="19"/>
      <c r="B184" s="19"/>
      <c r="C184" s="19"/>
      <c r="D184" s="20" t="s">
        <v>427</v>
      </c>
      <c r="E184" s="5" t="s">
        <v>428</v>
      </c>
      <c r="F184" s="3">
        <v>1</v>
      </c>
      <c r="G184" s="17"/>
      <c r="H184" s="17">
        <v>3.64</v>
      </c>
      <c r="I184" s="17">
        <v>2.2000000000000002</v>
      </c>
      <c r="J184" s="26">
        <f t="shared" si="6"/>
        <v>8.0079999999999991</v>
      </c>
      <c r="K184" s="19"/>
      <c r="L184" s="19"/>
      <c r="M184" s="19"/>
    </row>
    <row r="185" spans="1:13" ht="15" customHeight="1" thickBot="1" x14ac:dyDescent="0.25">
      <c r="A185" s="19"/>
      <c r="B185" s="19"/>
      <c r="C185" s="19"/>
      <c r="D185" s="20" t="s">
        <v>429</v>
      </c>
      <c r="E185" s="5" t="s">
        <v>430</v>
      </c>
      <c r="F185" s="3">
        <v>1</v>
      </c>
      <c r="G185" s="17"/>
      <c r="H185" s="17">
        <v>10.050000000000001</v>
      </c>
      <c r="I185" s="17">
        <v>2.2000000000000002</v>
      </c>
      <c r="J185" s="26">
        <f t="shared" si="6"/>
        <v>22.11</v>
      </c>
      <c r="K185" s="29">
        <f>SUM(J179:J185)</f>
        <v>103.554</v>
      </c>
      <c r="L185" s="19"/>
      <c r="M185" s="19"/>
    </row>
    <row r="186" spans="1:13" ht="15.4" customHeight="1" thickBot="1" x14ac:dyDescent="0.25">
      <c r="A186" s="10" t="s">
        <v>431</v>
      </c>
      <c r="B186" s="5" t="s">
        <v>432</v>
      </c>
      <c r="C186" s="5" t="s">
        <v>433</v>
      </c>
      <c r="D186" s="45" t="s">
        <v>434</v>
      </c>
      <c r="E186" s="45"/>
      <c r="F186" s="45"/>
      <c r="G186" s="45"/>
      <c r="H186" s="45"/>
      <c r="I186" s="45"/>
      <c r="J186" s="45"/>
      <c r="K186" s="17">
        <f>ROUND(1,2)</f>
        <v>1</v>
      </c>
      <c r="L186" s="18">
        <f>ROUND(843.74*(1+M2/100),2)</f>
        <v>869.05</v>
      </c>
      <c r="M186" s="18">
        <f>ROUND(K186*L186,2)</f>
        <v>869.05</v>
      </c>
    </row>
    <row r="187" spans="1:13" ht="48.75" customHeight="1" thickBot="1" x14ac:dyDescent="0.25">
      <c r="A187" s="19"/>
      <c r="B187" s="19"/>
      <c r="C187" s="19"/>
      <c r="D187" s="45" t="s">
        <v>435</v>
      </c>
      <c r="E187" s="45"/>
      <c r="F187" s="45"/>
      <c r="G187" s="45"/>
      <c r="H187" s="45"/>
      <c r="I187" s="45"/>
      <c r="J187" s="45"/>
      <c r="K187" s="45"/>
      <c r="L187" s="45"/>
      <c r="M187" s="45"/>
    </row>
    <row r="188" spans="1:13" ht="15.4" customHeight="1" thickBot="1" x14ac:dyDescent="0.25">
      <c r="A188" s="31"/>
      <c r="B188" s="31"/>
      <c r="C188" s="31"/>
      <c r="D188" s="32" t="s">
        <v>436</v>
      </c>
      <c r="E188" s="33"/>
      <c r="F188" s="33"/>
      <c r="G188" s="33"/>
      <c r="H188" s="33"/>
      <c r="I188" s="33"/>
      <c r="J188" s="33"/>
      <c r="K188" s="33"/>
      <c r="L188" s="34">
        <f>M160+M164+M168+M176+M186</f>
        <v>5889.21</v>
      </c>
      <c r="M188" s="34">
        <f>ROUND(L188,2)</f>
        <v>5889.21</v>
      </c>
    </row>
    <row r="189" spans="1:13" ht="15.4" customHeight="1" thickBot="1" x14ac:dyDescent="0.25">
      <c r="A189" s="35" t="s">
        <v>437</v>
      </c>
      <c r="B189" s="35" t="s">
        <v>438</v>
      </c>
      <c r="C189" s="36"/>
      <c r="D189" s="46" t="s">
        <v>439</v>
      </c>
      <c r="E189" s="46"/>
      <c r="F189" s="46"/>
      <c r="G189" s="46"/>
      <c r="H189" s="46"/>
      <c r="I189" s="46"/>
      <c r="J189" s="46"/>
      <c r="K189" s="36"/>
      <c r="L189" s="37">
        <f>L196</f>
        <v>2886.21</v>
      </c>
      <c r="M189" s="37">
        <f>ROUND(L189,2)</f>
        <v>2886.21</v>
      </c>
    </row>
    <row r="190" spans="1:13" ht="15.4" customHeight="1" thickBot="1" x14ac:dyDescent="0.25">
      <c r="A190" s="10" t="s">
        <v>440</v>
      </c>
      <c r="B190" s="5" t="s">
        <v>441</v>
      </c>
      <c r="C190" s="5" t="s">
        <v>442</v>
      </c>
      <c r="D190" s="45" t="s">
        <v>443</v>
      </c>
      <c r="E190" s="45"/>
      <c r="F190" s="45"/>
      <c r="G190" s="45"/>
      <c r="H190" s="45"/>
      <c r="I190" s="45"/>
      <c r="J190" s="45"/>
      <c r="K190" s="17">
        <f>ROUND(1,2)</f>
        <v>1</v>
      </c>
      <c r="L190" s="18">
        <f>ROUND(1094.18*(1+M2/100),2)</f>
        <v>1127.01</v>
      </c>
      <c r="M190" s="18">
        <f>ROUND(K190*L190,2)</f>
        <v>1127.01</v>
      </c>
    </row>
    <row r="191" spans="1:13" ht="57.95" customHeight="1" thickBot="1" x14ac:dyDescent="0.25">
      <c r="A191" s="19"/>
      <c r="B191" s="19"/>
      <c r="C191" s="19"/>
      <c r="D191" s="45" t="s">
        <v>444</v>
      </c>
      <c r="E191" s="45"/>
      <c r="F191" s="45"/>
      <c r="G191" s="45"/>
      <c r="H191" s="45"/>
      <c r="I191" s="45"/>
      <c r="J191" s="45"/>
      <c r="K191" s="45"/>
      <c r="L191" s="45"/>
      <c r="M191" s="45"/>
    </row>
    <row r="192" spans="1:13" ht="15.4" customHeight="1" thickBot="1" x14ac:dyDescent="0.25">
      <c r="A192" s="10" t="s">
        <v>445</v>
      </c>
      <c r="B192" s="5" t="s">
        <v>446</v>
      </c>
      <c r="C192" s="5" t="s">
        <v>447</v>
      </c>
      <c r="D192" s="45" t="s">
        <v>448</v>
      </c>
      <c r="E192" s="45"/>
      <c r="F192" s="45"/>
      <c r="G192" s="45"/>
      <c r="H192" s="45"/>
      <c r="I192" s="45"/>
      <c r="J192" s="45"/>
      <c r="K192" s="17">
        <f>ROUND(15,2)</f>
        <v>15</v>
      </c>
      <c r="L192" s="18">
        <f>ROUND(50.68*(1+M2/100),2)</f>
        <v>52.2</v>
      </c>
      <c r="M192" s="18">
        <f>ROUND(K192*L192,2)</f>
        <v>783</v>
      </c>
    </row>
    <row r="193" spans="1:13" ht="85.7" customHeight="1" thickBot="1" x14ac:dyDescent="0.25">
      <c r="A193" s="19"/>
      <c r="B193" s="19"/>
      <c r="C193" s="19"/>
      <c r="D193" s="45" t="s">
        <v>449</v>
      </c>
      <c r="E193" s="45"/>
      <c r="F193" s="45"/>
      <c r="G193" s="45"/>
      <c r="H193" s="45"/>
      <c r="I193" s="45"/>
      <c r="J193" s="45"/>
      <c r="K193" s="45"/>
      <c r="L193" s="45"/>
      <c r="M193" s="45"/>
    </row>
    <row r="194" spans="1:13" ht="15.4" customHeight="1" thickBot="1" x14ac:dyDescent="0.25">
      <c r="A194" s="10" t="s">
        <v>450</v>
      </c>
      <c r="B194" s="5" t="s">
        <v>451</v>
      </c>
      <c r="C194" s="5" t="s">
        <v>452</v>
      </c>
      <c r="D194" s="45" t="s">
        <v>453</v>
      </c>
      <c r="E194" s="45"/>
      <c r="F194" s="45"/>
      <c r="G194" s="45"/>
      <c r="H194" s="45"/>
      <c r="I194" s="45"/>
      <c r="J194" s="45"/>
      <c r="K194" s="17">
        <f>ROUND(15,2)</f>
        <v>15</v>
      </c>
      <c r="L194" s="18">
        <f>ROUND(63.18*(1+M2/100),2)</f>
        <v>65.08</v>
      </c>
      <c r="M194" s="18">
        <f>ROUND(K194*L194,2)</f>
        <v>976.2</v>
      </c>
    </row>
    <row r="195" spans="1:13" ht="57.95" customHeight="1" thickBot="1" x14ac:dyDescent="0.25">
      <c r="A195" s="19"/>
      <c r="B195" s="19"/>
      <c r="C195" s="19"/>
      <c r="D195" s="45" t="s">
        <v>454</v>
      </c>
      <c r="E195" s="45"/>
      <c r="F195" s="45"/>
      <c r="G195" s="45"/>
      <c r="H195" s="45"/>
      <c r="I195" s="45"/>
      <c r="J195" s="45"/>
      <c r="K195" s="45"/>
      <c r="L195" s="45"/>
      <c r="M195" s="45"/>
    </row>
    <row r="196" spans="1:13" ht="15.4" customHeight="1" thickBot="1" x14ac:dyDescent="0.25">
      <c r="A196" s="31"/>
      <c r="B196" s="31"/>
      <c r="C196" s="31"/>
      <c r="D196" s="32" t="s">
        <v>455</v>
      </c>
      <c r="E196" s="33"/>
      <c r="F196" s="33"/>
      <c r="G196" s="33"/>
      <c r="H196" s="33"/>
      <c r="I196" s="33"/>
      <c r="J196" s="33"/>
      <c r="K196" s="33"/>
      <c r="L196" s="34">
        <f>M190+M192+M194</f>
        <v>2886.21</v>
      </c>
      <c r="M196" s="34">
        <f>ROUND(L196,2)</f>
        <v>2886.21</v>
      </c>
    </row>
    <row r="197" spans="1:13" ht="15.4" customHeight="1" thickBot="1" x14ac:dyDescent="0.25">
      <c r="A197" s="35" t="s">
        <v>456</v>
      </c>
      <c r="B197" s="35" t="s">
        <v>457</v>
      </c>
      <c r="C197" s="36"/>
      <c r="D197" s="46" t="s">
        <v>458</v>
      </c>
      <c r="E197" s="46"/>
      <c r="F197" s="46"/>
      <c r="G197" s="46"/>
      <c r="H197" s="46"/>
      <c r="I197" s="46"/>
      <c r="J197" s="46"/>
      <c r="K197" s="36"/>
      <c r="L197" s="37">
        <f>L244</f>
        <v>30498.44</v>
      </c>
      <c r="M197" s="37">
        <f>ROUND(L197,2)</f>
        <v>30498.44</v>
      </c>
    </row>
    <row r="198" spans="1:13" ht="15.4" customHeight="1" thickBot="1" x14ac:dyDescent="0.25">
      <c r="A198" s="10" t="s">
        <v>459</v>
      </c>
      <c r="B198" s="5" t="s">
        <v>460</v>
      </c>
      <c r="C198" s="5" t="s">
        <v>461</v>
      </c>
      <c r="D198" s="45" t="s">
        <v>462</v>
      </c>
      <c r="E198" s="45"/>
      <c r="F198" s="45"/>
      <c r="G198" s="45"/>
      <c r="H198" s="45"/>
      <c r="I198" s="45"/>
      <c r="J198" s="45"/>
      <c r="K198" s="17">
        <f>SUM(K201:K202)</f>
        <v>9.7219999999999995</v>
      </c>
      <c r="L198" s="18">
        <f>ROUND(13.86*(1+M2/100),2)</f>
        <v>14.28</v>
      </c>
      <c r="M198" s="18">
        <f>ROUND(K198*L198,2)</f>
        <v>138.83000000000001</v>
      </c>
    </row>
    <row r="199" spans="1:13" ht="67.150000000000006" customHeight="1" thickBot="1" x14ac:dyDescent="0.25">
      <c r="A199" s="19"/>
      <c r="B199" s="19"/>
      <c r="C199" s="19"/>
      <c r="D199" s="45" t="s">
        <v>463</v>
      </c>
      <c r="E199" s="45"/>
      <c r="F199" s="45"/>
      <c r="G199" s="45"/>
      <c r="H199" s="45"/>
      <c r="I199" s="45"/>
      <c r="J199" s="45"/>
      <c r="K199" s="45"/>
      <c r="L199" s="45"/>
      <c r="M199" s="45"/>
    </row>
    <row r="200" spans="1:13" ht="15" customHeight="1" thickBot="1" x14ac:dyDescent="0.25">
      <c r="A200" s="19"/>
      <c r="B200" s="19"/>
      <c r="C200" s="19"/>
      <c r="D200" s="19"/>
      <c r="E200" s="21"/>
      <c r="F200" s="22" t="s">
        <v>464</v>
      </c>
      <c r="G200" s="22" t="s">
        <v>465</v>
      </c>
      <c r="H200" s="22" t="s">
        <v>466</v>
      </c>
      <c r="I200" s="22" t="s">
        <v>467</v>
      </c>
      <c r="J200" s="22" t="s">
        <v>468</v>
      </c>
      <c r="K200" s="22" t="s">
        <v>469</v>
      </c>
      <c r="L200" s="19"/>
      <c r="M200" s="19"/>
    </row>
    <row r="201" spans="1:13" ht="15" customHeight="1" thickBot="1" x14ac:dyDescent="0.25">
      <c r="A201" s="19"/>
      <c r="B201" s="19"/>
      <c r="C201" s="19"/>
      <c r="D201" s="20" t="s">
        <v>470</v>
      </c>
      <c r="E201" s="23" t="s">
        <v>471</v>
      </c>
      <c r="F201" s="24">
        <v>1</v>
      </c>
      <c r="G201" s="25">
        <v>3.75</v>
      </c>
      <c r="H201" s="25">
        <v>1.45</v>
      </c>
      <c r="I201" s="25"/>
      <c r="J201" s="27">
        <f>ROUND(F201*G201*H201,3)</f>
        <v>5.4379999999999997</v>
      </c>
      <c r="K201" s="28"/>
      <c r="L201" s="19"/>
      <c r="M201" s="19"/>
    </row>
    <row r="202" spans="1:13" ht="15" customHeight="1" thickBot="1" x14ac:dyDescent="0.25">
      <c r="A202" s="19"/>
      <c r="B202" s="19"/>
      <c r="C202" s="19"/>
      <c r="D202" s="20" t="s">
        <v>472</v>
      </c>
      <c r="E202" s="5" t="s">
        <v>473</v>
      </c>
      <c r="F202" s="3">
        <v>1</v>
      </c>
      <c r="G202" s="17">
        <v>2.04</v>
      </c>
      <c r="H202" s="17">
        <v>2.1</v>
      </c>
      <c r="I202" s="17"/>
      <c r="J202" s="26">
        <f>ROUND(F202*G202*H202,3)</f>
        <v>4.2839999999999998</v>
      </c>
      <c r="K202" s="29">
        <f>SUM(J201:J202)</f>
        <v>9.7219999999999995</v>
      </c>
      <c r="L202" s="19"/>
      <c r="M202" s="19"/>
    </row>
    <row r="203" spans="1:13" ht="15.4" customHeight="1" thickBot="1" x14ac:dyDescent="0.25">
      <c r="A203" s="10" t="s">
        <v>474</v>
      </c>
      <c r="B203" s="5" t="s">
        <v>475</v>
      </c>
      <c r="C203" s="5" t="s">
        <v>476</v>
      </c>
      <c r="D203" s="45" t="s">
        <v>477</v>
      </c>
      <c r="E203" s="45"/>
      <c r="F203" s="45"/>
      <c r="G203" s="45"/>
      <c r="H203" s="45"/>
      <c r="I203" s="45"/>
      <c r="J203" s="45"/>
      <c r="K203" s="17">
        <f>SUM(K206:K206)</f>
        <v>443</v>
      </c>
      <c r="L203" s="18">
        <f>ROUND(44.97*(1+M2/100),2)</f>
        <v>46.32</v>
      </c>
      <c r="M203" s="18">
        <f>ROUND(K203*L203,2)</f>
        <v>20519.759999999998</v>
      </c>
    </row>
    <row r="204" spans="1:13" ht="85.7" customHeight="1" thickBot="1" x14ac:dyDescent="0.25">
      <c r="A204" s="19"/>
      <c r="B204" s="19"/>
      <c r="C204" s="19"/>
      <c r="D204" s="45" t="s">
        <v>478</v>
      </c>
      <c r="E204" s="45"/>
      <c r="F204" s="45"/>
      <c r="G204" s="45"/>
      <c r="H204" s="45"/>
      <c r="I204" s="45"/>
      <c r="J204" s="45"/>
      <c r="K204" s="45"/>
      <c r="L204" s="45"/>
      <c r="M204" s="45"/>
    </row>
    <row r="205" spans="1:13" ht="15" customHeight="1" thickBot="1" x14ac:dyDescent="0.25">
      <c r="A205" s="19"/>
      <c r="B205" s="19"/>
      <c r="C205" s="19"/>
      <c r="D205" s="19"/>
      <c r="E205" s="21"/>
      <c r="F205" s="22" t="s">
        <v>479</v>
      </c>
      <c r="G205" s="22" t="s">
        <v>480</v>
      </c>
      <c r="H205" s="22"/>
      <c r="I205" s="22"/>
      <c r="J205" s="22" t="s">
        <v>481</v>
      </c>
      <c r="K205" s="22" t="s">
        <v>482</v>
      </c>
      <c r="L205" s="19"/>
      <c r="M205" s="19"/>
    </row>
    <row r="206" spans="1:13" ht="15" customHeight="1" thickBot="1" x14ac:dyDescent="0.25">
      <c r="A206" s="19"/>
      <c r="B206" s="19"/>
      <c r="C206" s="19"/>
      <c r="D206" s="20" t="s">
        <v>483</v>
      </c>
      <c r="E206" s="23" t="s">
        <v>484</v>
      </c>
      <c r="F206" s="24">
        <v>1</v>
      </c>
      <c r="G206" s="25">
        <v>443</v>
      </c>
      <c r="H206" s="25"/>
      <c r="I206" s="25"/>
      <c r="J206" s="27">
        <f>ROUND(F206*G206,3)</f>
        <v>443</v>
      </c>
      <c r="K206" s="30">
        <f>SUM(J206:J206)</f>
        <v>443</v>
      </c>
      <c r="L206" s="19"/>
      <c r="M206" s="19"/>
    </row>
    <row r="207" spans="1:13" ht="15.4" customHeight="1" thickBot="1" x14ac:dyDescent="0.25">
      <c r="A207" s="10" t="s">
        <v>485</v>
      </c>
      <c r="B207" s="5" t="s">
        <v>486</v>
      </c>
      <c r="C207" s="5" t="s">
        <v>487</v>
      </c>
      <c r="D207" s="45" t="s">
        <v>488</v>
      </c>
      <c r="E207" s="45"/>
      <c r="F207" s="45"/>
      <c r="G207" s="45"/>
      <c r="H207" s="45"/>
      <c r="I207" s="45"/>
      <c r="J207" s="45"/>
      <c r="K207" s="17">
        <f>SUM(K210:K210)</f>
        <v>443</v>
      </c>
      <c r="L207" s="18">
        <f>ROUND(11.854*(1+M2/100),2)</f>
        <v>12.21</v>
      </c>
      <c r="M207" s="18">
        <f>ROUND(K207*L207,2)</f>
        <v>5409.03</v>
      </c>
    </row>
    <row r="208" spans="1:13" ht="85.7" customHeight="1" thickBot="1" x14ac:dyDescent="0.25">
      <c r="A208" s="19"/>
      <c r="B208" s="19"/>
      <c r="C208" s="19"/>
      <c r="D208" s="45" t="s">
        <v>489</v>
      </c>
      <c r="E208" s="45"/>
      <c r="F208" s="45"/>
      <c r="G208" s="45"/>
      <c r="H208" s="45"/>
      <c r="I208" s="45"/>
      <c r="J208" s="45"/>
      <c r="K208" s="45"/>
      <c r="L208" s="45"/>
      <c r="M208" s="45"/>
    </row>
    <row r="209" spans="1:13" ht="15" customHeight="1" thickBot="1" x14ac:dyDescent="0.25">
      <c r="A209" s="19"/>
      <c r="B209" s="19"/>
      <c r="C209" s="19"/>
      <c r="D209" s="19"/>
      <c r="E209" s="21"/>
      <c r="F209" s="22" t="s">
        <v>490</v>
      </c>
      <c r="G209" s="22" t="s">
        <v>491</v>
      </c>
      <c r="H209" s="22"/>
      <c r="I209" s="22"/>
      <c r="J209" s="22" t="s">
        <v>492</v>
      </c>
      <c r="K209" s="22" t="s">
        <v>493</v>
      </c>
      <c r="L209" s="19"/>
      <c r="M209" s="19"/>
    </row>
    <row r="210" spans="1:13" ht="15" customHeight="1" thickBot="1" x14ac:dyDescent="0.25">
      <c r="A210" s="19"/>
      <c r="B210" s="19"/>
      <c r="C210" s="19"/>
      <c r="D210" s="20" t="s">
        <v>494</v>
      </c>
      <c r="E210" s="23" t="s">
        <v>495</v>
      </c>
      <c r="F210" s="24">
        <v>1</v>
      </c>
      <c r="G210" s="25">
        <v>443</v>
      </c>
      <c r="H210" s="25"/>
      <c r="I210" s="25"/>
      <c r="J210" s="27">
        <f>ROUND(F210*G210,3)</f>
        <v>443</v>
      </c>
      <c r="K210" s="30">
        <f>SUM(J210:J210)</f>
        <v>443</v>
      </c>
      <c r="L210" s="19"/>
      <c r="M210" s="19"/>
    </row>
    <row r="211" spans="1:13" ht="15.4" customHeight="1" thickBot="1" x14ac:dyDescent="0.25">
      <c r="A211" s="10" t="s">
        <v>496</v>
      </c>
      <c r="B211" s="5" t="s">
        <v>497</v>
      </c>
      <c r="C211" s="5" t="s">
        <v>498</v>
      </c>
      <c r="D211" s="45" t="s">
        <v>499</v>
      </c>
      <c r="E211" s="45"/>
      <c r="F211" s="45"/>
      <c r="G211" s="45"/>
      <c r="H211" s="45"/>
      <c r="I211" s="45"/>
      <c r="J211" s="45"/>
      <c r="K211" s="17">
        <f>SUM(K214:K235)</f>
        <v>195.99000000000004</v>
      </c>
      <c r="L211" s="18">
        <f>ROUND(19.27*(1+M2/100),2)</f>
        <v>19.850000000000001</v>
      </c>
      <c r="M211" s="18">
        <f>ROUND(K211*L211,2)</f>
        <v>3890.4</v>
      </c>
    </row>
    <row r="212" spans="1:13" ht="57.95" customHeight="1" thickBot="1" x14ac:dyDescent="0.25">
      <c r="A212" s="19"/>
      <c r="B212" s="19"/>
      <c r="C212" s="19"/>
      <c r="D212" s="45" t="s">
        <v>500</v>
      </c>
      <c r="E212" s="45"/>
      <c r="F212" s="45"/>
      <c r="G212" s="45"/>
      <c r="H212" s="45"/>
      <c r="I212" s="45"/>
      <c r="J212" s="45"/>
      <c r="K212" s="45"/>
      <c r="L212" s="45"/>
      <c r="M212" s="45"/>
    </row>
    <row r="213" spans="1:13" ht="15" customHeight="1" thickBot="1" x14ac:dyDescent="0.25">
      <c r="A213" s="19"/>
      <c r="B213" s="19"/>
      <c r="C213" s="19"/>
      <c r="D213" s="19"/>
      <c r="E213" s="21"/>
      <c r="F213" s="22" t="s">
        <v>501</v>
      </c>
      <c r="G213" s="22" t="s">
        <v>502</v>
      </c>
      <c r="H213" s="22" t="s">
        <v>503</v>
      </c>
      <c r="I213" s="22" t="s">
        <v>504</v>
      </c>
      <c r="J213" s="22" t="s">
        <v>505</v>
      </c>
      <c r="K213" s="22" t="s">
        <v>506</v>
      </c>
      <c r="L213" s="19"/>
      <c r="M213" s="19"/>
    </row>
    <row r="214" spans="1:13" ht="15" customHeight="1" thickBot="1" x14ac:dyDescent="0.25">
      <c r="A214" s="19"/>
      <c r="B214" s="19"/>
      <c r="C214" s="19"/>
      <c r="D214" s="20" t="s">
        <v>507</v>
      </c>
      <c r="E214" s="23" t="s">
        <v>508</v>
      </c>
      <c r="F214" s="24">
        <v>1</v>
      </c>
      <c r="G214" s="25">
        <v>20.48</v>
      </c>
      <c r="H214" s="25"/>
      <c r="I214" s="25"/>
      <c r="J214" s="27">
        <f t="shared" ref="J214:J221" si="7">ROUND(F214*G214,3)</f>
        <v>20.48</v>
      </c>
      <c r="K214" s="28"/>
      <c r="L214" s="19"/>
      <c r="M214" s="19"/>
    </row>
    <row r="215" spans="1:13" ht="15" customHeight="1" thickBot="1" x14ac:dyDescent="0.25">
      <c r="A215" s="19"/>
      <c r="B215" s="19"/>
      <c r="C215" s="19"/>
      <c r="D215" s="20" t="s">
        <v>509</v>
      </c>
      <c r="E215" s="5" t="s">
        <v>510</v>
      </c>
      <c r="F215" s="3">
        <v>1</v>
      </c>
      <c r="G215" s="17">
        <v>18.52</v>
      </c>
      <c r="H215" s="17"/>
      <c r="I215" s="17"/>
      <c r="J215" s="26">
        <f t="shared" si="7"/>
        <v>18.52</v>
      </c>
      <c r="K215" s="19"/>
      <c r="L215" s="19"/>
      <c r="M215" s="19"/>
    </row>
    <row r="216" spans="1:13" ht="15" customHeight="1" thickBot="1" x14ac:dyDescent="0.25">
      <c r="A216" s="19"/>
      <c r="B216" s="19"/>
      <c r="C216" s="19"/>
      <c r="D216" s="20" t="s">
        <v>511</v>
      </c>
      <c r="E216" s="5" t="s">
        <v>512</v>
      </c>
      <c r="F216" s="3">
        <v>1</v>
      </c>
      <c r="G216" s="17">
        <v>21.72</v>
      </c>
      <c r="H216" s="17"/>
      <c r="I216" s="17"/>
      <c r="J216" s="26">
        <f t="shared" si="7"/>
        <v>21.72</v>
      </c>
      <c r="K216" s="19"/>
      <c r="L216" s="19"/>
      <c r="M216" s="19"/>
    </row>
    <row r="217" spans="1:13" ht="15" customHeight="1" thickBot="1" x14ac:dyDescent="0.25">
      <c r="A217" s="19"/>
      <c r="B217" s="19"/>
      <c r="C217" s="19"/>
      <c r="D217" s="20" t="s">
        <v>513</v>
      </c>
      <c r="E217" s="5" t="s">
        <v>514</v>
      </c>
      <c r="F217" s="3">
        <v>1</v>
      </c>
      <c r="G217" s="17">
        <v>28.15</v>
      </c>
      <c r="H217" s="17"/>
      <c r="I217" s="17"/>
      <c r="J217" s="26">
        <f t="shared" si="7"/>
        <v>28.15</v>
      </c>
      <c r="K217" s="19"/>
      <c r="L217" s="19"/>
      <c r="M217" s="19"/>
    </row>
    <row r="218" spans="1:13" ht="15" customHeight="1" thickBot="1" x14ac:dyDescent="0.25">
      <c r="A218" s="19"/>
      <c r="B218" s="19"/>
      <c r="C218" s="19"/>
      <c r="D218" s="20" t="s">
        <v>515</v>
      </c>
      <c r="E218" s="5" t="s">
        <v>516</v>
      </c>
      <c r="F218" s="3">
        <v>1</v>
      </c>
      <c r="G218" s="17">
        <v>15.45</v>
      </c>
      <c r="H218" s="17"/>
      <c r="I218" s="17"/>
      <c r="J218" s="26">
        <f t="shared" si="7"/>
        <v>15.45</v>
      </c>
      <c r="K218" s="19"/>
      <c r="L218" s="19"/>
      <c r="M218" s="19"/>
    </row>
    <row r="219" spans="1:13" ht="15" customHeight="1" thickBot="1" x14ac:dyDescent="0.25">
      <c r="A219" s="19"/>
      <c r="B219" s="19"/>
      <c r="C219" s="19"/>
      <c r="D219" s="20" t="s">
        <v>517</v>
      </c>
      <c r="E219" s="5" t="s">
        <v>518</v>
      </c>
      <c r="F219" s="3">
        <v>1</v>
      </c>
      <c r="G219" s="17">
        <v>21.5</v>
      </c>
      <c r="H219" s="17"/>
      <c r="I219" s="17"/>
      <c r="J219" s="26">
        <f t="shared" si="7"/>
        <v>21.5</v>
      </c>
      <c r="K219" s="19"/>
      <c r="L219" s="19"/>
      <c r="M219" s="19"/>
    </row>
    <row r="220" spans="1:13" ht="15" customHeight="1" thickBot="1" x14ac:dyDescent="0.25">
      <c r="A220" s="19"/>
      <c r="B220" s="19"/>
      <c r="C220" s="19"/>
      <c r="D220" s="20" t="s">
        <v>519</v>
      </c>
      <c r="E220" s="5" t="s">
        <v>520</v>
      </c>
      <c r="F220" s="3">
        <v>1</v>
      </c>
      <c r="G220" s="17">
        <v>75.150000000000006</v>
      </c>
      <c r="H220" s="17"/>
      <c r="I220" s="17"/>
      <c r="J220" s="26">
        <f t="shared" si="7"/>
        <v>75.150000000000006</v>
      </c>
      <c r="K220" s="19"/>
      <c r="L220" s="19"/>
      <c r="M220" s="19"/>
    </row>
    <row r="221" spans="1:13" ht="15" customHeight="1" thickBot="1" x14ac:dyDescent="0.25">
      <c r="A221" s="19"/>
      <c r="B221" s="19"/>
      <c r="C221" s="19"/>
      <c r="D221" s="20" t="s">
        <v>521</v>
      </c>
      <c r="E221" s="5" t="s">
        <v>522</v>
      </c>
      <c r="F221" s="3">
        <v>1</v>
      </c>
      <c r="G221" s="17">
        <v>23.22</v>
      </c>
      <c r="H221" s="17"/>
      <c r="I221" s="17"/>
      <c r="J221" s="26">
        <f t="shared" si="7"/>
        <v>23.22</v>
      </c>
      <c r="K221" s="29">
        <f>SUM(J214:J221)</f>
        <v>224.19000000000003</v>
      </c>
      <c r="L221" s="19"/>
      <c r="M221" s="19"/>
    </row>
    <row r="222" spans="1:13" ht="15" customHeight="1" thickBot="1" x14ac:dyDescent="0.25">
      <c r="A222" s="19"/>
      <c r="B222" s="19"/>
      <c r="C222" s="19"/>
      <c r="D222" s="19"/>
      <c r="E222" s="21" t="s">
        <v>523</v>
      </c>
      <c r="F222" s="22" t="s">
        <v>524</v>
      </c>
      <c r="G222" s="22" t="s">
        <v>525</v>
      </c>
      <c r="H222" s="22"/>
      <c r="I222" s="22"/>
      <c r="J222" s="22" t="s">
        <v>526</v>
      </c>
      <c r="K222" s="22" t="s">
        <v>527</v>
      </c>
      <c r="L222" s="19"/>
      <c r="M222" s="19"/>
    </row>
    <row r="223" spans="1:13" ht="15" customHeight="1" thickBot="1" x14ac:dyDescent="0.25">
      <c r="A223" s="19"/>
      <c r="B223" s="19"/>
      <c r="C223" s="19"/>
      <c r="D223" s="20" t="s">
        <v>528</v>
      </c>
      <c r="E223" s="23" t="s">
        <v>529</v>
      </c>
      <c r="F223" s="24">
        <v>-2</v>
      </c>
      <c r="G223" s="25">
        <v>1.7</v>
      </c>
      <c r="H223" s="25"/>
      <c r="I223" s="25"/>
      <c r="J223" s="27">
        <f t="shared" ref="J223:J235" si="8">ROUND(F223*G223,3)</f>
        <v>-3.4</v>
      </c>
      <c r="K223" s="28"/>
      <c r="L223" s="19"/>
      <c r="M223" s="19"/>
    </row>
    <row r="224" spans="1:13" ht="15" customHeight="1" thickBot="1" x14ac:dyDescent="0.25">
      <c r="A224" s="19"/>
      <c r="B224" s="19"/>
      <c r="C224" s="19"/>
      <c r="D224" s="20" t="s">
        <v>530</v>
      </c>
      <c r="E224" s="5" t="s">
        <v>531</v>
      </c>
      <c r="F224" s="3">
        <v>-2</v>
      </c>
      <c r="G224" s="17">
        <v>1.7</v>
      </c>
      <c r="H224" s="17"/>
      <c r="I224" s="17"/>
      <c r="J224" s="26">
        <f t="shared" si="8"/>
        <v>-3.4</v>
      </c>
      <c r="K224" s="19"/>
      <c r="L224" s="19"/>
      <c r="M224" s="19"/>
    </row>
    <row r="225" spans="1:13" ht="15" customHeight="1" thickBot="1" x14ac:dyDescent="0.25">
      <c r="A225" s="19"/>
      <c r="B225" s="19"/>
      <c r="C225" s="19"/>
      <c r="D225" s="20" t="s">
        <v>532</v>
      </c>
      <c r="E225" s="5" t="s">
        <v>533</v>
      </c>
      <c r="F225" s="3">
        <v>-1</v>
      </c>
      <c r="G225" s="17">
        <v>0.9</v>
      </c>
      <c r="H225" s="17"/>
      <c r="I225" s="17"/>
      <c r="J225" s="26">
        <f t="shared" si="8"/>
        <v>-0.9</v>
      </c>
      <c r="K225" s="19"/>
      <c r="L225" s="19"/>
      <c r="M225" s="19"/>
    </row>
    <row r="226" spans="1:13" ht="15" customHeight="1" thickBot="1" x14ac:dyDescent="0.25">
      <c r="A226" s="19"/>
      <c r="B226" s="19"/>
      <c r="C226" s="19"/>
      <c r="D226" s="20" t="s">
        <v>534</v>
      </c>
      <c r="E226" s="5" t="s">
        <v>535</v>
      </c>
      <c r="F226" s="3">
        <v>-1</v>
      </c>
      <c r="G226" s="17">
        <v>1.9</v>
      </c>
      <c r="H226" s="17"/>
      <c r="I226" s="17"/>
      <c r="J226" s="26">
        <f t="shared" si="8"/>
        <v>-1.9</v>
      </c>
      <c r="K226" s="19"/>
      <c r="L226" s="19"/>
      <c r="M226" s="19"/>
    </row>
    <row r="227" spans="1:13" ht="15" customHeight="1" thickBot="1" x14ac:dyDescent="0.25">
      <c r="A227" s="19"/>
      <c r="B227" s="19"/>
      <c r="C227" s="19"/>
      <c r="D227" s="20" t="s">
        <v>536</v>
      </c>
      <c r="E227" s="5" t="s">
        <v>537</v>
      </c>
      <c r="F227" s="3">
        <v>-2</v>
      </c>
      <c r="G227" s="17">
        <v>1.4</v>
      </c>
      <c r="H227" s="17"/>
      <c r="I227" s="17"/>
      <c r="J227" s="26">
        <f t="shared" si="8"/>
        <v>-2.8</v>
      </c>
      <c r="K227" s="19"/>
      <c r="L227" s="19"/>
      <c r="M227" s="19"/>
    </row>
    <row r="228" spans="1:13" ht="15" customHeight="1" thickBot="1" x14ac:dyDescent="0.25">
      <c r="A228" s="19"/>
      <c r="B228" s="19"/>
      <c r="C228" s="19"/>
      <c r="D228" s="20" t="s">
        <v>538</v>
      </c>
      <c r="E228" s="5" t="s">
        <v>539</v>
      </c>
      <c r="F228" s="3">
        <v>-2</v>
      </c>
      <c r="G228" s="17">
        <v>1.4</v>
      </c>
      <c r="H228" s="17"/>
      <c r="I228" s="17"/>
      <c r="J228" s="26">
        <f t="shared" si="8"/>
        <v>-2.8</v>
      </c>
      <c r="K228" s="19"/>
      <c r="L228" s="19"/>
      <c r="M228" s="19"/>
    </row>
    <row r="229" spans="1:13" ht="15" customHeight="1" thickBot="1" x14ac:dyDescent="0.25">
      <c r="A229" s="19"/>
      <c r="B229" s="19"/>
      <c r="C229" s="19"/>
      <c r="D229" s="20" t="s">
        <v>540</v>
      </c>
      <c r="E229" s="5" t="s">
        <v>541</v>
      </c>
      <c r="F229" s="3">
        <v>-1</v>
      </c>
      <c r="G229" s="17">
        <v>1.7</v>
      </c>
      <c r="H229" s="17"/>
      <c r="I229" s="17"/>
      <c r="J229" s="26">
        <f t="shared" si="8"/>
        <v>-1.7</v>
      </c>
      <c r="K229" s="19"/>
      <c r="L229" s="19"/>
      <c r="M229" s="19"/>
    </row>
    <row r="230" spans="1:13" ht="15" customHeight="1" thickBot="1" x14ac:dyDescent="0.25">
      <c r="A230" s="19"/>
      <c r="B230" s="19"/>
      <c r="C230" s="19"/>
      <c r="D230" s="20" t="s">
        <v>542</v>
      </c>
      <c r="E230" s="5" t="s">
        <v>543</v>
      </c>
      <c r="F230" s="3">
        <v>-2</v>
      </c>
      <c r="G230" s="17">
        <v>1.7</v>
      </c>
      <c r="H230" s="17"/>
      <c r="I230" s="17"/>
      <c r="J230" s="26">
        <f t="shared" si="8"/>
        <v>-3.4</v>
      </c>
      <c r="K230" s="19"/>
      <c r="L230" s="19"/>
      <c r="M230" s="19"/>
    </row>
    <row r="231" spans="1:13" ht="15" customHeight="1" thickBot="1" x14ac:dyDescent="0.25">
      <c r="A231" s="19"/>
      <c r="B231" s="19"/>
      <c r="C231" s="19"/>
      <c r="D231" s="20" t="s">
        <v>544</v>
      </c>
      <c r="E231" s="5" t="s">
        <v>545</v>
      </c>
      <c r="F231" s="3">
        <v>-1</v>
      </c>
      <c r="G231" s="17">
        <v>1.9</v>
      </c>
      <c r="H231" s="17"/>
      <c r="I231" s="17"/>
      <c r="J231" s="26">
        <f t="shared" si="8"/>
        <v>-1.9</v>
      </c>
      <c r="K231" s="19"/>
      <c r="L231" s="19"/>
      <c r="M231" s="19"/>
    </row>
    <row r="232" spans="1:13" ht="15" customHeight="1" thickBot="1" x14ac:dyDescent="0.25">
      <c r="A232" s="19"/>
      <c r="B232" s="19"/>
      <c r="C232" s="19"/>
      <c r="D232" s="20" t="s">
        <v>546</v>
      </c>
      <c r="E232" s="5" t="s">
        <v>547</v>
      </c>
      <c r="F232" s="3">
        <v>-1</v>
      </c>
      <c r="G232" s="17">
        <v>1.4</v>
      </c>
      <c r="H232" s="17"/>
      <c r="I232" s="17"/>
      <c r="J232" s="26">
        <f t="shared" si="8"/>
        <v>-1.4</v>
      </c>
      <c r="K232" s="19"/>
      <c r="L232" s="19"/>
      <c r="M232" s="19"/>
    </row>
    <row r="233" spans="1:13" ht="15" customHeight="1" thickBot="1" x14ac:dyDescent="0.25">
      <c r="A233" s="19"/>
      <c r="B233" s="19"/>
      <c r="C233" s="19"/>
      <c r="D233" s="20" t="s">
        <v>548</v>
      </c>
      <c r="E233" s="5" t="s">
        <v>549</v>
      </c>
      <c r="F233" s="3">
        <v>-1</v>
      </c>
      <c r="G233" s="17">
        <v>1.9</v>
      </c>
      <c r="H233" s="17"/>
      <c r="I233" s="17"/>
      <c r="J233" s="26">
        <f t="shared" si="8"/>
        <v>-1.9</v>
      </c>
      <c r="K233" s="19"/>
      <c r="L233" s="19"/>
      <c r="M233" s="19"/>
    </row>
    <row r="234" spans="1:13" ht="15" customHeight="1" thickBot="1" x14ac:dyDescent="0.25">
      <c r="A234" s="19"/>
      <c r="B234" s="19"/>
      <c r="C234" s="19"/>
      <c r="D234" s="20" t="s">
        <v>550</v>
      </c>
      <c r="E234" s="5" t="s">
        <v>551</v>
      </c>
      <c r="F234" s="3">
        <v>-1</v>
      </c>
      <c r="G234" s="17">
        <v>1.9</v>
      </c>
      <c r="H234" s="17"/>
      <c r="I234" s="17"/>
      <c r="J234" s="26">
        <f t="shared" si="8"/>
        <v>-1.9</v>
      </c>
      <c r="K234" s="19"/>
      <c r="L234" s="19"/>
      <c r="M234" s="19"/>
    </row>
    <row r="235" spans="1:13" ht="15" customHeight="1" thickBot="1" x14ac:dyDescent="0.25">
      <c r="A235" s="19"/>
      <c r="B235" s="19"/>
      <c r="C235" s="19"/>
      <c r="D235" s="20" t="s">
        <v>552</v>
      </c>
      <c r="E235" s="5" t="s">
        <v>553</v>
      </c>
      <c r="F235" s="3">
        <v>-1</v>
      </c>
      <c r="G235" s="17">
        <v>0.8</v>
      </c>
      <c r="H235" s="17"/>
      <c r="I235" s="17"/>
      <c r="J235" s="26">
        <f t="shared" si="8"/>
        <v>-0.8</v>
      </c>
      <c r="K235" s="29">
        <f>SUM(J223:J235)</f>
        <v>-28.199999999999992</v>
      </c>
      <c r="L235" s="19"/>
      <c r="M235" s="19"/>
    </row>
    <row r="236" spans="1:13" ht="15.4" customHeight="1" thickBot="1" x14ac:dyDescent="0.25">
      <c r="A236" s="10" t="s">
        <v>554</v>
      </c>
      <c r="B236" s="5" t="s">
        <v>555</v>
      </c>
      <c r="C236" s="5" t="s">
        <v>556</v>
      </c>
      <c r="D236" s="45" t="s">
        <v>557</v>
      </c>
      <c r="E236" s="45"/>
      <c r="F236" s="45"/>
      <c r="G236" s="45"/>
      <c r="H236" s="45"/>
      <c r="I236" s="45"/>
      <c r="J236" s="45"/>
      <c r="K236" s="17">
        <f>SUM(K239:K239)</f>
        <v>5.4379999999999997</v>
      </c>
      <c r="L236" s="18">
        <f>ROUND(53.99*(1+M2/100),2)</f>
        <v>55.61</v>
      </c>
      <c r="M236" s="18">
        <f>ROUND(K236*L236,2)</f>
        <v>302.41000000000003</v>
      </c>
    </row>
    <row r="237" spans="1:13" ht="85.7" customHeight="1" thickBot="1" x14ac:dyDescent="0.25">
      <c r="A237" s="19"/>
      <c r="B237" s="19"/>
      <c r="C237" s="19"/>
      <c r="D237" s="45" t="s">
        <v>558</v>
      </c>
      <c r="E237" s="45"/>
      <c r="F237" s="45"/>
      <c r="G237" s="45"/>
      <c r="H237" s="45"/>
      <c r="I237" s="45"/>
      <c r="J237" s="45"/>
      <c r="K237" s="45"/>
      <c r="L237" s="45"/>
      <c r="M237" s="45"/>
    </row>
    <row r="238" spans="1:13" ht="15" customHeight="1" thickBot="1" x14ac:dyDescent="0.25">
      <c r="A238" s="19"/>
      <c r="B238" s="19"/>
      <c r="C238" s="19"/>
      <c r="D238" s="19"/>
      <c r="E238" s="21"/>
      <c r="F238" s="22" t="s">
        <v>559</v>
      </c>
      <c r="G238" s="22" t="s">
        <v>560</v>
      </c>
      <c r="H238" s="22" t="s">
        <v>561</v>
      </c>
      <c r="I238" s="22" t="s">
        <v>562</v>
      </c>
      <c r="J238" s="22" t="s">
        <v>563</v>
      </c>
      <c r="K238" s="22" t="s">
        <v>564</v>
      </c>
      <c r="L238" s="19"/>
      <c r="M238" s="19"/>
    </row>
    <row r="239" spans="1:13" ht="15" customHeight="1" thickBot="1" x14ac:dyDescent="0.25">
      <c r="A239" s="19"/>
      <c r="B239" s="19"/>
      <c r="C239" s="19"/>
      <c r="D239" s="20" t="s">
        <v>565</v>
      </c>
      <c r="E239" s="23" t="s">
        <v>566</v>
      </c>
      <c r="F239" s="24">
        <v>1</v>
      </c>
      <c r="G239" s="25">
        <v>3.75</v>
      </c>
      <c r="H239" s="25">
        <v>1.45</v>
      </c>
      <c r="I239" s="25"/>
      <c r="J239" s="27">
        <f>ROUND(F239*G239*H239,3)</f>
        <v>5.4379999999999997</v>
      </c>
      <c r="K239" s="30">
        <f>SUM(J239:J239)</f>
        <v>5.4379999999999997</v>
      </c>
      <c r="L239" s="19"/>
      <c r="M239" s="19"/>
    </row>
    <row r="240" spans="1:13" ht="15.4" customHeight="1" thickBot="1" x14ac:dyDescent="0.25">
      <c r="A240" s="10" t="s">
        <v>567</v>
      </c>
      <c r="B240" s="5" t="s">
        <v>568</v>
      </c>
      <c r="C240" s="5" t="s">
        <v>569</v>
      </c>
      <c r="D240" s="45" t="s">
        <v>570</v>
      </c>
      <c r="E240" s="45"/>
      <c r="F240" s="45"/>
      <c r="G240" s="45"/>
      <c r="H240" s="45"/>
      <c r="I240" s="45"/>
      <c r="J240" s="45"/>
      <c r="K240" s="17">
        <f>SUM(K243:K243)</f>
        <v>4.28</v>
      </c>
      <c r="L240" s="18">
        <f>ROUND(53.99*(1+M2/100),2)</f>
        <v>55.61</v>
      </c>
      <c r="M240" s="18">
        <f>ROUND(K240*L240,2)</f>
        <v>238.01</v>
      </c>
    </row>
    <row r="241" spans="1:13" ht="85.7" customHeight="1" thickBot="1" x14ac:dyDescent="0.25">
      <c r="A241" s="19"/>
      <c r="B241" s="19"/>
      <c r="C241" s="19"/>
      <c r="D241" s="45" t="s">
        <v>571</v>
      </c>
      <c r="E241" s="45"/>
      <c r="F241" s="45"/>
      <c r="G241" s="45"/>
      <c r="H241" s="45"/>
      <c r="I241" s="45"/>
      <c r="J241" s="45"/>
      <c r="K241" s="45"/>
      <c r="L241" s="45"/>
      <c r="M241" s="45"/>
    </row>
    <row r="242" spans="1:13" ht="15" customHeight="1" thickBot="1" x14ac:dyDescent="0.25">
      <c r="A242" s="19"/>
      <c r="B242" s="19"/>
      <c r="C242" s="19"/>
      <c r="D242" s="19"/>
      <c r="E242" s="21"/>
      <c r="F242" s="22" t="s">
        <v>572</v>
      </c>
      <c r="G242" s="22" t="s">
        <v>573</v>
      </c>
      <c r="H242" s="22"/>
      <c r="I242" s="22"/>
      <c r="J242" s="22" t="s">
        <v>574</v>
      </c>
      <c r="K242" s="22" t="s">
        <v>575</v>
      </c>
      <c r="L242" s="19"/>
      <c r="M242" s="19"/>
    </row>
    <row r="243" spans="1:13" ht="15" customHeight="1" thickBot="1" x14ac:dyDescent="0.25">
      <c r="A243" s="19"/>
      <c r="B243" s="19"/>
      <c r="C243" s="19"/>
      <c r="D243" s="20" t="s">
        <v>576</v>
      </c>
      <c r="E243" s="23" t="s">
        <v>577</v>
      </c>
      <c r="F243" s="24">
        <v>1</v>
      </c>
      <c r="G243" s="25">
        <v>4.28</v>
      </c>
      <c r="H243" s="25"/>
      <c r="I243" s="25"/>
      <c r="J243" s="27">
        <f>ROUND(F243*G243,3)</f>
        <v>4.28</v>
      </c>
      <c r="K243" s="30">
        <f>SUM(J243:J243)</f>
        <v>4.28</v>
      </c>
      <c r="L243" s="19"/>
      <c r="M243" s="19"/>
    </row>
    <row r="244" spans="1:13" ht="15.4" customHeight="1" thickBot="1" x14ac:dyDescent="0.25">
      <c r="A244" s="31"/>
      <c r="B244" s="31"/>
      <c r="C244" s="31"/>
      <c r="D244" s="32" t="s">
        <v>578</v>
      </c>
      <c r="E244" s="33"/>
      <c r="F244" s="33"/>
      <c r="G244" s="33"/>
      <c r="H244" s="33"/>
      <c r="I244" s="33"/>
      <c r="J244" s="33"/>
      <c r="K244" s="33"/>
      <c r="L244" s="34">
        <f>M198+M203+M207+M211+M236+M240</f>
        <v>30498.44</v>
      </c>
      <c r="M244" s="34">
        <f>ROUND(L244,2)</f>
        <v>30498.44</v>
      </c>
    </row>
    <row r="245" spans="1:13" ht="15.4" customHeight="1" thickBot="1" x14ac:dyDescent="0.25">
      <c r="A245" s="35" t="s">
        <v>579</v>
      </c>
      <c r="B245" s="35" t="s">
        <v>580</v>
      </c>
      <c r="C245" s="36"/>
      <c r="D245" s="46" t="s">
        <v>581</v>
      </c>
      <c r="E245" s="46"/>
      <c r="F245" s="46"/>
      <c r="G245" s="46"/>
      <c r="H245" s="46"/>
      <c r="I245" s="46"/>
      <c r="J245" s="46"/>
      <c r="K245" s="36"/>
      <c r="L245" s="37">
        <f>L324</f>
        <v>50761.469999999994</v>
      </c>
      <c r="M245" s="37">
        <f>ROUND(L245,2)</f>
        <v>50761.47</v>
      </c>
    </row>
    <row r="246" spans="1:13" ht="15.4" customHeight="1" thickBot="1" x14ac:dyDescent="0.25">
      <c r="A246" s="10" t="s">
        <v>582</v>
      </c>
      <c r="B246" s="5" t="s">
        <v>583</v>
      </c>
      <c r="C246" s="5" t="s">
        <v>584</v>
      </c>
      <c r="D246" s="45" t="s">
        <v>585</v>
      </c>
      <c r="E246" s="45"/>
      <c r="F246" s="45"/>
      <c r="G246" s="45"/>
      <c r="H246" s="45"/>
      <c r="I246" s="45"/>
      <c r="J246" s="45"/>
      <c r="K246" s="17">
        <f>SUM(K249:K257)</f>
        <v>184.8</v>
      </c>
      <c r="L246" s="18">
        <f>ROUND(38.9*(1+M2/100),2)</f>
        <v>40.07</v>
      </c>
      <c r="M246" s="18">
        <f>ROUND(K246*L246,2)</f>
        <v>7404.94</v>
      </c>
    </row>
    <row r="247" spans="1:13" ht="104.1" customHeight="1" thickBot="1" x14ac:dyDescent="0.25">
      <c r="A247" s="19"/>
      <c r="B247" s="19"/>
      <c r="C247" s="19"/>
      <c r="D247" s="45" t="s">
        <v>586</v>
      </c>
      <c r="E247" s="45"/>
      <c r="F247" s="45"/>
      <c r="G247" s="45"/>
      <c r="H247" s="45"/>
      <c r="I247" s="45"/>
      <c r="J247" s="45"/>
      <c r="K247" s="45"/>
      <c r="L247" s="45"/>
      <c r="M247" s="45"/>
    </row>
    <row r="248" spans="1:13" ht="15" customHeight="1" thickBot="1" x14ac:dyDescent="0.25">
      <c r="A248" s="19"/>
      <c r="B248" s="19"/>
      <c r="C248" s="19"/>
      <c r="D248" s="19"/>
      <c r="E248" s="21"/>
      <c r="F248" s="22" t="s">
        <v>587</v>
      </c>
      <c r="G248" s="22" t="s">
        <v>588</v>
      </c>
      <c r="H248" s="22"/>
      <c r="I248" s="22"/>
      <c r="J248" s="22" t="s">
        <v>589</v>
      </c>
      <c r="K248" s="22" t="s">
        <v>590</v>
      </c>
      <c r="L248" s="19"/>
      <c r="M248" s="19"/>
    </row>
    <row r="249" spans="1:13" ht="15" customHeight="1" thickBot="1" x14ac:dyDescent="0.25">
      <c r="A249" s="19"/>
      <c r="B249" s="19"/>
      <c r="C249" s="19"/>
      <c r="D249" s="20" t="s">
        <v>591</v>
      </c>
      <c r="E249" s="23" t="s">
        <v>592</v>
      </c>
      <c r="F249" s="24">
        <v>1</v>
      </c>
      <c r="G249" s="25">
        <v>16.2</v>
      </c>
      <c r="H249" s="25"/>
      <c r="I249" s="25"/>
      <c r="J249" s="27">
        <f t="shared" ref="J249:J257" si="9">ROUND(F249*G249,3)</f>
        <v>16.2</v>
      </c>
      <c r="K249" s="28"/>
      <c r="L249" s="19"/>
      <c r="M249" s="19"/>
    </row>
    <row r="250" spans="1:13" ht="15" customHeight="1" thickBot="1" x14ac:dyDescent="0.25">
      <c r="A250" s="19"/>
      <c r="B250" s="19"/>
      <c r="C250" s="19"/>
      <c r="D250" s="20" t="s">
        <v>593</v>
      </c>
      <c r="E250" s="5" t="s">
        <v>594</v>
      </c>
      <c r="F250" s="3">
        <v>1</v>
      </c>
      <c r="G250" s="17">
        <v>8.4</v>
      </c>
      <c r="H250" s="17"/>
      <c r="I250" s="17"/>
      <c r="J250" s="26">
        <f t="shared" si="9"/>
        <v>8.4</v>
      </c>
      <c r="K250" s="19"/>
      <c r="L250" s="19"/>
      <c r="M250" s="19"/>
    </row>
    <row r="251" spans="1:13" ht="15" customHeight="1" thickBot="1" x14ac:dyDescent="0.25">
      <c r="A251" s="19"/>
      <c r="B251" s="19"/>
      <c r="C251" s="19"/>
      <c r="D251" s="20" t="s">
        <v>595</v>
      </c>
      <c r="E251" s="5" t="s">
        <v>596</v>
      </c>
      <c r="F251" s="3">
        <v>1</v>
      </c>
      <c r="G251" s="17">
        <v>23.4</v>
      </c>
      <c r="H251" s="17"/>
      <c r="I251" s="17"/>
      <c r="J251" s="26">
        <f t="shared" si="9"/>
        <v>23.4</v>
      </c>
      <c r="K251" s="19"/>
      <c r="L251" s="19"/>
      <c r="M251" s="19"/>
    </row>
    <row r="252" spans="1:13" ht="15" customHeight="1" thickBot="1" x14ac:dyDescent="0.25">
      <c r="A252" s="19"/>
      <c r="B252" s="19"/>
      <c r="C252" s="19"/>
      <c r="D252" s="20" t="s">
        <v>597</v>
      </c>
      <c r="E252" s="5" t="s">
        <v>598</v>
      </c>
      <c r="F252" s="3">
        <v>1</v>
      </c>
      <c r="G252" s="17">
        <v>5.76</v>
      </c>
      <c r="H252" s="17"/>
      <c r="I252" s="17"/>
      <c r="J252" s="26">
        <f t="shared" si="9"/>
        <v>5.76</v>
      </c>
      <c r="K252" s="19"/>
      <c r="L252" s="19"/>
      <c r="M252" s="19"/>
    </row>
    <row r="253" spans="1:13" ht="15" customHeight="1" thickBot="1" x14ac:dyDescent="0.25">
      <c r="A253" s="19"/>
      <c r="B253" s="19"/>
      <c r="C253" s="19"/>
      <c r="D253" s="20" t="s">
        <v>599</v>
      </c>
      <c r="E253" s="5" t="s">
        <v>600</v>
      </c>
      <c r="F253" s="3">
        <v>1</v>
      </c>
      <c r="G253" s="17">
        <v>30.24</v>
      </c>
      <c r="H253" s="17"/>
      <c r="I253" s="17"/>
      <c r="J253" s="26">
        <f t="shared" si="9"/>
        <v>30.24</v>
      </c>
      <c r="K253" s="19"/>
      <c r="L253" s="19"/>
      <c r="M253" s="19"/>
    </row>
    <row r="254" spans="1:13" ht="15" customHeight="1" thickBot="1" x14ac:dyDescent="0.25">
      <c r="A254" s="19"/>
      <c r="B254" s="19"/>
      <c r="C254" s="19"/>
      <c r="D254" s="20" t="s">
        <v>601</v>
      </c>
      <c r="E254" s="5" t="s">
        <v>602</v>
      </c>
      <c r="F254" s="3">
        <v>1</v>
      </c>
      <c r="G254" s="17">
        <v>30.24</v>
      </c>
      <c r="H254" s="17"/>
      <c r="I254" s="17"/>
      <c r="J254" s="26">
        <f t="shared" si="9"/>
        <v>30.24</v>
      </c>
      <c r="K254" s="19"/>
      <c r="L254" s="19"/>
      <c r="M254" s="19"/>
    </row>
    <row r="255" spans="1:13" ht="15" customHeight="1" thickBot="1" x14ac:dyDescent="0.25">
      <c r="A255" s="19"/>
      <c r="B255" s="19"/>
      <c r="C255" s="19"/>
      <c r="D255" s="20" t="s">
        <v>603</v>
      </c>
      <c r="E255" s="5" t="s">
        <v>604</v>
      </c>
      <c r="F255" s="3">
        <v>1</v>
      </c>
      <c r="G255" s="17">
        <v>12.6</v>
      </c>
      <c r="H255" s="17"/>
      <c r="I255" s="17"/>
      <c r="J255" s="26">
        <f t="shared" si="9"/>
        <v>12.6</v>
      </c>
      <c r="K255" s="19"/>
      <c r="L255" s="19"/>
      <c r="M255" s="19"/>
    </row>
    <row r="256" spans="1:13" ht="15" customHeight="1" thickBot="1" x14ac:dyDescent="0.25">
      <c r="A256" s="19"/>
      <c r="B256" s="19"/>
      <c r="C256" s="19"/>
      <c r="D256" s="20" t="s">
        <v>605</v>
      </c>
      <c r="E256" s="5" t="s">
        <v>606</v>
      </c>
      <c r="F256" s="3">
        <v>1</v>
      </c>
      <c r="G256" s="17">
        <v>40.32</v>
      </c>
      <c r="H256" s="17"/>
      <c r="I256" s="17"/>
      <c r="J256" s="26">
        <f t="shared" si="9"/>
        <v>40.32</v>
      </c>
      <c r="K256" s="19"/>
      <c r="L256" s="19"/>
      <c r="M256" s="19"/>
    </row>
    <row r="257" spans="1:13" ht="15" customHeight="1" thickBot="1" x14ac:dyDescent="0.25">
      <c r="A257" s="19"/>
      <c r="B257" s="19"/>
      <c r="C257" s="19"/>
      <c r="D257" s="20" t="s">
        <v>607</v>
      </c>
      <c r="E257" s="5" t="s">
        <v>608</v>
      </c>
      <c r="F257" s="3">
        <v>1</v>
      </c>
      <c r="G257" s="17">
        <v>17.64</v>
      </c>
      <c r="H257" s="17"/>
      <c r="I257" s="17"/>
      <c r="J257" s="26">
        <f t="shared" si="9"/>
        <v>17.64</v>
      </c>
      <c r="K257" s="29">
        <f>SUM(J249:J257)</f>
        <v>184.8</v>
      </c>
      <c r="L257" s="19"/>
      <c r="M257" s="19"/>
    </row>
    <row r="258" spans="1:13" ht="15.4" customHeight="1" thickBot="1" x14ac:dyDescent="0.25">
      <c r="A258" s="10" t="s">
        <v>609</v>
      </c>
      <c r="B258" s="5" t="s">
        <v>610</v>
      </c>
      <c r="C258" s="5" t="s">
        <v>611</v>
      </c>
      <c r="D258" s="45" t="s">
        <v>612</v>
      </c>
      <c r="E258" s="45"/>
      <c r="F258" s="45"/>
      <c r="G258" s="45"/>
      <c r="H258" s="45"/>
      <c r="I258" s="45"/>
      <c r="J258" s="45"/>
      <c r="K258" s="17">
        <f>SUM(K261:K265)</f>
        <v>89.639999999999986</v>
      </c>
      <c r="L258" s="18">
        <f>ROUND(37.79*(1+M2/100),2)</f>
        <v>38.92</v>
      </c>
      <c r="M258" s="18">
        <f>ROUND(K258*L258,2)</f>
        <v>3488.79</v>
      </c>
    </row>
    <row r="259" spans="1:13" ht="104.1" customHeight="1" thickBot="1" x14ac:dyDescent="0.25">
      <c r="A259" s="19"/>
      <c r="B259" s="19"/>
      <c r="C259" s="19"/>
      <c r="D259" s="45" t="s">
        <v>613</v>
      </c>
      <c r="E259" s="45"/>
      <c r="F259" s="45"/>
      <c r="G259" s="45"/>
      <c r="H259" s="45"/>
      <c r="I259" s="45"/>
      <c r="J259" s="45"/>
      <c r="K259" s="45"/>
      <c r="L259" s="45"/>
      <c r="M259" s="45"/>
    </row>
    <row r="260" spans="1:13" ht="15" customHeight="1" thickBot="1" x14ac:dyDescent="0.25">
      <c r="A260" s="19"/>
      <c r="B260" s="19"/>
      <c r="C260" s="19"/>
      <c r="D260" s="19"/>
      <c r="E260" s="21"/>
      <c r="F260" s="22" t="s">
        <v>614</v>
      </c>
      <c r="G260" s="22" t="s">
        <v>615</v>
      </c>
      <c r="H260" s="22"/>
      <c r="I260" s="22"/>
      <c r="J260" s="22" t="s">
        <v>616</v>
      </c>
      <c r="K260" s="22" t="s">
        <v>617</v>
      </c>
      <c r="L260" s="19"/>
      <c r="M260" s="19"/>
    </row>
    <row r="261" spans="1:13" ht="15" customHeight="1" thickBot="1" x14ac:dyDescent="0.25">
      <c r="A261" s="19"/>
      <c r="B261" s="19"/>
      <c r="C261" s="19"/>
      <c r="D261" s="20" t="s">
        <v>618</v>
      </c>
      <c r="E261" s="23" t="s">
        <v>619</v>
      </c>
      <c r="F261" s="24">
        <v>1</v>
      </c>
      <c r="G261" s="25">
        <v>18</v>
      </c>
      <c r="H261" s="25"/>
      <c r="I261" s="25"/>
      <c r="J261" s="27">
        <f>ROUND(F261*G261,3)</f>
        <v>18</v>
      </c>
      <c r="K261" s="28"/>
      <c r="L261" s="19"/>
      <c r="M261" s="19"/>
    </row>
    <row r="262" spans="1:13" ht="15" customHeight="1" thickBot="1" x14ac:dyDescent="0.25">
      <c r="A262" s="19"/>
      <c r="B262" s="19"/>
      <c r="C262" s="19"/>
      <c r="D262" s="20" t="s">
        <v>620</v>
      </c>
      <c r="E262" s="5" t="s">
        <v>621</v>
      </c>
      <c r="F262" s="3">
        <v>1</v>
      </c>
      <c r="G262" s="17">
        <v>27</v>
      </c>
      <c r="H262" s="17"/>
      <c r="I262" s="17"/>
      <c r="J262" s="26">
        <f>ROUND(F262*G262,3)</f>
        <v>27</v>
      </c>
      <c r="K262" s="19"/>
      <c r="L262" s="19"/>
      <c r="M262" s="19"/>
    </row>
    <row r="263" spans="1:13" ht="15" customHeight="1" thickBot="1" x14ac:dyDescent="0.25">
      <c r="A263" s="19"/>
      <c r="B263" s="19"/>
      <c r="C263" s="19"/>
      <c r="D263" s="20" t="s">
        <v>622</v>
      </c>
      <c r="E263" s="5" t="s">
        <v>623</v>
      </c>
      <c r="F263" s="3">
        <v>1</v>
      </c>
      <c r="G263" s="17">
        <v>1.44</v>
      </c>
      <c r="H263" s="17"/>
      <c r="I263" s="17"/>
      <c r="J263" s="26">
        <f>ROUND(F263*G263,3)</f>
        <v>1.44</v>
      </c>
      <c r="K263" s="19"/>
      <c r="L263" s="19"/>
      <c r="M263" s="19"/>
    </row>
    <row r="264" spans="1:13" ht="15" customHeight="1" thickBot="1" x14ac:dyDescent="0.25">
      <c r="A264" s="19"/>
      <c r="B264" s="19"/>
      <c r="C264" s="19"/>
      <c r="D264" s="20" t="s">
        <v>624</v>
      </c>
      <c r="E264" s="5" t="s">
        <v>625</v>
      </c>
      <c r="F264" s="3">
        <v>1</v>
      </c>
      <c r="G264" s="17">
        <v>38.880000000000003</v>
      </c>
      <c r="H264" s="17"/>
      <c r="I264" s="17"/>
      <c r="J264" s="26">
        <f>ROUND(F264*G264,3)</f>
        <v>38.880000000000003</v>
      </c>
      <c r="K264" s="19"/>
      <c r="L264" s="19"/>
      <c r="M264" s="19"/>
    </row>
    <row r="265" spans="1:13" ht="15" customHeight="1" thickBot="1" x14ac:dyDescent="0.25">
      <c r="A265" s="19"/>
      <c r="B265" s="19"/>
      <c r="C265" s="19"/>
      <c r="D265" s="20" t="s">
        <v>626</v>
      </c>
      <c r="E265" s="5" t="s">
        <v>627</v>
      </c>
      <c r="F265" s="3">
        <v>1</v>
      </c>
      <c r="G265" s="17">
        <v>4.32</v>
      </c>
      <c r="H265" s="17"/>
      <c r="I265" s="17"/>
      <c r="J265" s="26">
        <f>ROUND(F265*G265,3)</f>
        <v>4.32</v>
      </c>
      <c r="K265" s="29">
        <f>SUM(J261:J265)</f>
        <v>89.639999999999986</v>
      </c>
      <c r="L265" s="19"/>
      <c r="M265" s="19"/>
    </row>
    <row r="266" spans="1:13" ht="15.4" customHeight="1" thickBot="1" x14ac:dyDescent="0.25">
      <c r="A266" s="10" t="s">
        <v>628</v>
      </c>
      <c r="B266" s="5" t="s">
        <v>629</v>
      </c>
      <c r="C266" s="5" t="s">
        <v>630</v>
      </c>
      <c r="D266" s="45" t="s">
        <v>631</v>
      </c>
      <c r="E266" s="45"/>
      <c r="F266" s="45"/>
      <c r="G266" s="45"/>
      <c r="H266" s="45"/>
      <c r="I266" s="45"/>
      <c r="J266" s="45"/>
      <c r="K266" s="17">
        <f>SUM(K269:K270)</f>
        <v>79.800000000000011</v>
      </c>
      <c r="L266" s="18">
        <f>ROUND(53.4*(1+M2/100),2)</f>
        <v>55</v>
      </c>
      <c r="M266" s="18">
        <f>ROUND(K266*L266,2)</f>
        <v>4389</v>
      </c>
    </row>
    <row r="267" spans="1:13" ht="57.95" customHeight="1" thickBot="1" x14ac:dyDescent="0.25">
      <c r="A267" s="19"/>
      <c r="B267" s="19"/>
      <c r="C267" s="19"/>
      <c r="D267" s="45" t="s">
        <v>632</v>
      </c>
      <c r="E267" s="45"/>
      <c r="F267" s="45"/>
      <c r="G267" s="45"/>
      <c r="H267" s="45"/>
      <c r="I267" s="45"/>
      <c r="J267" s="45"/>
      <c r="K267" s="45"/>
      <c r="L267" s="45"/>
      <c r="M267" s="45"/>
    </row>
    <row r="268" spans="1:13" ht="15" customHeight="1" thickBot="1" x14ac:dyDescent="0.25">
      <c r="A268" s="19"/>
      <c r="B268" s="19"/>
      <c r="C268" s="19"/>
      <c r="D268" s="19"/>
      <c r="E268" s="21"/>
      <c r="F268" s="22" t="s">
        <v>633</v>
      </c>
      <c r="G268" s="22" t="s">
        <v>634</v>
      </c>
      <c r="H268" s="22"/>
      <c r="I268" s="22"/>
      <c r="J268" s="22" t="s">
        <v>635</v>
      </c>
      <c r="K268" s="22" t="s">
        <v>636</v>
      </c>
      <c r="L268" s="19"/>
      <c r="M268" s="19"/>
    </row>
    <row r="269" spans="1:13" ht="21.2" customHeight="1" thickBot="1" x14ac:dyDescent="0.25">
      <c r="A269" s="19"/>
      <c r="B269" s="19"/>
      <c r="C269" s="19"/>
      <c r="D269" s="20" t="s">
        <v>637</v>
      </c>
      <c r="E269" s="23" t="s">
        <v>638</v>
      </c>
      <c r="F269" s="24">
        <v>1</v>
      </c>
      <c r="G269" s="25">
        <v>41.7</v>
      </c>
      <c r="H269" s="25"/>
      <c r="I269" s="25"/>
      <c r="J269" s="27">
        <f>ROUND(F269*G269,3)</f>
        <v>41.7</v>
      </c>
      <c r="K269" s="28"/>
      <c r="L269" s="19"/>
      <c r="M269" s="19"/>
    </row>
    <row r="270" spans="1:13" ht="15" customHeight="1" thickBot="1" x14ac:dyDescent="0.25">
      <c r="A270" s="19"/>
      <c r="B270" s="19"/>
      <c r="C270" s="19"/>
      <c r="D270" s="20" t="s">
        <v>639</v>
      </c>
      <c r="E270" s="5"/>
      <c r="F270" s="3">
        <v>1</v>
      </c>
      <c r="G270" s="17">
        <v>38.1</v>
      </c>
      <c r="H270" s="17"/>
      <c r="I270" s="17"/>
      <c r="J270" s="26">
        <f>ROUND(F270*G270,3)</f>
        <v>38.1</v>
      </c>
      <c r="K270" s="29">
        <f>SUM(J269:J270)</f>
        <v>79.800000000000011</v>
      </c>
      <c r="L270" s="19"/>
      <c r="M270" s="19"/>
    </row>
    <row r="271" spans="1:13" ht="15.4" customHeight="1" thickBot="1" x14ac:dyDescent="0.25">
      <c r="A271" s="10" t="s">
        <v>640</v>
      </c>
      <c r="B271" s="5" t="s">
        <v>641</v>
      </c>
      <c r="C271" s="5" t="s">
        <v>642</v>
      </c>
      <c r="D271" s="45" t="s">
        <v>643</v>
      </c>
      <c r="E271" s="45"/>
      <c r="F271" s="45"/>
      <c r="G271" s="45"/>
      <c r="H271" s="45"/>
      <c r="I271" s="45"/>
      <c r="J271" s="45"/>
      <c r="K271" s="17">
        <f>SUM(K274:K287)</f>
        <v>155.46</v>
      </c>
      <c r="L271" s="18">
        <f>ROUND(41.73*(1+M2/100),2)</f>
        <v>42.98</v>
      </c>
      <c r="M271" s="18">
        <f>ROUND(K271*L271,2)</f>
        <v>6681.67</v>
      </c>
    </row>
    <row r="272" spans="1:13" ht="113.25" customHeight="1" thickBot="1" x14ac:dyDescent="0.25">
      <c r="A272" s="19"/>
      <c r="B272" s="19"/>
      <c r="C272" s="19"/>
      <c r="D272" s="45" t="s">
        <v>644</v>
      </c>
      <c r="E272" s="45"/>
      <c r="F272" s="45"/>
      <c r="G272" s="45"/>
      <c r="H272" s="45"/>
      <c r="I272" s="45"/>
      <c r="J272" s="45"/>
      <c r="K272" s="45"/>
      <c r="L272" s="45"/>
      <c r="M272" s="45"/>
    </row>
    <row r="273" spans="1:13" ht="15" customHeight="1" thickBot="1" x14ac:dyDescent="0.25">
      <c r="A273" s="19"/>
      <c r="B273" s="19"/>
      <c r="C273" s="19"/>
      <c r="D273" s="19"/>
      <c r="E273" s="21"/>
      <c r="F273" s="22" t="s">
        <v>645</v>
      </c>
      <c r="G273" s="22" t="s">
        <v>646</v>
      </c>
      <c r="H273" s="22"/>
      <c r="I273" s="22"/>
      <c r="J273" s="22" t="s">
        <v>647</v>
      </c>
      <c r="K273" s="22" t="s">
        <v>648</v>
      </c>
      <c r="L273" s="19"/>
      <c r="M273" s="19"/>
    </row>
    <row r="274" spans="1:13" ht="15" customHeight="1" thickBot="1" x14ac:dyDescent="0.25">
      <c r="A274" s="19"/>
      <c r="B274" s="19"/>
      <c r="C274" s="19"/>
      <c r="D274" s="20" t="s">
        <v>649</v>
      </c>
      <c r="E274" s="23" t="s">
        <v>650</v>
      </c>
      <c r="F274" s="24">
        <v>1</v>
      </c>
      <c r="G274" s="25">
        <v>8.1199999999999992</v>
      </c>
      <c r="H274" s="25"/>
      <c r="I274" s="25"/>
      <c r="J274" s="27">
        <f t="shared" ref="J274:J287" si="10">ROUND(F274*G274,3)</f>
        <v>8.1199999999999992</v>
      </c>
      <c r="K274" s="28"/>
      <c r="L274" s="19"/>
      <c r="M274" s="19"/>
    </row>
    <row r="275" spans="1:13" ht="15" customHeight="1" thickBot="1" x14ac:dyDescent="0.25">
      <c r="A275" s="19"/>
      <c r="B275" s="19"/>
      <c r="C275" s="19"/>
      <c r="D275" s="20" t="s">
        <v>651</v>
      </c>
      <c r="E275" s="5" t="s">
        <v>652</v>
      </c>
      <c r="F275" s="3">
        <v>1</v>
      </c>
      <c r="G275" s="17">
        <v>8.4</v>
      </c>
      <c r="H275" s="17"/>
      <c r="I275" s="17"/>
      <c r="J275" s="26">
        <f t="shared" si="10"/>
        <v>8.4</v>
      </c>
      <c r="K275" s="19"/>
      <c r="L275" s="19"/>
      <c r="M275" s="19"/>
    </row>
    <row r="276" spans="1:13" ht="15" customHeight="1" thickBot="1" x14ac:dyDescent="0.25">
      <c r="A276" s="19"/>
      <c r="B276" s="19"/>
      <c r="C276" s="19"/>
      <c r="D276" s="20" t="s">
        <v>653</v>
      </c>
      <c r="E276" s="5" t="s">
        <v>654</v>
      </c>
      <c r="F276" s="3">
        <v>1</v>
      </c>
      <c r="G276" s="17">
        <v>12.8</v>
      </c>
      <c r="H276" s="17"/>
      <c r="I276" s="17"/>
      <c r="J276" s="26">
        <f t="shared" si="10"/>
        <v>12.8</v>
      </c>
      <c r="K276" s="19"/>
      <c r="L276" s="19"/>
      <c r="M276" s="19"/>
    </row>
    <row r="277" spans="1:13" ht="15" customHeight="1" thickBot="1" x14ac:dyDescent="0.25">
      <c r="A277" s="19"/>
      <c r="B277" s="19"/>
      <c r="C277" s="19"/>
      <c r="D277" s="20" t="s">
        <v>655</v>
      </c>
      <c r="E277" s="5" t="s">
        <v>656</v>
      </c>
      <c r="F277" s="3">
        <v>1</v>
      </c>
      <c r="G277" s="17">
        <v>9.4</v>
      </c>
      <c r="H277" s="17"/>
      <c r="I277" s="17"/>
      <c r="J277" s="26">
        <f t="shared" si="10"/>
        <v>9.4</v>
      </c>
      <c r="K277" s="19"/>
      <c r="L277" s="19"/>
      <c r="M277" s="19"/>
    </row>
    <row r="278" spans="1:13" ht="15" customHeight="1" thickBot="1" x14ac:dyDescent="0.25">
      <c r="A278" s="19"/>
      <c r="B278" s="19"/>
      <c r="C278" s="19"/>
      <c r="D278" s="20" t="s">
        <v>657</v>
      </c>
      <c r="E278" s="5" t="s">
        <v>658</v>
      </c>
      <c r="F278" s="3">
        <v>1</v>
      </c>
      <c r="G278" s="17">
        <v>13.2</v>
      </c>
      <c r="H278" s="17"/>
      <c r="I278" s="17"/>
      <c r="J278" s="26">
        <f t="shared" si="10"/>
        <v>13.2</v>
      </c>
      <c r="K278" s="19"/>
      <c r="L278" s="19"/>
      <c r="M278" s="19"/>
    </row>
    <row r="279" spans="1:13" ht="15" customHeight="1" thickBot="1" x14ac:dyDescent="0.25">
      <c r="A279" s="19"/>
      <c r="B279" s="19"/>
      <c r="C279" s="19"/>
      <c r="D279" s="20" t="s">
        <v>659</v>
      </c>
      <c r="E279" s="5" t="s">
        <v>660</v>
      </c>
      <c r="F279" s="3">
        <v>1</v>
      </c>
      <c r="G279" s="17">
        <v>6.04</v>
      </c>
      <c r="H279" s="17"/>
      <c r="I279" s="17"/>
      <c r="J279" s="26">
        <f t="shared" si="10"/>
        <v>6.04</v>
      </c>
      <c r="K279" s="19"/>
      <c r="L279" s="19"/>
      <c r="M279" s="19"/>
    </row>
    <row r="280" spans="1:13" ht="15" customHeight="1" thickBot="1" x14ac:dyDescent="0.25">
      <c r="A280" s="19"/>
      <c r="B280" s="19"/>
      <c r="C280" s="19"/>
      <c r="D280" s="20" t="s">
        <v>661</v>
      </c>
      <c r="E280" s="5" t="s">
        <v>662</v>
      </c>
      <c r="F280" s="3">
        <v>1</v>
      </c>
      <c r="G280" s="17">
        <v>4.16</v>
      </c>
      <c r="H280" s="17"/>
      <c r="I280" s="17"/>
      <c r="J280" s="26">
        <f t="shared" si="10"/>
        <v>4.16</v>
      </c>
      <c r="K280" s="19"/>
      <c r="L280" s="19"/>
      <c r="M280" s="19"/>
    </row>
    <row r="281" spans="1:13" ht="15" customHeight="1" thickBot="1" x14ac:dyDescent="0.25">
      <c r="A281" s="19"/>
      <c r="B281" s="19"/>
      <c r="C281" s="19"/>
      <c r="D281" s="20" t="s">
        <v>663</v>
      </c>
      <c r="E281" s="5" t="s">
        <v>664</v>
      </c>
      <c r="F281" s="3">
        <v>1</v>
      </c>
      <c r="G281" s="17">
        <v>32.89</v>
      </c>
      <c r="H281" s="17"/>
      <c r="I281" s="17"/>
      <c r="J281" s="26">
        <f t="shared" si="10"/>
        <v>32.89</v>
      </c>
      <c r="K281" s="19"/>
      <c r="L281" s="19"/>
      <c r="M281" s="19"/>
    </row>
    <row r="282" spans="1:13" ht="15" customHeight="1" thickBot="1" x14ac:dyDescent="0.25">
      <c r="A282" s="19"/>
      <c r="B282" s="19"/>
      <c r="C282" s="19"/>
      <c r="D282" s="20" t="s">
        <v>665</v>
      </c>
      <c r="E282" s="5" t="s">
        <v>666</v>
      </c>
      <c r="F282" s="3">
        <v>1</v>
      </c>
      <c r="G282" s="17">
        <v>15.2</v>
      </c>
      <c r="H282" s="17"/>
      <c r="I282" s="17"/>
      <c r="J282" s="26">
        <f t="shared" si="10"/>
        <v>15.2</v>
      </c>
      <c r="K282" s="19"/>
      <c r="L282" s="19"/>
      <c r="M282" s="19"/>
    </row>
    <row r="283" spans="1:13" ht="15" customHeight="1" thickBot="1" x14ac:dyDescent="0.25">
      <c r="A283" s="19"/>
      <c r="B283" s="19"/>
      <c r="C283" s="19"/>
      <c r="D283" s="20" t="s">
        <v>667</v>
      </c>
      <c r="E283" s="5" t="s">
        <v>668</v>
      </c>
      <c r="F283" s="3">
        <v>1</v>
      </c>
      <c r="G283" s="17">
        <v>14.2</v>
      </c>
      <c r="H283" s="17"/>
      <c r="I283" s="17"/>
      <c r="J283" s="26">
        <f t="shared" si="10"/>
        <v>14.2</v>
      </c>
      <c r="K283" s="19"/>
      <c r="L283" s="19"/>
      <c r="M283" s="19"/>
    </row>
    <row r="284" spans="1:13" ht="15" customHeight="1" thickBot="1" x14ac:dyDescent="0.25">
      <c r="A284" s="19"/>
      <c r="B284" s="19"/>
      <c r="C284" s="19"/>
      <c r="D284" s="20" t="s">
        <v>669</v>
      </c>
      <c r="E284" s="5" t="s">
        <v>670</v>
      </c>
      <c r="F284" s="3">
        <v>1</v>
      </c>
      <c r="G284" s="17">
        <v>7.4</v>
      </c>
      <c r="H284" s="17"/>
      <c r="I284" s="17"/>
      <c r="J284" s="26">
        <f t="shared" si="10"/>
        <v>7.4</v>
      </c>
      <c r="K284" s="19"/>
      <c r="L284" s="19"/>
      <c r="M284" s="19"/>
    </row>
    <row r="285" spans="1:13" ht="15" customHeight="1" thickBot="1" x14ac:dyDescent="0.25">
      <c r="A285" s="19"/>
      <c r="B285" s="19"/>
      <c r="C285" s="19"/>
      <c r="D285" s="20" t="s">
        <v>671</v>
      </c>
      <c r="E285" s="5" t="s">
        <v>672</v>
      </c>
      <c r="F285" s="3">
        <v>1</v>
      </c>
      <c r="G285" s="17">
        <v>11.58</v>
      </c>
      <c r="H285" s="17"/>
      <c r="I285" s="17"/>
      <c r="J285" s="26">
        <f t="shared" si="10"/>
        <v>11.58</v>
      </c>
      <c r="K285" s="19"/>
      <c r="L285" s="19"/>
      <c r="M285" s="19"/>
    </row>
    <row r="286" spans="1:13" ht="15" customHeight="1" thickBot="1" x14ac:dyDescent="0.25">
      <c r="A286" s="19"/>
      <c r="B286" s="19"/>
      <c r="C286" s="19"/>
      <c r="D286" s="20" t="s">
        <v>673</v>
      </c>
      <c r="E286" s="5" t="s">
        <v>674</v>
      </c>
      <c r="F286" s="3">
        <v>1</v>
      </c>
      <c r="G286" s="17">
        <v>9.6199999999999992</v>
      </c>
      <c r="H286" s="17"/>
      <c r="I286" s="17"/>
      <c r="J286" s="26">
        <f t="shared" si="10"/>
        <v>9.6199999999999992</v>
      </c>
      <c r="K286" s="19"/>
      <c r="L286" s="19"/>
      <c r="M286" s="19"/>
    </row>
    <row r="287" spans="1:13" ht="15" customHeight="1" thickBot="1" x14ac:dyDescent="0.25">
      <c r="A287" s="19"/>
      <c r="B287" s="19"/>
      <c r="C287" s="19"/>
      <c r="D287" s="20" t="s">
        <v>675</v>
      </c>
      <c r="E287" s="5" t="s">
        <v>676</v>
      </c>
      <c r="F287" s="3">
        <v>1</v>
      </c>
      <c r="G287" s="17">
        <v>2.4500000000000002</v>
      </c>
      <c r="H287" s="17"/>
      <c r="I287" s="17"/>
      <c r="J287" s="26">
        <f t="shared" si="10"/>
        <v>2.4500000000000002</v>
      </c>
      <c r="K287" s="29">
        <f>SUM(J274:J287)</f>
        <v>155.46</v>
      </c>
      <c r="L287" s="19"/>
      <c r="M287" s="19"/>
    </row>
    <row r="288" spans="1:13" ht="15.4" customHeight="1" thickBot="1" x14ac:dyDescent="0.25">
      <c r="A288" s="10" t="s">
        <v>677</v>
      </c>
      <c r="B288" s="5" t="s">
        <v>678</v>
      </c>
      <c r="C288" s="5" t="s">
        <v>679</v>
      </c>
      <c r="D288" s="45" t="s">
        <v>680</v>
      </c>
      <c r="E288" s="45"/>
      <c r="F288" s="45"/>
      <c r="G288" s="45"/>
      <c r="H288" s="45"/>
      <c r="I288" s="45"/>
      <c r="J288" s="45"/>
      <c r="K288" s="17">
        <f>SUM(K291:K292)</f>
        <v>21.009999999999998</v>
      </c>
      <c r="L288" s="18">
        <f>ROUND(40.69*(1+M2/100),2)</f>
        <v>41.91</v>
      </c>
      <c r="M288" s="18">
        <f>ROUND(K288*L288,2)</f>
        <v>880.53</v>
      </c>
    </row>
    <row r="289" spans="1:13" ht="57.95" customHeight="1" thickBot="1" x14ac:dyDescent="0.25">
      <c r="A289" s="19"/>
      <c r="B289" s="19"/>
      <c r="C289" s="19"/>
      <c r="D289" s="45" t="s">
        <v>681</v>
      </c>
      <c r="E289" s="45"/>
      <c r="F289" s="45"/>
      <c r="G289" s="45"/>
      <c r="H289" s="45"/>
      <c r="I289" s="45"/>
      <c r="J289" s="45"/>
      <c r="K289" s="45"/>
      <c r="L289" s="45"/>
      <c r="M289" s="45"/>
    </row>
    <row r="290" spans="1:13" ht="15" customHeight="1" thickBot="1" x14ac:dyDescent="0.25">
      <c r="A290" s="19"/>
      <c r="B290" s="19"/>
      <c r="C290" s="19"/>
      <c r="D290" s="19"/>
      <c r="E290" s="21"/>
      <c r="F290" s="22" t="s">
        <v>682</v>
      </c>
      <c r="G290" s="22" t="s">
        <v>683</v>
      </c>
      <c r="H290" s="22"/>
      <c r="I290" s="22"/>
      <c r="J290" s="22" t="s">
        <v>684</v>
      </c>
      <c r="K290" s="22" t="s">
        <v>685</v>
      </c>
      <c r="L290" s="19"/>
      <c r="M290" s="19"/>
    </row>
    <row r="291" spans="1:13" ht="30.4" customHeight="1" thickBot="1" x14ac:dyDescent="0.25">
      <c r="A291" s="19"/>
      <c r="B291" s="19"/>
      <c r="C291" s="19"/>
      <c r="D291" s="20" t="s">
        <v>686</v>
      </c>
      <c r="E291" s="23" t="s">
        <v>687</v>
      </c>
      <c r="F291" s="24">
        <v>1</v>
      </c>
      <c r="G291" s="25">
        <v>11.52</v>
      </c>
      <c r="H291" s="25"/>
      <c r="I291" s="25"/>
      <c r="J291" s="27">
        <f>ROUND(F291*G291,3)</f>
        <v>11.52</v>
      </c>
      <c r="K291" s="28"/>
      <c r="L291" s="19"/>
      <c r="M291" s="19"/>
    </row>
    <row r="292" spans="1:13" ht="15" customHeight="1" thickBot="1" x14ac:dyDescent="0.25">
      <c r="A292" s="19"/>
      <c r="B292" s="19"/>
      <c r="C292" s="19"/>
      <c r="D292" s="20" t="s">
        <v>688</v>
      </c>
      <c r="E292" s="5"/>
      <c r="F292" s="3">
        <v>1</v>
      </c>
      <c r="G292" s="17">
        <v>9.49</v>
      </c>
      <c r="H292" s="17"/>
      <c r="I292" s="17"/>
      <c r="J292" s="26">
        <f>ROUND(F292*G292,3)</f>
        <v>9.49</v>
      </c>
      <c r="K292" s="29">
        <f>SUM(J291:J292)</f>
        <v>21.009999999999998</v>
      </c>
      <c r="L292" s="19"/>
      <c r="M292" s="19"/>
    </row>
    <row r="293" spans="1:13" ht="15.4" customHeight="1" thickBot="1" x14ac:dyDescent="0.25">
      <c r="A293" s="10" t="s">
        <v>689</v>
      </c>
      <c r="B293" s="5" t="s">
        <v>690</v>
      </c>
      <c r="C293" s="5" t="s">
        <v>691</v>
      </c>
      <c r="D293" s="45" t="s">
        <v>692</v>
      </c>
      <c r="E293" s="45"/>
      <c r="F293" s="45"/>
      <c r="G293" s="45"/>
      <c r="H293" s="45"/>
      <c r="I293" s="45"/>
      <c r="J293" s="45"/>
      <c r="K293" s="17">
        <f>SUM(K296:K304)</f>
        <v>167.428</v>
      </c>
      <c r="L293" s="18">
        <f>ROUND(56.7*(1+M2/100),2)</f>
        <v>58.4</v>
      </c>
      <c r="M293" s="18">
        <f>ROUND(K293*L293,2)</f>
        <v>9777.7999999999993</v>
      </c>
    </row>
    <row r="294" spans="1:13" ht="140.85" customHeight="1" thickBot="1" x14ac:dyDescent="0.25">
      <c r="A294" s="19"/>
      <c r="B294" s="19"/>
      <c r="C294" s="19"/>
      <c r="D294" s="45" t="s">
        <v>693</v>
      </c>
      <c r="E294" s="45"/>
      <c r="F294" s="45"/>
      <c r="G294" s="45"/>
      <c r="H294" s="45"/>
      <c r="I294" s="45"/>
      <c r="J294" s="45"/>
      <c r="K294" s="45"/>
      <c r="L294" s="45"/>
      <c r="M294" s="45"/>
    </row>
    <row r="295" spans="1:13" ht="15" customHeight="1" thickBot="1" x14ac:dyDescent="0.25">
      <c r="A295" s="19"/>
      <c r="B295" s="19"/>
      <c r="C295" s="19"/>
      <c r="D295" s="19"/>
      <c r="E295" s="21"/>
      <c r="F295" s="22" t="s">
        <v>694</v>
      </c>
      <c r="G295" s="22"/>
      <c r="H295" s="22" t="s">
        <v>695</v>
      </c>
      <c r="I295" s="22" t="s">
        <v>696</v>
      </c>
      <c r="J295" s="22" t="s">
        <v>697</v>
      </c>
      <c r="K295" s="22" t="s">
        <v>698</v>
      </c>
      <c r="L295" s="19"/>
      <c r="M295" s="19"/>
    </row>
    <row r="296" spans="1:13" ht="21.2" customHeight="1" thickBot="1" x14ac:dyDescent="0.25">
      <c r="A296" s="19"/>
      <c r="B296" s="19"/>
      <c r="C296" s="19"/>
      <c r="D296" s="20" t="s">
        <v>699</v>
      </c>
      <c r="E296" s="23" t="s">
        <v>700</v>
      </c>
      <c r="F296" s="24">
        <v>1</v>
      </c>
      <c r="G296" s="25"/>
      <c r="H296" s="25">
        <v>4.0199999999999996</v>
      </c>
      <c r="I296" s="25">
        <v>2.98</v>
      </c>
      <c r="J296" s="27">
        <f t="shared" ref="J296:J304" si="11">ROUND(F296*H296*I296,3)</f>
        <v>11.98</v>
      </c>
      <c r="K296" s="28"/>
      <c r="L296" s="19"/>
      <c r="M296" s="19"/>
    </row>
    <row r="297" spans="1:13" ht="30.4" customHeight="1" thickBot="1" x14ac:dyDescent="0.25">
      <c r="A297" s="19"/>
      <c r="B297" s="19"/>
      <c r="C297" s="19"/>
      <c r="D297" s="20" t="s">
        <v>701</v>
      </c>
      <c r="E297" s="5" t="s">
        <v>702</v>
      </c>
      <c r="F297" s="3">
        <v>1</v>
      </c>
      <c r="G297" s="17"/>
      <c r="H297" s="17">
        <v>9.4</v>
      </c>
      <c r="I297" s="17">
        <v>3.6</v>
      </c>
      <c r="J297" s="26">
        <f t="shared" si="11"/>
        <v>33.840000000000003</v>
      </c>
      <c r="K297" s="19"/>
      <c r="L297" s="19"/>
      <c r="M297" s="19"/>
    </row>
    <row r="298" spans="1:13" ht="21.2" customHeight="1" thickBot="1" x14ac:dyDescent="0.25">
      <c r="A298" s="19"/>
      <c r="B298" s="19"/>
      <c r="C298" s="19"/>
      <c r="D298" s="20" t="s">
        <v>703</v>
      </c>
      <c r="E298" s="5" t="s">
        <v>704</v>
      </c>
      <c r="F298" s="3">
        <v>1</v>
      </c>
      <c r="G298" s="17"/>
      <c r="H298" s="17">
        <v>5.25</v>
      </c>
      <c r="I298" s="17">
        <v>3.6</v>
      </c>
      <c r="J298" s="26">
        <f t="shared" si="11"/>
        <v>18.899999999999999</v>
      </c>
      <c r="K298" s="19"/>
      <c r="L298" s="19"/>
      <c r="M298" s="19"/>
    </row>
    <row r="299" spans="1:13" ht="15" customHeight="1" thickBot="1" x14ac:dyDescent="0.25">
      <c r="A299" s="19"/>
      <c r="B299" s="19"/>
      <c r="C299" s="19"/>
      <c r="D299" s="20" t="s">
        <v>705</v>
      </c>
      <c r="E299" s="5"/>
      <c r="F299" s="3">
        <v>1</v>
      </c>
      <c r="G299" s="17"/>
      <c r="H299" s="17">
        <v>0.41</v>
      </c>
      <c r="I299" s="17">
        <v>3.6</v>
      </c>
      <c r="J299" s="26">
        <f t="shared" si="11"/>
        <v>1.476</v>
      </c>
      <c r="K299" s="19"/>
      <c r="L299" s="19"/>
      <c r="M299" s="19"/>
    </row>
    <row r="300" spans="1:13" ht="21.2" customHeight="1" thickBot="1" x14ac:dyDescent="0.25">
      <c r="A300" s="19"/>
      <c r="B300" s="19"/>
      <c r="C300" s="19"/>
      <c r="D300" s="20" t="s">
        <v>706</v>
      </c>
      <c r="E300" s="5" t="s">
        <v>707</v>
      </c>
      <c r="F300" s="3">
        <v>2</v>
      </c>
      <c r="G300" s="17"/>
      <c r="H300" s="17">
        <v>0.41</v>
      </c>
      <c r="I300" s="17">
        <v>3.6</v>
      </c>
      <c r="J300" s="26">
        <f t="shared" si="11"/>
        <v>2.952</v>
      </c>
      <c r="K300" s="19"/>
      <c r="L300" s="19"/>
      <c r="M300" s="19"/>
    </row>
    <row r="301" spans="1:13" ht="15" customHeight="1" thickBot="1" x14ac:dyDescent="0.25">
      <c r="A301" s="19"/>
      <c r="B301" s="19"/>
      <c r="C301" s="19"/>
      <c r="D301" s="20" t="s">
        <v>708</v>
      </c>
      <c r="E301" s="5" t="s">
        <v>709</v>
      </c>
      <c r="F301" s="3">
        <v>1</v>
      </c>
      <c r="G301" s="17"/>
      <c r="H301" s="17">
        <v>1.55</v>
      </c>
      <c r="I301" s="17">
        <v>3.6</v>
      </c>
      <c r="J301" s="26">
        <f t="shared" si="11"/>
        <v>5.58</v>
      </c>
      <c r="K301" s="19"/>
      <c r="L301" s="19"/>
      <c r="M301" s="19"/>
    </row>
    <row r="302" spans="1:13" ht="30.4" customHeight="1" thickBot="1" x14ac:dyDescent="0.25">
      <c r="A302" s="19"/>
      <c r="B302" s="19"/>
      <c r="C302" s="19"/>
      <c r="D302" s="20" t="s">
        <v>710</v>
      </c>
      <c r="E302" s="5" t="s">
        <v>711</v>
      </c>
      <c r="F302" s="3">
        <v>2</v>
      </c>
      <c r="G302" s="17"/>
      <c r="H302" s="17">
        <v>4.0999999999999996</v>
      </c>
      <c r="I302" s="17">
        <v>2.98</v>
      </c>
      <c r="J302" s="26">
        <f t="shared" si="11"/>
        <v>24.436</v>
      </c>
      <c r="K302" s="19"/>
      <c r="L302" s="19"/>
      <c r="M302" s="19"/>
    </row>
    <row r="303" spans="1:13" ht="30.4" customHeight="1" thickBot="1" x14ac:dyDescent="0.25">
      <c r="A303" s="19"/>
      <c r="B303" s="19"/>
      <c r="C303" s="19"/>
      <c r="D303" s="20" t="s">
        <v>712</v>
      </c>
      <c r="E303" s="5" t="s">
        <v>713</v>
      </c>
      <c r="F303" s="3">
        <v>1</v>
      </c>
      <c r="G303" s="17"/>
      <c r="H303" s="17">
        <v>2.31</v>
      </c>
      <c r="I303" s="17">
        <v>2.98</v>
      </c>
      <c r="J303" s="26">
        <f t="shared" si="11"/>
        <v>6.8840000000000003</v>
      </c>
      <c r="K303" s="19"/>
      <c r="L303" s="19"/>
      <c r="M303" s="19"/>
    </row>
    <row r="304" spans="1:13" ht="21.2" customHeight="1" thickBot="1" x14ac:dyDescent="0.25">
      <c r="A304" s="19"/>
      <c r="B304" s="19"/>
      <c r="C304" s="19"/>
      <c r="D304" s="20" t="s">
        <v>714</v>
      </c>
      <c r="E304" s="5" t="s">
        <v>715</v>
      </c>
      <c r="F304" s="3">
        <v>1</v>
      </c>
      <c r="G304" s="17"/>
      <c r="H304" s="17">
        <v>17.05</v>
      </c>
      <c r="I304" s="17">
        <v>3.6</v>
      </c>
      <c r="J304" s="26">
        <f t="shared" si="11"/>
        <v>61.38</v>
      </c>
      <c r="K304" s="29">
        <f>SUM(J296:J304)</f>
        <v>167.428</v>
      </c>
      <c r="L304" s="19"/>
      <c r="M304" s="19"/>
    </row>
    <row r="305" spans="1:13" ht="15.4" customHeight="1" thickBot="1" x14ac:dyDescent="0.25">
      <c r="A305" s="10" t="s">
        <v>716</v>
      </c>
      <c r="B305" s="5" t="s">
        <v>717</v>
      </c>
      <c r="C305" s="5" t="s">
        <v>718</v>
      </c>
      <c r="D305" s="45" t="s">
        <v>719</v>
      </c>
      <c r="E305" s="45"/>
      <c r="F305" s="45"/>
      <c r="G305" s="45"/>
      <c r="H305" s="45"/>
      <c r="I305" s="45"/>
      <c r="J305" s="45"/>
      <c r="K305" s="17">
        <f>SUM(K308:K318)</f>
        <v>227.17400000000001</v>
      </c>
      <c r="L305" s="18">
        <f>ROUND(64.36*(1+M2/100),2)</f>
        <v>66.290000000000006</v>
      </c>
      <c r="M305" s="18">
        <f>ROUND(K305*L305,2)</f>
        <v>15059.36</v>
      </c>
    </row>
    <row r="306" spans="1:13" ht="140.85" customHeight="1" thickBot="1" x14ac:dyDescent="0.25">
      <c r="A306" s="19"/>
      <c r="B306" s="19"/>
      <c r="C306" s="19"/>
      <c r="D306" s="45" t="s">
        <v>720</v>
      </c>
      <c r="E306" s="45"/>
      <c r="F306" s="45"/>
      <c r="G306" s="45"/>
      <c r="H306" s="45"/>
      <c r="I306" s="45"/>
      <c r="J306" s="45"/>
      <c r="K306" s="45"/>
      <c r="L306" s="45"/>
      <c r="M306" s="45"/>
    </row>
    <row r="307" spans="1:13" ht="15" customHeight="1" thickBot="1" x14ac:dyDescent="0.25">
      <c r="A307" s="19"/>
      <c r="B307" s="19"/>
      <c r="C307" s="19"/>
      <c r="D307" s="19"/>
      <c r="E307" s="21"/>
      <c r="F307" s="22" t="s">
        <v>721</v>
      </c>
      <c r="G307" s="22"/>
      <c r="H307" s="22" t="s">
        <v>722</v>
      </c>
      <c r="I307" s="22" t="s">
        <v>723</v>
      </c>
      <c r="J307" s="22" t="s">
        <v>724</v>
      </c>
      <c r="K307" s="22" t="s">
        <v>725</v>
      </c>
      <c r="L307" s="19"/>
      <c r="M307" s="19"/>
    </row>
    <row r="308" spans="1:13" ht="15" customHeight="1" thickBot="1" x14ac:dyDescent="0.25">
      <c r="A308" s="19"/>
      <c r="B308" s="19"/>
      <c r="C308" s="19"/>
      <c r="D308" s="20" t="s">
        <v>726</v>
      </c>
      <c r="E308" s="23" t="s">
        <v>727</v>
      </c>
      <c r="F308" s="24">
        <v>1</v>
      </c>
      <c r="G308" s="25"/>
      <c r="H308" s="25">
        <v>2.68</v>
      </c>
      <c r="I308" s="25">
        <v>3.6</v>
      </c>
      <c r="J308" s="27">
        <f t="shared" ref="J308:J318" si="12">ROUND(F308*H308*I308,3)</f>
        <v>9.6479999999999997</v>
      </c>
      <c r="K308" s="28"/>
      <c r="L308" s="19"/>
      <c r="M308" s="19"/>
    </row>
    <row r="309" spans="1:13" ht="15" customHeight="1" thickBot="1" x14ac:dyDescent="0.25">
      <c r="A309" s="19"/>
      <c r="B309" s="19"/>
      <c r="C309" s="19"/>
      <c r="D309" s="20" t="s">
        <v>728</v>
      </c>
      <c r="E309" s="5" t="s">
        <v>729</v>
      </c>
      <c r="F309" s="3">
        <v>1</v>
      </c>
      <c r="G309" s="17"/>
      <c r="H309" s="17">
        <v>2</v>
      </c>
      <c r="I309" s="17">
        <v>3.6</v>
      </c>
      <c r="J309" s="26">
        <f t="shared" si="12"/>
        <v>7.2</v>
      </c>
      <c r="K309" s="19"/>
      <c r="L309" s="19"/>
      <c r="M309" s="19"/>
    </row>
    <row r="310" spans="1:13" ht="21.2" customHeight="1" thickBot="1" x14ac:dyDescent="0.25">
      <c r="A310" s="19"/>
      <c r="B310" s="19"/>
      <c r="C310" s="19"/>
      <c r="D310" s="20" t="s">
        <v>730</v>
      </c>
      <c r="E310" s="5" t="s">
        <v>731</v>
      </c>
      <c r="F310" s="3">
        <v>1</v>
      </c>
      <c r="G310" s="17"/>
      <c r="H310" s="17">
        <v>4.01</v>
      </c>
      <c r="I310" s="17">
        <v>2.98</v>
      </c>
      <c r="J310" s="26">
        <f t="shared" si="12"/>
        <v>11.95</v>
      </c>
      <c r="K310" s="19"/>
      <c r="L310" s="19"/>
      <c r="M310" s="19"/>
    </row>
    <row r="311" spans="1:13" ht="21.2" customHeight="1" thickBot="1" x14ac:dyDescent="0.25">
      <c r="A311" s="19"/>
      <c r="B311" s="19"/>
      <c r="C311" s="19"/>
      <c r="D311" s="20" t="s">
        <v>732</v>
      </c>
      <c r="E311" s="5" t="s">
        <v>733</v>
      </c>
      <c r="F311" s="3">
        <v>1</v>
      </c>
      <c r="G311" s="17"/>
      <c r="H311" s="17">
        <v>4.01</v>
      </c>
      <c r="I311" s="17">
        <v>2.98</v>
      </c>
      <c r="J311" s="26">
        <f t="shared" si="12"/>
        <v>11.95</v>
      </c>
      <c r="K311" s="19"/>
      <c r="L311" s="19"/>
      <c r="M311" s="19"/>
    </row>
    <row r="312" spans="1:13" ht="21.2" customHeight="1" thickBot="1" x14ac:dyDescent="0.25">
      <c r="A312" s="19"/>
      <c r="B312" s="19"/>
      <c r="C312" s="19"/>
      <c r="D312" s="20" t="s">
        <v>734</v>
      </c>
      <c r="E312" s="5" t="s">
        <v>735</v>
      </c>
      <c r="F312" s="3">
        <v>2</v>
      </c>
      <c r="G312" s="17"/>
      <c r="H312" s="17">
        <v>5.0999999999999996</v>
      </c>
      <c r="I312" s="17">
        <v>2.98</v>
      </c>
      <c r="J312" s="26">
        <f t="shared" si="12"/>
        <v>30.396000000000001</v>
      </c>
      <c r="K312" s="19"/>
      <c r="L312" s="19"/>
      <c r="M312" s="19"/>
    </row>
    <row r="313" spans="1:13" ht="21.2" customHeight="1" thickBot="1" x14ac:dyDescent="0.25">
      <c r="A313" s="19"/>
      <c r="B313" s="19"/>
      <c r="C313" s="19"/>
      <c r="D313" s="20" t="s">
        <v>736</v>
      </c>
      <c r="E313" s="5" t="s">
        <v>737</v>
      </c>
      <c r="F313" s="3">
        <v>1</v>
      </c>
      <c r="G313" s="17"/>
      <c r="H313" s="17">
        <v>6.4</v>
      </c>
      <c r="I313" s="17">
        <v>3.6</v>
      </c>
      <c r="J313" s="26">
        <f t="shared" si="12"/>
        <v>23.04</v>
      </c>
      <c r="K313" s="19"/>
      <c r="L313" s="19"/>
      <c r="M313" s="19"/>
    </row>
    <row r="314" spans="1:13" ht="21.2" customHeight="1" thickBot="1" x14ac:dyDescent="0.25">
      <c r="A314" s="19"/>
      <c r="B314" s="19"/>
      <c r="C314" s="19"/>
      <c r="D314" s="20" t="s">
        <v>738</v>
      </c>
      <c r="E314" s="5" t="s">
        <v>739</v>
      </c>
      <c r="F314" s="3">
        <v>1</v>
      </c>
      <c r="G314" s="17"/>
      <c r="H314" s="17">
        <v>8.4499999999999993</v>
      </c>
      <c r="I314" s="17">
        <v>3.6</v>
      </c>
      <c r="J314" s="26">
        <f t="shared" si="12"/>
        <v>30.42</v>
      </c>
      <c r="K314" s="19"/>
      <c r="L314" s="19"/>
      <c r="M314" s="19"/>
    </row>
    <row r="315" spans="1:13" ht="21.2" customHeight="1" thickBot="1" x14ac:dyDescent="0.25">
      <c r="A315" s="19"/>
      <c r="B315" s="19"/>
      <c r="C315" s="19"/>
      <c r="D315" s="20" t="s">
        <v>740</v>
      </c>
      <c r="E315" s="5" t="s">
        <v>741</v>
      </c>
      <c r="F315" s="3">
        <v>1</v>
      </c>
      <c r="G315" s="17"/>
      <c r="H315" s="17">
        <v>9.26</v>
      </c>
      <c r="I315" s="17">
        <v>3.6</v>
      </c>
      <c r="J315" s="26">
        <f t="shared" si="12"/>
        <v>33.335999999999999</v>
      </c>
      <c r="K315" s="19"/>
      <c r="L315" s="19"/>
      <c r="M315" s="19"/>
    </row>
    <row r="316" spans="1:13" ht="21.2" customHeight="1" thickBot="1" x14ac:dyDescent="0.25">
      <c r="A316" s="19"/>
      <c r="B316" s="19"/>
      <c r="C316" s="19"/>
      <c r="D316" s="20" t="s">
        <v>742</v>
      </c>
      <c r="E316" s="5" t="s">
        <v>743</v>
      </c>
      <c r="F316" s="3">
        <v>1</v>
      </c>
      <c r="G316" s="17"/>
      <c r="H316" s="17">
        <v>5.0999999999999996</v>
      </c>
      <c r="I316" s="17">
        <v>2.98</v>
      </c>
      <c r="J316" s="26">
        <f t="shared" si="12"/>
        <v>15.198</v>
      </c>
      <c r="K316" s="19"/>
      <c r="L316" s="19"/>
      <c r="M316" s="19"/>
    </row>
    <row r="317" spans="1:13" ht="15" customHeight="1" thickBot="1" x14ac:dyDescent="0.25">
      <c r="A317" s="19"/>
      <c r="B317" s="19"/>
      <c r="C317" s="19"/>
      <c r="D317" s="20" t="s">
        <v>744</v>
      </c>
      <c r="E317" s="5" t="s">
        <v>745</v>
      </c>
      <c r="F317" s="3">
        <v>1</v>
      </c>
      <c r="G317" s="17"/>
      <c r="H317" s="17">
        <v>13.78</v>
      </c>
      <c r="I317" s="17">
        <v>3.6</v>
      </c>
      <c r="J317" s="26">
        <f t="shared" si="12"/>
        <v>49.607999999999997</v>
      </c>
      <c r="K317" s="19"/>
      <c r="L317" s="19"/>
      <c r="M317" s="19"/>
    </row>
    <row r="318" spans="1:13" ht="21.2" customHeight="1" thickBot="1" x14ac:dyDescent="0.25">
      <c r="A318" s="19"/>
      <c r="B318" s="19"/>
      <c r="C318" s="19"/>
      <c r="D318" s="20" t="s">
        <v>746</v>
      </c>
      <c r="E318" s="5" t="s">
        <v>747</v>
      </c>
      <c r="F318" s="3">
        <v>3</v>
      </c>
      <c r="G318" s="17"/>
      <c r="H318" s="17">
        <v>0.41</v>
      </c>
      <c r="I318" s="17">
        <v>3.6</v>
      </c>
      <c r="J318" s="26">
        <f t="shared" si="12"/>
        <v>4.4279999999999999</v>
      </c>
      <c r="K318" s="29">
        <f>SUM(J308:J318)</f>
        <v>227.17400000000001</v>
      </c>
      <c r="L318" s="19"/>
      <c r="M318" s="19"/>
    </row>
    <row r="319" spans="1:13" ht="15.4" customHeight="1" thickBot="1" x14ac:dyDescent="0.25">
      <c r="A319" s="10" t="s">
        <v>748</v>
      </c>
      <c r="B319" s="5" t="s">
        <v>749</v>
      </c>
      <c r="C319" s="5" t="s">
        <v>750</v>
      </c>
      <c r="D319" s="45" t="s">
        <v>751</v>
      </c>
      <c r="E319" s="45"/>
      <c r="F319" s="45"/>
      <c r="G319" s="45"/>
      <c r="H319" s="45"/>
      <c r="I319" s="45"/>
      <c r="J319" s="45"/>
      <c r="K319" s="17">
        <f>SUM(K322:K323)</f>
        <v>40.043999999999997</v>
      </c>
      <c r="L319" s="18">
        <f>ROUND(74.66*(1+M2/100),2)</f>
        <v>76.900000000000006</v>
      </c>
      <c r="M319" s="18">
        <f>ROUND(K319*L319,2)</f>
        <v>3079.38</v>
      </c>
    </row>
    <row r="320" spans="1:13" ht="140.85" customHeight="1" thickBot="1" x14ac:dyDescent="0.25">
      <c r="A320" s="19"/>
      <c r="B320" s="19"/>
      <c r="C320" s="19"/>
      <c r="D320" s="45" t="s">
        <v>752</v>
      </c>
      <c r="E320" s="45"/>
      <c r="F320" s="45"/>
      <c r="G320" s="45"/>
      <c r="H320" s="45"/>
      <c r="I320" s="45"/>
      <c r="J320" s="45"/>
      <c r="K320" s="45"/>
      <c r="L320" s="45"/>
      <c r="M320" s="45"/>
    </row>
    <row r="321" spans="1:13" ht="15" customHeight="1" thickBot="1" x14ac:dyDescent="0.25">
      <c r="A321" s="19"/>
      <c r="B321" s="19"/>
      <c r="C321" s="19"/>
      <c r="D321" s="19"/>
      <c r="E321" s="21"/>
      <c r="F321" s="22" t="s">
        <v>753</v>
      </c>
      <c r="G321" s="22"/>
      <c r="H321" s="22" t="s">
        <v>754</v>
      </c>
      <c r="I321" s="22" t="s">
        <v>755</v>
      </c>
      <c r="J321" s="22" t="s">
        <v>756</v>
      </c>
      <c r="K321" s="22" t="s">
        <v>757</v>
      </c>
      <c r="L321" s="19"/>
      <c r="M321" s="19"/>
    </row>
    <row r="322" spans="1:13" ht="15" customHeight="1" thickBot="1" x14ac:dyDescent="0.25">
      <c r="A322" s="19"/>
      <c r="B322" s="19"/>
      <c r="C322" s="19"/>
      <c r="D322" s="20" t="s">
        <v>758</v>
      </c>
      <c r="E322" s="23" t="s">
        <v>759</v>
      </c>
      <c r="F322" s="24">
        <v>2</v>
      </c>
      <c r="G322" s="25"/>
      <c r="H322" s="25">
        <v>5.0999999999999996</v>
      </c>
      <c r="I322" s="25">
        <v>2.98</v>
      </c>
      <c r="J322" s="27">
        <f>ROUND(F322*H322*I322,3)</f>
        <v>30.396000000000001</v>
      </c>
      <c r="K322" s="28"/>
      <c r="L322" s="19"/>
      <c r="M322" s="19"/>
    </row>
    <row r="323" spans="1:13" ht="15" customHeight="1" thickBot="1" x14ac:dyDescent="0.25">
      <c r="A323" s="19"/>
      <c r="B323" s="19"/>
      <c r="C323" s="19"/>
      <c r="D323" s="20" t="s">
        <v>760</v>
      </c>
      <c r="E323" s="5" t="s">
        <v>761</v>
      </c>
      <c r="F323" s="3">
        <v>1</v>
      </c>
      <c r="G323" s="17"/>
      <c r="H323" s="17">
        <v>2.68</v>
      </c>
      <c r="I323" s="17">
        <v>3.6</v>
      </c>
      <c r="J323" s="26">
        <f>ROUND(F323*H323*I323,3)</f>
        <v>9.6479999999999997</v>
      </c>
      <c r="K323" s="29">
        <f>SUM(J322:J323)</f>
        <v>40.043999999999997</v>
      </c>
      <c r="L323" s="19"/>
      <c r="M323" s="19"/>
    </row>
    <row r="324" spans="1:13" ht="15.4" customHeight="1" thickBot="1" x14ac:dyDescent="0.25">
      <c r="A324" s="31"/>
      <c r="B324" s="31"/>
      <c r="C324" s="31"/>
      <c r="D324" s="32" t="s">
        <v>762</v>
      </c>
      <c r="E324" s="33"/>
      <c r="F324" s="33"/>
      <c r="G324" s="33"/>
      <c r="H324" s="33"/>
      <c r="I324" s="33"/>
      <c r="J324" s="33"/>
      <c r="K324" s="33"/>
      <c r="L324" s="34">
        <f>M246+M258+M266+M271+M288+M293+M305+M319</f>
        <v>50761.469999999994</v>
      </c>
      <c r="M324" s="34">
        <f>ROUND(L324,2)</f>
        <v>50761.47</v>
      </c>
    </row>
    <row r="325" spans="1:13" ht="15.4" customHeight="1" thickBot="1" x14ac:dyDescent="0.25">
      <c r="A325" s="35" t="s">
        <v>763</v>
      </c>
      <c r="B325" s="35" t="s">
        <v>764</v>
      </c>
      <c r="C325" s="36"/>
      <c r="D325" s="46" t="s">
        <v>765</v>
      </c>
      <c r="E325" s="46"/>
      <c r="F325" s="46"/>
      <c r="G325" s="46"/>
      <c r="H325" s="46"/>
      <c r="I325" s="46"/>
      <c r="J325" s="46"/>
      <c r="K325" s="36"/>
      <c r="L325" s="37">
        <f>L360</f>
        <v>17868.260000000002</v>
      </c>
      <c r="M325" s="37">
        <f>ROUND(L325,2)</f>
        <v>17868.259999999998</v>
      </c>
    </row>
    <row r="326" spans="1:13" ht="15.4" customHeight="1" thickBot="1" x14ac:dyDescent="0.25">
      <c r="A326" s="10" t="s">
        <v>766</v>
      </c>
      <c r="B326" s="5" t="s">
        <v>767</v>
      </c>
      <c r="C326" s="5" t="s">
        <v>768</v>
      </c>
      <c r="D326" s="45" t="s">
        <v>769</v>
      </c>
      <c r="E326" s="45"/>
      <c r="F326" s="45"/>
      <c r="G326" s="45"/>
      <c r="H326" s="45"/>
      <c r="I326" s="45"/>
      <c r="J326" s="45"/>
      <c r="K326" s="17">
        <f>SUM(K329:K331)</f>
        <v>3</v>
      </c>
      <c r="L326" s="18">
        <f>ROUND(828.117*(1+M2/100),2)</f>
        <v>852.96</v>
      </c>
      <c r="M326" s="18">
        <f>ROUND(K326*L326,2)</f>
        <v>2558.88</v>
      </c>
    </row>
    <row r="327" spans="1:13" ht="67.150000000000006" customHeight="1" thickBot="1" x14ac:dyDescent="0.25">
      <c r="A327" s="19"/>
      <c r="B327" s="19"/>
      <c r="C327" s="19"/>
      <c r="D327" s="45" t="s">
        <v>770</v>
      </c>
      <c r="E327" s="45"/>
      <c r="F327" s="45"/>
      <c r="G327" s="45"/>
      <c r="H327" s="45"/>
      <c r="I327" s="45"/>
      <c r="J327" s="45"/>
      <c r="K327" s="45"/>
      <c r="L327" s="45"/>
      <c r="M327" s="45"/>
    </row>
    <row r="328" spans="1:13" ht="15" customHeight="1" thickBot="1" x14ac:dyDescent="0.25">
      <c r="A328" s="19"/>
      <c r="B328" s="19"/>
      <c r="C328" s="19"/>
      <c r="D328" s="19"/>
      <c r="E328" s="21"/>
      <c r="F328" s="22" t="s">
        <v>771</v>
      </c>
      <c r="G328" s="22"/>
      <c r="H328" s="22"/>
      <c r="I328" s="22"/>
      <c r="J328" s="22" t="s">
        <v>772</v>
      </c>
      <c r="K328" s="22" t="s">
        <v>773</v>
      </c>
      <c r="L328" s="19"/>
      <c r="M328" s="19"/>
    </row>
    <row r="329" spans="1:13" ht="15" customHeight="1" thickBot="1" x14ac:dyDescent="0.25">
      <c r="A329" s="19"/>
      <c r="B329" s="19"/>
      <c r="C329" s="19"/>
      <c r="D329" s="20" t="s">
        <v>774</v>
      </c>
      <c r="E329" s="23" t="s">
        <v>775</v>
      </c>
      <c r="F329" s="24">
        <v>1</v>
      </c>
      <c r="G329" s="25"/>
      <c r="H329" s="25"/>
      <c r="I329" s="25"/>
      <c r="J329" s="27">
        <f>ROUND(F329,3)</f>
        <v>1</v>
      </c>
      <c r="K329" s="28"/>
      <c r="L329" s="19"/>
      <c r="M329" s="19"/>
    </row>
    <row r="330" spans="1:13" ht="15" customHeight="1" thickBot="1" x14ac:dyDescent="0.25">
      <c r="A330" s="19"/>
      <c r="B330" s="19"/>
      <c r="C330" s="19"/>
      <c r="D330" s="20" t="s">
        <v>776</v>
      </c>
      <c r="E330" s="5" t="s">
        <v>777</v>
      </c>
      <c r="F330" s="3">
        <v>1</v>
      </c>
      <c r="G330" s="17"/>
      <c r="H330" s="17"/>
      <c r="I330" s="17"/>
      <c r="J330" s="26">
        <f>ROUND(F330,3)</f>
        <v>1</v>
      </c>
      <c r="K330" s="19"/>
      <c r="L330" s="19"/>
      <c r="M330" s="19"/>
    </row>
    <row r="331" spans="1:13" ht="15" customHeight="1" thickBot="1" x14ac:dyDescent="0.25">
      <c r="A331" s="19"/>
      <c r="B331" s="19"/>
      <c r="C331" s="19"/>
      <c r="D331" s="20" t="s">
        <v>778</v>
      </c>
      <c r="E331" s="5" t="s">
        <v>779</v>
      </c>
      <c r="F331" s="3">
        <v>1</v>
      </c>
      <c r="G331" s="17"/>
      <c r="H331" s="17"/>
      <c r="I331" s="17"/>
      <c r="J331" s="26">
        <f>ROUND(F331,3)</f>
        <v>1</v>
      </c>
      <c r="K331" s="29">
        <f>SUM(J329:J331)</f>
        <v>3</v>
      </c>
      <c r="L331" s="19"/>
      <c r="M331" s="19"/>
    </row>
    <row r="332" spans="1:13" ht="15.4" customHeight="1" thickBot="1" x14ac:dyDescent="0.25">
      <c r="A332" s="10" t="s">
        <v>780</v>
      </c>
      <c r="B332" s="5" t="s">
        <v>781</v>
      </c>
      <c r="C332" s="5" t="s">
        <v>782</v>
      </c>
      <c r="D332" s="45" t="s">
        <v>783</v>
      </c>
      <c r="E332" s="45"/>
      <c r="F332" s="45"/>
      <c r="G332" s="45"/>
      <c r="H332" s="45"/>
      <c r="I332" s="45"/>
      <c r="J332" s="45"/>
      <c r="K332" s="17">
        <f>SUM(K335:K338)</f>
        <v>5</v>
      </c>
      <c r="L332" s="18">
        <f>ROUND(913.796*(1+M2/100),2)</f>
        <v>941.21</v>
      </c>
      <c r="M332" s="18">
        <f>ROUND(K332*L332,2)</f>
        <v>4706.05</v>
      </c>
    </row>
    <row r="333" spans="1:13" ht="67.150000000000006" customHeight="1" thickBot="1" x14ac:dyDescent="0.25">
      <c r="A333" s="19"/>
      <c r="B333" s="19"/>
      <c r="C333" s="19"/>
      <c r="D333" s="45" t="s">
        <v>784</v>
      </c>
      <c r="E333" s="45"/>
      <c r="F333" s="45"/>
      <c r="G333" s="45"/>
      <c r="H333" s="45"/>
      <c r="I333" s="45"/>
      <c r="J333" s="45"/>
      <c r="K333" s="45"/>
      <c r="L333" s="45"/>
      <c r="M333" s="45"/>
    </row>
    <row r="334" spans="1:13" ht="15" customHeight="1" thickBot="1" x14ac:dyDescent="0.25">
      <c r="A334" s="19"/>
      <c r="B334" s="19"/>
      <c r="C334" s="19"/>
      <c r="D334" s="19"/>
      <c r="E334" s="21"/>
      <c r="F334" s="22" t="s">
        <v>785</v>
      </c>
      <c r="G334" s="22"/>
      <c r="H334" s="22"/>
      <c r="I334" s="22"/>
      <c r="J334" s="22" t="s">
        <v>786</v>
      </c>
      <c r="K334" s="22" t="s">
        <v>787</v>
      </c>
      <c r="L334" s="19"/>
      <c r="M334" s="19"/>
    </row>
    <row r="335" spans="1:13" ht="15" customHeight="1" thickBot="1" x14ac:dyDescent="0.25">
      <c r="A335" s="19"/>
      <c r="B335" s="19"/>
      <c r="C335" s="19"/>
      <c r="D335" s="20" t="s">
        <v>788</v>
      </c>
      <c r="E335" s="23" t="s">
        <v>789</v>
      </c>
      <c r="F335" s="24">
        <v>1</v>
      </c>
      <c r="G335" s="25"/>
      <c r="H335" s="25"/>
      <c r="I335" s="25"/>
      <c r="J335" s="27">
        <f>ROUND(F335,3)</f>
        <v>1</v>
      </c>
      <c r="K335" s="28"/>
      <c r="L335" s="19"/>
      <c r="M335" s="19"/>
    </row>
    <row r="336" spans="1:13" ht="15" customHeight="1" thickBot="1" x14ac:dyDescent="0.25">
      <c r="A336" s="19"/>
      <c r="B336" s="19"/>
      <c r="C336" s="19"/>
      <c r="D336" s="20" t="s">
        <v>790</v>
      </c>
      <c r="E336" s="5" t="s">
        <v>791</v>
      </c>
      <c r="F336" s="3">
        <v>1</v>
      </c>
      <c r="G336" s="17"/>
      <c r="H336" s="17"/>
      <c r="I336" s="17"/>
      <c r="J336" s="26">
        <f>ROUND(F336,3)</f>
        <v>1</v>
      </c>
      <c r="K336" s="19"/>
      <c r="L336" s="19"/>
      <c r="M336" s="19"/>
    </row>
    <row r="337" spans="1:13" ht="15" customHeight="1" thickBot="1" x14ac:dyDescent="0.25">
      <c r="A337" s="19"/>
      <c r="B337" s="19"/>
      <c r="C337" s="19"/>
      <c r="D337" s="20" t="s">
        <v>792</v>
      </c>
      <c r="E337" s="5" t="s">
        <v>793</v>
      </c>
      <c r="F337" s="3">
        <v>1</v>
      </c>
      <c r="G337" s="17"/>
      <c r="H337" s="17"/>
      <c r="I337" s="17"/>
      <c r="J337" s="26">
        <f>ROUND(F337,3)</f>
        <v>1</v>
      </c>
      <c r="K337" s="19"/>
      <c r="L337" s="19"/>
      <c r="M337" s="19"/>
    </row>
    <row r="338" spans="1:13" ht="15" customHeight="1" thickBot="1" x14ac:dyDescent="0.25">
      <c r="A338" s="19"/>
      <c r="B338" s="19"/>
      <c r="C338" s="19"/>
      <c r="D338" s="20" t="s">
        <v>794</v>
      </c>
      <c r="E338" s="5" t="s">
        <v>795</v>
      </c>
      <c r="F338" s="3">
        <v>2</v>
      </c>
      <c r="G338" s="17"/>
      <c r="H338" s="17"/>
      <c r="I338" s="17"/>
      <c r="J338" s="26">
        <f>ROUND(F338,3)</f>
        <v>2</v>
      </c>
      <c r="K338" s="29">
        <f>SUM(J335:J338)</f>
        <v>5</v>
      </c>
      <c r="L338" s="19"/>
      <c r="M338" s="19"/>
    </row>
    <row r="339" spans="1:13" ht="15.4" customHeight="1" thickBot="1" x14ac:dyDescent="0.25">
      <c r="A339" s="10" t="s">
        <v>796</v>
      </c>
      <c r="B339" s="5" t="s">
        <v>797</v>
      </c>
      <c r="C339" s="5" t="s">
        <v>798</v>
      </c>
      <c r="D339" s="45" t="s">
        <v>799</v>
      </c>
      <c r="E339" s="45"/>
      <c r="F339" s="45"/>
      <c r="G339" s="45"/>
      <c r="H339" s="45"/>
      <c r="I339" s="45"/>
      <c r="J339" s="45"/>
      <c r="K339" s="17">
        <f>SUM(K342:K342)</f>
        <v>1</v>
      </c>
      <c r="L339" s="18">
        <f>ROUND(588.223*(1+M2/100),2)</f>
        <v>605.87</v>
      </c>
      <c r="M339" s="18">
        <f>ROUND(K339*L339,2)</f>
        <v>605.87</v>
      </c>
    </row>
    <row r="340" spans="1:13" ht="67.150000000000006" customHeight="1" thickBot="1" x14ac:dyDescent="0.25">
      <c r="A340" s="19"/>
      <c r="B340" s="19"/>
      <c r="C340" s="19"/>
      <c r="D340" s="45" t="s">
        <v>800</v>
      </c>
      <c r="E340" s="45"/>
      <c r="F340" s="45"/>
      <c r="G340" s="45"/>
      <c r="H340" s="45"/>
      <c r="I340" s="45"/>
      <c r="J340" s="45"/>
      <c r="K340" s="45"/>
      <c r="L340" s="45"/>
      <c r="M340" s="45"/>
    </row>
    <row r="341" spans="1:13" ht="15" customHeight="1" thickBot="1" x14ac:dyDescent="0.25">
      <c r="A341" s="19"/>
      <c r="B341" s="19"/>
      <c r="C341" s="19"/>
      <c r="D341" s="19"/>
      <c r="E341" s="21"/>
      <c r="F341" s="22" t="s">
        <v>801</v>
      </c>
      <c r="G341" s="22"/>
      <c r="H341" s="22"/>
      <c r="I341" s="22"/>
      <c r="J341" s="22" t="s">
        <v>802</v>
      </c>
      <c r="K341" s="22" t="s">
        <v>803</v>
      </c>
      <c r="L341" s="19"/>
      <c r="M341" s="19"/>
    </row>
    <row r="342" spans="1:13" ht="15" customHeight="1" thickBot="1" x14ac:dyDescent="0.25">
      <c r="A342" s="19"/>
      <c r="B342" s="19"/>
      <c r="C342" s="19"/>
      <c r="D342" s="20" t="s">
        <v>804</v>
      </c>
      <c r="E342" s="23" t="s">
        <v>805</v>
      </c>
      <c r="F342" s="24">
        <v>1</v>
      </c>
      <c r="G342" s="25"/>
      <c r="H342" s="25"/>
      <c r="I342" s="25"/>
      <c r="J342" s="27">
        <f>ROUND(F342,3)</f>
        <v>1</v>
      </c>
      <c r="K342" s="30">
        <f>SUM(J342:J342)</f>
        <v>1</v>
      </c>
      <c r="L342" s="19"/>
      <c r="M342" s="19"/>
    </row>
    <row r="343" spans="1:13" ht="15.4" customHeight="1" thickBot="1" x14ac:dyDescent="0.25">
      <c r="A343" s="10" t="s">
        <v>806</v>
      </c>
      <c r="B343" s="5" t="s">
        <v>807</v>
      </c>
      <c r="C343" s="5" t="s">
        <v>808</v>
      </c>
      <c r="D343" s="45" t="s">
        <v>809</v>
      </c>
      <c r="E343" s="45"/>
      <c r="F343" s="45"/>
      <c r="G343" s="45"/>
      <c r="H343" s="45"/>
      <c r="I343" s="45"/>
      <c r="J343" s="45"/>
      <c r="K343" s="17">
        <f>SUM(K346:K347)</f>
        <v>14.574999999999999</v>
      </c>
      <c r="L343" s="18">
        <f>ROUND(234.465*(1+M2/100),2)</f>
        <v>241.5</v>
      </c>
      <c r="M343" s="18">
        <f>ROUND(K343*L343,2)</f>
        <v>3519.86</v>
      </c>
    </row>
    <row r="344" spans="1:13" ht="57.95" customHeight="1" thickBot="1" x14ac:dyDescent="0.25">
      <c r="A344" s="19"/>
      <c r="B344" s="19"/>
      <c r="C344" s="19"/>
      <c r="D344" s="45" t="s">
        <v>810</v>
      </c>
      <c r="E344" s="45"/>
      <c r="F344" s="45"/>
      <c r="G344" s="45"/>
      <c r="H344" s="45"/>
      <c r="I344" s="45"/>
      <c r="J344" s="45"/>
      <c r="K344" s="45"/>
      <c r="L344" s="45"/>
      <c r="M344" s="45"/>
    </row>
    <row r="345" spans="1:13" ht="15" customHeight="1" thickBot="1" x14ac:dyDescent="0.25">
      <c r="A345" s="19"/>
      <c r="B345" s="19"/>
      <c r="C345" s="19"/>
      <c r="D345" s="19"/>
      <c r="E345" s="21"/>
      <c r="F345" s="22" t="s">
        <v>811</v>
      </c>
      <c r="G345" s="22"/>
      <c r="H345" s="22"/>
      <c r="I345" s="22"/>
      <c r="J345" s="22" t="s">
        <v>812</v>
      </c>
      <c r="K345" s="22" t="s">
        <v>813</v>
      </c>
      <c r="L345" s="19"/>
      <c r="M345" s="19"/>
    </row>
    <row r="346" spans="1:13" ht="15" customHeight="1" thickBot="1" x14ac:dyDescent="0.25">
      <c r="A346" s="19"/>
      <c r="B346" s="19"/>
      <c r="C346" s="19"/>
      <c r="D346" s="20" t="s">
        <v>814</v>
      </c>
      <c r="E346" s="23" t="s">
        <v>815</v>
      </c>
      <c r="F346" s="24">
        <v>7</v>
      </c>
      <c r="G346" s="25">
        <v>0.5</v>
      </c>
      <c r="H346" s="25">
        <v>2.65</v>
      </c>
      <c r="I346" s="25"/>
      <c r="J346" s="27">
        <f>ROUND(F346*G346*H346,3)</f>
        <v>9.2750000000000004</v>
      </c>
      <c r="K346" s="28"/>
      <c r="L346" s="19"/>
      <c r="M346" s="19"/>
    </row>
    <row r="347" spans="1:13" ht="15" customHeight="1" thickBot="1" x14ac:dyDescent="0.25">
      <c r="A347" s="19"/>
      <c r="B347" s="19"/>
      <c r="C347" s="19"/>
      <c r="D347" s="20" t="s">
        <v>816</v>
      </c>
      <c r="E347" s="5" t="s">
        <v>817</v>
      </c>
      <c r="F347" s="3">
        <v>4</v>
      </c>
      <c r="G347" s="17">
        <v>0.5</v>
      </c>
      <c r="H347" s="17">
        <v>2.65</v>
      </c>
      <c r="I347" s="17"/>
      <c r="J347" s="26">
        <f>ROUND(F347*G347*H347,3)</f>
        <v>5.3</v>
      </c>
      <c r="K347" s="29">
        <f>SUM(J346:J347)</f>
        <v>14.574999999999999</v>
      </c>
      <c r="L347" s="19"/>
      <c r="M347" s="19"/>
    </row>
    <row r="348" spans="1:13" ht="15.4" customHeight="1" thickBot="1" x14ac:dyDescent="0.25">
      <c r="A348" s="10" t="s">
        <v>818</v>
      </c>
      <c r="B348" s="5" t="s">
        <v>819</v>
      </c>
      <c r="C348" s="5" t="s">
        <v>820</v>
      </c>
      <c r="D348" s="45" t="s">
        <v>821</v>
      </c>
      <c r="E348" s="45"/>
      <c r="F348" s="45"/>
      <c r="G348" s="45"/>
      <c r="H348" s="45"/>
      <c r="I348" s="45"/>
      <c r="J348" s="45"/>
      <c r="K348" s="17">
        <f>SUM(K351:K351)</f>
        <v>2</v>
      </c>
      <c r="L348" s="18">
        <f>ROUND(1343.6*(1+M2/100),2)</f>
        <v>1383.91</v>
      </c>
      <c r="M348" s="18">
        <f>ROUND(K348*L348,2)</f>
        <v>2767.82</v>
      </c>
    </row>
    <row r="349" spans="1:13" ht="85.7" customHeight="1" thickBot="1" x14ac:dyDescent="0.25">
      <c r="A349" s="19"/>
      <c r="B349" s="19"/>
      <c r="C349" s="19"/>
      <c r="D349" s="45" t="s">
        <v>822</v>
      </c>
      <c r="E349" s="45"/>
      <c r="F349" s="45"/>
      <c r="G349" s="45"/>
      <c r="H349" s="45"/>
      <c r="I349" s="45"/>
      <c r="J349" s="45"/>
      <c r="K349" s="45"/>
      <c r="L349" s="45"/>
      <c r="M349" s="45"/>
    </row>
    <row r="350" spans="1:13" ht="15" customHeight="1" thickBot="1" x14ac:dyDescent="0.25">
      <c r="A350" s="19"/>
      <c r="B350" s="19"/>
      <c r="C350" s="19"/>
      <c r="D350" s="19"/>
      <c r="E350" s="21"/>
      <c r="F350" s="22" t="s">
        <v>823</v>
      </c>
      <c r="G350" s="22"/>
      <c r="H350" s="22"/>
      <c r="I350" s="22"/>
      <c r="J350" s="22" t="s">
        <v>824</v>
      </c>
      <c r="K350" s="22" t="s">
        <v>825</v>
      </c>
      <c r="L350" s="19"/>
      <c r="M350" s="19"/>
    </row>
    <row r="351" spans="1:13" ht="15" customHeight="1" thickBot="1" x14ac:dyDescent="0.25">
      <c r="A351" s="19"/>
      <c r="B351" s="19"/>
      <c r="C351" s="19"/>
      <c r="D351" s="20" t="s">
        <v>826</v>
      </c>
      <c r="E351" s="23" t="s">
        <v>827</v>
      </c>
      <c r="F351" s="24">
        <v>2</v>
      </c>
      <c r="G351" s="25"/>
      <c r="H351" s="25"/>
      <c r="I351" s="25"/>
      <c r="J351" s="27">
        <f>ROUND(F351,3)</f>
        <v>2</v>
      </c>
      <c r="K351" s="30">
        <f>SUM(J351:J351)</f>
        <v>2</v>
      </c>
      <c r="L351" s="19"/>
      <c r="M351" s="19"/>
    </row>
    <row r="352" spans="1:13" ht="15.4" customHeight="1" thickBot="1" x14ac:dyDescent="0.25">
      <c r="A352" s="10" t="s">
        <v>828</v>
      </c>
      <c r="B352" s="5" t="s">
        <v>829</v>
      </c>
      <c r="C352" s="5" t="s">
        <v>830</v>
      </c>
      <c r="D352" s="45" t="s">
        <v>831</v>
      </c>
      <c r="E352" s="45"/>
      <c r="F352" s="45"/>
      <c r="G352" s="45"/>
      <c r="H352" s="45"/>
      <c r="I352" s="45"/>
      <c r="J352" s="45"/>
      <c r="K352" s="17">
        <f>SUM(K355:K355)</f>
        <v>1</v>
      </c>
      <c r="L352" s="18">
        <f>ROUND(1334.85*(1+M2/100),2)</f>
        <v>1374.9</v>
      </c>
      <c r="M352" s="18">
        <f>ROUND(K352*L352,2)</f>
        <v>1374.9</v>
      </c>
    </row>
    <row r="353" spans="1:13" ht="85.7" customHeight="1" thickBot="1" x14ac:dyDescent="0.25">
      <c r="A353" s="19"/>
      <c r="B353" s="19"/>
      <c r="C353" s="19"/>
      <c r="D353" s="45" t="s">
        <v>832</v>
      </c>
      <c r="E353" s="45"/>
      <c r="F353" s="45"/>
      <c r="G353" s="45"/>
      <c r="H353" s="45"/>
      <c r="I353" s="45"/>
      <c r="J353" s="45"/>
      <c r="K353" s="45"/>
      <c r="L353" s="45"/>
      <c r="M353" s="45"/>
    </row>
    <row r="354" spans="1:13" ht="15" customHeight="1" thickBot="1" x14ac:dyDescent="0.25">
      <c r="A354" s="19"/>
      <c r="B354" s="19"/>
      <c r="C354" s="19"/>
      <c r="D354" s="19"/>
      <c r="E354" s="21"/>
      <c r="F354" s="22" t="s">
        <v>833</v>
      </c>
      <c r="G354" s="22"/>
      <c r="H354" s="22"/>
      <c r="I354" s="22"/>
      <c r="J354" s="22" t="s">
        <v>834</v>
      </c>
      <c r="K354" s="22" t="s">
        <v>835</v>
      </c>
      <c r="L354" s="19"/>
      <c r="M354" s="19"/>
    </row>
    <row r="355" spans="1:13" ht="15" customHeight="1" thickBot="1" x14ac:dyDescent="0.25">
      <c r="A355" s="19"/>
      <c r="B355" s="19"/>
      <c r="C355" s="19"/>
      <c r="D355" s="20" t="s">
        <v>836</v>
      </c>
      <c r="E355" s="23" t="s">
        <v>837</v>
      </c>
      <c r="F355" s="24">
        <v>1</v>
      </c>
      <c r="G355" s="25"/>
      <c r="H355" s="25"/>
      <c r="I355" s="25"/>
      <c r="J355" s="27">
        <f>ROUND(F355,3)</f>
        <v>1</v>
      </c>
      <c r="K355" s="30">
        <f>SUM(J355:J355)</f>
        <v>1</v>
      </c>
      <c r="L355" s="19"/>
      <c r="M355" s="19"/>
    </row>
    <row r="356" spans="1:13" ht="15.4" customHeight="1" thickBot="1" x14ac:dyDescent="0.25">
      <c r="A356" s="10" t="s">
        <v>838</v>
      </c>
      <c r="B356" s="5" t="s">
        <v>839</v>
      </c>
      <c r="C356" s="5" t="s">
        <v>840</v>
      </c>
      <c r="D356" s="45" t="s">
        <v>841</v>
      </c>
      <c r="E356" s="45"/>
      <c r="F356" s="45"/>
      <c r="G356" s="45"/>
      <c r="H356" s="45"/>
      <c r="I356" s="45"/>
      <c r="J356" s="45"/>
      <c r="K356" s="17">
        <f>ROUND(1,2)</f>
        <v>1</v>
      </c>
      <c r="L356" s="18">
        <f>ROUND(1271.67*(1+M2/100),2)</f>
        <v>1309.82</v>
      </c>
      <c r="M356" s="18">
        <f>ROUND(K356*L356,2)</f>
        <v>1309.82</v>
      </c>
    </row>
    <row r="357" spans="1:13" ht="85.7" customHeight="1" thickBot="1" x14ac:dyDescent="0.25">
      <c r="A357" s="19"/>
      <c r="B357" s="19"/>
      <c r="C357" s="19"/>
      <c r="D357" s="45" t="s">
        <v>842</v>
      </c>
      <c r="E357" s="45"/>
      <c r="F357" s="45"/>
      <c r="G357" s="45"/>
      <c r="H357" s="45"/>
      <c r="I357" s="45"/>
      <c r="J357" s="45"/>
      <c r="K357" s="45"/>
      <c r="L357" s="45"/>
      <c r="M357" s="45"/>
    </row>
    <row r="358" spans="1:13" ht="15.4" customHeight="1" thickBot="1" x14ac:dyDescent="0.25">
      <c r="A358" s="10" t="s">
        <v>843</v>
      </c>
      <c r="B358" s="5" t="s">
        <v>844</v>
      </c>
      <c r="C358" s="5" t="s">
        <v>845</v>
      </c>
      <c r="D358" s="45" t="s">
        <v>846</v>
      </c>
      <c r="E358" s="45"/>
      <c r="F358" s="45"/>
      <c r="G358" s="45"/>
      <c r="H358" s="45"/>
      <c r="I358" s="45"/>
      <c r="J358" s="45"/>
      <c r="K358" s="17">
        <f>ROUND(1,2)</f>
        <v>1</v>
      </c>
      <c r="L358" s="18">
        <f>ROUND(995.2*(1+M2/100),2)</f>
        <v>1025.06</v>
      </c>
      <c r="M358" s="18">
        <f>ROUND(K358*L358,2)</f>
        <v>1025.06</v>
      </c>
    </row>
    <row r="359" spans="1:13" ht="57.95" customHeight="1" thickBot="1" x14ac:dyDescent="0.25">
      <c r="A359" s="19"/>
      <c r="B359" s="19"/>
      <c r="C359" s="19"/>
      <c r="D359" s="45" t="s">
        <v>847</v>
      </c>
      <c r="E359" s="45"/>
      <c r="F359" s="45"/>
      <c r="G359" s="45"/>
      <c r="H359" s="45"/>
      <c r="I359" s="45"/>
      <c r="J359" s="45"/>
      <c r="K359" s="45"/>
      <c r="L359" s="45"/>
      <c r="M359" s="45"/>
    </row>
    <row r="360" spans="1:13" ht="15.4" customHeight="1" thickBot="1" x14ac:dyDescent="0.25">
      <c r="A360" s="31"/>
      <c r="B360" s="31"/>
      <c r="C360" s="31"/>
      <c r="D360" s="32" t="s">
        <v>848</v>
      </c>
      <c r="E360" s="33"/>
      <c r="F360" s="33"/>
      <c r="G360" s="33"/>
      <c r="H360" s="33"/>
      <c r="I360" s="33"/>
      <c r="J360" s="33"/>
      <c r="K360" s="33"/>
      <c r="L360" s="34">
        <f>M326+M332+M339+M343+M348+M352+M356+M358</f>
        <v>17868.260000000002</v>
      </c>
      <c r="M360" s="34">
        <f>ROUND(L360,2)</f>
        <v>17868.259999999998</v>
      </c>
    </row>
    <row r="361" spans="1:13" ht="15.4" customHeight="1" thickBot="1" x14ac:dyDescent="0.25">
      <c r="A361" s="35" t="s">
        <v>849</v>
      </c>
      <c r="B361" s="35" t="s">
        <v>850</v>
      </c>
      <c r="C361" s="36"/>
      <c r="D361" s="46" t="s">
        <v>851</v>
      </c>
      <c r="E361" s="46"/>
      <c r="F361" s="46"/>
      <c r="G361" s="46"/>
      <c r="H361" s="46"/>
      <c r="I361" s="46"/>
      <c r="J361" s="46"/>
      <c r="K361" s="36"/>
      <c r="L361" s="37">
        <f>L384</f>
        <v>43240.08</v>
      </c>
      <c r="M361" s="37">
        <f>ROUND(L361,2)</f>
        <v>43240.08</v>
      </c>
    </row>
    <row r="362" spans="1:13" ht="21.2" customHeight="1" thickBot="1" x14ac:dyDescent="0.25">
      <c r="A362" s="10" t="s">
        <v>852</v>
      </c>
      <c r="B362" s="5" t="s">
        <v>853</v>
      </c>
      <c r="C362" s="5" t="s">
        <v>854</v>
      </c>
      <c r="D362" s="45" t="s">
        <v>855</v>
      </c>
      <c r="E362" s="45"/>
      <c r="F362" s="45"/>
      <c r="G362" s="45"/>
      <c r="H362" s="45"/>
      <c r="I362" s="45"/>
      <c r="J362" s="45"/>
      <c r="K362" s="17">
        <f>SUM(K365:K365)</f>
        <v>1</v>
      </c>
      <c r="L362" s="18">
        <f>ROUND(1449.81*(1+M2/100),2)</f>
        <v>1493.3</v>
      </c>
      <c r="M362" s="18">
        <f>ROUND(K362*L362,2)</f>
        <v>1493.3</v>
      </c>
    </row>
    <row r="363" spans="1:13" ht="205.15" customHeight="1" thickBot="1" x14ac:dyDescent="0.25">
      <c r="A363" s="19"/>
      <c r="B363" s="19"/>
      <c r="C363" s="19"/>
      <c r="D363" s="45" t="s">
        <v>856</v>
      </c>
      <c r="E363" s="45"/>
      <c r="F363" s="45"/>
      <c r="G363" s="45"/>
      <c r="H363" s="45"/>
      <c r="I363" s="45"/>
      <c r="J363" s="45"/>
      <c r="K363" s="45"/>
      <c r="L363" s="45"/>
      <c r="M363" s="45"/>
    </row>
    <row r="364" spans="1:13" ht="15" customHeight="1" thickBot="1" x14ac:dyDescent="0.25">
      <c r="A364" s="19"/>
      <c r="B364" s="19"/>
      <c r="C364" s="19"/>
      <c r="D364" s="19"/>
      <c r="E364" s="21"/>
      <c r="F364" s="22" t="s">
        <v>857</v>
      </c>
      <c r="G364" s="22" t="s">
        <v>858</v>
      </c>
      <c r="H364" s="22" t="s">
        <v>859</v>
      </c>
      <c r="I364" s="22" t="s">
        <v>860</v>
      </c>
      <c r="J364" s="22" t="s">
        <v>861</v>
      </c>
      <c r="K364" s="22" t="s">
        <v>862</v>
      </c>
      <c r="L364" s="19"/>
      <c r="M364" s="19"/>
    </row>
    <row r="365" spans="1:13" ht="15" customHeight="1" thickBot="1" x14ac:dyDescent="0.25">
      <c r="A365" s="19"/>
      <c r="B365" s="19"/>
      <c r="C365" s="19"/>
      <c r="D365" s="20" t="s">
        <v>863</v>
      </c>
      <c r="E365" s="23" t="s">
        <v>864</v>
      </c>
      <c r="F365" s="24">
        <v>1</v>
      </c>
      <c r="G365" s="25"/>
      <c r="H365" s="25"/>
      <c r="I365" s="25"/>
      <c r="J365" s="27">
        <f>ROUND(F365,3)</f>
        <v>1</v>
      </c>
      <c r="K365" s="30">
        <f>SUM(J365:J365)</f>
        <v>1</v>
      </c>
      <c r="L365" s="19"/>
      <c r="M365" s="19"/>
    </row>
    <row r="366" spans="1:13" ht="15.4" customHeight="1" thickBot="1" x14ac:dyDescent="0.25">
      <c r="A366" s="10" t="s">
        <v>865</v>
      </c>
      <c r="B366" s="5" t="s">
        <v>866</v>
      </c>
      <c r="C366" s="5" t="s">
        <v>867</v>
      </c>
      <c r="D366" s="45" t="s">
        <v>868</v>
      </c>
      <c r="E366" s="45"/>
      <c r="F366" s="45"/>
      <c r="G366" s="45"/>
      <c r="H366" s="45"/>
      <c r="I366" s="45"/>
      <c r="J366" s="45"/>
      <c r="K366" s="17">
        <f>ROUND(1,2)</f>
        <v>1</v>
      </c>
      <c r="L366" s="18">
        <f>ROUND(2199.68*(1+M2/100),2)</f>
        <v>2265.67</v>
      </c>
      <c r="M366" s="18">
        <f>ROUND(K366*L366,2)</f>
        <v>2265.67</v>
      </c>
    </row>
    <row r="367" spans="1:13" ht="122.45" customHeight="1" thickBot="1" x14ac:dyDescent="0.25">
      <c r="A367" s="19"/>
      <c r="B367" s="19"/>
      <c r="C367" s="19"/>
      <c r="D367" s="45" t="s">
        <v>869</v>
      </c>
      <c r="E367" s="45"/>
      <c r="F367" s="45"/>
      <c r="G367" s="45"/>
      <c r="H367" s="45"/>
      <c r="I367" s="45"/>
      <c r="J367" s="45"/>
      <c r="K367" s="45"/>
      <c r="L367" s="45"/>
      <c r="M367" s="45"/>
    </row>
    <row r="368" spans="1:13" ht="21.2" customHeight="1" thickBot="1" x14ac:dyDescent="0.25">
      <c r="A368" s="10" t="s">
        <v>870</v>
      </c>
      <c r="B368" s="5" t="s">
        <v>871</v>
      </c>
      <c r="C368" s="5" t="s">
        <v>872</v>
      </c>
      <c r="D368" s="45" t="s">
        <v>873</v>
      </c>
      <c r="E368" s="45"/>
      <c r="F368" s="45"/>
      <c r="G368" s="45"/>
      <c r="H368" s="45"/>
      <c r="I368" s="45"/>
      <c r="J368" s="45"/>
      <c r="K368" s="17">
        <f>SUM(K371:K371)</f>
        <v>11</v>
      </c>
      <c r="L368" s="18">
        <f>ROUND(2353.03*(1+M2/100),2)</f>
        <v>2423.62</v>
      </c>
      <c r="M368" s="18">
        <f>ROUND(K368*L368,2)</f>
        <v>26659.82</v>
      </c>
    </row>
    <row r="369" spans="1:13" ht="186.75" customHeight="1" thickBot="1" x14ac:dyDescent="0.25">
      <c r="A369" s="19"/>
      <c r="B369" s="19"/>
      <c r="C369" s="19"/>
      <c r="D369" s="45" t="s">
        <v>874</v>
      </c>
      <c r="E369" s="45"/>
      <c r="F369" s="45"/>
      <c r="G369" s="45"/>
      <c r="H369" s="45"/>
      <c r="I369" s="45"/>
      <c r="J369" s="45"/>
      <c r="K369" s="45"/>
      <c r="L369" s="45"/>
      <c r="M369" s="45"/>
    </row>
    <row r="370" spans="1:13" ht="15" customHeight="1" thickBot="1" x14ac:dyDescent="0.25">
      <c r="A370" s="19"/>
      <c r="B370" s="19"/>
      <c r="C370" s="19"/>
      <c r="D370" s="19"/>
      <c r="E370" s="21"/>
      <c r="F370" s="22" t="s">
        <v>875</v>
      </c>
      <c r="G370" s="22" t="s">
        <v>876</v>
      </c>
      <c r="H370" s="22" t="s">
        <v>877</v>
      </c>
      <c r="I370" s="22" t="s">
        <v>878</v>
      </c>
      <c r="J370" s="22" t="s">
        <v>879</v>
      </c>
      <c r="K370" s="22" t="s">
        <v>880</v>
      </c>
      <c r="L370" s="19"/>
      <c r="M370" s="19"/>
    </row>
    <row r="371" spans="1:13" ht="15" customHeight="1" thickBot="1" x14ac:dyDescent="0.25">
      <c r="A371" s="19"/>
      <c r="B371" s="19"/>
      <c r="C371" s="19"/>
      <c r="D371" s="20" t="s">
        <v>881</v>
      </c>
      <c r="E371" s="23" t="s">
        <v>882</v>
      </c>
      <c r="F371" s="24">
        <v>11</v>
      </c>
      <c r="G371" s="25"/>
      <c r="H371" s="25"/>
      <c r="I371" s="25"/>
      <c r="J371" s="27">
        <f>ROUND(F371,3)</f>
        <v>11</v>
      </c>
      <c r="K371" s="30">
        <f>SUM(J371:J371)</f>
        <v>11</v>
      </c>
      <c r="L371" s="19"/>
      <c r="M371" s="19"/>
    </row>
    <row r="372" spans="1:13" ht="21.2" customHeight="1" thickBot="1" x14ac:dyDescent="0.25">
      <c r="A372" s="10" t="s">
        <v>883</v>
      </c>
      <c r="B372" s="5" t="s">
        <v>884</v>
      </c>
      <c r="C372" s="5" t="s">
        <v>885</v>
      </c>
      <c r="D372" s="45" t="s">
        <v>886</v>
      </c>
      <c r="E372" s="45"/>
      <c r="F372" s="45"/>
      <c r="G372" s="45"/>
      <c r="H372" s="45"/>
      <c r="I372" s="45"/>
      <c r="J372" s="45"/>
      <c r="K372" s="17">
        <f>SUM(K375:K375)</f>
        <v>1</v>
      </c>
      <c r="L372" s="18">
        <f>ROUND(1613.21*(1+M2/100),2)</f>
        <v>1661.61</v>
      </c>
      <c r="M372" s="18">
        <f>ROUND(K372*L372,2)</f>
        <v>1661.61</v>
      </c>
    </row>
    <row r="373" spans="1:13" ht="205.15" customHeight="1" thickBot="1" x14ac:dyDescent="0.25">
      <c r="A373" s="19"/>
      <c r="B373" s="19"/>
      <c r="C373" s="19"/>
      <c r="D373" s="45" t="s">
        <v>887</v>
      </c>
      <c r="E373" s="45"/>
      <c r="F373" s="45"/>
      <c r="G373" s="45"/>
      <c r="H373" s="45"/>
      <c r="I373" s="45"/>
      <c r="J373" s="45"/>
      <c r="K373" s="45"/>
      <c r="L373" s="45"/>
      <c r="M373" s="45"/>
    </row>
    <row r="374" spans="1:13" ht="15" customHeight="1" thickBot="1" x14ac:dyDescent="0.25">
      <c r="A374" s="19"/>
      <c r="B374" s="19"/>
      <c r="C374" s="19"/>
      <c r="D374" s="19"/>
      <c r="E374" s="21"/>
      <c r="F374" s="22" t="s">
        <v>888</v>
      </c>
      <c r="G374" s="22" t="s">
        <v>889</v>
      </c>
      <c r="H374" s="22" t="s">
        <v>890</v>
      </c>
      <c r="I374" s="22" t="s">
        <v>891</v>
      </c>
      <c r="J374" s="22" t="s">
        <v>892</v>
      </c>
      <c r="K374" s="22" t="s">
        <v>893</v>
      </c>
      <c r="L374" s="19"/>
      <c r="M374" s="19"/>
    </row>
    <row r="375" spans="1:13" ht="15" customHeight="1" thickBot="1" x14ac:dyDescent="0.25">
      <c r="A375" s="19"/>
      <c r="B375" s="19"/>
      <c r="C375" s="19"/>
      <c r="D375" s="20" t="s">
        <v>894</v>
      </c>
      <c r="E375" s="23" t="s">
        <v>895</v>
      </c>
      <c r="F375" s="24">
        <v>1</v>
      </c>
      <c r="G375" s="25"/>
      <c r="H375" s="25"/>
      <c r="I375" s="25"/>
      <c r="J375" s="27">
        <f>ROUND(F375,3)</f>
        <v>1</v>
      </c>
      <c r="K375" s="30">
        <f>SUM(J375:J375)</f>
        <v>1</v>
      </c>
      <c r="L375" s="19"/>
      <c r="M375" s="19"/>
    </row>
    <row r="376" spans="1:13" ht="21.2" customHeight="1" thickBot="1" x14ac:dyDescent="0.25">
      <c r="A376" s="10" t="s">
        <v>896</v>
      </c>
      <c r="B376" s="5" t="s">
        <v>897</v>
      </c>
      <c r="C376" s="5" t="s">
        <v>898</v>
      </c>
      <c r="D376" s="45" t="s">
        <v>899</v>
      </c>
      <c r="E376" s="45"/>
      <c r="F376" s="45"/>
      <c r="G376" s="45"/>
      <c r="H376" s="45"/>
      <c r="I376" s="45"/>
      <c r="J376" s="45"/>
      <c r="K376" s="17">
        <f>SUM(K379:K379)</f>
        <v>3</v>
      </c>
      <c r="L376" s="18">
        <f>ROUND(2792.74*(1+M2/100),2)</f>
        <v>2876.52</v>
      </c>
      <c r="M376" s="18">
        <f>ROUND(K376*L376,2)</f>
        <v>8629.56</v>
      </c>
    </row>
    <row r="377" spans="1:13" ht="186.75" customHeight="1" thickBot="1" x14ac:dyDescent="0.25">
      <c r="A377" s="19"/>
      <c r="B377" s="19"/>
      <c r="C377" s="19"/>
      <c r="D377" s="45" t="s">
        <v>900</v>
      </c>
      <c r="E377" s="45"/>
      <c r="F377" s="45"/>
      <c r="G377" s="45"/>
      <c r="H377" s="45"/>
      <c r="I377" s="45"/>
      <c r="J377" s="45"/>
      <c r="K377" s="45"/>
      <c r="L377" s="45"/>
      <c r="M377" s="45"/>
    </row>
    <row r="378" spans="1:13" ht="15" customHeight="1" thickBot="1" x14ac:dyDescent="0.25">
      <c r="A378" s="19"/>
      <c r="B378" s="19"/>
      <c r="C378" s="19"/>
      <c r="D378" s="19"/>
      <c r="E378" s="21"/>
      <c r="F378" s="22" t="s">
        <v>901</v>
      </c>
      <c r="G378" s="22" t="s">
        <v>902</v>
      </c>
      <c r="H378" s="22" t="s">
        <v>903</v>
      </c>
      <c r="I378" s="22" t="s">
        <v>904</v>
      </c>
      <c r="J378" s="22" t="s">
        <v>905</v>
      </c>
      <c r="K378" s="22" t="s">
        <v>906</v>
      </c>
      <c r="L378" s="19"/>
      <c r="M378" s="19"/>
    </row>
    <row r="379" spans="1:13" ht="15" customHeight="1" thickBot="1" x14ac:dyDescent="0.25">
      <c r="A379" s="19"/>
      <c r="B379" s="19"/>
      <c r="C379" s="19"/>
      <c r="D379" s="20" t="s">
        <v>907</v>
      </c>
      <c r="E379" s="23" t="s">
        <v>908</v>
      </c>
      <c r="F379" s="24">
        <v>3</v>
      </c>
      <c r="G379" s="25"/>
      <c r="H379" s="25"/>
      <c r="I379" s="25"/>
      <c r="J379" s="27">
        <f>ROUND(F379,3)</f>
        <v>3</v>
      </c>
      <c r="K379" s="30">
        <f>SUM(J379:J379)</f>
        <v>3</v>
      </c>
      <c r="L379" s="19"/>
      <c r="M379" s="19"/>
    </row>
    <row r="380" spans="1:13" ht="15.4" customHeight="1" thickBot="1" x14ac:dyDescent="0.25">
      <c r="A380" s="10" t="s">
        <v>909</v>
      </c>
      <c r="B380" s="5" t="s">
        <v>910</v>
      </c>
      <c r="C380" s="5" t="s">
        <v>911</v>
      </c>
      <c r="D380" s="45" t="s">
        <v>912</v>
      </c>
      <c r="E380" s="45"/>
      <c r="F380" s="45"/>
      <c r="G380" s="45"/>
      <c r="H380" s="45"/>
      <c r="I380" s="45"/>
      <c r="J380" s="45"/>
      <c r="K380" s="17">
        <f>SUM(K383:K383)</f>
        <v>2</v>
      </c>
      <c r="L380" s="18">
        <f>ROUND(1228.21*(1+M2/100),2)</f>
        <v>1265.06</v>
      </c>
      <c r="M380" s="18">
        <f>ROUND(K380*L380,2)</f>
        <v>2530.12</v>
      </c>
    </row>
    <row r="381" spans="1:13" ht="177.6" customHeight="1" thickBot="1" x14ac:dyDescent="0.25">
      <c r="A381" s="19"/>
      <c r="B381" s="19"/>
      <c r="C381" s="19"/>
      <c r="D381" s="45" t="s">
        <v>913</v>
      </c>
      <c r="E381" s="45"/>
      <c r="F381" s="45"/>
      <c r="G381" s="45"/>
      <c r="H381" s="45"/>
      <c r="I381" s="45"/>
      <c r="J381" s="45"/>
      <c r="K381" s="45"/>
      <c r="L381" s="45"/>
      <c r="M381" s="45"/>
    </row>
    <row r="382" spans="1:13" ht="15" customHeight="1" thickBot="1" x14ac:dyDescent="0.25">
      <c r="A382" s="19"/>
      <c r="B382" s="19"/>
      <c r="C382" s="19"/>
      <c r="D382" s="19"/>
      <c r="E382" s="21"/>
      <c r="F382" s="22" t="s">
        <v>914</v>
      </c>
      <c r="G382" s="22" t="s">
        <v>915</v>
      </c>
      <c r="H382" s="22" t="s">
        <v>916</v>
      </c>
      <c r="I382" s="22" t="s">
        <v>917</v>
      </c>
      <c r="J382" s="22" t="s">
        <v>918</v>
      </c>
      <c r="K382" s="22" t="s">
        <v>919</v>
      </c>
      <c r="L382" s="19"/>
      <c r="M382" s="19"/>
    </row>
    <row r="383" spans="1:13" ht="15" customHeight="1" thickBot="1" x14ac:dyDescent="0.25">
      <c r="A383" s="19"/>
      <c r="B383" s="19"/>
      <c r="C383" s="19"/>
      <c r="D383" s="20" t="s">
        <v>920</v>
      </c>
      <c r="E383" s="23" t="s">
        <v>921</v>
      </c>
      <c r="F383" s="24">
        <v>2</v>
      </c>
      <c r="G383" s="25"/>
      <c r="H383" s="25"/>
      <c r="I383" s="25"/>
      <c r="J383" s="27">
        <f>ROUND(F383,3)</f>
        <v>2</v>
      </c>
      <c r="K383" s="30">
        <f>SUM(J383:J383)</f>
        <v>2</v>
      </c>
      <c r="L383" s="19"/>
      <c r="M383" s="19"/>
    </row>
    <row r="384" spans="1:13" ht="15.4" customHeight="1" thickBot="1" x14ac:dyDescent="0.25">
      <c r="A384" s="31"/>
      <c r="B384" s="31"/>
      <c r="C384" s="31"/>
      <c r="D384" s="32" t="s">
        <v>922</v>
      </c>
      <c r="E384" s="33"/>
      <c r="F384" s="33"/>
      <c r="G384" s="33"/>
      <c r="H384" s="33"/>
      <c r="I384" s="33"/>
      <c r="J384" s="33"/>
      <c r="K384" s="33"/>
      <c r="L384" s="34">
        <f>M362+M366+M368+M372+M376+M380</f>
        <v>43240.08</v>
      </c>
      <c r="M384" s="34">
        <f>ROUND(L384,2)</f>
        <v>43240.08</v>
      </c>
    </row>
    <row r="385" spans="1:13" ht="15.4" customHeight="1" thickBot="1" x14ac:dyDescent="0.25">
      <c r="A385" s="35" t="s">
        <v>923</v>
      </c>
      <c r="B385" s="35" t="s">
        <v>924</v>
      </c>
      <c r="C385" s="36"/>
      <c r="D385" s="46" t="s">
        <v>925</v>
      </c>
      <c r="E385" s="46"/>
      <c r="F385" s="46"/>
      <c r="G385" s="46"/>
      <c r="H385" s="46"/>
      <c r="I385" s="46"/>
      <c r="J385" s="46"/>
      <c r="K385" s="36"/>
      <c r="L385" s="37">
        <f>L443</f>
        <v>39110.92</v>
      </c>
      <c r="M385" s="37">
        <f>ROUND(L385,2)</f>
        <v>39110.92</v>
      </c>
    </row>
    <row r="386" spans="1:13" ht="15.4" customHeight="1" thickBot="1" x14ac:dyDescent="0.25">
      <c r="A386" s="10" t="s">
        <v>926</v>
      </c>
      <c r="B386" s="5" t="s">
        <v>927</v>
      </c>
      <c r="C386" s="5" t="s">
        <v>928</v>
      </c>
      <c r="D386" s="45" t="s">
        <v>929</v>
      </c>
      <c r="E386" s="45"/>
      <c r="F386" s="45"/>
      <c r="G386" s="45"/>
      <c r="H386" s="45"/>
      <c r="I386" s="45"/>
      <c r="J386" s="45"/>
      <c r="K386" s="17">
        <f>SUM(K389:K417)</f>
        <v>644.56599999999992</v>
      </c>
      <c r="L386" s="18">
        <f>ROUND(7.92*(1+M2/100),2)</f>
        <v>8.16</v>
      </c>
      <c r="M386" s="18">
        <f>ROUND(K386*L386,2)</f>
        <v>5259.66</v>
      </c>
    </row>
    <row r="387" spans="1:13" ht="57.95" customHeight="1" thickBot="1" x14ac:dyDescent="0.25">
      <c r="A387" s="19"/>
      <c r="B387" s="19"/>
      <c r="C387" s="19"/>
      <c r="D387" s="45" t="s">
        <v>930</v>
      </c>
      <c r="E387" s="45"/>
      <c r="F387" s="45"/>
      <c r="G387" s="45"/>
      <c r="H387" s="45"/>
      <c r="I387" s="45"/>
      <c r="J387" s="45"/>
      <c r="K387" s="45"/>
      <c r="L387" s="45"/>
      <c r="M387" s="45"/>
    </row>
    <row r="388" spans="1:13" ht="15" customHeight="1" thickBot="1" x14ac:dyDescent="0.25">
      <c r="A388" s="19"/>
      <c r="B388" s="19"/>
      <c r="C388" s="19"/>
      <c r="D388" s="19"/>
      <c r="E388" s="21" t="s">
        <v>931</v>
      </c>
      <c r="F388" s="22" t="s">
        <v>932</v>
      </c>
      <c r="G388" s="22" t="s">
        <v>933</v>
      </c>
      <c r="H388" s="22"/>
      <c r="I388" s="22"/>
      <c r="J388" s="22" t="s">
        <v>934</v>
      </c>
      <c r="K388" s="22" t="s">
        <v>935</v>
      </c>
      <c r="L388" s="19"/>
      <c r="M388" s="19"/>
    </row>
    <row r="389" spans="1:13" ht="15" customHeight="1" thickBot="1" x14ac:dyDescent="0.25">
      <c r="A389" s="19"/>
      <c r="B389" s="19"/>
      <c r="C389" s="19"/>
      <c r="D389" s="20" t="s">
        <v>936</v>
      </c>
      <c r="E389" s="23" t="s">
        <v>937</v>
      </c>
      <c r="F389" s="24">
        <v>1</v>
      </c>
      <c r="G389" s="25">
        <v>8.1199999999999992</v>
      </c>
      <c r="H389" s="25"/>
      <c r="I389" s="25"/>
      <c r="J389" s="27">
        <f t="shared" ref="J389:J402" si="13">ROUND(F389*G389,3)</f>
        <v>8.1199999999999992</v>
      </c>
      <c r="K389" s="28"/>
      <c r="L389" s="19"/>
      <c r="M389" s="19"/>
    </row>
    <row r="390" spans="1:13" ht="15" customHeight="1" thickBot="1" x14ac:dyDescent="0.25">
      <c r="A390" s="19"/>
      <c r="B390" s="19"/>
      <c r="C390" s="19"/>
      <c r="D390" s="20" t="s">
        <v>938</v>
      </c>
      <c r="E390" s="5" t="s">
        <v>939</v>
      </c>
      <c r="F390" s="3">
        <v>1</v>
      </c>
      <c r="G390" s="17">
        <v>8.4</v>
      </c>
      <c r="H390" s="17"/>
      <c r="I390" s="17"/>
      <c r="J390" s="26">
        <f t="shared" si="13"/>
        <v>8.4</v>
      </c>
      <c r="K390" s="19"/>
      <c r="L390" s="19"/>
      <c r="M390" s="19"/>
    </row>
    <row r="391" spans="1:13" ht="15" customHeight="1" thickBot="1" x14ac:dyDescent="0.25">
      <c r="A391" s="19"/>
      <c r="B391" s="19"/>
      <c r="C391" s="19"/>
      <c r="D391" s="20" t="s">
        <v>940</v>
      </c>
      <c r="E391" s="5" t="s">
        <v>941</v>
      </c>
      <c r="F391" s="3">
        <v>1</v>
      </c>
      <c r="G391" s="17">
        <v>12.8</v>
      </c>
      <c r="H391" s="17"/>
      <c r="I391" s="17"/>
      <c r="J391" s="26">
        <f t="shared" si="13"/>
        <v>12.8</v>
      </c>
      <c r="K391" s="19"/>
      <c r="L391" s="19"/>
      <c r="M391" s="19"/>
    </row>
    <row r="392" spans="1:13" ht="15" customHeight="1" thickBot="1" x14ac:dyDescent="0.25">
      <c r="A392" s="19"/>
      <c r="B392" s="19"/>
      <c r="C392" s="19"/>
      <c r="D392" s="20" t="s">
        <v>942</v>
      </c>
      <c r="E392" s="5" t="s">
        <v>943</v>
      </c>
      <c r="F392" s="3">
        <v>1</v>
      </c>
      <c r="G392" s="17">
        <v>9.4</v>
      </c>
      <c r="H392" s="17"/>
      <c r="I392" s="17"/>
      <c r="J392" s="26">
        <f t="shared" si="13"/>
        <v>9.4</v>
      </c>
      <c r="K392" s="19"/>
      <c r="L392" s="19"/>
      <c r="M392" s="19"/>
    </row>
    <row r="393" spans="1:13" ht="15" customHeight="1" thickBot="1" x14ac:dyDescent="0.25">
      <c r="A393" s="19"/>
      <c r="B393" s="19"/>
      <c r="C393" s="19"/>
      <c r="D393" s="20" t="s">
        <v>944</v>
      </c>
      <c r="E393" s="5" t="s">
        <v>945</v>
      </c>
      <c r="F393" s="3">
        <v>1</v>
      </c>
      <c r="G393" s="17">
        <v>13.2</v>
      </c>
      <c r="H393" s="17"/>
      <c r="I393" s="17"/>
      <c r="J393" s="26">
        <f t="shared" si="13"/>
        <v>13.2</v>
      </c>
      <c r="K393" s="19"/>
      <c r="L393" s="19"/>
      <c r="M393" s="19"/>
    </row>
    <row r="394" spans="1:13" ht="15" customHeight="1" thickBot="1" x14ac:dyDescent="0.25">
      <c r="A394" s="19"/>
      <c r="B394" s="19"/>
      <c r="C394" s="19"/>
      <c r="D394" s="20" t="s">
        <v>946</v>
      </c>
      <c r="E394" s="5" t="s">
        <v>947</v>
      </c>
      <c r="F394" s="3">
        <v>1</v>
      </c>
      <c r="G394" s="17">
        <v>6.04</v>
      </c>
      <c r="H394" s="17"/>
      <c r="I394" s="17"/>
      <c r="J394" s="26">
        <f t="shared" si="13"/>
        <v>6.04</v>
      </c>
      <c r="K394" s="19"/>
      <c r="L394" s="19"/>
      <c r="M394" s="19"/>
    </row>
    <row r="395" spans="1:13" ht="15" customHeight="1" thickBot="1" x14ac:dyDescent="0.25">
      <c r="A395" s="19"/>
      <c r="B395" s="19"/>
      <c r="C395" s="19"/>
      <c r="D395" s="20" t="s">
        <v>948</v>
      </c>
      <c r="E395" s="5" t="s">
        <v>949</v>
      </c>
      <c r="F395" s="3">
        <v>1</v>
      </c>
      <c r="G395" s="17">
        <v>4.16</v>
      </c>
      <c r="H395" s="17"/>
      <c r="I395" s="17"/>
      <c r="J395" s="26">
        <f t="shared" si="13"/>
        <v>4.16</v>
      </c>
      <c r="K395" s="19"/>
      <c r="L395" s="19"/>
      <c r="M395" s="19"/>
    </row>
    <row r="396" spans="1:13" ht="15" customHeight="1" thickBot="1" x14ac:dyDescent="0.25">
      <c r="A396" s="19"/>
      <c r="B396" s="19"/>
      <c r="C396" s="19"/>
      <c r="D396" s="20" t="s">
        <v>950</v>
      </c>
      <c r="E396" s="5" t="s">
        <v>951</v>
      </c>
      <c r="F396" s="3">
        <v>1</v>
      </c>
      <c r="G396" s="17">
        <v>32.89</v>
      </c>
      <c r="H396" s="17"/>
      <c r="I396" s="17"/>
      <c r="J396" s="26">
        <f t="shared" si="13"/>
        <v>32.89</v>
      </c>
      <c r="K396" s="19"/>
      <c r="L396" s="19"/>
      <c r="M396" s="19"/>
    </row>
    <row r="397" spans="1:13" ht="15" customHeight="1" thickBot="1" x14ac:dyDescent="0.25">
      <c r="A397" s="19"/>
      <c r="B397" s="19"/>
      <c r="C397" s="19"/>
      <c r="D397" s="20" t="s">
        <v>952</v>
      </c>
      <c r="E397" s="5" t="s">
        <v>953</v>
      </c>
      <c r="F397" s="3">
        <v>1</v>
      </c>
      <c r="G397" s="17">
        <v>15.2</v>
      </c>
      <c r="H397" s="17"/>
      <c r="I397" s="17"/>
      <c r="J397" s="26">
        <f t="shared" si="13"/>
        <v>15.2</v>
      </c>
      <c r="K397" s="19"/>
      <c r="L397" s="19"/>
      <c r="M397" s="19"/>
    </row>
    <row r="398" spans="1:13" ht="15" customHeight="1" thickBot="1" x14ac:dyDescent="0.25">
      <c r="A398" s="19"/>
      <c r="B398" s="19"/>
      <c r="C398" s="19"/>
      <c r="D398" s="20" t="s">
        <v>954</v>
      </c>
      <c r="E398" s="5" t="s">
        <v>955</v>
      </c>
      <c r="F398" s="3">
        <v>1</v>
      </c>
      <c r="G398" s="17">
        <v>14.2</v>
      </c>
      <c r="H398" s="17"/>
      <c r="I398" s="17"/>
      <c r="J398" s="26">
        <f t="shared" si="13"/>
        <v>14.2</v>
      </c>
      <c r="K398" s="19"/>
      <c r="L398" s="19"/>
      <c r="M398" s="19"/>
    </row>
    <row r="399" spans="1:13" ht="15" customHeight="1" thickBot="1" x14ac:dyDescent="0.25">
      <c r="A399" s="19"/>
      <c r="B399" s="19"/>
      <c r="C399" s="19"/>
      <c r="D399" s="20" t="s">
        <v>956</v>
      </c>
      <c r="E399" s="5" t="s">
        <v>957</v>
      </c>
      <c r="F399" s="3">
        <v>1</v>
      </c>
      <c r="G399" s="17">
        <v>7.4</v>
      </c>
      <c r="H399" s="17"/>
      <c r="I399" s="17"/>
      <c r="J399" s="26">
        <f t="shared" si="13"/>
        <v>7.4</v>
      </c>
      <c r="K399" s="19"/>
      <c r="L399" s="19"/>
      <c r="M399" s="19"/>
    </row>
    <row r="400" spans="1:13" ht="15" customHeight="1" thickBot="1" x14ac:dyDescent="0.25">
      <c r="A400" s="19"/>
      <c r="B400" s="19"/>
      <c r="C400" s="19"/>
      <c r="D400" s="20" t="s">
        <v>958</v>
      </c>
      <c r="E400" s="5" t="s">
        <v>959</v>
      </c>
      <c r="F400" s="3">
        <v>1</v>
      </c>
      <c r="G400" s="17">
        <v>11.58</v>
      </c>
      <c r="H400" s="17"/>
      <c r="I400" s="17"/>
      <c r="J400" s="26">
        <f t="shared" si="13"/>
        <v>11.58</v>
      </c>
      <c r="K400" s="19"/>
      <c r="L400" s="19"/>
      <c r="M400" s="19"/>
    </row>
    <row r="401" spans="1:13" ht="15" customHeight="1" thickBot="1" x14ac:dyDescent="0.25">
      <c r="A401" s="19"/>
      <c r="B401" s="19"/>
      <c r="C401" s="19"/>
      <c r="D401" s="20" t="s">
        <v>960</v>
      </c>
      <c r="E401" s="5" t="s">
        <v>961</v>
      </c>
      <c r="F401" s="3">
        <v>1</v>
      </c>
      <c r="G401" s="17">
        <v>9.6199999999999992</v>
      </c>
      <c r="H401" s="17"/>
      <c r="I401" s="17"/>
      <c r="J401" s="26">
        <f t="shared" si="13"/>
        <v>9.6199999999999992</v>
      </c>
      <c r="K401" s="19"/>
      <c r="L401" s="19"/>
      <c r="M401" s="19"/>
    </row>
    <row r="402" spans="1:13" ht="15" customHeight="1" thickBot="1" x14ac:dyDescent="0.25">
      <c r="A402" s="19"/>
      <c r="B402" s="19"/>
      <c r="C402" s="19"/>
      <c r="D402" s="20" t="s">
        <v>962</v>
      </c>
      <c r="E402" s="5" t="s">
        <v>963</v>
      </c>
      <c r="F402" s="3"/>
      <c r="G402" s="17">
        <v>2.4500000000000002</v>
      </c>
      <c r="H402" s="17"/>
      <c r="I402" s="17"/>
      <c r="J402" s="26">
        <f t="shared" si="13"/>
        <v>0</v>
      </c>
      <c r="K402" s="29">
        <f>SUM(J389:J402)</f>
        <v>153.01000000000002</v>
      </c>
      <c r="L402" s="19"/>
      <c r="M402" s="19"/>
    </row>
    <row r="403" spans="1:13" ht="15" customHeight="1" thickBot="1" x14ac:dyDescent="0.25">
      <c r="A403" s="19"/>
      <c r="B403" s="19"/>
      <c r="C403" s="19"/>
      <c r="D403" s="19"/>
      <c r="E403" s="21" t="s">
        <v>964</v>
      </c>
      <c r="F403" s="22" t="s">
        <v>965</v>
      </c>
      <c r="G403" s="22" t="s">
        <v>966</v>
      </c>
      <c r="H403" s="22" t="s">
        <v>967</v>
      </c>
      <c r="I403" s="22" t="s">
        <v>968</v>
      </c>
      <c r="J403" s="22" t="s">
        <v>969</v>
      </c>
      <c r="K403" s="22" t="s">
        <v>970</v>
      </c>
      <c r="L403" s="19"/>
      <c r="M403" s="19"/>
    </row>
    <row r="404" spans="1:13" ht="15" customHeight="1" thickBot="1" x14ac:dyDescent="0.25">
      <c r="A404" s="19"/>
      <c r="B404" s="19"/>
      <c r="C404" s="19"/>
      <c r="D404" s="20" t="s">
        <v>971</v>
      </c>
      <c r="E404" s="23" t="s">
        <v>972</v>
      </c>
      <c r="F404" s="24">
        <v>1</v>
      </c>
      <c r="G404" s="25">
        <v>20.48</v>
      </c>
      <c r="H404" s="25"/>
      <c r="I404" s="25">
        <v>2.65</v>
      </c>
      <c r="J404" s="27">
        <f t="shared" ref="J404:J417" si="14">ROUND(F404*G404*I404,3)</f>
        <v>54.271999999999998</v>
      </c>
      <c r="K404" s="28"/>
      <c r="L404" s="19"/>
      <c r="M404" s="19"/>
    </row>
    <row r="405" spans="1:13" ht="15" customHeight="1" thickBot="1" x14ac:dyDescent="0.25">
      <c r="A405" s="19"/>
      <c r="B405" s="19"/>
      <c r="C405" s="19"/>
      <c r="D405" s="20" t="s">
        <v>973</v>
      </c>
      <c r="E405" s="5" t="s">
        <v>974</v>
      </c>
      <c r="F405" s="3">
        <v>1</v>
      </c>
      <c r="G405" s="17">
        <v>18.52</v>
      </c>
      <c r="H405" s="17"/>
      <c r="I405" s="17">
        <v>2.65</v>
      </c>
      <c r="J405" s="26">
        <f t="shared" si="14"/>
        <v>49.078000000000003</v>
      </c>
      <c r="K405" s="19"/>
      <c r="L405" s="19"/>
      <c r="M405" s="19"/>
    </row>
    <row r="406" spans="1:13" ht="15" customHeight="1" thickBot="1" x14ac:dyDescent="0.25">
      <c r="A406" s="19"/>
      <c r="B406" s="19"/>
      <c r="C406" s="19"/>
      <c r="D406" s="20" t="s">
        <v>975</v>
      </c>
      <c r="E406" s="5" t="s">
        <v>976</v>
      </c>
      <c r="F406" s="3">
        <v>1</v>
      </c>
      <c r="G406" s="17">
        <v>21.72</v>
      </c>
      <c r="H406" s="17"/>
      <c r="I406" s="17">
        <v>2.65</v>
      </c>
      <c r="J406" s="26">
        <f t="shared" si="14"/>
        <v>57.558</v>
      </c>
      <c r="K406" s="19"/>
      <c r="L406" s="19"/>
      <c r="M406" s="19"/>
    </row>
    <row r="407" spans="1:13" ht="15" customHeight="1" thickBot="1" x14ac:dyDescent="0.25">
      <c r="A407" s="19"/>
      <c r="B407" s="19"/>
      <c r="C407" s="19"/>
      <c r="D407" s="20" t="s">
        <v>977</v>
      </c>
      <c r="E407" s="5" t="s">
        <v>978</v>
      </c>
      <c r="F407" s="3">
        <v>1</v>
      </c>
      <c r="G407" s="17">
        <v>28.15</v>
      </c>
      <c r="H407" s="17"/>
      <c r="I407" s="17">
        <v>2.65</v>
      </c>
      <c r="J407" s="26">
        <f t="shared" si="14"/>
        <v>74.597999999999999</v>
      </c>
      <c r="K407" s="19"/>
      <c r="L407" s="19"/>
      <c r="M407" s="19"/>
    </row>
    <row r="408" spans="1:13" ht="15" customHeight="1" thickBot="1" x14ac:dyDescent="0.25">
      <c r="A408" s="19"/>
      <c r="B408" s="19"/>
      <c r="C408" s="19"/>
      <c r="D408" s="20" t="s">
        <v>979</v>
      </c>
      <c r="E408" s="5" t="s">
        <v>980</v>
      </c>
      <c r="F408" s="3">
        <v>1</v>
      </c>
      <c r="G408" s="17">
        <v>15.45</v>
      </c>
      <c r="H408" s="17"/>
      <c r="I408" s="17">
        <v>2.65</v>
      </c>
      <c r="J408" s="26">
        <f t="shared" si="14"/>
        <v>40.942999999999998</v>
      </c>
      <c r="K408" s="19"/>
      <c r="L408" s="19"/>
      <c r="M408" s="19"/>
    </row>
    <row r="409" spans="1:13" ht="15" customHeight="1" thickBot="1" x14ac:dyDescent="0.25">
      <c r="A409" s="19"/>
      <c r="B409" s="19"/>
      <c r="C409" s="19"/>
      <c r="D409" s="20" t="s">
        <v>981</v>
      </c>
      <c r="E409" s="5" t="s">
        <v>982</v>
      </c>
      <c r="F409" s="3">
        <v>1</v>
      </c>
      <c r="G409" s="17">
        <v>21.5</v>
      </c>
      <c r="H409" s="17"/>
      <c r="I409" s="17">
        <v>2.65</v>
      </c>
      <c r="J409" s="26">
        <f t="shared" si="14"/>
        <v>56.975000000000001</v>
      </c>
      <c r="K409" s="19"/>
      <c r="L409" s="19"/>
      <c r="M409" s="19"/>
    </row>
    <row r="410" spans="1:13" ht="15" customHeight="1" thickBot="1" x14ac:dyDescent="0.25">
      <c r="A410" s="19"/>
      <c r="B410" s="19"/>
      <c r="C410" s="19"/>
      <c r="D410" s="20" t="s">
        <v>983</v>
      </c>
      <c r="E410" s="5" t="s">
        <v>984</v>
      </c>
      <c r="F410" s="3">
        <v>1</v>
      </c>
      <c r="G410" s="17">
        <v>75.150000000000006</v>
      </c>
      <c r="H410" s="17"/>
      <c r="I410" s="17">
        <v>0.45</v>
      </c>
      <c r="J410" s="26">
        <f t="shared" si="14"/>
        <v>33.817999999999998</v>
      </c>
      <c r="K410" s="19"/>
      <c r="L410" s="19"/>
      <c r="M410" s="19"/>
    </row>
    <row r="411" spans="1:13" ht="15" customHeight="1" thickBot="1" x14ac:dyDescent="0.25">
      <c r="A411" s="19"/>
      <c r="B411" s="19"/>
      <c r="C411" s="19"/>
      <c r="D411" s="20" t="s">
        <v>985</v>
      </c>
      <c r="E411" s="5" t="s">
        <v>986</v>
      </c>
      <c r="F411" s="3">
        <v>1</v>
      </c>
      <c r="G411" s="17">
        <v>23.22</v>
      </c>
      <c r="H411" s="17"/>
      <c r="I411" s="17">
        <v>2.65</v>
      </c>
      <c r="J411" s="26">
        <f t="shared" si="14"/>
        <v>61.533000000000001</v>
      </c>
      <c r="K411" s="19"/>
      <c r="L411" s="19"/>
      <c r="M411" s="19"/>
    </row>
    <row r="412" spans="1:13" ht="15" customHeight="1" thickBot="1" x14ac:dyDescent="0.25">
      <c r="A412" s="19"/>
      <c r="B412" s="19"/>
      <c r="C412" s="19"/>
      <c r="D412" s="20" t="s">
        <v>987</v>
      </c>
      <c r="E412" s="5" t="s">
        <v>988</v>
      </c>
      <c r="F412" s="3">
        <v>1</v>
      </c>
      <c r="G412" s="17">
        <v>8.2899999999999991</v>
      </c>
      <c r="H412" s="17"/>
      <c r="I412" s="17">
        <v>0.45</v>
      </c>
      <c r="J412" s="26">
        <f t="shared" si="14"/>
        <v>3.7309999999999999</v>
      </c>
      <c r="K412" s="19"/>
      <c r="L412" s="19"/>
      <c r="M412" s="19"/>
    </row>
    <row r="413" spans="1:13" ht="15" customHeight="1" thickBot="1" x14ac:dyDescent="0.25">
      <c r="A413" s="19"/>
      <c r="B413" s="19"/>
      <c r="C413" s="19"/>
      <c r="D413" s="20" t="s">
        <v>989</v>
      </c>
      <c r="E413" s="5" t="s">
        <v>990</v>
      </c>
      <c r="F413" s="3">
        <v>1</v>
      </c>
      <c r="G413" s="17">
        <v>26.1</v>
      </c>
      <c r="H413" s="17"/>
      <c r="I413" s="17">
        <v>0.45</v>
      </c>
      <c r="J413" s="26">
        <f t="shared" si="14"/>
        <v>11.744999999999999</v>
      </c>
      <c r="K413" s="19"/>
      <c r="L413" s="19"/>
      <c r="M413" s="19"/>
    </row>
    <row r="414" spans="1:13" ht="15" customHeight="1" thickBot="1" x14ac:dyDescent="0.25">
      <c r="A414" s="19"/>
      <c r="B414" s="19"/>
      <c r="C414" s="19"/>
      <c r="D414" s="20" t="s">
        <v>991</v>
      </c>
      <c r="E414" s="5" t="s">
        <v>992</v>
      </c>
      <c r="F414" s="3">
        <v>1</v>
      </c>
      <c r="G414" s="17">
        <v>27.86</v>
      </c>
      <c r="H414" s="17"/>
      <c r="I414" s="17">
        <v>0.45</v>
      </c>
      <c r="J414" s="26">
        <f t="shared" si="14"/>
        <v>12.537000000000001</v>
      </c>
      <c r="K414" s="19"/>
      <c r="L414" s="19"/>
      <c r="M414" s="19"/>
    </row>
    <row r="415" spans="1:13" ht="15" customHeight="1" thickBot="1" x14ac:dyDescent="0.25">
      <c r="A415" s="19"/>
      <c r="B415" s="19"/>
      <c r="C415" s="19"/>
      <c r="D415" s="20" t="s">
        <v>993</v>
      </c>
      <c r="E415" s="5" t="s">
        <v>994</v>
      </c>
      <c r="F415" s="3">
        <v>1</v>
      </c>
      <c r="G415" s="17">
        <v>27.87</v>
      </c>
      <c r="H415" s="17"/>
      <c r="I415" s="17">
        <v>0.45</v>
      </c>
      <c r="J415" s="26">
        <f t="shared" si="14"/>
        <v>12.542</v>
      </c>
      <c r="K415" s="19"/>
      <c r="L415" s="19"/>
      <c r="M415" s="19"/>
    </row>
    <row r="416" spans="1:13" ht="15" customHeight="1" thickBot="1" x14ac:dyDescent="0.25">
      <c r="A416" s="19"/>
      <c r="B416" s="19"/>
      <c r="C416" s="19"/>
      <c r="D416" s="20" t="s">
        <v>995</v>
      </c>
      <c r="E416" s="5" t="s">
        <v>996</v>
      </c>
      <c r="F416" s="3">
        <v>1</v>
      </c>
      <c r="G416" s="17">
        <v>18.29</v>
      </c>
      <c r="H416" s="17"/>
      <c r="I416" s="17">
        <v>0.45</v>
      </c>
      <c r="J416" s="26">
        <f t="shared" si="14"/>
        <v>8.2309999999999999</v>
      </c>
      <c r="K416" s="19"/>
      <c r="L416" s="19"/>
      <c r="M416" s="19"/>
    </row>
    <row r="417" spans="1:13" ht="15" customHeight="1" thickBot="1" x14ac:dyDescent="0.25">
      <c r="A417" s="19"/>
      <c r="B417" s="19"/>
      <c r="C417" s="19"/>
      <c r="D417" s="20" t="s">
        <v>997</v>
      </c>
      <c r="E417" s="5" t="s">
        <v>998</v>
      </c>
      <c r="F417" s="3">
        <v>1</v>
      </c>
      <c r="G417" s="17">
        <v>31.1</v>
      </c>
      <c r="H417" s="17"/>
      <c r="I417" s="17">
        <v>0.45</v>
      </c>
      <c r="J417" s="26">
        <f t="shared" si="14"/>
        <v>13.994999999999999</v>
      </c>
      <c r="K417" s="29">
        <f>SUM(J404:J417)</f>
        <v>491.55599999999993</v>
      </c>
      <c r="L417" s="19"/>
      <c r="M417" s="19"/>
    </row>
    <row r="418" spans="1:13" ht="15.4" customHeight="1" thickBot="1" x14ac:dyDescent="0.25">
      <c r="A418" s="10" t="s">
        <v>999</v>
      </c>
      <c r="B418" s="5" t="s">
        <v>1000</v>
      </c>
      <c r="C418" s="5" t="s">
        <v>1001</v>
      </c>
      <c r="D418" s="45" t="s">
        <v>1002</v>
      </c>
      <c r="E418" s="45"/>
      <c r="F418" s="45"/>
      <c r="G418" s="45"/>
      <c r="H418" s="45"/>
      <c r="I418" s="45"/>
      <c r="J418" s="45"/>
      <c r="K418" s="17">
        <f>SUM(K421:K427)</f>
        <v>170.523</v>
      </c>
      <c r="L418" s="18">
        <f>ROUND(88.13*(1+M2/100),2)</f>
        <v>90.77</v>
      </c>
      <c r="M418" s="18">
        <f>ROUND(K418*L418,2)</f>
        <v>15478.37</v>
      </c>
    </row>
    <row r="419" spans="1:13" ht="57.95" customHeight="1" thickBot="1" x14ac:dyDescent="0.25">
      <c r="A419" s="19"/>
      <c r="B419" s="19"/>
      <c r="C419" s="19"/>
      <c r="D419" s="45" t="s">
        <v>1003</v>
      </c>
      <c r="E419" s="45"/>
      <c r="F419" s="45"/>
      <c r="G419" s="45"/>
      <c r="H419" s="45"/>
      <c r="I419" s="45"/>
      <c r="J419" s="45"/>
      <c r="K419" s="45"/>
      <c r="L419" s="45"/>
      <c r="M419" s="45"/>
    </row>
    <row r="420" spans="1:13" ht="15" customHeight="1" thickBot="1" x14ac:dyDescent="0.25">
      <c r="A420" s="19"/>
      <c r="B420" s="19"/>
      <c r="C420" s="19"/>
      <c r="D420" s="19"/>
      <c r="E420" s="21"/>
      <c r="F420" s="22" t="s">
        <v>1004</v>
      </c>
      <c r="G420" s="22"/>
      <c r="H420" s="22" t="s">
        <v>1005</v>
      </c>
      <c r="I420" s="22" t="s">
        <v>1006</v>
      </c>
      <c r="J420" s="22" t="s">
        <v>1007</v>
      </c>
      <c r="K420" s="22" t="s">
        <v>1008</v>
      </c>
      <c r="L420" s="19"/>
      <c r="M420" s="19"/>
    </row>
    <row r="421" spans="1:13" ht="15" customHeight="1" thickBot="1" x14ac:dyDescent="0.25">
      <c r="A421" s="19"/>
      <c r="B421" s="19"/>
      <c r="C421" s="19"/>
      <c r="D421" s="20" t="s">
        <v>1009</v>
      </c>
      <c r="E421" s="23" t="s">
        <v>1010</v>
      </c>
      <c r="F421" s="24">
        <v>2</v>
      </c>
      <c r="G421" s="25"/>
      <c r="H421" s="25">
        <v>34.42</v>
      </c>
      <c r="I421" s="25">
        <v>2.65</v>
      </c>
      <c r="J421" s="27">
        <f t="shared" ref="J421:J427" si="15">ROUND(F421*H421*I421,3)</f>
        <v>182.42599999999999</v>
      </c>
      <c r="K421" s="28"/>
      <c r="L421" s="19"/>
      <c r="M421" s="19"/>
    </row>
    <row r="422" spans="1:13" ht="15" customHeight="1" thickBot="1" x14ac:dyDescent="0.25">
      <c r="A422" s="19"/>
      <c r="B422" s="19"/>
      <c r="C422" s="19"/>
      <c r="D422" s="20" t="s">
        <v>1011</v>
      </c>
      <c r="E422" s="5" t="s">
        <v>1012</v>
      </c>
      <c r="F422" s="3">
        <v>2</v>
      </c>
      <c r="G422" s="17"/>
      <c r="H422" s="17">
        <v>5.24</v>
      </c>
      <c r="I422" s="17">
        <v>2.65</v>
      </c>
      <c r="J422" s="26">
        <f t="shared" si="15"/>
        <v>27.771999999999998</v>
      </c>
      <c r="K422" s="19"/>
      <c r="L422" s="19"/>
      <c r="M422" s="19"/>
    </row>
    <row r="423" spans="1:13" ht="15" customHeight="1" thickBot="1" x14ac:dyDescent="0.25">
      <c r="A423" s="19"/>
      <c r="B423" s="19"/>
      <c r="C423" s="19"/>
      <c r="D423" s="20" t="s">
        <v>1013</v>
      </c>
      <c r="E423" s="5" t="s">
        <v>1014</v>
      </c>
      <c r="F423" s="3">
        <v>-3</v>
      </c>
      <c r="G423" s="17"/>
      <c r="H423" s="17">
        <v>1.2</v>
      </c>
      <c r="I423" s="17">
        <v>2.65</v>
      </c>
      <c r="J423" s="26">
        <f t="shared" si="15"/>
        <v>-9.5399999999999991</v>
      </c>
      <c r="K423" s="19"/>
      <c r="L423" s="19"/>
      <c r="M423" s="19"/>
    </row>
    <row r="424" spans="1:13" ht="15" customHeight="1" thickBot="1" x14ac:dyDescent="0.25">
      <c r="A424" s="19"/>
      <c r="B424" s="19"/>
      <c r="C424" s="19"/>
      <c r="D424" s="20" t="s">
        <v>1015</v>
      </c>
      <c r="E424" s="5"/>
      <c r="F424" s="3">
        <v>-5</v>
      </c>
      <c r="G424" s="17"/>
      <c r="H424" s="17">
        <v>1.4</v>
      </c>
      <c r="I424" s="17">
        <v>2.65</v>
      </c>
      <c r="J424" s="26">
        <f t="shared" si="15"/>
        <v>-18.55</v>
      </c>
      <c r="K424" s="19"/>
      <c r="L424" s="19"/>
      <c r="M424" s="19"/>
    </row>
    <row r="425" spans="1:13" ht="15" customHeight="1" thickBot="1" x14ac:dyDescent="0.25">
      <c r="A425" s="19"/>
      <c r="B425" s="19"/>
      <c r="C425" s="19"/>
      <c r="D425" s="20" t="s">
        <v>1016</v>
      </c>
      <c r="E425" s="5"/>
      <c r="F425" s="3">
        <v>-1</v>
      </c>
      <c r="G425" s="17"/>
      <c r="H425" s="17">
        <v>0.9</v>
      </c>
      <c r="I425" s="17">
        <v>2.65</v>
      </c>
      <c r="J425" s="26">
        <f t="shared" si="15"/>
        <v>-2.3849999999999998</v>
      </c>
      <c r="K425" s="19"/>
      <c r="L425" s="19"/>
      <c r="M425" s="19"/>
    </row>
    <row r="426" spans="1:13" ht="15" customHeight="1" thickBot="1" x14ac:dyDescent="0.25">
      <c r="A426" s="19"/>
      <c r="B426" s="19"/>
      <c r="C426" s="19"/>
      <c r="D426" s="20" t="s">
        <v>1017</v>
      </c>
      <c r="E426" s="5"/>
      <c r="F426" s="3">
        <v>-2</v>
      </c>
      <c r="G426" s="17"/>
      <c r="H426" s="17">
        <v>1.4</v>
      </c>
      <c r="I426" s="17">
        <v>2</v>
      </c>
      <c r="J426" s="26">
        <f t="shared" si="15"/>
        <v>-5.6</v>
      </c>
      <c r="K426" s="19"/>
      <c r="L426" s="19"/>
      <c r="M426" s="19"/>
    </row>
    <row r="427" spans="1:13" ht="15" customHeight="1" thickBot="1" x14ac:dyDescent="0.25">
      <c r="A427" s="19"/>
      <c r="B427" s="19"/>
      <c r="C427" s="19"/>
      <c r="D427" s="20" t="s">
        <v>1018</v>
      </c>
      <c r="E427" s="5"/>
      <c r="F427" s="3">
        <v>-1</v>
      </c>
      <c r="G427" s="17"/>
      <c r="H427" s="17">
        <v>1.8</v>
      </c>
      <c r="I427" s="17">
        <v>2</v>
      </c>
      <c r="J427" s="26">
        <f t="shared" si="15"/>
        <v>-3.6</v>
      </c>
      <c r="K427" s="29">
        <f>SUM(J421:J427)</f>
        <v>170.523</v>
      </c>
      <c r="L427" s="19"/>
      <c r="M427" s="19"/>
    </row>
    <row r="428" spans="1:13" ht="15.4" customHeight="1" thickBot="1" x14ac:dyDescent="0.25">
      <c r="A428" s="10" t="s">
        <v>1019</v>
      </c>
      <c r="B428" s="5" t="s">
        <v>1020</v>
      </c>
      <c r="C428" s="5" t="s">
        <v>1021</v>
      </c>
      <c r="D428" s="45" t="s">
        <v>1022</v>
      </c>
      <c r="E428" s="45"/>
      <c r="F428" s="45"/>
      <c r="G428" s="45"/>
      <c r="H428" s="45"/>
      <c r="I428" s="45"/>
      <c r="J428" s="45"/>
      <c r="K428" s="17">
        <f>SUM(K431:K433)</f>
        <v>30.475000000000001</v>
      </c>
      <c r="L428" s="18">
        <f>ROUND(107.84*(1+M2/100),2)</f>
        <v>111.08</v>
      </c>
      <c r="M428" s="18">
        <f>ROUND(K428*L428,2)</f>
        <v>3385.16</v>
      </c>
    </row>
    <row r="429" spans="1:13" ht="57.95" customHeight="1" thickBot="1" x14ac:dyDescent="0.25">
      <c r="A429" s="19"/>
      <c r="B429" s="19"/>
      <c r="C429" s="19"/>
      <c r="D429" s="45" t="s">
        <v>1023</v>
      </c>
      <c r="E429" s="45"/>
      <c r="F429" s="45"/>
      <c r="G429" s="45"/>
      <c r="H429" s="45"/>
      <c r="I429" s="45"/>
      <c r="J429" s="45"/>
      <c r="K429" s="45"/>
      <c r="L429" s="45"/>
      <c r="M429" s="45"/>
    </row>
    <row r="430" spans="1:13" ht="15" customHeight="1" thickBot="1" x14ac:dyDescent="0.25">
      <c r="A430" s="19"/>
      <c r="B430" s="19"/>
      <c r="C430" s="19"/>
      <c r="D430" s="19"/>
      <c r="E430" s="21"/>
      <c r="F430" s="22" t="s">
        <v>1024</v>
      </c>
      <c r="G430" s="22"/>
      <c r="H430" s="22" t="s">
        <v>1025</v>
      </c>
      <c r="I430" s="22" t="s">
        <v>1026</v>
      </c>
      <c r="J430" s="22" t="s">
        <v>1027</v>
      </c>
      <c r="K430" s="22" t="s">
        <v>1028</v>
      </c>
      <c r="L430" s="19"/>
      <c r="M430" s="19"/>
    </row>
    <row r="431" spans="1:13" ht="15" customHeight="1" thickBot="1" x14ac:dyDescent="0.25">
      <c r="A431" s="19"/>
      <c r="B431" s="19"/>
      <c r="C431" s="19"/>
      <c r="D431" s="20" t="s">
        <v>1029</v>
      </c>
      <c r="E431" s="23"/>
      <c r="F431" s="24">
        <v>3</v>
      </c>
      <c r="G431" s="25"/>
      <c r="H431" s="25">
        <v>1.2</v>
      </c>
      <c r="I431" s="25">
        <v>2.65</v>
      </c>
      <c r="J431" s="27">
        <f>ROUND(F431*H431*I431,3)</f>
        <v>9.5399999999999991</v>
      </c>
      <c r="K431" s="28"/>
      <c r="L431" s="19"/>
      <c r="M431" s="19"/>
    </row>
    <row r="432" spans="1:13" ht="15" customHeight="1" thickBot="1" x14ac:dyDescent="0.25">
      <c r="A432" s="19"/>
      <c r="B432" s="19"/>
      <c r="C432" s="19"/>
      <c r="D432" s="20" t="s">
        <v>1030</v>
      </c>
      <c r="E432" s="5"/>
      <c r="F432" s="3">
        <v>5</v>
      </c>
      <c r="G432" s="17"/>
      <c r="H432" s="17">
        <v>1.4</v>
      </c>
      <c r="I432" s="17">
        <v>2.65</v>
      </c>
      <c r="J432" s="26">
        <f>ROUND(F432*H432*I432,3)</f>
        <v>18.55</v>
      </c>
      <c r="K432" s="19"/>
      <c r="L432" s="19"/>
      <c r="M432" s="19"/>
    </row>
    <row r="433" spans="1:13" ht="15" customHeight="1" thickBot="1" x14ac:dyDescent="0.25">
      <c r="A433" s="19"/>
      <c r="B433" s="19"/>
      <c r="C433" s="19"/>
      <c r="D433" s="20" t="s">
        <v>1031</v>
      </c>
      <c r="E433" s="5"/>
      <c r="F433" s="3">
        <v>1</v>
      </c>
      <c r="G433" s="17"/>
      <c r="H433" s="17">
        <v>0.9</v>
      </c>
      <c r="I433" s="17">
        <v>2.65</v>
      </c>
      <c r="J433" s="26">
        <f>ROUND(F433*H433*I433,3)</f>
        <v>2.3849999999999998</v>
      </c>
      <c r="K433" s="29">
        <f>SUM(J431:J433)</f>
        <v>30.475000000000001</v>
      </c>
      <c r="L433" s="19"/>
      <c r="M433" s="19"/>
    </row>
    <row r="434" spans="1:13" ht="15.4" customHeight="1" thickBot="1" x14ac:dyDescent="0.25">
      <c r="A434" s="10" t="s">
        <v>1032</v>
      </c>
      <c r="B434" s="5" t="s">
        <v>1033</v>
      </c>
      <c r="C434" s="5" t="s">
        <v>1034</v>
      </c>
      <c r="D434" s="45" t="s">
        <v>1035</v>
      </c>
      <c r="E434" s="45"/>
      <c r="F434" s="45"/>
      <c r="G434" s="45"/>
      <c r="H434" s="45"/>
      <c r="I434" s="45"/>
      <c r="J434" s="45"/>
      <c r="K434" s="17">
        <f>SUM(K437:K442)</f>
        <v>308.58</v>
      </c>
      <c r="L434" s="18">
        <f>ROUND(47.16*(1+M2/100),2)</f>
        <v>48.57</v>
      </c>
      <c r="M434" s="18">
        <f>ROUND(K434*L434,2)</f>
        <v>14987.73</v>
      </c>
    </row>
    <row r="435" spans="1:13" ht="85.7" customHeight="1" thickBot="1" x14ac:dyDescent="0.25">
      <c r="A435" s="19"/>
      <c r="B435" s="19"/>
      <c r="C435" s="19"/>
      <c r="D435" s="45" t="s">
        <v>1036</v>
      </c>
      <c r="E435" s="45"/>
      <c r="F435" s="45"/>
      <c r="G435" s="45"/>
      <c r="H435" s="45"/>
      <c r="I435" s="45"/>
      <c r="J435" s="45"/>
      <c r="K435" s="45"/>
      <c r="L435" s="45"/>
      <c r="M435" s="45"/>
    </row>
    <row r="436" spans="1:13" ht="15" customHeight="1" thickBot="1" x14ac:dyDescent="0.25">
      <c r="A436" s="19"/>
      <c r="B436" s="19"/>
      <c r="C436" s="19"/>
      <c r="D436" s="19"/>
      <c r="E436" s="21"/>
      <c r="F436" s="22" t="s">
        <v>1037</v>
      </c>
      <c r="G436" s="22" t="s">
        <v>1038</v>
      </c>
      <c r="H436" s="22" t="s">
        <v>1039</v>
      </c>
      <c r="I436" s="22"/>
      <c r="J436" s="22" t="s">
        <v>1040</v>
      </c>
      <c r="K436" s="22" t="s">
        <v>1041</v>
      </c>
      <c r="L436" s="19"/>
      <c r="M436" s="19"/>
    </row>
    <row r="437" spans="1:13" ht="15" customHeight="1" thickBot="1" x14ac:dyDescent="0.25">
      <c r="A437" s="19"/>
      <c r="B437" s="19"/>
      <c r="C437" s="19"/>
      <c r="D437" s="20" t="s">
        <v>1042</v>
      </c>
      <c r="E437" s="23" t="s">
        <v>1043</v>
      </c>
      <c r="F437" s="24">
        <v>1</v>
      </c>
      <c r="G437" s="25">
        <v>8.2899999999999991</v>
      </c>
      <c r="H437" s="25">
        <v>2.4</v>
      </c>
      <c r="I437" s="25"/>
      <c r="J437" s="27">
        <f t="shared" ref="J437:J442" si="16">ROUND(F437*G437*H437,3)</f>
        <v>19.896000000000001</v>
      </c>
      <c r="K437" s="28"/>
      <c r="L437" s="19"/>
      <c r="M437" s="19"/>
    </row>
    <row r="438" spans="1:13" ht="15" customHeight="1" thickBot="1" x14ac:dyDescent="0.25">
      <c r="A438" s="19"/>
      <c r="B438" s="19"/>
      <c r="C438" s="19"/>
      <c r="D438" s="20" t="s">
        <v>1044</v>
      </c>
      <c r="E438" s="5" t="s">
        <v>1045</v>
      </c>
      <c r="F438" s="3">
        <v>1</v>
      </c>
      <c r="G438" s="17">
        <v>26.1</v>
      </c>
      <c r="H438" s="17">
        <v>2.2000000000000002</v>
      </c>
      <c r="I438" s="17"/>
      <c r="J438" s="26">
        <f t="shared" si="16"/>
        <v>57.42</v>
      </c>
      <c r="K438" s="19"/>
      <c r="L438" s="19"/>
      <c r="M438" s="19"/>
    </row>
    <row r="439" spans="1:13" ht="15" customHeight="1" thickBot="1" x14ac:dyDescent="0.25">
      <c r="A439" s="19"/>
      <c r="B439" s="19"/>
      <c r="C439" s="19"/>
      <c r="D439" s="20" t="s">
        <v>1046</v>
      </c>
      <c r="E439" s="5" t="s">
        <v>1047</v>
      </c>
      <c r="F439" s="3">
        <v>1</v>
      </c>
      <c r="G439" s="17">
        <v>27.86</v>
      </c>
      <c r="H439" s="17">
        <v>2.2000000000000002</v>
      </c>
      <c r="I439" s="17"/>
      <c r="J439" s="26">
        <f t="shared" si="16"/>
        <v>61.292000000000002</v>
      </c>
      <c r="K439" s="19"/>
      <c r="L439" s="19"/>
      <c r="M439" s="19"/>
    </row>
    <row r="440" spans="1:13" ht="15" customHeight="1" thickBot="1" x14ac:dyDescent="0.25">
      <c r="A440" s="19"/>
      <c r="B440" s="19"/>
      <c r="C440" s="19"/>
      <c r="D440" s="20" t="s">
        <v>1048</v>
      </c>
      <c r="E440" s="5" t="s">
        <v>1049</v>
      </c>
      <c r="F440" s="3">
        <v>1</v>
      </c>
      <c r="G440" s="17">
        <v>27.87</v>
      </c>
      <c r="H440" s="17">
        <v>2.2000000000000002</v>
      </c>
      <c r="I440" s="17"/>
      <c r="J440" s="26">
        <f t="shared" si="16"/>
        <v>61.314</v>
      </c>
      <c r="K440" s="19"/>
      <c r="L440" s="19"/>
      <c r="M440" s="19"/>
    </row>
    <row r="441" spans="1:13" ht="15" customHeight="1" thickBot="1" x14ac:dyDescent="0.25">
      <c r="A441" s="19"/>
      <c r="B441" s="19"/>
      <c r="C441" s="19"/>
      <c r="D441" s="20" t="s">
        <v>1050</v>
      </c>
      <c r="E441" s="5" t="s">
        <v>1051</v>
      </c>
      <c r="F441" s="3">
        <v>1</v>
      </c>
      <c r="G441" s="17">
        <v>18.29</v>
      </c>
      <c r="H441" s="17">
        <v>2.2000000000000002</v>
      </c>
      <c r="I441" s="17"/>
      <c r="J441" s="26">
        <f t="shared" si="16"/>
        <v>40.238</v>
      </c>
      <c r="K441" s="19"/>
      <c r="L441" s="19"/>
      <c r="M441" s="19"/>
    </row>
    <row r="442" spans="1:13" ht="15" customHeight="1" thickBot="1" x14ac:dyDescent="0.25">
      <c r="A442" s="19"/>
      <c r="B442" s="19"/>
      <c r="C442" s="19"/>
      <c r="D442" s="20" t="s">
        <v>1052</v>
      </c>
      <c r="E442" s="5" t="s">
        <v>1053</v>
      </c>
      <c r="F442" s="3">
        <v>1</v>
      </c>
      <c r="G442" s="17">
        <v>31.1</v>
      </c>
      <c r="H442" s="17">
        <v>2.2000000000000002</v>
      </c>
      <c r="I442" s="17"/>
      <c r="J442" s="26">
        <f t="shared" si="16"/>
        <v>68.42</v>
      </c>
      <c r="K442" s="29">
        <f>SUM(J437:J442)</f>
        <v>308.58</v>
      </c>
      <c r="L442" s="19"/>
      <c r="M442" s="19"/>
    </row>
    <row r="443" spans="1:13" ht="15.4" customHeight="1" thickBot="1" x14ac:dyDescent="0.25">
      <c r="A443" s="31"/>
      <c r="B443" s="31"/>
      <c r="C443" s="31"/>
      <c r="D443" s="32" t="s">
        <v>1054</v>
      </c>
      <c r="E443" s="33"/>
      <c r="F443" s="33"/>
      <c r="G443" s="33"/>
      <c r="H443" s="33"/>
      <c r="I443" s="33"/>
      <c r="J443" s="33"/>
      <c r="K443" s="33"/>
      <c r="L443" s="34">
        <f>M386+M418+M428+M434</f>
        <v>39110.92</v>
      </c>
      <c r="M443" s="34">
        <f>ROUND(L443,2)</f>
        <v>39110.92</v>
      </c>
    </row>
    <row r="444" spans="1:13" ht="15.4" customHeight="1" thickBot="1" x14ac:dyDescent="0.25">
      <c r="A444" s="35" t="s">
        <v>1055</v>
      </c>
      <c r="B444" s="35" t="s">
        <v>1056</v>
      </c>
      <c r="C444" s="36"/>
      <c r="D444" s="46" t="s">
        <v>1057</v>
      </c>
      <c r="E444" s="46"/>
      <c r="F444" s="46"/>
      <c r="G444" s="46"/>
      <c r="H444" s="46"/>
      <c r="I444" s="46"/>
      <c r="J444" s="46"/>
      <c r="K444" s="36"/>
      <c r="L444" s="37">
        <f>L463</f>
        <v>1957.73</v>
      </c>
      <c r="M444" s="37">
        <f>ROUND(L444,2)</f>
        <v>1957.73</v>
      </c>
    </row>
    <row r="445" spans="1:13" ht="15.4" customHeight="1" thickBot="1" x14ac:dyDescent="0.25">
      <c r="A445" s="10" t="s">
        <v>1058</v>
      </c>
      <c r="B445" s="5" t="s">
        <v>1059</v>
      </c>
      <c r="C445" s="5" t="s">
        <v>1060</v>
      </c>
      <c r="D445" s="45" t="s">
        <v>1061</v>
      </c>
      <c r="E445" s="45"/>
      <c r="F445" s="45"/>
      <c r="G445" s="45"/>
      <c r="H445" s="45"/>
      <c r="I445" s="45"/>
      <c r="J445" s="45"/>
      <c r="K445" s="17">
        <f>ROUND(1,2)</f>
        <v>1</v>
      </c>
      <c r="L445" s="18">
        <f>ROUND(432.81*(1+M2/100),2)</f>
        <v>445.79</v>
      </c>
      <c r="M445" s="18">
        <f>ROUND(K445*L445,2)</f>
        <v>445.79</v>
      </c>
    </row>
    <row r="446" spans="1:13" ht="67.150000000000006" customHeight="1" thickBot="1" x14ac:dyDescent="0.25">
      <c r="A446" s="19"/>
      <c r="B446" s="19"/>
      <c r="C446" s="19"/>
      <c r="D446" s="45" t="s">
        <v>1062</v>
      </c>
      <c r="E446" s="45"/>
      <c r="F446" s="45"/>
      <c r="G446" s="45"/>
      <c r="H446" s="45"/>
      <c r="I446" s="45"/>
      <c r="J446" s="45"/>
      <c r="K446" s="45"/>
      <c r="L446" s="45"/>
      <c r="M446" s="45"/>
    </row>
    <row r="447" spans="1:13" ht="15.4" customHeight="1" thickBot="1" x14ac:dyDescent="0.25">
      <c r="A447" s="10" t="s">
        <v>1063</v>
      </c>
      <c r="B447" s="5" t="s">
        <v>1064</v>
      </c>
      <c r="C447" s="5" t="s">
        <v>1065</v>
      </c>
      <c r="D447" s="45" t="s">
        <v>1066</v>
      </c>
      <c r="E447" s="45"/>
      <c r="F447" s="45"/>
      <c r="G447" s="45"/>
      <c r="H447" s="45"/>
      <c r="I447" s="45"/>
      <c r="J447" s="45"/>
      <c r="K447" s="17">
        <f>ROUND(1,2)</f>
        <v>1</v>
      </c>
      <c r="L447" s="18">
        <f>ROUND(793.74*(1+M2/100),2)</f>
        <v>817.55</v>
      </c>
      <c r="M447" s="18">
        <f>ROUND(K447*L447,2)</f>
        <v>817.55</v>
      </c>
    </row>
    <row r="448" spans="1:13" ht="67.150000000000006" customHeight="1" thickBot="1" x14ac:dyDescent="0.25">
      <c r="A448" s="19"/>
      <c r="B448" s="19"/>
      <c r="C448" s="19"/>
      <c r="D448" s="45" t="s">
        <v>1067</v>
      </c>
      <c r="E448" s="45"/>
      <c r="F448" s="45"/>
      <c r="G448" s="45"/>
      <c r="H448" s="45"/>
      <c r="I448" s="45"/>
      <c r="J448" s="45"/>
      <c r="K448" s="45"/>
      <c r="L448" s="45"/>
      <c r="M448" s="45"/>
    </row>
    <row r="449" spans="1:13" ht="15.4" customHeight="1" thickBot="1" x14ac:dyDescent="0.25">
      <c r="A449" s="10" t="s">
        <v>1068</v>
      </c>
      <c r="B449" s="5" t="s">
        <v>1069</v>
      </c>
      <c r="C449" s="5" t="s">
        <v>1070</v>
      </c>
      <c r="D449" s="45" t="s">
        <v>1071</v>
      </c>
      <c r="E449" s="45"/>
      <c r="F449" s="45"/>
      <c r="G449" s="45"/>
      <c r="H449" s="45"/>
      <c r="I449" s="45"/>
      <c r="J449" s="45"/>
      <c r="K449" s="17">
        <f>ROUND(2,2)</f>
        <v>2</v>
      </c>
      <c r="L449" s="18">
        <f>ROUND(152.69*(1+M2/100),2)</f>
        <v>157.27000000000001</v>
      </c>
      <c r="M449" s="18">
        <f>ROUND(K449*L449,2)</f>
        <v>314.54000000000002</v>
      </c>
    </row>
    <row r="450" spans="1:13" ht="48.75" customHeight="1" thickBot="1" x14ac:dyDescent="0.25">
      <c r="A450" s="19"/>
      <c r="B450" s="19"/>
      <c r="C450" s="19"/>
      <c r="D450" s="45" t="s">
        <v>1072</v>
      </c>
      <c r="E450" s="45"/>
      <c r="F450" s="45"/>
      <c r="G450" s="45"/>
      <c r="H450" s="45"/>
      <c r="I450" s="45"/>
      <c r="J450" s="45"/>
      <c r="K450" s="45"/>
      <c r="L450" s="45"/>
      <c r="M450" s="45"/>
    </row>
    <row r="451" spans="1:13" ht="15.4" customHeight="1" thickBot="1" x14ac:dyDescent="0.25">
      <c r="A451" s="10" t="s">
        <v>1073</v>
      </c>
      <c r="B451" s="5" t="s">
        <v>1074</v>
      </c>
      <c r="C451" s="5" t="s">
        <v>1075</v>
      </c>
      <c r="D451" s="45" t="s">
        <v>1076</v>
      </c>
      <c r="E451" s="45"/>
      <c r="F451" s="45"/>
      <c r="G451" s="45"/>
      <c r="H451" s="45"/>
      <c r="I451" s="45"/>
      <c r="J451" s="45"/>
      <c r="K451" s="17">
        <f>ROUND(1,2)</f>
        <v>1</v>
      </c>
      <c r="L451" s="18">
        <f>ROUND(21.09*(1+M2/100),2)</f>
        <v>21.72</v>
      </c>
      <c r="M451" s="18">
        <f>ROUND(K451*L451,2)</f>
        <v>21.72</v>
      </c>
    </row>
    <row r="452" spans="1:13" ht="48.75" customHeight="1" thickBot="1" x14ac:dyDescent="0.25">
      <c r="A452" s="19"/>
      <c r="B452" s="19"/>
      <c r="C452" s="19"/>
      <c r="D452" s="45" t="s">
        <v>1077</v>
      </c>
      <c r="E452" s="45"/>
      <c r="F452" s="45"/>
      <c r="G452" s="45"/>
      <c r="H452" s="45"/>
      <c r="I452" s="45"/>
      <c r="J452" s="45"/>
      <c r="K452" s="45"/>
      <c r="L452" s="45"/>
      <c r="M452" s="45"/>
    </row>
    <row r="453" spans="1:13" ht="15.4" customHeight="1" thickBot="1" x14ac:dyDescent="0.25">
      <c r="A453" s="10" t="s">
        <v>1078</v>
      </c>
      <c r="B453" s="5" t="s">
        <v>1079</v>
      </c>
      <c r="C453" s="5" t="s">
        <v>1080</v>
      </c>
      <c r="D453" s="45" t="s">
        <v>1081</v>
      </c>
      <c r="E453" s="45"/>
      <c r="F453" s="45"/>
      <c r="G453" s="45"/>
      <c r="H453" s="45"/>
      <c r="I453" s="45"/>
      <c r="J453" s="45"/>
      <c r="K453" s="17">
        <f>ROUND(1,2)</f>
        <v>1</v>
      </c>
      <c r="L453" s="18">
        <f>ROUND(27.55*(1+M2/100),2)</f>
        <v>28.38</v>
      </c>
      <c r="M453" s="18">
        <f>ROUND(K453*L453,2)</f>
        <v>28.38</v>
      </c>
    </row>
    <row r="454" spans="1:13" ht="39.6" customHeight="1" thickBot="1" x14ac:dyDescent="0.25">
      <c r="A454" s="19"/>
      <c r="B454" s="19"/>
      <c r="C454" s="19"/>
      <c r="D454" s="45" t="s">
        <v>1082</v>
      </c>
      <c r="E454" s="45"/>
      <c r="F454" s="45"/>
      <c r="G454" s="45"/>
      <c r="H454" s="45"/>
      <c r="I454" s="45"/>
      <c r="J454" s="45"/>
      <c r="K454" s="45"/>
      <c r="L454" s="45"/>
      <c r="M454" s="45"/>
    </row>
    <row r="455" spans="1:13" ht="15.4" customHeight="1" thickBot="1" x14ac:dyDescent="0.25">
      <c r="A455" s="10" t="s">
        <v>1083</v>
      </c>
      <c r="B455" s="5" t="s">
        <v>1084</v>
      </c>
      <c r="C455" s="5" t="s">
        <v>1085</v>
      </c>
      <c r="D455" s="45" t="s">
        <v>1086</v>
      </c>
      <c r="E455" s="45"/>
      <c r="F455" s="45"/>
      <c r="G455" s="45"/>
      <c r="H455" s="45"/>
      <c r="I455" s="45"/>
      <c r="J455" s="45"/>
      <c r="K455" s="17">
        <f>ROUND(1,2)</f>
        <v>1</v>
      </c>
      <c r="L455" s="18">
        <f>ROUND(191.33*(1+M2/100),2)</f>
        <v>197.07</v>
      </c>
      <c r="M455" s="18">
        <f>ROUND(K455*L455,2)</f>
        <v>197.07</v>
      </c>
    </row>
    <row r="456" spans="1:13" ht="48.75" customHeight="1" thickBot="1" x14ac:dyDescent="0.25">
      <c r="A456" s="19"/>
      <c r="B456" s="19"/>
      <c r="C456" s="19"/>
      <c r="D456" s="45" t="s">
        <v>1087</v>
      </c>
      <c r="E456" s="45"/>
      <c r="F456" s="45"/>
      <c r="G456" s="45"/>
      <c r="H456" s="45"/>
      <c r="I456" s="45"/>
      <c r="J456" s="45"/>
      <c r="K456" s="45"/>
      <c r="L456" s="45"/>
      <c r="M456" s="45"/>
    </row>
    <row r="457" spans="1:13" ht="15.4" customHeight="1" thickBot="1" x14ac:dyDescent="0.25">
      <c r="A457" s="10" t="s">
        <v>1088</v>
      </c>
      <c r="B457" s="5" t="s">
        <v>1089</v>
      </c>
      <c r="C457" s="5" t="s">
        <v>1090</v>
      </c>
      <c r="D457" s="45" t="s">
        <v>1091</v>
      </c>
      <c r="E457" s="45"/>
      <c r="F457" s="45"/>
      <c r="G457" s="45"/>
      <c r="H457" s="45"/>
      <c r="I457" s="45"/>
      <c r="J457" s="45"/>
      <c r="K457" s="17">
        <f>ROUND(1,2)</f>
        <v>1</v>
      </c>
      <c r="L457" s="18">
        <f>ROUND(46.41*(1+M2/100),2)</f>
        <v>47.8</v>
      </c>
      <c r="M457" s="18">
        <f>ROUND(K457*L457,2)</f>
        <v>47.8</v>
      </c>
    </row>
    <row r="458" spans="1:13" ht="48.75" customHeight="1" thickBot="1" x14ac:dyDescent="0.25">
      <c r="A458" s="19"/>
      <c r="B458" s="19"/>
      <c r="C458" s="19"/>
      <c r="D458" s="45" t="s">
        <v>1092</v>
      </c>
      <c r="E458" s="45"/>
      <c r="F458" s="45"/>
      <c r="G458" s="45"/>
      <c r="H458" s="45"/>
      <c r="I458" s="45"/>
      <c r="J458" s="45"/>
      <c r="K458" s="45"/>
      <c r="L458" s="45"/>
      <c r="M458" s="45"/>
    </row>
    <row r="459" spans="1:13" ht="15.4" customHeight="1" thickBot="1" x14ac:dyDescent="0.25">
      <c r="A459" s="10" t="s">
        <v>1093</v>
      </c>
      <c r="B459" s="5" t="s">
        <v>1094</v>
      </c>
      <c r="C459" s="5" t="s">
        <v>1095</v>
      </c>
      <c r="D459" s="45" t="s">
        <v>1096</v>
      </c>
      <c r="E459" s="45"/>
      <c r="F459" s="45"/>
      <c r="G459" s="45"/>
      <c r="H459" s="45"/>
      <c r="I459" s="45"/>
      <c r="J459" s="45"/>
      <c r="K459" s="17">
        <f>ROUND(1,2)</f>
        <v>1</v>
      </c>
      <c r="L459" s="18">
        <f>ROUND(41.66*(1+M2/100),2)</f>
        <v>42.91</v>
      </c>
      <c r="M459" s="18">
        <f>ROUND(K459*L459,2)</f>
        <v>42.91</v>
      </c>
    </row>
    <row r="460" spans="1:13" ht="30.4" customHeight="1" thickBot="1" x14ac:dyDescent="0.25">
      <c r="A460" s="19"/>
      <c r="B460" s="19"/>
      <c r="C460" s="19"/>
      <c r="D460" s="45" t="s">
        <v>1097</v>
      </c>
      <c r="E460" s="45"/>
      <c r="F460" s="45"/>
      <c r="G460" s="45"/>
      <c r="H460" s="45"/>
      <c r="I460" s="45"/>
      <c r="J460" s="45"/>
      <c r="K460" s="45"/>
      <c r="L460" s="45"/>
      <c r="M460" s="45"/>
    </row>
    <row r="461" spans="1:13" ht="15.4" customHeight="1" thickBot="1" x14ac:dyDescent="0.25">
      <c r="A461" s="10" t="s">
        <v>1098</v>
      </c>
      <c r="B461" s="5" t="s">
        <v>1099</v>
      </c>
      <c r="C461" s="5" t="s">
        <v>1100</v>
      </c>
      <c r="D461" s="45" t="s">
        <v>1101</v>
      </c>
      <c r="E461" s="45"/>
      <c r="F461" s="45"/>
      <c r="G461" s="45"/>
      <c r="H461" s="45"/>
      <c r="I461" s="45"/>
      <c r="J461" s="45"/>
      <c r="K461" s="17">
        <f>ROUND(1,2)</f>
        <v>1</v>
      </c>
      <c r="L461" s="18">
        <f>ROUND(40.75*(1+M2/100),2)</f>
        <v>41.97</v>
      </c>
      <c r="M461" s="18">
        <f>ROUND(K461*L461,2)</f>
        <v>41.97</v>
      </c>
    </row>
    <row r="462" spans="1:13" ht="39.6" customHeight="1" thickBot="1" x14ac:dyDescent="0.25">
      <c r="A462" s="19"/>
      <c r="B462" s="19"/>
      <c r="C462" s="19"/>
      <c r="D462" s="45" t="s">
        <v>1102</v>
      </c>
      <c r="E462" s="45"/>
      <c r="F462" s="45"/>
      <c r="G462" s="45"/>
      <c r="H462" s="45"/>
      <c r="I462" s="45"/>
      <c r="J462" s="45"/>
      <c r="K462" s="45"/>
      <c r="L462" s="45"/>
      <c r="M462" s="45"/>
    </row>
    <row r="463" spans="1:13" ht="15.4" customHeight="1" thickBot="1" x14ac:dyDescent="0.25">
      <c r="A463" s="31"/>
      <c r="B463" s="31"/>
      <c r="C463" s="31"/>
      <c r="D463" s="32" t="s">
        <v>1103</v>
      </c>
      <c r="E463" s="33"/>
      <c r="F463" s="33"/>
      <c r="G463" s="33"/>
      <c r="H463" s="33"/>
      <c r="I463" s="33"/>
      <c r="J463" s="33"/>
      <c r="K463" s="33"/>
      <c r="L463" s="34">
        <f>M445+M447+M449+M451+M453+M455+M457+M459+M461</f>
        <v>1957.73</v>
      </c>
      <c r="M463" s="34">
        <f>ROUND(L463,2)</f>
        <v>1957.73</v>
      </c>
    </row>
    <row r="464" spans="1:13" ht="15.4" customHeight="1" thickBot="1" x14ac:dyDescent="0.25">
      <c r="A464" s="35" t="s">
        <v>1104</v>
      </c>
      <c r="B464" s="35" t="s">
        <v>1105</v>
      </c>
      <c r="C464" s="36"/>
      <c r="D464" s="46" t="s">
        <v>1106</v>
      </c>
      <c r="E464" s="46"/>
      <c r="F464" s="46"/>
      <c r="G464" s="46"/>
      <c r="H464" s="46"/>
      <c r="I464" s="46"/>
      <c r="J464" s="46"/>
      <c r="K464" s="36"/>
      <c r="L464" s="37">
        <f>L469</f>
        <v>4945</v>
      </c>
      <c r="M464" s="37">
        <f>ROUND(L464,2)</f>
        <v>4945</v>
      </c>
    </row>
    <row r="465" spans="1:13" ht="15.4" customHeight="1" thickBot="1" x14ac:dyDescent="0.25">
      <c r="A465" s="10" t="s">
        <v>1107</v>
      </c>
      <c r="B465" s="5" t="s">
        <v>1108</v>
      </c>
      <c r="C465" s="5" t="s">
        <v>1109</v>
      </c>
      <c r="D465" s="45" t="s">
        <v>1110</v>
      </c>
      <c r="E465" s="45"/>
      <c r="F465" s="45"/>
      <c r="G465" s="45"/>
      <c r="H465" s="45"/>
      <c r="I465" s="45"/>
      <c r="J465" s="45"/>
      <c r="K465" s="17">
        <f>ROUND(1,2)</f>
        <v>1</v>
      </c>
      <c r="L465" s="18">
        <f>ROUND(2791.262*(1+M2/100),2)</f>
        <v>2875</v>
      </c>
      <c r="M465" s="18">
        <f>ROUND(K465*L465,2)</f>
        <v>2875</v>
      </c>
    </row>
    <row r="466" spans="1:13" ht="67.150000000000006" customHeight="1" thickBot="1" x14ac:dyDescent="0.25">
      <c r="A466" s="19"/>
      <c r="B466" s="19"/>
      <c r="C466" s="19"/>
      <c r="D466" s="45" t="s">
        <v>1111</v>
      </c>
      <c r="E466" s="45"/>
      <c r="F466" s="45"/>
      <c r="G466" s="45"/>
      <c r="H466" s="45"/>
      <c r="I466" s="45"/>
      <c r="J466" s="45"/>
      <c r="K466" s="45"/>
      <c r="L466" s="45"/>
      <c r="M466" s="45"/>
    </row>
    <row r="467" spans="1:13" ht="15.4" customHeight="1" thickBot="1" x14ac:dyDescent="0.25">
      <c r="A467" s="10" t="s">
        <v>1112</v>
      </c>
      <c r="B467" s="5" t="s">
        <v>1113</v>
      </c>
      <c r="C467" s="5" t="s">
        <v>1114</v>
      </c>
      <c r="D467" s="45" t="s">
        <v>1115</v>
      </c>
      <c r="E467" s="45"/>
      <c r="F467" s="45"/>
      <c r="G467" s="45"/>
      <c r="H467" s="45"/>
      <c r="I467" s="45"/>
      <c r="J467" s="45"/>
      <c r="K467" s="17">
        <f>ROUND(1,2)</f>
        <v>1</v>
      </c>
      <c r="L467" s="18">
        <f>ROUND(2009.71*(1+M2/100),2)</f>
        <v>2070</v>
      </c>
      <c r="M467" s="18">
        <f>ROUND(K467*L467,2)</f>
        <v>2070</v>
      </c>
    </row>
    <row r="468" spans="1:13" ht="67.150000000000006" customHeight="1" thickBot="1" x14ac:dyDescent="0.25">
      <c r="A468" s="19"/>
      <c r="B468" s="19"/>
      <c r="C468" s="19"/>
      <c r="D468" s="45" t="s">
        <v>1116</v>
      </c>
      <c r="E468" s="45"/>
      <c r="F468" s="45"/>
      <c r="G468" s="45"/>
      <c r="H468" s="45"/>
      <c r="I468" s="45"/>
      <c r="J468" s="45"/>
      <c r="K468" s="45"/>
      <c r="L468" s="45"/>
      <c r="M468" s="45"/>
    </row>
    <row r="469" spans="1:13" ht="15.4" customHeight="1" thickBot="1" x14ac:dyDescent="0.25">
      <c r="A469" s="31"/>
      <c r="B469" s="31"/>
      <c r="C469" s="31"/>
      <c r="D469" s="32" t="s">
        <v>1117</v>
      </c>
      <c r="E469" s="33"/>
      <c r="F469" s="33"/>
      <c r="G469" s="33"/>
      <c r="H469" s="33"/>
      <c r="I469" s="33"/>
      <c r="J469" s="33"/>
      <c r="K469" s="33"/>
      <c r="L469" s="34">
        <f>M465+M467</f>
        <v>4945</v>
      </c>
      <c r="M469" s="34">
        <f>ROUND(L469,2)</f>
        <v>4945</v>
      </c>
    </row>
    <row r="470" spans="1:13" ht="15.4" customHeight="1" thickBot="1" x14ac:dyDescent="0.25">
      <c r="A470" s="35" t="s">
        <v>1118</v>
      </c>
      <c r="B470" s="35" t="s">
        <v>1119</v>
      </c>
      <c r="C470" s="36"/>
      <c r="D470" s="46" t="s">
        <v>1120</v>
      </c>
      <c r="E470" s="46"/>
      <c r="F470" s="46"/>
      <c r="G470" s="46"/>
      <c r="H470" s="46"/>
      <c r="I470" s="46"/>
      <c r="J470" s="46"/>
      <c r="K470" s="36"/>
      <c r="L470" s="37">
        <f>L473</f>
        <v>5700</v>
      </c>
      <c r="M470" s="37">
        <f>ROUND(L470,2)</f>
        <v>5700</v>
      </c>
    </row>
    <row r="471" spans="1:13" ht="21.2" customHeight="1" thickBot="1" x14ac:dyDescent="0.25">
      <c r="A471" s="10" t="s">
        <v>1121</v>
      </c>
      <c r="B471" s="5" t="s">
        <v>1122</v>
      </c>
      <c r="C471" s="5" t="s">
        <v>1123</v>
      </c>
      <c r="D471" s="45" t="s">
        <v>1124</v>
      </c>
      <c r="E471" s="45"/>
      <c r="F471" s="45"/>
      <c r="G471" s="45"/>
      <c r="H471" s="45"/>
      <c r="I471" s="45"/>
      <c r="J471" s="45"/>
      <c r="K471" s="17">
        <f>ROUND(1,2)</f>
        <v>1</v>
      </c>
      <c r="L471" s="18">
        <f>ROUND(5533.981*(1+M2/100),2)</f>
        <v>5700</v>
      </c>
      <c r="M471" s="18">
        <f>ROUND(K471*L471,2)</f>
        <v>5700</v>
      </c>
    </row>
    <row r="472" spans="1:13" ht="21.2" customHeight="1" thickBot="1" x14ac:dyDescent="0.25">
      <c r="A472" s="19"/>
      <c r="B472" s="19"/>
      <c r="C472" s="19"/>
      <c r="D472" s="45" t="s">
        <v>1125</v>
      </c>
      <c r="E472" s="45"/>
      <c r="F472" s="45"/>
      <c r="G472" s="45"/>
      <c r="H472" s="45"/>
      <c r="I472" s="45"/>
      <c r="J472" s="45"/>
      <c r="K472" s="45"/>
      <c r="L472" s="45"/>
      <c r="M472" s="45"/>
    </row>
    <row r="473" spans="1:13" ht="15.4" customHeight="1" thickBot="1" x14ac:dyDescent="0.25">
      <c r="A473" s="31"/>
      <c r="B473" s="31"/>
      <c r="C473" s="31"/>
      <c r="D473" s="32" t="s">
        <v>1126</v>
      </c>
      <c r="E473" s="33"/>
      <c r="F473" s="33"/>
      <c r="G473" s="33"/>
      <c r="H473" s="33"/>
      <c r="I473" s="33"/>
      <c r="J473" s="33"/>
      <c r="K473" s="33"/>
      <c r="L473" s="34">
        <f>M471</f>
        <v>5700</v>
      </c>
      <c r="M473" s="34">
        <f>ROUND(L473,2)</f>
        <v>5700</v>
      </c>
    </row>
    <row r="474" spans="1:13" ht="15.4" customHeight="1" thickBot="1" x14ac:dyDescent="0.25">
      <c r="A474" s="35" t="s">
        <v>1127</v>
      </c>
      <c r="B474" s="35" t="s">
        <v>1128</v>
      </c>
      <c r="C474" s="36"/>
      <c r="D474" s="46" t="s">
        <v>1129</v>
      </c>
      <c r="E474" s="46"/>
      <c r="F474" s="46"/>
      <c r="G474" s="46"/>
      <c r="H474" s="46"/>
      <c r="I474" s="46"/>
      <c r="J474" s="46"/>
      <c r="K474" s="36"/>
      <c r="L474" s="37">
        <f>L565</f>
        <v>38215.969999999994</v>
      </c>
      <c r="M474" s="37">
        <f>ROUND(L474,2)</f>
        <v>38215.97</v>
      </c>
    </row>
    <row r="475" spans="1:13" ht="15.4" customHeight="1" thickBot="1" x14ac:dyDescent="0.25">
      <c r="A475" s="10" t="s">
        <v>1130</v>
      </c>
      <c r="B475" s="5" t="s">
        <v>1131</v>
      </c>
      <c r="C475" s="5" t="s">
        <v>1132</v>
      </c>
      <c r="D475" s="45" t="s">
        <v>1133</v>
      </c>
      <c r="E475" s="45"/>
      <c r="F475" s="45"/>
      <c r="G475" s="45"/>
      <c r="H475" s="45"/>
      <c r="I475" s="45"/>
      <c r="J475" s="45"/>
      <c r="K475" s="17">
        <f>SUM(K478:K478)</f>
        <v>22.6</v>
      </c>
      <c r="L475" s="18">
        <f>ROUND(19.32*(1+M2/100),2)</f>
        <v>19.899999999999999</v>
      </c>
      <c r="M475" s="18">
        <f>ROUND(K475*L475,2)</f>
        <v>449.74</v>
      </c>
    </row>
    <row r="476" spans="1:13" ht="57.95" customHeight="1" thickBot="1" x14ac:dyDescent="0.25">
      <c r="A476" s="19"/>
      <c r="B476" s="19"/>
      <c r="C476" s="19"/>
      <c r="D476" s="45" t="s">
        <v>1134</v>
      </c>
      <c r="E476" s="45"/>
      <c r="F476" s="45"/>
      <c r="G476" s="45"/>
      <c r="H476" s="45"/>
      <c r="I476" s="45"/>
      <c r="J476" s="45"/>
      <c r="K476" s="45"/>
      <c r="L476" s="45"/>
      <c r="M476" s="45"/>
    </row>
    <row r="477" spans="1:13" ht="15" customHeight="1" thickBot="1" x14ac:dyDescent="0.25">
      <c r="A477" s="19"/>
      <c r="B477" s="19"/>
      <c r="C477" s="19"/>
      <c r="D477" s="19"/>
      <c r="E477" s="21"/>
      <c r="F477" s="22" t="s">
        <v>1135</v>
      </c>
      <c r="G477" s="22" t="s">
        <v>1136</v>
      </c>
      <c r="H477" s="22"/>
      <c r="I477" s="22"/>
      <c r="J477" s="22" t="s">
        <v>1137</v>
      </c>
      <c r="K477" s="22" t="s">
        <v>1138</v>
      </c>
      <c r="L477" s="19"/>
      <c r="M477" s="19"/>
    </row>
    <row r="478" spans="1:13" ht="15" customHeight="1" thickBot="1" x14ac:dyDescent="0.25">
      <c r="A478" s="19"/>
      <c r="B478" s="19"/>
      <c r="C478" s="19"/>
      <c r="D478" s="20" t="s">
        <v>1139</v>
      </c>
      <c r="E478" s="23"/>
      <c r="F478" s="24">
        <v>1</v>
      </c>
      <c r="G478" s="25">
        <v>22.6</v>
      </c>
      <c r="H478" s="25"/>
      <c r="I478" s="25"/>
      <c r="J478" s="27">
        <f>ROUND(F478*G478,3)</f>
        <v>22.6</v>
      </c>
      <c r="K478" s="30">
        <f>SUM(J478:J478)</f>
        <v>22.6</v>
      </c>
      <c r="L478" s="19"/>
      <c r="M478" s="19"/>
    </row>
    <row r="479" spans="1:13" ht="15.4" customHeight="1" thickBot="1" x14ac:dyDescent="0.25">
      <c r="A479" s="10" t="s">
        <v>1140</v>
      </c>
      <c r="B479" s="5" t="s">
        <v>1141</v>
      </c>
      <c r="C479" s="5" t="s">
        <v>1142</v>
      </c>
      <c r="D479" s="45" t="s">
        <v>1143</v>
      </c>
      <c r="E479" s="45"/>
      <c r="F479" s="45"/>
      <c r="G479" s="45"/>
      <c r="H479" s="45"/>
      <c r="I479" s="45"/>
      <c r="J479" s="45"/>
      <c r="K479" s="17">
        <f>SUM(K482:K484)</f>
        <v>48.269999999999996</v>
      </c>
      <c r="L479" s="18">
        <f>ROUND(18.93*(1+M2/100),2)</f>
        <v>19.5</v>
      </c>
      <c r="M479" s="18">
        <f>ROUND(K479*L479,2)</f>
        <v>941.27</v>
      </c>
    </row>
    <row r="480" spans="1:13" ht="57.95" customHeight="1" thickBot="1" x14ac:dyDescent="0.25">
      <c r="A480" s="19"/>
      <c r="B480" s="19"/>
      <c r="C480" s="19"/>
      <c r="D480" s="45" t="s">
        <v>1144</v>
      </c>
      <c r="E480" s="45"/>
      <c r="F480" s="45"/>
      <c r="G480" s="45"/>
      <c r="H480" s="45"/>
      <c r="I480" s="45"/>
      <c r="J480" s="45"/>
      <c r="K480" s="45"/>
      <c r="L480" s="45"/>
      <c r="M480" s="45"/>
    </row>
    <row r="481" spans="1:13" ht="15" customHeight="1" thickBot="1" x14ac:dyDescent="0.25">
      <c r="A481" s="19"/>
      <c r="B481" s="19"/>
      <c r="C481" s="19"/>
      <c r="D481" s="19"/>
      <c r="E481" s="21"/>
      <c r="F481" s="22" t="s">
        <v>1145</v>
      </c>
      <c r="G481" s="22" t="s">
        <v>1146</v>
      </c>
      <c r="H481" s="22" t="s">
        <v>1147</v>
      </c>
      <c r="I481" s="22" t="s">
        <v>1148</v>
      </c>
      <c r="J481" s="22" t="s">
        <v>1149</v>
      </c>
      <c r="K481" s="22" t="s">
        <v>1150</v>
      </c>
      <c r="L481" s="19"/>
      <c r="M481" s="19"/>
    </row>
    <row r="482" spans="1:13" ht="21.2" customHeight="1" thickBot="1" x14ac:dyDescent="0.25">
      <c r="A482" s="19"/>
      <c r="B482" s="19"/>
      <c r="C482" s="19"/>
      <c r="D482" s="20"/>
      <c r="E482" s="23" t="s">
        <v>1151</v>
      </c>
      <c r="F482" s="24">
        <v>1</v>
      </c>
      <c r="G482" s="25"/>
      <c r="H482" s="25">
        <v>2.1</v>
      </c>
      <c r="I482" s="25">
        <v>8.3000000000000007</v>
      </c>
      <c r="J482" s="27">
        <f>ROUND(F482*H482*I482,3)</f>
        <v>17.43</v>
      </c>
      <c r="K482" s="28"/>
      <c r="L482" s="19"/>
      <c r="M482" s="19"/>
    </row>
    <row r="483" spans="1:13" ht="15" customHeight="1" thickBot="1" x14ac:dyDescent="0.25">
      <c r="A483" s="19"/>
      <c r="B483" s="19"/>
      <c r="C483" s="19"/>
      <c r="D483" s="20"/>
      <c r="E483" s="5"/>
      <c r="F483" s="3">
        <v>1</v>
      </c>
      <c r="G483" s="17"/>
      <c r="H483" s="17">
        <v>3</v>
      </c>
      <c r="I483" s="17">
        <v>2.9</v>
      </c>
      <c r="J483" s="26">
        <f>ROUND(F483*H483*I483,3)</f>
        <v>8.6999999999999993</v>
      </c>
      <c r="K483" s="19"/>
      <c r="L483" s="19"/>
      <c r="M483" s="19"/>
    </row>
    <row r="484" spans="1:13" ht="15" customHeight="1" thickBot="1" x14ac:dyDescent="0.25">
      <c r="A484" s="19"/>
      <c r="B484" s="19"/>
      <c r="C484" s="19"/>
      <c r="D484" s="20"/>
      <c r="E484" s="5"/>
      <c r="F484" s="3">
        <v>1</v>
      </c>
      <c r="G484" s="17"/>
      <c r="H484" s="17">
        <v>3</v>
      </c>
      <c r="I484" s="17">
        <v>7.38</v>
      </c>
      <c r="J484" s="26">
        <f>ROUND(F484*H484*I484,3)</f>
        <v>22.14</v>
      </c>
      <c r="K484" s="29">
        <f>SUM(J482:J484)</f>
        <v>48.269999999999996</v>
      </c>
      <c r="L484" s="19"/>
      <c r="M484" s="19"/>
    </row>
    <row r="485" spans="1:13" ht="15.4" customHeight="1" thickBot="1" x14ac:dyDescent="0.25">
      <c r="A485" s="10" t="s">
        <v>1152</v>
      </c>
      <c r="B485" s="5" t="s">
        <v>1153</v>
      </c>
      <c r="C485" s="5" t="s">
        <v>1154</v>
      </c>
      <c r="D485" s="45" t="s">
        <v>1155</v>
      </c>
      <c r="E485" s="45"/>
      <c r="F485" s="45"/>
      <c r="G485" s="45"/>
      <c r="H485" s="45"/>
      <c r="I485" s="45"/>
      <c r="J485" s="45"/>
      <c r="K485" s="17">
        <f>SUM(K488:K490)</f>
        <v>153.20499999999998</v>
      </c>
      <c r="L485" s="18">
        <f>ROUND(10.41*(1+M2/100),2)</f>
        <v>10.72</v>
      </c>
      <c r="M485" s="18">
        <f>ROUND(K485*L485,2)</f>
        <v>1642.36</v>
      </c>
    </row>
    <row r="486" spans="1:13" ht="67.150000000000006" customHeight="1" thickBot="1" x14ac:dyDescent="0.25">
      <c r="A486" s="19"/>
      <c r="B486" s="19"/>
      <c r="C486" s="19"/>
      <c r="D486" s="45" t="s">
        <v>1156</v>
      </c>
      <c r="E486" s="45"/>
      <c r="F486" s="45"/>
      <c r="G486" s="45"/>
      <c r="H486" s="45"/>
      <c r="I486" s="45"/>
      <c r="J486" s="45"/>
      <c r="K486" s="45"/>
      <c r="L486" s="45"/>
      <c r="M486" s="45"/>
    </row>
    <row r="487" spans="1:13" ht="15" customHeight="1" thickBot="1" x14ac:dyDescent="0.25">
      <c r="A487" s="19"/>
      <c r="B487" s="19"/>
      <c r="C487" s="19"/>
      <c r="D487" s="19"/>
      <c r="E487" s="21"/>
      <c r="F487" s="22" t="s">
        <v>1157</v>
      </c>
      <c r="G487" s="22" t="s">
        <v>1158</v>
      </c>
      <c r="H487" s="22" t="s">
        <v>1159</v>
      </c>
      <c r="I487" s="22"/>
      <c r="J487" s="22" t="s">
        <v>1160</v>
      </c>
      <c r="K487" s="22" t="s">
        <v>1161</v>
      </c>
      <c r="L487" s="19"/>
      <c r="M487" s="19"/>
    </row>
    <row r="488" spans="1:13" ht="15" customHeight="1" thickBot="1" x14ac:dyDescent="0.25">
      <c r="A488" s="19"/>
      <c r="B488" s="19"/>
      <c r="C488" s="19"/>
      <c r="D488" s="20"/>
      <c r="E488" s="23" t="s">
        <v>1162</v>
      </c>
      <c r="F488" s="24">
        <v>1</v>
      </c>
      <c r="G488" s="25">
        <v>45.1</v>
      </c>
      <c r="H488" s="25">
        <v>1.8</v>
      </c>
      <c r="I488" s="25"/>
      <c r="J488" s="27">
        <f>ROUND(F488*G488*H488,3)</f>
        <v>81.180000000000007</v>
      </c>
      <c r="K488" s="28"/>
      <c r="L488" s="19"/>
      <c r="M488" s="19"/>
    </row>
    <row r="489" spans="1:13" ht="21.2" customHeight="1" thickBot="1" x14ac:dyDescent="0.25">
      <c r="A489" s="19"/>
      <c r="B489" s="19"/>
      <c r="C489" s="19"/>
      <c r="D489" s="20"/>
      <c r="E489" s="5" t="s">
        <v>1163</v>
      </c>
      <c r="F489" s="3">
        <v>1</v>
      </c>
      <c r="G489" s="17">
        <v>6</v>
      </c>
      <c r="H489" s="17">
        <v>1.72</v>
      </c>
      <c r="I489" s="17"/>
      <c r="J489" s="26">
        <f>ROUND(F489*G489*H489,3)</f>
        <v>10.32</v>
      </c>
      <c r="K489" s="19"/>
      <c r="L489" s="19"/>
      <c r="M489" s="19"/>
    </row>
    <row r="490" spans="1:13" ht="15" customHeight="1" thickBot="1" x14ac:dyDescent="0.25">
      <c r="A490" s="19"/>
      <c r="B490" s="19"/>
      <c r="C490" s="19"/>
      <c r="D490" s="20"/>
      <c r="E490" s="5" t="s">
        <v>1164</v>
      </c>
      <c r="F490" s="3">
        <v>1</v>
      </c>
      <c r="G490" s="17">
        <v>28.7</v>
      </c>
      <c r="H490" s="17">
        <v>2.15</v>
      </c>
      <c r="I490" s="17"/>
      <c r="J490" s="26">
        <f>ROUND(F490*G490*H490,3)</f>
        <v>61.704999999999998</v>
      </c>
      <c r="K490" s="29">
        <f>SUM(J488:J490)</f>
        <v>153.20499999999998</v>
      </c>
      <c r="L490" s="19"/>
      <c r="M490" s="19"/>
    </row>
    <row r="491" spans="1:13" ht="15.4" customHeight="1" thickBot="1" x14ac:dyDescent="0.25">
      <c r="A491" s="10" t="s">
        <v>1165</v>
      </c>
      <c r="B491" s="5" t="s">
        <v>1166</v>
      </c>
      <c r="C491" s="5" t="s">
        <v>1167</v>
      </c>
      <c r="D491" s="45" t="s">
        <v>1168</v>
      </c>
      <c r="E491" s="45"/>
      <c r="F491" s="45"/>
      <c r="G491" s="45"/>
      <c r="H491" s="45"/>
      <c r="I491" s="45"/>
      <c r="J491" s="45"/>
      <c r="K491" s="17">
        <f>SUM(K494:K494)</f>
        <v>67.5</v>
      </c>
      <c r="L491" s="18">
        <f>ROUND(51.4*(1+M2/100),2)</f>
        <v>52.94</v>
      </c>
      <c r="M491" s="18">
        <f>ROUND(K491*L491,2)</f>
        <v>3573.45</v>
      </c>
    </row>
    <row r="492" spans="1:13" ht="48.75" customHeight="1" thickBot="1" x14ac:dyDescent="0.25">
      <c r="A492" s="19"/>
      <c r="B492" s="19"/>
      <c r="C492" s="19"/>
      <c r="D492" s="45" t="s">
        <v>1169</v>
      </c>
      <c r="E492" s="45"/>
      <c r="F492" s="45"/>
      <c r="G492" s="45"/>
      <c r="H492" s="45"/>
      <c r="I492" s="45"/>
      <c r="J492" s="45"/>
      <c r="K492" s="45"/>
      <c r="L492" s="45"/>
      <c r="M492" s="45"/>
    </row>
    <row r="493" spans="1:13" ht="15" customHeight="1" thickBot="1" x14ac:dyDescent="0.25">
      <c r="A493" s="19"/>
      <c r="B493" s="19"/>
      <c r="C493" s="19"/>
      <c r="D493" s="19"/>
      <c r="E493" s="21"/>
      <c r="F493" s="22" t="s">
        <v>1170</v>
      </c>
      <c r="G493" s="22" t="s">
        <v>1171</v>
      </c>
      <c r="H493" s="22" t="s">
        <v>1172</v>
      </c>
      <c r="I493" s="22" t="s">
        <v>1173</v>
      </c>
      <c r="J493" s="22" t="s">
        <v>1174</v>
      </c>
      <c r="K493" s="22" t="s">
        <v>1175</v>
      </c>
      <c r="L493" s="19"/>
      <c r="M493" s="19"/>
    </row>
    <row r="494" spans="1:13" ht="21.2" customHeight="1" thickBot="1" x14ac:dyDescent="0.25">
      <c r="A494" s="19"/>
      <c r="B494" s="19"/>
      <c r="C494" s="19"/>
      <c r="D494" s="20" t="s">
        <v>1176</v>
      </c>
      <c r="E494" s="23" t="s">
        <v>1177</v>
      </c>
      <c r="F494" s="24">
        <v>1.5</v>
      </c>
      <c r="G494" s="25">
        <v>150</v>
      </c>
      <c r="H494" s="25">
        <v>0.3</v>
      </c>
      <c r="I494" s="25">
        <v>1</v>
      </c>
      <c r="J494" s="27">
        <f>ROUND(F494*G494*H494*I494,3)</f>
        <v>67.5</v>
      </c>
      <c r="K494" s="30">
        <f>SUM(J494:J494)</f>
        <v>67.5</v>
      </c>
      <c r="L494" s="19"/>
      <c r="M494" s="19"/>
    </row>
    <row r="495" spans="1:13" ht="15.4" customHeight="1" thickBot="1" x14ac:dyDescent="0.25">
      <c r="A495" s="10" t="s">
        <v>1178</v>
      </c>
      <c r="B495" s="5" t="s">
        <v>1179</v>
      </c>
      <c r="C495" s="5" t="s">
        <v>1180</v>
      </c>
      <c r="D495" s="45" t="s">
        <v>1181</v>
      </c>
      <c r="E495" s="45"/>
      <c r="F495" s="45"/>
      <c r="G495" s="45"/>
      <c r="H495" s="45"/>
      <c r="I495" s="45"/>
      <c r="J495" s="45"/>
      <c r="K495" s="17">
        <f>SUM(K498:K498)</f>
        <v>67.5</v>
      </c>
      <c r="L495" s="18">
        <f>ROUND(3.42*(1+M2/100),2)</f>
        <v>3.52</v>
      </c>
      <c r="M495" s="18">
        <f>ROUND(K495*L495,2)</f>
        <v>237.6</v>
      </c>
    </row>
    <row r="496" spans="1:13" ht="57.95" customHeight="1" thickBot="1" x14ac:dyDescent="0.25">
      <c r="A496" s="19"/>
      <c r="B496" s="19"/>
      <c r="C496" s="19"/>
      <c r="D496" s="45" t="s">
        <v>1182</v>
      </c>
      <c r="E496" s="45"/>
      <c r="F496" s="45"/>
      <c r="G496" s="45"/>
      <c r="H496" s="45"/>
      <c r="I496" s="45"/>
      <c r="J496" s="45"/>
      <c r="K496" s="45"/>
      <c r="L496" s="45"/>
      <c r="M496" s="45"/>
    </row>
    <row r="497" spans="1:13" ht="15" customHeight="1" thickBot="1" x14ac:dyDescent="0.25">
      <c r="A497" s="19"/>
      <c r="B497" s="19"/>
      <c r="C497" s="19"/>
      <c r="D497" s="19"/>
      <c r="E497" s="21"/>
      <c r="F497" s="22" t="s">
        <v>1183</v>
      </c>
      <c r="G497" s="22" t="s">
        <v>1184</v>
      </c>
      <c r="H497" s="22" t="s">
        <v>1185</v>
      </c>
      <c r="I497" s="22" t="s">
        <v>1186</v>
      </c>
      <c r="J497" s="22" t="s">
        <v>1187</v>
      </c>
      <c r="K497" s="22" t="s">
        <v>1188</v>
      </c>
      <c r="L497" s="19"/>
      <c r="M497" s="19"/>
    </row>
    <row r="498" spans="1:13" ht="21.2" customHeight="1" thickBot="1" x14ac:dyDescent="0.25">
      <c r="A498" s="19"/>
      <c r="B498" s="19"/>
      <c r="C498" s="19"/>
      <c r="D498" s="20" t="s">
        <v>1189</v>
      </c>
      <c r="E498" s="23" t="s">
        <v>1190</v>
      </c>
      <c r="F498" s="24">
        <v>1.5</v>
      </c>
      <c r="G498" s="25">
        <v>150</v>
      </c>
      <c r="H498" s="25">
        <v>0.3</v>
      </c>
      <c r="I498" s="25">
        <v>1</v>
      </c>
      <c r="J498" s="27">
        <f>ROUND(F498*G498*H498*I498,3)</f>
        <v>67.5</v>
      </c>
      <c r="K498" s="30">
        <f>SUM(J498:J498)</f>
        <v>67.5</v>
      </c>
      <c r="L498" s="19"/>
      <c r="M498" s="19"/>
    </row>
    <row r="499" spans="1:13" ht="15.4" customHeight="1" thickBot="1" x14ac:dyDescent="0.25">
      <c r="A499" s="10" t="s">
        <v>1191</v>
      </c>
      <c r="B499" s="5" t="s">
        <v>1192</v>
      </c>
      <c r="C499" s="5" t="s">
        <v>1193</v>
      </c>
      <c r="D499" s="45" t="s">
        <v>1194</v>
      </c>
      <c r="E499" s="45"/>
      <c r="F499" s="45"/>
      <c r="G499" s="45"/>
      <c r="H499" s="45"/>
      <c r="I499" s="45"/>
      <c r="J499" s="45"/>
      <c r="K499" s="17">
        <f>SUM(K502:K504)</f>
        <v>14.481000000000002</v>
      </c>
      <c r="L499" s="18">
        <f>ROUND(21.36*(1+M2/100),2)</f>
        <v>22</v>
      </c>
      <c r="M499" s="18">
        <f>ROUND(K499*L499,2)</f>
        <v>318.58</v>
      </c>
    </row>
    <row r="500" spans="1:13" ht="67.150000000000006" customHeight="1" thickBot="1" x14ac:dyDescent="0.25">
      <c r="A500" s="19"/>
      <c r="B500" s="19"/>
      <c r="C500" s="19"/>
      <c r="D500" s="45" t="s">
        <v>1195</v>
      </c>
      <c r="E500" s="45"/>
      <c r="F500" s="45"/>
      <c r="G500" s="45"/>
      <c r="H500" s="45"/>
      <c r="I500" s="45"/>
      <c r="J500" s="45"/>
      <c r="K500" s="45"/>
      <c r="L500" s="45"/>
      <c r="M500" s="45"/>
    </row>
    <row r="501" spans="1:13" ht="15" customHeight="1" thickBot="1" x14ac:dyDescent="0.25">
      <c r="A501" s="19"/>
      <c r="B501" s="19"/>
      <c r="C501" s="19"/>
      <c r="D501" s="19"/>
      <c r="E501" s="21"/>
      <c r="F501" s="22" t="s">
        <v>1196</v>
      </c>
      <c r="G501" s="22" t="s">
        <v>1197</v>
      </c>
      <c r="H501" s="22" t="s">
        <v>1198</v>
      </c>
      <c r="I501" s="22" t="s">
        <v>1199</v>
      </c>
      <c r="J501" s="22" t="s">
        <v>1200</v>
      </c>
      <c r="K501" s="22" t="s">
        <v>1201</v>
      </c>
      <c r="L501" s="19"/>
      <c r="M501" s="19"/>
    </row>
    <row r="502" spans="1:13" ht="21.2" customHeight="1" thickBot="1" x14ac:dyDescent="0.25">
      <c r="A502" s="19"/>
      <c r="B502" s="19"/>
      <c r="C502" s="19"/>
      <c r="D502" s="20"/>
      <c r="E502" s="23" t="s">
        <v>1202</v>
      </c>
      <c r="F502" s="24">
        <v>1</v>
      </c>
      <c r="G502" s="25">
        <v>2.1</v>
      </c>
      <c r="H502" s="25">
        <v>8.3000000000000007</v>
      </c>
      <c r="I502" s="25">
        <v>0.3</v>
      </c>
      <c r="J502" s="27">
        <f>ROUND(F502*G502*H502*I502,3)</f>
        <v>5.2290000000000001</v>
      </c>
      <c r="K502" s="28"/>
      <c r="L502" s="19"/>
      <c r="M502" s="19"/>
    </row>
    <row r="503" spans="1:13" ht="15" customHeight="1" thickBot="1" x14ac:dyDescent="0.25">
      <c r="A503" s="19"/>
      <c r="B503" s="19"/>
      <c r="C503" s="19"/>
      <c r="D503" s="20"/>
      <c r="E503" s="5"/>
      <c r="F503" s="3">
        <v>1</v>
      </c>
      <c r="G503" s="17">
        <v>3</v>
      </c>
      <c r="H503" s="17">
        <v>2.9</v>
      </c>
      <c r="I503" s="17">
        <v>0.3</v>
      </c>
      <c r="J503" s="26">
        <f>ROUND(F503*G503*H503*I503,3)</f>
        <v>2.61</v>
      </c>
      <c r="K503" s="19"/>
      <c r="L503" s="19"/>
      <c r="M503" s="19"/>
    </row>
    <row r="504" spans="1:13" ht="15" customHeight="1" thickBot="1" x14ac:dyDescent="0.25">
      <c r="A504" s="19"/>
      <c r="B504" s="19"/>
      <c r="C504" s="19"/>
      <c r="D504" s="20"/>
      <c r="E504" s="5"/>
      <c r="F504" s="3">
        <v>1</v>
      </c>
      <c r="G504" s="17">
        <v>3</v>
      </c>
      <c r="H504" s="17">
        <v>7.38</v>
      </c>
      <c r="I504" s="17">
        <v>0.3</v>
      </c>
      <c r="J504" s="26">
        <f>ROUND(F504*G504*H504*I504,3)</f>
        <v>6.6420000000000003</v>
      </c>
      <c r="K504" s="29">
        <f>SUM(J502:J504)</f>
        <v>14.481000000000002</v>
      </c>
      <c r="L504" s="19"/>
      <c r="M504" s="19"/>
    </row>
    <row r="505" spans="1:13" ht="15.4" customHeight="1" thickBot="1" x14ac:dyDescent="0.25">
      <c r="A505" s="10" t="s">
        <v>1203</v>
      </c>
      <c r="B505" s="5" t="s">
        <v>1204</v>
      </c>
      <c r="C505" s="5" t="s">
        <v>1205</v>
      </c>
      <c r="D505" s="45" t="s">
        <v>1206</v>
      </c>
      <c r="E505" s="45"/>
      <c r="F505" s="45"/>
      <c r="G505" s="45"/>
      <c r="H505" s="45"/>
      <c r="I505" s="45"/>
      <c r="J505" s="45"/>
      <c r="K505" s="17">
        <f>SUM(K508:K508)</f>
        <v>3.28</v>
      </c>
      <c r="L505" s="18">
        <f>ROUND(133.27*(1+M2/100),2)</f>
        <v>137.27000000000001</v>
      </c>
      <c r="M505" s="18">
        <f>ROUND(K505*L505,2)</f>
        <v>450.25</v>
      </c>
    </row>
    <row r="506" spans="1:13" ht="57.95" customHeight="1" thickBot="1" x14ac:dyDescent="0.25">
      <c r="A506" s="19"/>
      <c r="B506" s="19"/>
      <c r="C506" s="19"/>
      <c r="D506" s="45" t="s">
        <v>1207</v>
      </c>
      <c r="E506" s="45"/>
      <c r="F506" s="45"/>
      <c r="G506" s="45"/>
      <c r="H506" s="45"/>
      <c r="I506" s="45"/>
      <c r="J506" s="45"/>
      <c r="K506" s="45"/>
      <c r="L506" s="45"/>
      <c r="M506" s="45"/>
    </row>
    <row r="507" spans="1:13" ht="15" customHeight="1" thickBot="1" x14ac:dyDescent="0.25">
      <c r="A507" s="19"/>
      <c r="B507" s="19"/>
      <c r="C507" s="19"/>
      <c r="D507" s="19"/>
      <c r="E507" s="21"/>
      <c r="F507" s="22" t="s">
        <v>1208</v>
      </c>
      <c r="G507" s="22" t="s">
        <v>1209</v>
      </c>
      <c r="H507" s="22"/>
      <c r="I507" s="22"/>
      <c r="J507" s="22" t="s">
        <v>1210</v>
      </c>
      <c r="K507" s="22" t="s">
        <v>1211</v>
      </c>
      <c r="L507" s="19"/>
      <c r="M507" s="19"/>
    </row>
    <row r="508" spans="1:13" ht="15" customHeight="1" thickBot="1" x14ac:dyDescent="0.25">
      <c r="A508" s="19"/>
      <c r="B508" s="19"/>
      <c r="C508" s="19"/>
      <c r="D508" s="20" t="s">
        <v>1212</v>
      </c>
      <c r="E508" s="23"/>
      <c r="F508" s="24">
        <v>2</v>
      </c>
      <c r="G508" s="25">
        <v>1.64</v>
      </c>
      <c r="H508" s="25"/>
      <c r="I508" s="25"/>
      <c r="J508" s="27">
        <f>ROUND(F508*G508,3)</f>
        <v>3.28</v>
      </c>
      <c r="K508" s="30">
        <f>SUM(J508:J508)</f>
        <v>3.28</v>
      </c>
      <c r="L508" s="19"/>
      <c r="M508" s="19"/>
    </row>
    <row r="509" spans="1:13" ht="15.4" customHeight="1" thickBot="1" x14ac:dyDescent="0.25">
      <c r="A509" s="10" t="s">
        <v>1213</v>
      </c>
      <c r="B509" s="5" t="s">
        <v>1214</v>
      </c>
      <c r="C509" s="5" t="s">
        <v>1215</v>
      </c>
      <c r="D509" s="45" t="s">
        <v>1216</v>
      </c>
      <c r="E509" s="45"/>
      <c r="F509" s="45"/>
      <c r="G509" s="45"/>
      <c r="H509" s="45"/>
      <c r="I509" s="45"/>
      <c r="J509" s="45"/>
      <c r="K509" s="17">
        <f>SUM(K512:K514)</f>
        <v>153.20499999999998</v>
      </c>
      <c r="L509" s="18">
        <f>ROUND(11.67*(1+M2/100),2)</f>
        <v>12.02</v>
      </c>
      <c r="M509" s="18">
        <f>ROUND(K509*L509,2)</f>
        <v>1841.52</v>
      </c>
    </row>
    <row r="510" spans="1:13" ht="67.150000000000006" customHeight="1" thickBot="1" x14ac:dyDescent="0.25">
      <c r="A510" s="19"/>
      <c r="B510" s="19"/>
      <c r="C510" s="19"/>
      <c r="D510" s="45" t="s">
        <v>1217</v>
      </c>
      <c r="E510" s="45"/>
      <c r="F510" s="45"/>
      <c r="G510" s="45"/>
      <c r="H510" s="45"/>
      <c r="I510" s="45"/>
      <c r="J510" s="45"/>
      <c r="K510" s="45"/>
      <c r="L510" s="45"/>
      <c r="M510" s="45"/>
    </row>
    <row r="511" spans="1:13" ht="15" customHeight="1" thickBot="1" x14ac:dyDescent="0.25">
      <c r="A511" s="19"/>
      <c r="B511" s="19"/>
      <c r="C511" s="19"/>
      <c r="D511" s="19"/>
      <c r="E511" s="21"/>
      <c r="F511" s="22" t="s">
        <v>1218</v>
      </c>
      <c r="G511" s="22" t="s">
        <v>1219</v>
      </c>
      <c r="H511" s="22" t="s">
        <v>1220</v>
      </c>
      <c r="I511" s="22"/>
      <c r="J511" s="22" t="s">
        <v>1221</v>
      </c>
      <c r="K511" s="22" t="s">
        <v>1222</v>
      </c>
      <c r="L511" s="19"/>
      <c r="M511" s="19"/>
    </row>
    <row r="512" spans="1:13" ht="15" customHeight="1" thickBot="1" x14ac:dyDescent="0.25">
      <c r="A512" s="19"/>
      <c r="B512" s="19"/>
      <c r="C512" s="19"/>
      <c r="D512" s="20"/>
      <c r="E512" s="23" t="s">
        <v>1223</v>
      </c>
      <c r="F512" s="24">
        <v>1</v>
      </c>
      <c r="G512" s="25">
        <v>45.1</v>
      </c>
      <c r="H512" s="25">
        <v>1.8</v>
      </c>
      <c r="I512" s="25"/>
      <c r="J512" s="27">
        <f>ROUND(F512*G512*H512,3)</f>
        <v>81.180000000000007</v>
      </c>
      <c r="K512" s="28"/>
      <c r="L512" s="19"/>
      <c r="M512" s="19"/>
    </row>
    <row r="513" spans="1:13" ht="21.2" customHeight="1" thickBot="1" x14ac:dyDescent="0.25">
      <c r="A513" s="19"/>
      <c r="B513" s="19"/>
      <c r="C513" s="19"/>
      <c r="D513" s="20"/>
      <c r="E513" s="5" t="s">
        <v>1224</v>
      </c>
      <c r="F513" s="3">
        <v>1</v>
      </c>
      <c r="G513" s="17">
        <v>6</v>
      </c>
      <c r="H513" s="17">
        <v>1.72</v>
      </c>
      <c r="I513" s="17"/>
      <c r="J513" s="26">
        <f>ROUND(F513*G513*H513,3)</f>
        <v>10.32</v>
      </c>
      <c r="K513" s="19"/>
      <c r="L513" s="19"/>
      <c r="M513" s="19"/>
    </row>
    <row r="514" spans="1:13" ht="15" customHeight="1" thickBot="1" x14ac:dyDescent="0.25">
      <c r="A514" s="19"/>
      <c r="B514" s="19"/>
      <c r="C514" s="19"/>
      <c r="D514" s="20"/>
      <c r="E514" s="5" t="s">
        <v>1225</v>
      </c>
      <c r="F514" s="3">
        <v>1</v>
      </c>
      <c r="G514" s="17">
        <v>28.7</v>
      </c>
      <c r="H514" s="17">
        <v>2.15</v>
      </c>
      <c r="I514" s="17"/>
      <c r="J514" s="26">
        <f>ROUND(F514*G514*H514,3)</f>
        <v>61.704999999999998</v>
      </c>
      <c r="K514" s="29">
        <f>SUM(J512:J514)</f>
        <v>153.20499999999998</v>
      </c>
      <c r="L514" s="19"/>
      <c r="M514" s="19"/>
    </row>
    <row r="515" spans="1:13" ht="15.4" customHeight="1" thickBot="1" x14ac:dyDescent="0.25">
      <c r="A515" s="10" t="s">
        <v>1226</v>
      </c>
      <c r="B515" s="5" t="s">
        <v>1227</v>
      </c>
      <c r="C515" s="5" t="s">
        <v>1228</v>
      </c>
      <c r="D515" s="45" t="s">
        <v>1229</v>
      </c>
      <c r="E515" s="45"/>
      <c r="F515" s="45"/>
      <c r="G515" s="45"/>
      <c r="H515" s="45"/>
      <c r="I515" s="45"/>
      <c r="J515" s="45"/>
      <c r="K515" s="17">
        <f>SUM(K518:K520)</f>
        <v>153.20499999999998</v>
      </c>
      <c r="L515" s="18">
        <f>ROUND(37.59*(1+M2/100),2)</f>
        <v>38.72</v>
      </c>
      <c r="M515" s="18">
        <f>ROUND(K515*L515,2)</f>
        <v>5932.1</v>
      </c>
    </row>
    <row r="516" spans="1:13" ht="104.1" customHeight="1" thickBot="1" x14ac:dyDescent="0.25">
      <c r="A516" s="19"/>
      <c r="B516" s="19"/>
      <c r="C516" s="19"/>
      <c r="D516" s="45" t="s">
        <v>1230</v>
      </c>
      <c r="E516" s="45"/>
      <c r="F516" s="45"/>
      <c r="G516" s="45"/>
      <c r="H516" s="45"/>
      <c r="I516" s="45"/>
      <c r="J516" s="45"/>
      <c r="K516" s="45"/>
      <c r="L516" s="45"/>
      <c r="M516" s="45"/>
    </row>
    <row r="517" spans="1:13" ht="15" customHeight="1" thickBot="1" x14ac:dyDescent="0.25">
      <c r="A517" s="19"/>
      <c r="B517" s="19"/>
      <c r="C517" s="19"/>
      <c r="D517" s="19"/>
      <c r="E517" s="21"/>
      <c r="F517" s="22" t="s">
        <v>1231</v>
      </c>
      <c r="G517" s="22" t="s">
        <v>1232</v>
      </c>
      <c r="H517" s="22" t="s">
        <v>1233</v>
      </c>
      <c r="I517" s="22" t="s">
        <v>1234</v>
      </c>
      <c r="J517" s="22" t="s">
        <v>1235</v>
      </c>
      <c r="K517" s="22" t="s">
        <v>1236</v>
      </c>
      <c r="L517" s="19"/>
      <c r="M517" s="19"/>
    </row>
    <row r="518" spans="1:13" ht="15" customHeight="1" thickBot="1" x14ac:dyDescent="0.25">
      <c r="A518" s="19"/>
      <c r="B518" s="19"/>
      <c r="C518" s="19"/>
      <c r="D518" s="20"/>
      <c r="E518" s="23" t="s">
        <v>1237</v>
      </c>
      <c r="F518" s="24">
        <v>1</v>
      </c>
      <c r="G518" s="25">
        <v>45.1</v>
      </c>
      <c r="H518" s="25">
        <v>1.8</v>
      </c>
      <c r="I518" s="25"/>
      <c r="J518" s="27">
        <f>ROUND(F518*G518*H518,3)</f>
        <v>81.180000000000007</v>
      </c>
      <c r="K518" s="28"/>
      <c r="L518" s="19"/>
      <c r="M518" s="19"/>
    </row>
    <row r="519" spans="1:13" ht="21.2" customHeight="1" thickBot="1" x14ac:dyDescent="0.25">
      <c r="A519" s="19"/>
      <c r="B519" s="19"/>
      <c r="C519" s="19"/>
      <c r="D519" s="20"/>
      <c r="E519" s="5" t="s">
        <v>1238</v>
      </c>
      <c r="F519" s="3">
        <v>1</v>
      </c>
      <c r="G519" s="17">
        <v>6</v>
      </c>
      <c r="H519" s="17">
        <v>1.72</v>
      </c>
      <c r="I519" s="17"/>
      <c r="J519" s="26">
        <f>ROUND(F519*G519*H519,3)</f>
        <v>10.32</v>
      </c>
      <c r="K519" s="19"/>
      <c r="L519" s="19"/>
      <c r="M519" s="19"/>
    </row>
    <row r="520" spans="1:13" ht="15" customHeight="1" thickBot="1" x14ac:dyDescent="0.25">
      <c r="A520" s="19"/>
      <c r="B520" s="19"/>
      <c r="C520" s="19"/>
      <c r="D520" s="20"/>
      <c r="E520" s="5" t="s">
        <v>1239</v>
      </c>
      <c r="F520" s="3">
        <v>1</v>
      </c>
      <c r="G520" s="17">
        <v>28.7</v>
      </c>
      <c r="H520" s="17">
        <v>2.15</v>
      </c>
      <c r="I520" s="17"/>
      <c r="J520" s="26">
        <f>ROUND(F520*G520*H520,3)</f>
        <v>61.704999999999998</v>
      </c>
      <c r="K520" s="29">
        <f>SUM(J518:J520)</f>
        <v>153.20499999999998</v>
      </c>
      <c r="L520" s="19"/>
      <c r="M520" s="19"/>
    </row>
    <row r="521" spans="1:13" ht="15.4" customHeight="1" thickBot="1" x14ac:dyDescent="0.25">
      <c r="A521" s="10" t="s">
        <v>1240</v>
      </c>
      <c r="B521" s="5" t="s">
        <v>1241</v>
      </c>
      <c r="C521" s="5" t="s">
        <v>1242</v>
      </c>
      <c r="D521" s="45" t="s">
        <v>1243</v>
      </c>
      <c r="E521" s="45"/>
      <c r="F521" s="45"/>
      <c r="G521" s="45"/>
      <c r="H521" s="45"/>
      <c r="I521" s="45"/>
      <c r="J521" s="45"/>
      <c r="K521" s="17">
        <f>SUM(K524:K526)</f>
        <v>23.939999999999998</v>
      </c>
      <c r="L521" s="18">
        <f>ROUND(24.75*(1+M2/100),2)</f>
        <v>25.49</v>
      </c>
      <c r="M521" s="18">
        <f>ROUND(K521*L521,2)</f>
        <v>610.23</v>
      </c>
    </row>
    <row r="522" spans="1:13" ht="57.95" customHeight="1" thickBot="1" x14ac:dyDescent="0.25">
      <c r="A522" s="19"/>
      <c r="B522" s="19"/>
      <c r="C522" s="19"/>
      <c r="D522" s="45" t="s">
        <v>1244</v>
      </c>
      <c r="E522" s="45"/>
      <c r="F522" s="45"/>
      <c r="G522" s="45"/>
      <c r="H522" s="45"/>
      <c r="I522" s="45"/>
      <c r="J522" s="45"/>
      <c r="K522" s="45"/>
      <c r="L522" s="45"/>
      <c r="M522" s="45"/>
    </row>
    <row r="523" spans="1:13" ht="15" customHeight="1" thickBot="1" x14ac:dyDescent="0.25">
      <c r="A523" s="19"/>
      <c r="B523" s="19"/>
      <c r="C523" s="19"/>
      <c r="D523" s="19"/>
      <c r="E523" s="21"/>
      <c r="F523" s="22" t="s">
        <v>1245</v>
      </c>
      <c r="G523" s="22" t="s">
        <v>1246</v>
      </c>
      <c r="H523" s="22" t="s">
        <v>1247</v>
      </c>
      <c r="I523" s="22"/>
      <c r="J523" s="22" t="s">
        <v>1248</v>
      </c>
      <c r="K523" s="22" t="s">
        <v>1249</v>
      </c>
      <c r="L523" s="19"/>
      <c r="M523" s="19"/>
    </row>
    <row r="524" spans="1:13" ht="15" customHeight="1" thickBot="1" x14ac:dyDescent="0.25">
      <c r="A524" s="19"/>
      <c r="B524" s="19"/>
      <c r="C524" s="19"/>
      <c r="D524" s="20"/>
      <c r="E524" s="23" t="s">
        <v>1250</v>
      </c>
      <c r="F524" s="24">
        <v>1</v>
      </c>
      <c r="G524" s="25">
        <v>45.1</v>
      </c>
      <c r="H524" s="25">
        <v>0.3</v>
      </c>
      <c r="I524" s="25"/>
      <c r="J524" s="27">
        <f>ROUND(F524*G524*H524,3)</f>
        <v>13.53</v>
      </c>
      <c r="K524" s="28"/>
      <c r="L524" s="19"/>
      <c r="M524" s="19"/>
    </row>
    <row r="525" spans="1:13" ht="21.2" customHeight="1" thickBot="1" x14ac:dyDescent="0.25">
      <c r="A525" s="19"/>
      <c r="B525" s="19"/>
      <c r="C525" s="19"/>
      <c r="D525" s="20"/>
      <c r="E525" s="5" t="s">
        <v>1251</v>
      </c>
      <c r="F525" s="3">
        <v>1</v>
      </c>
      <c r="G525" s="17">
        <v>6</v>
      </c>
      <c r="H525" s="17">
        <v>0.3</v>
      </c>
      <c r="I525" s="17"/>
      <c r="J525" s="26">
        <f>ROUND(F525*G525*H525,3)</f>
        <v>1.8</v>
      </c>
      <c r="K525" s="19"/>
      <c r="L525" s="19"/>
      <c r="M525" s="19"/>
    </row>
    <row r="526" spans="1:13" ht="15" customHeight="1" thickBot="1" x14ac:dyDescent="0.25">
      <c r="A526" s="19"/>
      <c r="B526" s="19"/>
      <c r="C526" s="19"/>
      <c r="D526" s="20"/>
      <c r="E526" s="5" t="s">
        <v>1252</v>
      </c>
      <c r="F526" s="3">
        <v>1</v>
      </c>
      <c r="G526" s="17">
        <v>28.7</v>
      </c>
      <c r="H526" s="17">
        <v>0.3</v>
      </c>
      <c r="I526" s="17"/>
      <c r="J526" s="26">
        <f>ROUND(F526*G526*H526,3)</f>
        <v>8.61</v>
      </c>
      <c r="K526" s="29">
        <f>SUM(J524:J526)</f>
        <v>23.939999999999998</v>
      </c>
      <c r="L526" s="19"/>
      <c r="M526" s="19"/>
    </row>
    <row r="527" spans="1:13" ht="15.4" customHeight="1" thickBot="1" x14ac:dyDescent="0.25">
      <c r="A527" s="10" t="s">
        <v>1253</v>
      </c>
      <c r="B527" s="5" t="s">
        <v>1254</v>
      </c>
      <c r="C527" s="5" t="s">
        <v>1255</v>
      </c>
      <c r="D527" s="45" t="s">
        <v>1256</v>
      </c>
      <c r="E527" s="45"/>
      <c r="F527" s="45"/>
      <c r="G527" s="45"/>
      <c r="H527" s="45"/>
      <c r="I527" s="45"/>
      <c r="J527" s="45"/>
      <c r="K527" s="17">
        <f>SUM(K530:K530)</f>
        <v>4.68</v>
      </c>
      <c r="L527" s="18">
        <f>ROUND(65.93*(1+M2/100),2)</f>
        <v>67.91</v>
      </c>
      <c r="M527" s="18">
        <f>ROUND(K527*L527,2)</f>
        <v>317.82</v>
      </c>
    </row>
    <row r="528" spans="1:13" ht="48.75" customHeight="1" thickBot="1" x14ac:dyDescent="0.25">
      <c r="A528" s="19"/>
      <c r="B528" s="19"/>
      <c r="C528" s="19"/>
      <c r="D528" s="45" t="s">
        <v>1257</v>
      </c>
      <c r="E528" s="45"/>
      <c r="F528" s="45"/>
      <c r="G528" s="45"/>
      <c r="H528" s="45"/>
      <c r="I528" s="45"/>
      <c r="J528" s="45"/>
      <c r="K528" s="45"/>
      <c r="L528" s="45"/>
      <c r="M528" s="45"/>
    </row>
    <row r="529" spans="1:13" ht="15" customHeight="1" thickBot="1" x14ac:dyDescent="0.25">
      <c r="A529" s="19"/>
      <c r="B529" s="19"/>
      <c r="C529" s="19"/>
      <c r="D529" s="19"/>
      <c r="E529" s="21"/>
      <c r="F529" s="22" t="s">
        <v>1258</v>
      </c>
      <c r="G529" s="22" t="s">
        <v>1259</v>
      </c>
      <c r="H529" s="22" t="s">
        <v>1260</v>
      </c>
      <c r="I529" s="22"/>
      <c r="J529" s="22" t="s">
        <v>1261</v>
      </c>
      <c r="K529" s="22" t="s">
        <v>1262</v>
      </c>
      <c r="L529" s="19"/>
      <c r="M529" s="19"/>
    </row>
    <row r="530" spans="1:13" ht="15" customHeight="1" thickBot="1" x14ac:dyDescent="0.25">
      <c r="A530" s="19"/>
      <c r="B530" s="19"/>
      <c r="C530" s="19"/>
      <c r="D530" s="20" t="s">
        <v>1263</v>
      </c>
      <c r="E530" s="23"/>
      <c r="F530" s="24">
        <v>1</v>
      </c>
      <c r="G530" s="25">
        <v>2.6</v>
      </c>
      <c r="H530" s="25">
        <v>1.8</v>
      </c>
      <c r="I530" s="25"/>
      <c r="J530" s="27">
        <f>ROUND(F530*G530*H530,3)</f>
        <v>4.68</v>
      </c>
      <c r="K530" s="30">
        <f>SUM(J530:J530)</f>
        <v>4.68</v>
      </c>
      <c r="L530" s="19"/>
      <c r="M530" s="19"/>
    </row>
    <row r="531" spans="1:13" ht="15.4" customHeight="1" thickBot="1" x14ac:dyDescent="0.25">
      <c r="A531" s="10" t="s">
        <v>1264</v>
      </c>
      <c r="B531" s="5" t="s">
        <v>1265</v>
      </c>
      <c r="C531" s="5" t="s">
        <v>1266</v>
      </c>
      <c r="D531" s="45" t="s">
        <v>1267</v>
      </c>
      <c r="E531" s="45"/>
      <c r="F531" s="45"/>
      <c r="G531" s="45"/>
      <c r="H531" s="45"/>
      <c r="I531" s="45"/>
      <c r="J531" s="45"/>
      <c r="K531" s="17">
        <f>SUM(K534:K537)</f>
        <v>87.933000000000007</v>
      </c>
      <c r="L531" s="18">
        <f>ROUND(18.58*(1+M2/100),2)</f>
        <v>19.14</v>
      </c>
      <c r="M531" s="18">
        <f>ROUND(K531*L531,2)</f>
        <v>1683.04</v>
      </c>
    </row>
    <row r="532" spans="1:13" ht="67.150000000000006" customHeight="1" thickBot="1" x14ac:dyDescent="0.25">
      <c r="A532" s="19"/>
      <c r="B532" s="19"/>
      <c r="C532" s="19"/>
      <c r="D532" s="45" t="s">
        <v>1268</v>
      </c>
      <c r="E532" s="45"/>
      <c r="F532" s="45"/>
      <c r="G532" s="45"/>
      <c r="H532" s="45"/>
      <c r="I532" s="45"/>
      <c r="J532" s="45"/>
      <c r="K532" s="45"/>
      <c r="L532" s="45"/>
      <c r="M532" s="45"/>
    </row>
    <row r="533" spans="1:13" ht="15" customHeight="1" thickBot="1" x14ac:dyDescent="0.25">
      <c r="A533" s="19"/>
      <c r="B533" s="19"/>
      <c r="C533" s="19"/>
      <c r="D533" s="19"/>
      <c r="E533" s="21"/>
      <c r="F533" s="22" t="s">
        <v>1269</v>
      </c>
      <c r="G533" s="22" t="s">
        <v>1270</v>
      </c>
      <c r="H533" s="22" t="s">
        <v>1271</v>
      </c>
      <c r="I533" s="22" t="s">
        <v>1272</v>
      </c>
      <c r="J533" s="22" t="s">
        <v>1273</v>
      </c>
      <c r="K533" s="22" t="s">
        <v>1274</v>
      </c>
      <c r="L533" s="19"/>
      <c r="M533" s="19"/>
    </row>
    <row r="534" spans="1:13" ht="15" customHeight="1" thickBot="1" x14ac:dyDescent="0.25">
      <c r="A534" s="19"/>
      <c r="B534" s="19"/>
      <c r="C534" s="19"/>
      <c r="D534" s="20" t="s">
        <v>1275</v>
      </c>
      <c r="E534" s="23"/>
      <c r="F534" s="24">
        <v>1</v>
      </c>
      <c r="G534" s="25">
        <v>8.85</v>
      </c>
      <c r="H534" s="25">
        <v>1.64</v>
      </c>
      <c r="I534" s="25"/>
      <c r="J534" s="27">
        <f>ROUND(F534*G534*H534,3)</f>
        <v>14.513999999999999</v>
      </c>
      <c r="K534" s="28"/>
      <c r="L534" s="19"/>
      <c r="M534" s="19"/>
    </row>
    <row r="535" spans="1:13" ht="15" customHeight="1" thickBot="1" x14ac:dyDescent="0.25">
      <c r="A535" s="19"/>
      <c r="B535" s="19"/>
      <c r="C535" s="19"/>
      <c r="D535" s="20" t="s">
        <v>1276</v>
      </c>
      <c r="E535" s="5"/>
      <c r="F535" s="3">
        <v>1</v>
      </c>
      <c r="G535" s="17">
        <v>32.24</v>
      </c>
      <c r="H535" s="17">
        <v>1.64</v>
      </c>
      <c r="I535" s="17"/>
      <c r="J535" s="26">
        <f>ROUND(F535*G535*H535,3)</f>
        <v>52.874000000000002</v>
      </c>
      <c r="K535" s="19"/>
      <c r="L535" s="19"/>
      <c r="M535" s="19"/>
    </row>
    <row r="536" spans="1:13" ht="15" customHeight="1" thickBot="1" x14ac:dyDescent="0.25">
      <c r="A536" s="19"/>
      <c r="B536" s="19"/>
      <c r="C536" s="19"/>
      <c r="D536" s="20" t="s">
        <v>1277</v>
      </c>
      <c r="E536" s="5" t="s">
        <v>1278</v>
      </c>
      <c r="F536" s="3">
        <v>1</v>
      </c>
      <c r="G536" s="17">
        <v>8.85</v>
      </c>
      <c r="H536" s="17">
        <v>0.5</v>
      </c>
      <c r="I536" s="17"/>
      <c r="J536" s="26">
        <f>ROUND(F536*G536*H536,3)</f>
        <v>4.4249999999999998</v>
      </c>
      <c r="K536" s="19"/>
      <c r="L536" s="19"/>
      <c r="M536" s="19"/>
    </row>
    <row r="537" spans="1:13" ht="15" customHeight="1" thickBot="1" x14ac:dyDescent="0.25">
      <c r="A537" s="19"/>
      <c r="B537" s="19"/>
      <c r="C537" s="19"/>
      <c r="D537" s="20" t="s">
        <v>1279</v>
      </c>
      <c r="E537" s="5"/>
      <c r="F537" s="3">
        <v>1</v>
      </c>
      <c r="G537" s="17">
        <v>32.24</v>
      </c>
      <c r="H537" s="17">
        <v>0.5</v>
      </c>
      <c r="I537" s="17"/>
      <c r="J537" s="26">
        <f>ROUND(F537*G537*H537,3)</f>
        <v>16.12</v>
      </c>
      <c r="K537" s="29">
        <f>SUM(J534:J537)</f>
        <v>87.933000000000007</v>
      </c>
      <c r="L537" s="19"/>
      <c r="M537" s="19"/>
    </row>
    <row r="538" spans="1:13" ht="15.4" customHeight="1" thickBot="1" x14ac:dyDescent="0.25">
      <c r="A538" s="10" t="s">
        <v>1280</v>
      </c>
      <c r="B538" s="5" t="s">
        <v>1281</v>
      </c>
      <c r="C538" s="5" t="s">
        <v>1282</v>
      </c>
      <c r="D538" s="45" t="s">
        <v>1283</v>
      </c>
      <c r="E538" s="45"/>
      <c r="F538" s="45"/>
      <c r="G538" s="45"/>
      <c r="H538" s="45"/>
      <c r="I538" s="45"/>
      <c r="J538" s="45"/>
      <c r="K538" s="17">
        <f>SUM(K541:K543)</f>
        <v>50.93</v>
      </c>
      <c r="L538" s="18">
        <f>ROUND(22.19*(1+M2/100),2)</f>
        <v>22.86</v>
      </c>
      <c r="M538" s="18">
        <f>ROUND(K538*L538,2)</f>
        <v>1164.26</v>
      </c>
    </row>
    <row r="539" spans="1:13" ht="57.95" customHeight="1" thickBot="1" x14ac:dyDescent="0.25">
      <c r="A539" s="19"/>
      <c r="B539" s="19"/>
      <c r="C539" s="19"/>
      <c r="D539" s="45" t="s">
        <v>1284</v>
      </c>
      <c r="E539" s="45"/>
      <c r="F539" s="45"/>
      <c r="G539" s="45"/>
      <c r="H539" s="45"/>
      <c r="I539" s="45"/>
      <c r="J539" s="45"/>
      <c r="K539" s="45"/>
      <c r="L539" s="45"/>
      <c r="M539" s="45"/>
    </row>
    <row r="540" spans="1:13" ht="15" customHeight="1" thickBot="1" x14ac:dyDescent="0.25">
      <c r="A540" s="19"/>
      <c r="B540" s="19"/>
      <c r="C540" s="19"/>
      <c r="D540" s="19"/>
      <c r="E540" s="21"/>
      <c r="F540" s="22" t="s">
        <v>1285</v>
      </c>
      <c r="G540" s="22" t="s">
        <v>1286</v>
      </c>
      <c r="H540" s="22"/>
      <c r="I540" s="22"/>
      <c r="J540" s="22" t="s">
        <v>1287</v>
      </c>
      <c r="K540" s="22" t="s">
        <v>1288</v>
      </c>
      <c r="L540" s="19"/>
      <c r="M540" s="19"/>
    </row>
    <row r="541" spans="1:13" ht="15" customHeight="1" thickBot="1" x14ac:dyDescent="0.25">
      <c r="A541" s="19"/>
      <c r="B541" s="19"/>
      <c r="C541" s="19"/>
      <c r="D541" s="20" t="s">
        <v>1289</v>
      </c>
      <c r="E541" s="23"/>
      <c r="F541" s="24">
        <v>1</v>
      </c>
      <c r="G541" s="25">
        <v>8.85</v>
      </c>
      <c r="H541" s="25"/>
      <c r="I541" s="25"/>
      <c r="J541" s="27">
        <f>ROUND(F541*G541,3)</f>
        <v>8.85</v>
      </c>
      <c r="K541" s="28"/>
      <c r="L541" s="19"/>
      <c r="M541" s="19"/>
    </row>
    <row r="542" spans="1:13" ht="15" customHeight="1" thickBot="1" x14ac:dyDescent="0.25">
      <c r="A542" s="19"/>
      <c r="B542" s="19"/>
      <c r="C542" s="19"/>
      <c r="D542" s="20" t="s">
        <v>1290</v>
      </c>
      <c r="E542" s="5"/>
      <c r="F542" s="3">
        <v>6</v>
      </c>
      <c r="G542" s="17">
        <v>1.64</v>
      </c>
      <c r="H542" s="17"/>
      <c r="I542" s="17"/>
      <c r="J542" s="26">
        <f>ROUND(F542*G542,3)</f>
        <v>9.84</v>
      </c>
      <c r="K542" s="19"/>
      <c r="L542" s="19"/>
      <c r="M542" s="19"/>
    </row>
    <row r="543" spans="1:13" ht="15" customHeight="1" thickBot="1" x14ac:dyDescent="0.25">
      <c r="A543" s="19"/>
      <c r="B543" s="19"/>
      <c r="C543" s="19"/>
      <c r="D543" s="20" t="s">
        <v>1291</v>
      </c>
      <c r="E543" s="5"/>
      <c r="F543" s="3">
        <v>1</v>
      </c>
      <c r="G543" s="17">
        <v>32.24</v>
      </c>
      <c r="H543" s="17"/>
      <c r="I543" s="17"/>
      <c r="J543" s="26">
        <f>ROUND(F543*G543,3)</f>
        <v>32.24</v>
      </c>
      <c r="K543" s="29">
        <f>SUM(J541:J543)</f>
        <v>50.93</v>
      </c>
      <c r="L543" s="19"/>
      <c r="M543" s="19"/>
    </row>
    <row r="544" spans="1:13" ht="15.4" customHeight="1" thickBot="1" x14ac:dyDescent="0.25">
      <c r="A544" s="10" t="s">
        <v>1292</v>
      </c>
      <c r="B544" s="5" t="s">
        <v>1293</v>
      </c>
      <c r="C544" s="5" t="s">
        <v>1294</v>
      </c>
      <c r="D544" s="45" t="s">
        <v>1295</v>
      </c>
      <c r="E544" s="45"/>
      <c r="F544" s="45"/>
      <c r="G544" s="45"/>
      <c r="H544" s="45"/>
      <c r="I544" s="45"/>
      <c r="J544" s="45"/>
      <c r="K544" s="17">
        <f>SUM(K547:K548)</f>
        <v>33.694000000000003</v>
      </c>
      <c r="L544" s="18">
        <f>ROUND(37.64*(1+M2/100),2)</f>
        <v>38.770000000000003</v>
      </c>
      <c r="M544" s="18">
        <f>ROUND(K544*L544,2)</f>
        <v>1306.32</v>
      </c>
    </row>
    <row r="545" spans="1:13" ht="48.75" customHeight="1" thickBot="1" x14ac:dyDescent="0.25">
      <c r="A545" s="19"/>
      <c r="B545" s="19"/>
      <c r="C545" s="19"/>
      <c r="D545" s="45" t="s">
        <v>1296</v>
      </c>
      <c r="E545" s="45"/>
      <c r="F545" s="45"/>
      <c r="G545" s="45"/>
      <c r="H545" s="45"/>
      <c r="I545" s="45"/>
      <c r="J545" s="45"/>
      <c r="K545" s="45"/>
      <c r="L545" s="45"/>
      <c r="M545" s="45"/>
    </row>
    <row r="546" spans="1:13" ht="15" customHeight="1" thickBot="1" x14ac:dyDescent="0.25">
      <c r="A546" s="19"/>
      <c r="B546" s="19"/>
      <c r="C546" s="19"/>
      <c r="D546" s="19"/>
      <c r="E546" s="21"/>
      <c r="F546" s="22" t="s">
        <v>1297</v>
      </c>
      <c r="G546" s="22" t="s">
        <v>1298</v>
      </c>
      <c r="H546" s="22" t="s">
        <v>1299</v>
      </c>
      <c r="I546" s="22" t="s">
        <v>1300</v>
      </c>
      <c r="J546" s="22" t="s">
        <v>1301</v>
      </c>
      <c r="K546" s="22" t="s">
        <v>1302</v>
      </c>
      <c r="L546" s="19"/>
      <c r="M546" s="19"/>
    </row>
    <row r="547" spans="1:13" ht="15" customHeight="1" thickBot="1" x14ac:dyDescent="0.25">
      <c r="A547" s="19"/>
      <c r="B547" s="19"/>
      <c r="C547" s="19"/>
      <c r="D547" s="20" t="s">
        <v>1303</v>
      </c>
      <c r="E547" s="23"/>
      <c r="F547" s="24">
        <v>1</v>
      </c>
      <c r="G547" s="25">
        <v>8.85</v>
      </c>
      <c r="H547" s="25">
        <v>1.64</v>
      </c>
      <c r="I547" s="25">
        <v>0.5</v>
      </c>
      <c r="J547" s="27">
        <f>ROUND(F547*G547*H547*I547,3)</f>
        <v>7.2569999999999997</v>
      </c>
      <c r="K547" s="28"/>
      <c r="L547" s="19"/>
      <c r="M547" s="19"/>
    </row>
    <row r="548" spans="1:13" ht="15" customHeight="1" thickBot="1" x14ac:dyDescent="0.25">
      <c r="A548" s="19"/>
      <c r="B548" s="19"/>
      <c r="C548" s="19"/>
      <c r="D548" s="20" t="s">
        <v>1304</v>
      </c>
      <c r="E548" s="5"/>
      <c r="F548" s="3">
        <v>1</v>
      </c>
      <c r="G548" s="17">
        <v>32.24</v>
      </c>
      <c r="H548" s="17">
        <v>1.64</v>
      </c>
      <c r="I548" s="17">
        <v>0.5</v>
      </c>
      <c r="J548" s="26">
        <f>ROUND(F548*G548*H548*I548,3)</f>
        <v>26.437000000000001</v>
      </c>
      <c r="K548" s="29">
        <f>SUM(J547:J548)</f>
        <v>33.694000000000003</v>
      </c>
      <c r="L548" s="19"/>
      <c r="M548" s="19"/>
    </row>
    <row r="549" spans="1:13" ht="15.4" customHeight="1" thickBot="1" x14ac:dyDescent="0.25">
      <c r="A549" s="10" t="s">
        <v>1305</v>
      </c>
      <c r="B549" s="5" t="s">
        <v>1306</v>
      </c>
      <c r="C549" s="5" t="s">
        <v>1307</v>
      </c>
      <c r="D549" s="45" t="s">
        <v>1308</v>
      </c>
      <c r="E549" s="45"/>
      <c r="F549" s="45"/>
      <c r="G549" s="45"/>
      <c r="H549" s="45"/>
      <c r="I549" s="45"/>
      <c r="J549" s="45"/>
      <c r="K549" s="17">
        <f>SUM(K552:K553)</f>
        <v>345.06</v>
      </c>
      <c r="L549" s="18">
        <f>ROUND(30.81*(1+M2/100),2)</f>
        <v>31.73</v>
      </c>
      <c r="M549" s="18">
        <f>ROUND(K549*L549,2)</f>
        <v>10948.75</v>
      </c>
    </row>
    <row r="550" spans="1:13" ht="76.349999999999994" customHeight="1" thickBot="1" x14ac:dyDescent="0.25">
      <c r="A550" s="19"/>
      <c r="B550" s="19"/>
      <c r="C550" s="19"/>
      <c r="D550" s="45" t="s">
        <v>1309</v>
      </c>
      <c r="E550" s="45"/>
      <c r="F550" s="45"/>
      <c r="G550" s="45"/>
      <c r="H550" s="45"/>
      <c r="I550" s="45"/>
      <c r="J550" s="45"/>
      <c r="K550" s="45"/>
      <c r="L550" s="45"/>
      <c r="M550" s="45"/>
    </row>
    <row r="551" spans="1:13" ht="15" customHeight="1" thickBot="1" x14ac:dyDescent="0.25">
      <c r="A551" s="19"/>
      <c r="B551" s="19"/>
      <c r="C551" s="19"/>
      <c r="D551" s="19"/>
      <c r="E551" s="21"/>
      <c r="F551" s="22" t="s">
        <v>1310</v>
      </c>
      <c r="G551" s="22"/>
      <c r="H551" s="22" t="s">
        <v>1311</v>
      </c>
      <c r="I551" s="22" t="s">
        <v>1312</v>
      </c>
      <c r="J551" s="22" t="s">
        <v>1313</v>
      </c>
      <c r="K551" s="22" t="s">
        <v>1314</v>
      </c>
      <c r="L551" s="19"/>
      <c r="M551" s="19"/>
    </row>
    <row r="552" spans="1:13" ht="15" customHeight="1" thickBot="1" x14ac:dyDescent="0.25">
      <c r="A552" s="19"/>
      <c r="B552" s="19"/>
      <c r="C552" s="19"/>
      <c r="D552" s="20" t="s">
        <v>1315</v>
      </c>
      <c r="E552" s="23" t="s">
        <v>1316</v>
      </c>
      <c r="F552" s="24">
        <v>2</v>
      </c>
      <c r="G552" s="25"/>
      <c r="H552" s="25">
        <v>42.8</v>
      </c>
      <c r="I552" s="25">
        <v>3.6</v>
      </c>
      <c r="J552" s="27">
        <f>ROUND(F552*H552*I552,3)</f>
        <v>308.16000000000003</v>
      </c>
      <c r="K552" s="28"/>
      <c r="L552" s="19"/>
      <c r="M552" s="19"/>
    </row>
    <row r="553" spans="1:13" ht="15" customHeight="1" thickBot="1" x14ac:dyDescent="0.25">
      <c r="A553" s="19"/>
      <c r="B553" s="19"/>
      <c r="C553" s="19"/>
      <c r="D553" s="20" t="s">
        <v>1317</v>
      </c>
      <c r="E553" s="5" t="s">
        <v>1318</v>
      </c>
      <c r="F553" s="3">
        <v>1</v>
      </c>
      <c r="G553" s="17"/>
      <c r="H553" s="17">
        <v>12.3</v>
      </c>
      <c r="I553" s="17">
        <v>3</v>
      </c>
      <c r="J553" s="26">
        <f>ROUND(F553*H553*I553,3)</f>
        <v>36.9</v>
      </c>
      <c r="K553" s="29">
        <f>SUM(J552:J553)</f>
        <v>345.06</v>
      </c>
      <c r="L553" s="19"/>
      <c r="M553" s="19"/>
    </row>
    <row r="554" spans="1:13" ht="15.4" customHeight="1" thickBot="1" x14ac:dyDescent="0.25">
      <c r="A554" s="10" t="s">
        <v>1319</v>
      </c>
      <c r="B554" s="5" t="s">
        <v>1320</v>
      </c>
      <c r="C554" s="5" t="s">
        <v>1321</v>
      </c>
      <c r="D554" s="45" t="s">
        <v>1322</v>
      </c>
      <c r="E554" s="45"/>
      <c r="F554" s="45"/>
      <c r="G554" s="45"/>
      <c r="H554" s="45"/>
      <c r="I554" s="45"/>
      <c r="J554" s="45"/>
      <c r="K554" s="17">
        <f>SUM(K557:K560)</f>
        <v>388.23999999999995</v>
      </c>
      <c r="L554" s="18">
        <f>ROUND(14.17*(1+M2/100),2)</f>
        <v>14.6</v>
      </c>
      <c r="M554" s="18">
        <f>ROUND(K554*L554,2)</f>
        <v>5668.3</v>
      </c>
    </row>
    <row r="555" spans="1:13" ht="48.75" customHeight="1" thickBot="1" x14ac:dyDescent="0.25">
      <c r="A555" s="19"/>
      <c r="B555" s="19"/>
      <c r="C555" s="19"/>
      <c r="D555" s="45" t="s">
        <v>1323</v>
      </c>
      <c r="E555" s="45"/>
      <c r="F555" s="45"/>
      <c r="G555" s="45"/>
      <c r="H555" s="45"/>
      <c r="I555" s="45"/>
      <c r="J555" s="45"/>
      <c r="K555" s="45"/>
      <c r="L555" s="45"/>
      <c r="M555" s="45"/>
    </row>
    <row r="556" spans="1:13" ht="15" customHeight="1" thickBot="1" x14ac:dyDescent="0.25">
      <c r="A556" s="19"/>
      <c r="B556" s="19"/>
      <c r="C556" s="19"/>
      <c r="D556" s="19"/>
      <c r="E556" s="21"/>
      <c r="F556" s="22" t="s">
        <v>1324</v>
      </c>
      <c r="G556" s="22"/>
      <c r="H556" s="22" t="s">
        <v>1325</v>
      </c>
      <c r="I556" s="22" t="s">
        <v>1326</v>
      </c>
      <c r="J556" s="22" t="s">
        <v>1327</v>
      </c>
      <c r="K556" s="22" t="s">
        <v>1328</v>
      </c>
      <c r="L556" s="19"/>
      <c r="M556" s="19"/>
    </row>
    <row r="557" spans="1:13" ht="15" customHeight="1" thickBot="1" x14ac:dyDescent="0.25">
      <c r="A557" s="19"/>
      <c r="B557" s="19"/>
      <c r="C557" s="19"/>
      <c r="D557" s="20" t="s">
        <v>1329</v>
      </c>
      <c r="E557" s="23" t="s">
        <v>1330</v>
      </c>
      <c r="F557" s="24">
        <v>14</v>
      </c>
      <c r="G557" s="25"/>
      <c r="H557" s="25">
        <v>2.6</v>
      </c>
      <c r="I557" s="25">
        <v>3.6</v>
      </c>
      <c r="J557" s="27">
        <f>ROUND(F557*H557*I557,3)</f>
        <v>131.04</v>
      </c>
      <c r="K557" s="28"/>
      <c r="L557" s="19"/>
      <c r="M557" s="19"/>
    </row>
    <row r="558" spans="1:13" ht="15" customHeight="1" thickBot="1" x14ac:dyDescent="0.25">
      <c r="A558" s="19"/>
      <c r="B558" s="19"/>
      <c r="C558" s="19"/>
      <c r="D558" s="20" t="s">
        <v>1331</v>
      </c>
      <c r="E558" s="5"/>
      <c r="F558" s="3">
        <v>2</v>
      </c>
      <c r="G558" s="17"/>
      <c r="H558" s="17">
        <v>42.8</v>
      </c>
      <c r="I558" s="17">
        <v>0.9</v>
      </c>
      <c r="J558" s="26">
        <f>ROUND(F558*H558*I558,3)</f>
        <v>77.040000000000006</v>
      </c>
      <c r="K558" s="19"/>
      <c r="L558" s="19"/>
      <c r="M558" s="19"/>
    </row>
    <row r="559" spans="1:13" ht="15" customHeight="1" thickBot="1" x14ac:dyDescent="0.25">
      <c r="A559" s="19"/>
      <c r="B559" s="19"/>
      <c r="C559" s="19"/>
      <c r="D559" s="20" t="s">
        <v>1332</v>
      </c>
      <c r="E559" s="5" t="s">
        <v>1333</v>
      </c>
      <c r="F559" s="3">
        <v>4</v>
      </c>
      <c r="G559" s="17"/>
      <c r="H559" s="17">
        <v>42.8</v>
      </c>
      <c r="I559" s="17">
        <v>0.8</v>
      </c>
      <c r="J559" s="26">
        <f>ROUND(F559*H559*I559,3)</f>
        <v>136.96</v>
      </c>
      <c r="K559" s="19"/>
      <c r="L559" s="19"/>
      <c r="M559" s="19"/>
    </row>
    <row r="560" spans="1:13" ht="21.2" customHeight="1" thickBot="1" x14ac:dyDescent="0.25">
      <c r="A560" s="19"/>
      <c r="B560" s="19"/>
      <c r="C560" s="19"/>
      <c r="D560" s="20" t="s">
        <v>1334</v>
      </c>
      <c r="E560" s="5" t="s">
        <v>1335</v>
      </c>
      <c r="F560" s="3">
        <v>60</v>
      </c>
      <c r="G560" s="17"/>
      <c r="H560" s="17">
        <v>0.9</v>
      </c>
      <c r="I560" s="17">
        <v>0.8</v>
      </c>
      <c r="J560" s="26">
        <f>ROUND(F560*H560*I560,3)</f>
        <v>43.2</v>
      </c>
      <c r="K560" s="29">
        <f>SUM(J557:J560)</f>
        <v>388.23999999999995</v>
      </c>
      <c r="L560" s="19"/>
      <c r="M560" s="19"/>
    </row>
    <row r="561" spans="1:13" ht="15.4" customHeight="1" thickBot="1" x14ac:dyDescent="0.25">
      <c r="A561" s="10" t="s">
        <v>1336</v>
      </c>
      <c r="B561" s="5" t="s">
        <v>1337</v>
      </c>
      <c r="C561" s="5" t="s">
        <v>1338</v>
      </c>
      <c r="D561" s="45" t="s">
        <v>1339</v>
      </c>
      <c r="E561" s="45"/>
      <c r="F561" s="45"/>
      <c r="G561" s="45"/>
      <c r="H561" s="45"/>
      <c r="I561" s="45"/>
      <c r="J561" s="45"/>
      <c r="K561" s="17">
        <f>ROUND(2,2)</f>
        <v>2</v>
      </c>
      <c r="L561" s="18">
        <f>ROUND(297.16*(1+M2/100),2)</f>
        <v>306.07</v>
      </c>
      <c r="M561" s="18">
        <f>ROUND(K561*L561,2)</f>
        <v>612.14</v>
      </c>
    </row>
    <row r="562" spans="1:13" ht="48.75" customHeight="1" thickBot="1" x14ac:dyDescent="0.25">
      <c r="A562" s="19"/>
      <c r="B562" s="19"/>
      <c r="C562" s="19"/>
      <c r="D562" s="45" t="s">
        <v>1340</v>
      </c>
      <c r="E562" s="45"/>
      <c r="F562" s="45"/>
      <c r="G562" s="45"/>
      <c r="H562" s="45"/>
      <c r="I562" s="45"/>
      <c r="J562" s="45"/>
      <c r="K562" s="45"/>
      <c r="L562" s="45"/>
      <c r="M562" s="45"/>
    </row>
    <row r="563" spans="1:13" ht="15.4" customHeight="1" thickBot="1" x14ac:dyDescent="0.25">
      <c r="A563" s="10" t="s">
        <v>1341</v>
      </c>
      <c r="B563" s="5" t="s">
        <v>1342</v>
      </c>
      <c r="C563" s="5" t="s">
        <v>1343</v>
      </c>
      <c r="D563" s="45" t="s">
        <v>1344</v>
      </c>
      <c r="E563" s="45"/>
      <c r="F563" s="45"/>
      <c r="G563" s="45"/>
      <c r="H563" s="45"/>
      <c r="I563" s="45"/>
      <c r="J563" s="45"/>
      <c r="K563" s="17">
        <f>ROUND(1,2)</f>
        <v>1</v>
      </c>
      <c r="L563" s="18">
        <f>ROUND(503.15*(1+M2/100),2)</f>
        <v>518.24</v>
      </c>
      <c r="M563" s="18">
        <f>ROUND(K563*L563,2)</f>
        <v>518.24</v>
      </c>
    </row>
    <row r="564" spans="1:13" ht="76.349999999999994" customHeight="1" thickBot="1" x14ac:dyDescent="0.25">
      <c r="A564" s="19"/>
      <c r="B564" s="19"/>
      <c r="C564" s="19"/>
      <c r="D564" s="45" t="s">
        <v>1345</v>
      </c>
      <c r="E564" s="45"/>
      <c r="F564" s="45"/>
      <c r="G564" s="45"/>
      <c r="H564" s="45"/>
      <c r="I564" s="45"/>
      <c r="J564" s="45"/>
      <c r="K564" s="45"/>
      <c r="L564" s="45"/>
      <c r="M564" s="45"/>
    </row>
    <row r="565" spans="1:13" ht="15.4" customHeight="1" thickBot="1" x14ac:dyDescent="0.25">
      <c r="A565" s="31"/>
      <c r="B565" s="31"/>
      <c r="C565" s="31"/>
      <c r="D565" s="32" t="s">
        <v>1346</v>
      </c>
      <c r="E565" s="33"/>
      <c r="F565" s="33"/>
      <c r="G565" s="33"/>
      <c r="H565" s="33"/>
      <c r="I565" s="33"/>
      <c r="J565" s="33"/>
      <c r="K565" s="33"/>
      <c r="L565" s="34">
        <f>M475+M479+M485+M491+M495+M499+M505+M509+M515+M521+M527+M531+M538+M544+M549+M554+M561+M563</f>
        <v>38215.969999999994</v>
      </c>
      <c r="M565" s="34">
        <f>ROUND(L565,2)</f>
        <v>38215.97</v>
      </c>
    </row>
    <row r="566" spans="1:13" ht="15.4" customHeight="1" thickBot="1" x14ac:dyDescent="0.25">
      <c r="A566" s="38"/>
      <c r="B566" s="38"/>
      <c r="C566" s="38"/>
      <c r="D566" s="39" t="s">
        <v>1347</v>
      </c>
      <c r="E566" s="40"/>
      <c r="F566" s="40"/>
      <c r="G566" s="40"/>
      <c r="H566" s="40"/>
      <c r="I566" s="40"/>
      <c r="J566" s="40"/>
      <c r="K566" s="40"/>
      <c r="L566" s="41">
        <f>M140+M156+M158+M188+M196+M244+M324+M360+M384+M443+M463+M469+M473+M565</f>
        <v>277197.55</v>
      </c>
      <c r="M566" s="41">
        <f>ROUND(L566,2)</f>
        <v>277197.55</v>
      </c>
    </row>
  </sheetData>
  <mergeCells count="199">
    <mergeCell ref="D564:M564"/>
    <mergeCell ref="D544:J544"/>
    <mergeCell ref="D545:M545"/>
    <mergeCell ref="D549:J549"/>
    <mergeCell ref="D550:M550"/>
    <mergeCell ref="D554:J554"/>
    <mergeCell ref="D555:M555"/>
    <mergeCell ref="D561:J561"/>
    <mergeCell ref="D562:M562"/>
    <mergeCell ref="D563:J563"/>
    <mergeCell ref="D516:M516"/>
    <mergeCell ref="D521:J521"/>
    <mergeCell ref="D522:M522"/>
    <mergeCell ref="D527:J527"/>
    <mergeCell ref="D528:M528"/>
    <mergeCell ref="D531:J531"/>
    <mergeCell ref="D532:M532"/>
    <mergeCell ref="D538:J538"/>
    <mergeCell ref="D539:M539"/>
    <mergeCell ref="D495:J495"/>
    <mergeCell ref="D496:M496"/>
    <mergeCell ref="D499:J499"/>
    <mergeCell ref="D500:M500"/>
    <mergeCell ref="D505:J505"/>
    <mergeCell ref="D506:M506"/>
    <mergeCell ref="D509:J509"/>
    <mergeCell ref="D510:M510"/>
    <mergeCell ref="D515:J515"/>
    <mergeCell ref="D474:J474"/>
    <mergeCell ref="D475:J475"/>
    <mergeCell ref="D476:M476"/>
    <mergeCell ref="D479:J479"/>
    <mergeCell ref="D480:M480"/>
    <mergeCell ref="D485:J485"/>
    <mergeCell ref="D486:M486"/>
    <mergeCell ref="D491:J491"/>
    <mergeCell ref="D492:M492"/>
    <mergeCell ref="D462:M462"/>
    <mergeCell ref="D464:J464"/>
    <mergeCell ref="D465:J465"/>
    <mergeCell ref="D466:M466"/>
    <mergeCell ref="D467:J467"/>
    <mergeCell ref="D468:M468"/>
    <mergeCell ref="D470:J470"/>
    <mergeCell ref="D471:J471"/>
    <mergeCell ref="D472:M472"/>
    <mergeCell ref="D453:J453"/>
    <mergeCell ref="D454:M454"/>
    <mergeCell ref="D455:J455"/>
    <mergeCell ref="D456:M456"/>
    <mergeCell ref="D457:J457"/>
    <mergeCell ref="D458:M458"/>
    <mergeCell ref="D459:J459"/>
    <mergeCell ref="D460:M460"/>
    <mergeCell ref="D461:J461"/>
    <mergeCell ref="D444:J444"/>
    <mergeCell ref="D445:J445"/>
    <mergeCell ref="D446:M446"/>
    <mergeCell ref="D447:J447"/>
    <mergeCell ref="D448:M448"/>
    <mergeCell ref="D449:J449"/>
    <mergeCell ref="D450:M450"/>
    <mergeCell ref="D451:J451"/>
    <mergeCell ref="D452:M452"/>
    <mergeCell ref="D385:J385"/>
    <mergeCell ref="D386:J386"/>
    <mergeCell ref="D387:M387"/>
    <mergeCell ref="D418:J418"/>
    <mergeCell ref="D419:M419"/>
    <mergeCell ref="D428:J428"/>
    <mergeCell ref="D429:M429"/>
    <mergeCell ref="D434:J434"/>
    <mergeCell ref="D435:M435"/>
    <mergeCell ref="D367:M367"/>
    <mergeCell ref="D368:J368"/>
    <mergeCell ref="D369:M369"/>
    <mergeCell ref="D372:J372"/>
    <mergeCell ref="D373:M373"/>
    <mergeCell ref="D376:J376"/>
    <mergeCell ref="D377:M377"/>
    <mergeCell ref="D380:J380"/>
    <mergeCell ref="D381:M381"/>
    <mergeCell ref="D353:M353"/>
    <mergeCell ref="D356:J356"/>
    <mergeCell ref="D357:M357"/>
    <mergeCell ref="D358:J358"/>
    <mergeCell ref="D359:M359"/>
    <mergeCell ref="D361:J361"/>
    <mergeCell ref="D362:J362"/>
    <mergeCell ref="D363:M363"/>
    <mergeCell ref="D366:J366"/>
    <mergeCell ref="D332:J332"/>
    <mergeCell ref="D333:M333"/>
    <mergeCell ref="D339:J339"/>
    <mergeCell ref="D340:M340"/>
    <mergeCell ref="D343:J343"/>
    <mergeCell ref="D344:M344"/>
    <mergeCell ref="D348:J348"/>
    <mergeCell ref="D349:M349"/>
    <mergeCell ref="D352:J352"/>
    <mergeCell ref="D293:J293"/>
    <mergeCell ref="D294:M294"/>
    <mergeCell ref="D305:J305"/>
    <mergeCell ref="D306:M306"/>
    <mergeCell ref="D319:J319"/>
    <mergeCell ref="D320:M320"/>
    <mergeCell ref="D325:J325"/>
    <mergeCell ref="D326:J326"/>
    <mergeCell ref="D327:M327"/>
    <mergeCell ref="D247:M247"/>
    <mergeCell ref="D258:J258"/>
    <mergeCell ref="D259:M259"/>
    <mergeCell ref="D266:J266"/>
    <mergeCell ref="D267:M267"/>
    <mergeCell ref="D271:J271"/>
    <mergeCell ref="D272:M272"/>
    <mergeCell ref="D288:J288"/>
    <mergeCell ref="D289:M289"/>
    <mergeCell ref="D208:M208"/>
    <mergeCell ref="D211:J211"/>
    <mergeCell ref="D212:M212"/>
    <mergeCell ref="D236:J236"/>
    <mergeCell ref="D237:M237"/>
    <mergeCell ref="D240:J240"/>
    <mergeCell ref="D241:M241"/>
    <mergeCell ref="D245:J245"/>
    <mergeCell ref="D246:J246"/>
    <mergeCell ref="D193:M193"/>
    <mergeCell ref="D194:J194"/>
    <mergeCell ref="D195:M195"/>
    <mergeCell ref="D197:J197"/>
    <mergeCell ref="D198:J198"/>
    <mergeCell ref="D199:M199"/>
    <mergeCell ref="D203:J203"/>
    <mergeCell ref="D204:M204"/>
    <mergeCell ref="D207:J207"/>
    <mergeCell ref="D169:M169"/>
    <mergeCell ref="D176:J176"/>
    <mergeCell ref="D177:M177"/>
    <mergeCell ref="D186:J186"/>
    <mergeCell ref="D187:M187"/>
    <mergeCell ref="D189:J189"/>
    <mergeCell ref="D190:J190"/>
    <mergeCell ref="D191:M191"/>
    <mergeCell ref="D192:J192"/>
    <mergeCell ref="D151:J151"/>
    <mergeCell ref="D152:M152"/>
    <mergeCell ref="D157:J157"/>
    <mergeCell ref="D159:J159"/>
    <mergeCell ref="D160:J160"/>
    <mergeCell ref="D161:M161"/>
    <mergeCell ref="D164:J164"/>
    <mergeCell ref="D165:M165"/>
    <mergeCell ref="D168:J168"/>
    <mergeCell ref="D136:J136"/>
    <mergeCell ref="D137:M137"/>
    <mergeCell ref="D138:J138"/>
    <mergeCell ref="D139:M139"/>
    <mergeCell ref="D141:J141"/>
    <mergeCell ref="D142:J142"/>
    <mergeCell ref="D143:M143"/>
    <mergeCell ref="D146:J146"/>
    <mergeCell ref="D147:M147"/>
    <mergeCell ref="D103:M103"/>
    <mergeCell ref="D106:J106"/>
    <mergeCell ref="D107:M107"/>
    <mergeCell ref="D110:J110"/>
    <mergeCell ref="D111:M111"/>
    <mergeCell ref="D120:J120"/>
    <mergeCell ref="D121:M121"/>
    <mergeCell ref="D132:J132"/>
    <mergeCell ref="D133:M133"/>
    <mergeCell ref="D62:J62"/>
    <mergeCell ref="D63:M63"/>
    <mergeCell ref="D70:J70"/>
    <mergeCell ref="D71:M71"/>
    <mergeCell ref="D78:J78"/>
    <mergeCell ref="D79:M79"/>
    <mergeCell ref="D80:J80"/>
    <mergeCell ref="D81:M81"/>
    <mergeCell ref="D102:J102"/>
    <mergeCell ref="D25:M25"/>
    <mergeCell ref="D34:J34"/>
    <mergeCell ref="D35:M35"/>
    <mergeCell ref="D50:J50"/>
    <mergeCell ref="D51:M51"/>
    <mergeCell ref="D54:J54"/>
    <mergeCell ref="D55:M55"/>
    <mergeCell ref="D60:J60"/>
    <mergeCell ref="D61:M61"/>
    <mergeCell ref="B1:M1"/>
    <mergeCell ref="A2:C2"/>
    <mergeCell ref="D4:J4"/>
    <mergeCell ref="D5:J5"/>
    <mergeCell ref="D6:J6"/>
    <mergeCell ref="D7:M7"/>
    <mergeCell ref="D18:J18"/>
    <mergeCell ref="D19:M19"/>
    <mergeCell ref="D24:J24"/>
  </mergeCells>
  <pageMargins left="0.62007900000000005" right="0.472441" top="0.472441" bottom="0.472441" header="0" footer="0"/>
  <pageSetup paperSize="9" orientation="landscape" r:id="rId1"/>
  <rowBreaks count="2" manualBreakCount="2">
    <brk max="16383" man="1"/>
    <brk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5DF671B6C40241BE905647FFFB84EC" ma:contentTypeVersion="18" ma:contentTypeDescription="Crea un document nou" ma:contentTypeScope="" ma:versionID="82744d4e69ee90a715d9d53ac479775d">
  <xsd:schema xmlns:xsd="http://www.w3.org/2001/XMLSchema" xmlns:xs="http://www.w3.org/2001/XMLSchema" xmlns:p="http://schemas.microsoft.com/office/2006/metadata/properties" xmlns:ns2="48bd9967-9f07-4965-b0a3-6b12db914af3" xmlns:ns3="3d05c850-7178-4795-a811-e1b5fefbfcba" targetNamespace="http://schemas.microsoft.com/office/2006/metadata/properties" ma:root="true" ma:fieldsID="244f604d2720375786d982b4699323dd" ns2:_="" ns3:_="">
    <xsd:import namespace="48bd9967-9f07-4965-b0a3-6b12db914af3"/>
    <xsd:import namespace="3d05c850-7178-4795-a811-e1b5fefbf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bd9967-9f07-4965-b0a3-6b12db914a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34c01127-bdf0-454e-9077-a20ba63b60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5c850-7178-4795-a811-e1b5fefbfcb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4a304de-0cc7-4efb-8e73-915d11a8a248}" ma:internalName="TaxCatchAll" ma:showField="CatchAllData" ma:web="3d05c850-7178-4795-a811-e1b5fefbfcba">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05c850-7178-4795-a811-e1b5fefbfcba" xsi:nil="true"/>
    <lcf76f155ced4ddcb4097134ff3c332f xmlns="48bd9967-9f07-4965-b0a3-6b12db914a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2F7AE-361D-40C9-A05C-113C417DDFE2}"/>
</file>

<file path=customXml/itemProps2.xml><?xml version="1.0" encoding="utf-8"?>
<ds:datastoreItem xmlns:ds="http://schemas.openxmlformats.org/officeDocument/2006/customXml" ds:itemID="{5A1DB3A3-5328-444A-99AB-2E5ED6A39180}"/>
</file>

<file path=customXml/itemProps3.xml><?xml version="1.0" encoding="utf-8"?>
<ds:datastoreItem xmlns:ds="http://schemas.openxmlformats.org/officeDocument/2006/customXml" ds:itemID="{14F6A6C2-5A60-4105-A0F6-B0F44FADC8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Marta Humet Oliva</cp:lastModifiedBy>
  <dcterms:created xsi:type="dcterms:W3CDTF">2025-11-13T10:45:27Z</dcterms:created>
  <dcterms:modified xsi:type="dcterms:W3CDTF">2025-11-13T10:45:27Z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0x010100E75DF671B6C40241BE905647FFFB84EC</vt:lpwstr>
  </property>
</Properties>
</file>