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V:\documents contractació\2025-79\DOCUMENTACIÓ ANONIMITZADA\"/>
    </mc:Choice>
  </mc:AlternateContent>
  <xr:revisionPtr revIDLastSave="0" documentId="8_{8483CE4C-42DD-4DC2-9E07-99A17A14533E}" xr6:coauthVersionLast="47" xr6:coauthVersionMax="47" xr10:uidLastSave="{00000000-0000-0000-0000-000000000000}"/>
  <bookViews>
    <workbookView xWindow="-27765" yWindow="390" windowWidth="21600" windowHeight="11295" xr2:uid="{00000000-000D-0000-FFFF-FFFF00000000}"/>
  </bookViews>
  <sheets>
    <sheet name="Full 1" sheetId="1" r:id="rId1"/>
  </sheets>
  <calcPr calcId="181029"/>
</workbook>
</file>

<file path=xl/calcChain.xml><?xml version="1.0" encoding="utf-8"?>
<calcChain xmlns="http://schemas.openxmlformats.org/spreadsheetml/2006/main">
  <c r="L90" i="1" l="1"/>
  <c r="K90" i="1"/>
  <c r="M90" i="1" s="1"/>
  <c r="L88" i="1"/>
  <c r="K88" i="1"/>
  <c r="M88" i="1" s="1"/>
  <c r="L86" i="1"/>
  <c r="K86" i="1"/>
  <c r="M86" i="1" s="1"/>
  <c r="L84" i="1"/>
  <c r="M84" i="1" s="1"/>
  <c r="M83" i="1"/>
  <c r="L83" i="1"/>
  <c r="L82" i="1"/>
  <c r="M82" i="1" s="1"/>
  <c r="L81" i="1"/>
  <c r="M81" i="1" s="1"/>
  <c r="L80" i="1"/>
  <c r="M80" i="1" s="1"/>
  <c r="L79" i="1"/>
  <c r="M79" i="1" s="1"/>
  <c r="K78" i="1"/>
  <c r="K74" i="1" s="1"/>
  <c r="J78" i="1"/>
  <c r="J77" i="1"/>
  <c r="L72" i="1"/>
  <c r="M72" i="1" s="1"/>
  <c r="L71" i="1"/>
  <c r="M71" i="1" s="1"/>
  <c r="L70" i="1"/>
  <c r="M70" i="1" s="1"/>
  <c r="L69" i="1"/>
  <c r="M69" i="1" s="1"/>
  <c r="J67" i="1"/>
  <c r="J66" i="1"/>
  <c r="K68" i="1" s="1"/>
  <c r="K63" i="1" s="1"/>
  <c r="L61" i="1"/>
  <c r="M61" i="1" s="1"/>
  <c r="L60" i="1"/>
  <c r="M60" i="1" s="1"/>
  <c r="L59" i="1"/>
  <c r="M59" i="1" s="1"/>
  <c r="L58" i="1"/>
  <c r="M58" i="1" s="1"/>
  <c r="J57" i="1"/>
  <c r="J56" i="1"/>
  <c r="L51" i="1"/>
  <c r="M51" i="1" s="1"/>
  <c r="L50" i="1"/>
  <c r="M50" i="1" s="1"/>
  <c r="L49" i="1"/>
  <c r="M49" i="1" s="1"/>
  <c r="L48" i="1"/>
  <c r="M48" i="1" s="1"/>
  <c r="L47" i="1"/>
  <c r="M47" i="1" s="1"/>
  <c r="K46" i="1"/>
  <c r="J46" i="1"/>
  <c r="J45" i="1"/>
  <c r="K42" i="1"/>
  <c r="L38" i="1"/>
  <c r="M38" i="1" s="1"/>
  <c r="L37" i="1"/>
  <c r="M37" i="1" s="1"/>
  <c r="L36" i="1"/>
  <c r="M36" i="1" s="1"/>
  <c r="J35" i="1"/>
  <c r="K35" i="1" s="1"/>
  <c r="K31" i="1" s="1"/>
  <c r="J34" i="1"/>
  <c r="L29" i="1"/>
  <c r="M29" i="1" s="1"/>
  <c r="L28" i="1"/>
  <c r="M28" i="1" s="1"/>
  <c r="L27" i="1"/>
  <c r="M27" i="1" s="1"/>
  <c r="L26" i="1"/>
  <c r="M26" i="1" s="1"/>
  <c r="L25" i="1"/>
  <c r="M25" i="1" s="1"/>
  <c r="L24" i="1"/>
  <c r="M24" i="1" s="1"/>
  <c r="L23" i="1"/>
  <c r="M23" i="1" s="1"/>
  <c r="L22" i="1"/>
  <c r="M22" i="1" s="1"/>
  <c r="J21" i="1"/>
  <c r="J20" i="1"/>
  <c r="L15" i="1"/>
  <c r="M15" i="1" s="1"/>
  <c r="L14" i="1"/>
  <c r="M14" i="1" s="1"/>
  <c r="L13" i="1"/>
  <c r="M13" i="1" s="1"/>
  <c r="L12" i="1"/>
  <c r="M12" i="1" s="1"/>
  <c r="L11" i="1"/>
  <c r="M11" i="1" s="1"/>
  <c r="L16" i="1" s="1"/>
  <c r="J10" i="1"/>
  <c r="J9" i="1"/>
  <c r="K10" i="1" s="1"/>
  <c r="K6" i="1" s="1"/>
  <c r="K21" i="1" l="1"/>
  <c r="K17" i="1" s="1"/>
  <c r="L39" i="1"/>
  <c r="L62" i="1"/>
  <c r="L73" i="1"/>
  <c r="L30" i="1"/>
  <c r="L17" i="1" s="1"/>
  <c r="M17" i="1" s="1"/>
  <c r="K57" i="1"/>
  <c r="K53" i="1" s="1"/>
  <c r="M53" i="1" s="1"/>
  <c r="L63" i="1"/>
  <c r="M73" i="1"/>
  <c r="M39" i="1"/>
  <c r="L31" i="1"/>
  <c r="M62" i="1"/>
  <c r="L53" i="1"/>
  <c r="L52" i="1"/>
  <c r="L85" i="1"/>
  <c r="M16" i="1"/>
  <c r="L6" i="1"/>
  <c r="M6" i="1" s="1"/>
  <c r="M63" i="1"/>
  <c r="M31" i="1"/>
  <c r="M30" i="1" l="1"/>
  <c r="M52" i="1"/>
  <c r="L42" i="1"/>
  <c r="M42" i="1" s="1"/>
  <c r="L40" i="1"/>
  <c r="M85" i="1"/>
  <c r="L74" i="1"/>
  <c r="M74" i="1" s="1"/>
  <c r="L92" i="1" l="1"/>
  <c r="M40" i="1"/>
  <c r="L5" i="1"/>
  <c r="M5" i="1" s="1"/>
  <c r="L41" i="1" l="1"/>
  <c r="M41" i="1" s="1"/>
  <c r="M92" i="1"/>
  <c r="L93" i="1" s="1"/>
  <c r="M93" i="1" l="1"/>
  <c r="L4" i="1"/>
  <c r="M4" i="1" s="1"/>
</calcChain>
</file>

<file path=xl/sharedStrings.xml><?xml version="1.0" encoding="utf-8"?>
<sst xmlns="http://schemas.openxmlformats.org/spreadsheetml/2006/main" count="270" uniqueCount="270">
  <si>
    <t>Obra:</t>
  </si>
  <si>
    <t>ENLLUMENAT PARC CANYELLES</t>
  </si>
  <si>
    <t>Pressupost</t>
  </si>
  <si>
    <t>% C.I.</t>
  </si>
  <si>
    <t>Codi</t>
  </si>
  <si>
    <t>Tipus</t>
  </si>
  <si>
    <t>U</t>
  </si>
  <si>
    <t>Resum</t>
  </si>
  <si>
    <t>Quantitat</t>
  </si>
  <si>
    <t>Preu (€)</t>
  </si>
  <si>
    <t>Import (€)</t>
  </si>
  <si>
    <t>ENLLUMENAT PARC CANYELLES</t>
  </si>
  <si>
    <t>Capítol</t>
  </si>
  <si>
    <t>01</t>
  </si>
  <si>
    <t>Capítol</t>
  </si>
  <si>
    <t>LLUMENERES I COLUMNES</t>
  </si>
  <si>
    <t>PHNH-B5WSb</t>
  </si>
  <si>
    <t>Partida</t>
  </si>
  <si>
    <t>u</t>
  </si>
  <si>
    <t>Luminaria LED p/vial distrib.asimétrica,Luminaria INNOVA B 40W asimétrica extensiva 3000K O EQUIVALENT.acoplaT extrem suport</t>
  </si>
  <si>
    <t>Subministrament i instal.lació de lluminària ambiental de disseny innovador i perfil estret, INNOVA B de BENITO o equivalent, dimensions (Lx Ax H) 570x470x760 mm, 9 kg, potència 40 W, distribució lumínica asimètric super-extensiu, regulació i control programable multinivell, temperatura de color 3000K, alta eficiència, gran capacitat de dissipació tèrmica, robustesa i fiabilitat. Doble cavitat: Driver i Grup Òptic, obertura fàcil sense eines, estàndard Zhaga (Book 15), Ready 4IoT. Preparada per a la connectivitat i qualsevol sistema de telegestió. Per a aplicacions com: carrers residencials, places i zones enjardinades, carrils bici i zones 30, per a fixació a columna mitjançant ròtula, braç o suspesa.
El compromís amb la protecció de l'entorn, el respecte del medi ambient, l'eficiència en el consum de recursos energètics o la seguretat i la salut laboral dels treballadors són requisits que ha de complir l'empresa subministradora del producte i per acreditar-ho, ha de disposar de les certificacions de Gestió de Qualitat ISO 9001-2015, Ambiental ISO 14001:2015, Seguretat i Salut en el Treball ISO 45001: 2018 i gestió energètica ISO 50001: 2018.</t>
  </si>
  <si>
    <t>Uts.</t>
  </si>
  <si>
    <t>Llargada</t>
  </si>
  <si>
    <t>Amplada</t>
  </si>
  <si>
    <t>Alçada</t>
  </si>
  <si>
    <t>Parcial</t>
  </si>
  <si>
    <t>Subtotal</t>
  </si>
  <si>
    <t>tram 1 de pk a pk</t>
  </si>
  <si>
    <t>tram 2 capcir tennis</t>
  </si>
  <si>
    <t>A01-FEPD</t>
  </si>
  <si>
    <t>Mà d'obra</t>
  </si>
  <si>
    <t>h</t>
  </si>
  <si>
    <t>Ayudante electricista</t>
  </si>
  <si>
    <t>A0F-000E</t>
  </si>
  <si>
    <t>Mà d'obra</t>
  </si>
  <si>
    <t>h</t>
  </si>
  <si>
    <t>Oficial 1a electricista</t>
  </si>
  <si>
    <t>A%AUX001</t>
  </si>
  <si>
    <t>%</t>
  </si>
  <si>
    <t>Gastos auxiliares sobre la mano de obra</t>
  </si>
  <si>
    <t>PBENALIB30AEMN3</t>
  </si>
  <si>
    <t>Material</t>
  </si>
  <si>
    <t>u</t>
  </si>
  <si>
    <t>Luminaria INNOVA B 30W asimétrica extensiva 3000K. inclou NODE OnField (comunicación vía bluetooth).</t>
  </si>
  <si>
    <t>PBSR001</t>
  </si>
  <si>
    <t>Material</t>
  </si>
  <si>
    <t>u</t>
  </si>
  <si>
    <t>Control OnField Outdoor Zhaga</t>
  </si>
  <si>
    <t>PHNH-B5WSb</t>
  </si>
  <si>
    <t>PHM2-DBETb</t>
  </si>
  <si>
    <t>Partida</t>
  </si>
  <si>
    <t>u</t>
  </si>
  <si>
    <t>Subministrament i instal.lació de Columna CILÍNDRICA de BENITO o equivalent, alçada 4000mm, fabricada en acer S-235 JR galvanitzada en calent, per instal·lar lluminària TOP amb fixació Ø60mm. Inclou dau de formigó i perns.</t>
  </si>
  <si>
    <t>Subministrament i instal.lació de Columna CILÍNDRICA de BENITO, alçada 4000mm, fabricada en acer S-235 JR galvanitzada en calent, per instal·lar lluminària TOP amb fixació Ø60mm. Inclou dau de formigó.
El compromís amb la protecció de l'entorn, el respecte del medi ambient, l'eficiència en el consum de recursos energètics o la seguretat i la salut laboral dels treballadors són requisits que ha de complir l'empresa subministradora del producte i per acreditar-ho, ha de disposar de les certificacions de Gestió de Qualitat ISO 9001-2015, Ambiental ISO 14001:2015, Seguretat i Salut en el Treball ISO 45001: 2018 i gestió energètica ISO 50001: 2018.</t>
  </si>
  <si>
    <t>Uts.</t>
  </si>
  <si>
    <t>Llargada</t>
  </si>
  <si>
    <t>Amplada</t>
  </si>
  <si>
    <t>Alçada</t>
  </si>
  <si>
    <t>Parcial</t>
  </si>
  <si>
    <t>Subtotal</t>
  </si>
  <si>
    <t>tram 1 de pk a pk</t>
  </si>
  <si>
    <t>tram 2 capcir tennis</t>
  </si>
  <si>
    <t>A01-FEPD</t>
  </si>
  <si>
    <t>Mà d'obra</t>
  </si>
  <si>
    <t>h</t>
  </si>
  <si>
    <t>Ayudante electricista</t>
  </si>
  <si>
    <t>A0D-0007</t>
  </si>
  <si>
    <t>Mà d'obra</t>
  </si>
  <si>
    <t>h</t>
  </si>
  <si>
    <t>Peón</t>
  </si>
  <si>
    <t>A0F-000E</t>
  </si>
  <si>
    <t>Mà d'obra</t>
  </si>
  <si>
    <t>h</t>
  </si>
  <si>
    <t>Oficial 1a electricista</t>
  </si>
  <si>
    <t>B06F1-I4HH</t>
  </si>
  <si>
    <t>Material</t>
  </si>
  <si>
    <t>m3</t>
  </si>
  <si>
    <t>Hormigón en masa HM - 20 / B / 10 / X0 cant.cemento 200kg/m3, agua/cemento =&lt; 0.6</t>
  </si>
  <si>
    <t>BHW8-06IY</t>
  </si>
  <si>
    <t>Material</t>
  </si>
  <si>
    <t>u</t>
  </si>
  <si>
    <t>P.p.accesorios p/columnas</t>
  </si>
  <si>
    <t>C150-002X</t>
  </si>
  <si>
    <t>Maquinària</t>
  </si>
  <si>
    <t>h</t>
  </si>
  <si>
    <t>Camión cesta h=10m</t>
  </si>
  <si>
    <t>A%AUX001</t>
  </si>
  <si>
    <t>%</t>
  </si>
  <si>
    <t>Gastos auxiliares sobre la mano de obra</t>
  </si>
  <si>
    <t>PBENICCL40ES1SPP</t>
  </si>
  <si>
    <t>Material</t>
  </si>
  <si>
    <t>u</t>
  </si>
  <si>
    <t>Columna galvanitzada CILINDRICA, 4m, para lum. TOP Ø60mm</t>
  </si>
  <si>
    <t>PHM2-DBETb</t>
  </si>
  <si>
    <t>PHSR-0001</t>
  </si>
  <si>
    <t>Partida</t>
  </si>
  <si>
    <t>u</t>
  </si>
  <si>
    <t>Subministrament i instal.alció de Sensor de Presencia Programable Zhaga</t>
  </si>
  <si>
    <t>Subministrament i instal.alció de Sensor de Presencia Programable Zhaga</t>
  </si>
  <si>
    <t>Uts.</t>
  </si>
  <si>
    <t>Llargada</t>
  </si>
  <si>
    <t>Amplada</t>
  </si>
  <si>
    <t>Alçada</t>
  </si>
  <si>
    <t>Parcial</t>
  </si>
  <si>
    <t>Subtotal</t>
  </si>
  <si>
    <t>tram 1 de pk a pk</t>
  </si>
  <si>
    <t>tram 2 capcir tennis</t>
  </si>
  <si>
    <t>A01-FEPD</t>
  </si>
  <si>
    <t>Mà d'obra</t>
  </si>
  <si>
    <t>h</t>
  </si>
  <si>
    <t>Ayudante electricista</t>
  </si>
  <si>
    <t>A0F-000E</t>
  </si>
  <si>
    <t>Mà d'obra</t>
  </si>
  <si>
    <t>h</t>
  </si>
  <si>
    <t>Oficial 1a electricista</t>
  </si>
  <si>
    <t>BHSR-0001</t>
  </si>
  <si>
    <t>Material</t>
  </si>
  <si>
    <t>u</t>
  </si>
  <si>
    <t>Sensor de Presencia Programable Zhaga</t>
  </si>
  <si>
    <t>PHSR-0001</t>
  </si>
  <si>
    <t>01</t>
  </si>
  <si>
    <t>02</t>
  </si>
  <si>
    <t>Capítol</t>
  </si>
  <si>
    <t>RASA I CABLEJAT</t>
  </si>
  <si>
    <t>PG3B-E7E0</t>
  </si>
  <si>
    <t>Partida</t>
  </si>
  <si>
    <t>m</t>
  </si>
  <si>
    <t>Conductor Cu nu,1x6mm2,munt.p.terra</t>
  </si>
  <si>
    <t>Conductor de coure nu, unipolar de secció 1x6 mm2, muntat en malla de connexió a terra</t>
  </si>
  <si>
    <t>Uts.</t>
  </si>
  <si>
    <t>Llargada</t>
  </si>
  <si>
    <t>Amplada</t>
  </si>
  <si>
    <t>Alçada</t>
  </si>
  <si>
    <t>Parcial</t>
  </si>
  <si>
    <t>Subtotal</t>
  </si>
  <si>
    <t>tram 1 de pk a pk</t>
  </si>
  <si>
    <t>tram 2 capcir tennis</t>
  </si>
  <si>
    <t>A01-FEPD</t>
  </si>
  <si>
    <t>Mà d'obra</t>
  </si>
  <si>
    <t>h</t>
  </si>
  <si>
    <t>Ayudante electricista</t>
  </si>
  <si>
    <t>A0F-000E</t>
  </si>
  <si>
    <t>Mà d'obra</t>
  </si>
  <si>
    <t>h</t>
  </si>
  <si>
    <t>Oficial 1a electricista</t>
  </si>
  <si>
    <t>BG3I-06VY</t>
  </si>
  <si>
    <t>Material</t>
  </si>
  <si>
    <t>m</t>
  </si>
  <si>
    <t>Conductor Cu nu,1x6mm2</t>
  </si>
  <si>
    <t>BGY3-0B2S</t>
  </si>
  <si>
    <t>Material</t>
  </si>
  <si>
    <t>u</t>
  </si>
  <si>
    <t>P.p.elem.especials p/conduc.Cu.nus</t>
  </si>
  <si>
    <t>A%AUX001</t>
  </si>
  <si>
    <t>%</t>
  </si>
  <si>
    <t>Gastos auxiliares sobre la mano de obra</t>
  </si>
  <si>
    <t>PG3B-E7E0</t>
  </si>
  <si>
    <t>PG2N-EUG9</t>
  </si>
  <si>
    <t>Partida</t>
  </si>
  <si>
    <t>m</t>
  </si>
  <si>
    <t>Tub corbable corrugat polietilè,doble capa,DN=90mm,20J,450N,com a canalització soterrada</t>
  </si>
  <si>
    <t>Tub corbable corrugat de polietilè, de doble capa, llisa la interior i corrugada l'exterior, de 90 mm de diàmetre nominal, aïllant i no propagador de la flama, resistència a l'impacte de 20 J, resistència a compressió de 450 N, muntat com a canalització soterrada</t>
  </si>
  <si>
    <t>Uts.</t>
  </si>
  <si>
    <t>Llargada</t>
  </si>
  <si>
    <t>Amplada</t>
  </si>
  <si>
    <t>Alçada</t>
  </si>
  <si>
    <t>Parcial</t>
  </si>
  <si>
    <t>Subtotal</t>
  </si>
  <si>
    <t>tram 1 de pk a pk</t>
  </si>
  <si>
    <t>tram 2 capcir tennis</t>
  </si>
  <si>
    <t>A01-FEPD</t>
  </si>
  <si>
    <t>Mà d'obra</t>
  </si>
  <si>
    <t>h</t>
  </si>
  <si>
    <t>Ayudante electricista</t>
  </si>
  <si>
    <t>A0F-000E</t>
  </si>
  <si>
    <t>Mà d'obra</t>
  </si>
  <si>
    <t>h</t>
  </si>
  <si>
    <t>Oficial 1a electricista</t>
  </si>
  <si>
    <t>BG2Q-1KTE</t>
  </si>
  <si>
    <t>Material</t>
  </si>
  <si>
    <t>m</t>
  </si>
  <si>
    <t>Tub corbable corrugat polietilè,doble capa,DN=90mm,20J,450N,p/canal.soterrada</t>
  </si>
  <si>
    <t>A%AUX001</t>
  </si>
  <si>
    <t>%</t>
  </si>
  <si>
    <t>Gastos auxiliares sobre la mano de obra</t>
  </si>
  <si>
    <t>PG2N-EUG9</t>
  </si>
  <si>
    <t>PG33-E6Q5</t>
  </si>
  <si>
    <t>Partida</t>
  </si>
  <si>
    <t>m</t>
  </si>
  <si>
    <t>Cable amb conductor de coure de 0,6/1 kV de tensió assignada, amb designació RV-K, unipolar, de secció 1 x 6 mm2, amb coberta del cable de PVC,col·locat en tub</t>
  </si>
  <si>
    <t>Cable amb conductor de coure de 0,6/1 kV de tensió assignada, amb designació RV-K, unipolar, de secció 1 x 6 mm2, amb coberta del cable de PVC, col·locat en tub</t>
  </si>
  <si>
    <t>Uts.</t>
  </si>
  <si>
    <t>Llargada</t>
  </si>
  <si>
    <t>Amplada</t>
  </si>
  <si>
    <t>Alçada</t>
  </si>
  <si>
    <t>Parcial</t>
  </si>
  <si>
    <t>Subtotal</t>
  </si>
  <si>
    <t>tram 1 de pk a pk monof</t>
  </si>
  <si>
    <t>tram 2 capcir tennis monof</t>
  </si>
  <si>
    <t>0</t>
  </si>
  <si>
    <t>A01-FEPD</t>
  </si>
  <si>
    <t>Mà d'obra</t>
  </si>
  <si>
    <t>h</t>
  </si>
  <si>
    <t>Ayudante electricista</t>
  </si>
  <si>
    <t>A0F-000E</t>
  </si>
  <si>
    <t>Mà d'obra</t>
  </si>
  <si>
    <t>h</t>
  </si>
  <si>
    <t>Oficial 1a electricista</t>
  </si>
  <si>
    <t>BG33-G2TA</t>
  </si>
  <si>
    <t>Material</t>
  </si>
  <si>
    <t>m</t>
  </si>
  <si>
    <t>Cable 0,6/1 kV RV-K, 1x6mm2</t>
  </si>
  <si>
    <t>A%AUX001</t>
  </si>
  <si>
    <t>%</t>
  </si>
  <si>
    <t>Gastos auxiliares sobre la mano de obra</t>
  </si>
  <si>
    <t>PG33-E6Q5</t>
  </si>
  <si>
    <t>P221I-M8GE</t>
  </si>
  <si>
    <t>Partida</t>
  </si>
  <si>
    <t>m</t>
  </si>
  <si>
    <t>Excav.rasa instal.40x60cm retro.,rebl.+compact. terres selec.excav. mec. INCLOU CINTA AVIS RISC ELÈCTRIC AL LLARG DE RASA A MÍNIM 0,4M ALÇADA</t>
  </si>
  <si>
    <t>Excavació de rasa per a pas d'instal·lacions de 40 cm d'amplària i 60 cm de fondària, amb retroexcavadora i reblert i compactació amb terres seleccionades de la pròpia excavació, sense pedres amb mitjans mecànics
INCLOU CINTA AVIS RISC ELÈCTRIC AL LLARG DE RASA A MÍNIM 0,4M ALÇADA</t>
  </si>
  <si>
    <t>Uts.</t>
  </si>
  <si>
    <t>Llargada</t>
  </si>
  <si>
    <t>Amplada</t>
  </si>
  <si>
    <t>Alçada</t>
  </si>
  <si>
    <t>Parcial</t>
  </si>
  <si>
    <t>Subtotal</t>
  </si>
  <si>
    <t>tram 1 de pk a pk</t>
  </si>
  <si>
    <t>tram 2 capcir tennis</t>
  </si>
  <si>
    <t>A0D-0007</t>
  </si>
  <si>
    <t>Mà d'obra</t>
  </si>
  <si>
    <t>h</t>
  </si>
  <si>
    <t>Peón</t>
  </si>
  <si>
    <t>A0E-000A</t>
  </si>
  <si>
    <t>Mà d'obra</t>
  </si>
  <si>
    <t>h</t>
  </si>
  <si>
    <t>Manobre especialista</t>
  </si>
  <si>
    <t>C13A-00FP</t>
  </si>
  <si>
    <t>Maquinària</t>
  </si>
  <si>
    <t>h</t>
  </si>
  <si>
    <t>Picó vibrant,plac.30x30cm</t>
  </si>
  <si>
    <t>C13C-00LP</t>
  </si>
  <si>
    <t>Maquinària</t>
  </si>
  <si>
    <t>h</t>
  </si>
  <si>
    <t>Retroexcavadora s/pneumàtics 8 a 10t</t>
  </si>
  <si>
    <t>A%AUX001</t>
  </si>
  <si>
    <t>%</t>
  </si>
  <si>
    <t>Gastos auxiliares sobre la mano de obra</t>
  </si>
  <si>
    <t>B221I0001</t>
  </si>
  <si>
    <t>Material</t>
  </si>
  <si>
    <t>M</t>
  </si>
  <si>
    <t>CINTA  AVIS CABLEJAT ELÈCTRIC GROGA A 0,4 M DE PROF.</t>
  </si>
  <si>
    <t>P221I-M8GE</t>
  </si>
  <si>
    <t>P22SR-0001</t>
  </si>
  <si>
    <t>Partida</t>
  </si>
  <si>
    <t>PA</t>
  </si>
  <si>
    <t>Rasa a paviment de formigó i conversió</t>
  </si>
  <si>
    <t>Rasa a paviment de formigó i conversió.
Inclou subminsitrament i instal.lació de conversió aero soterrada ancorada a façana i amb protecció de tub d'acer .
Inclou tall, demolició i reposició de formigó en rasa de 30cms d'amplada en 7 metres de longitud.
inclou pintat mateix color existent.</t>
  </si>
  <si>
    <t>SR001-0001</t>
  </si>
  <si>
    <t>Partida</t>
  </si>
  <si>
    <t>pa</t>
  </si>
  <si>
    <t>imprevistos 2%</t>
  </si>
  <si>
    <t>imprevistos 2%</t>
  </si>
  <si>
    <t>SR001-0002</t>
  </si>
  <si>
    <t>Partida</t>
  </si>
  <si>
    <t>pa</t>
  </si>
  <si>
    <t>piconatge amb maquinària per trams en pedra</t>
  </si>
  <si>
    <t>piconatge amb maquinària per trams en pedra</t>
  </si>
  <si>
    <t>02</t>
  </si>
  <si>
    <t>ENLLUMENAT PARC CANYELLES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</si>
</sst>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5">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58">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0" fontId="0" fillId="0" borderId="4" xfId="0" applyBorder="1" applyAlignment="1">
      <alignment horizontal="center" vertical="center" wrapText="1"/>
    </xf>
    <xf numFmtId="164" fontId="6" fillId="0" borderId="0" xfId="0" applyNumberFormat="1" applyFont="1" applyAlignment="1">
      <alignment horizontal="right" vertical="top"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6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0" fillId="0" borderId="5" xfId="0" applyBorder="1" applyAlignment="1">
      <alignment horizontal="center" vertical="center"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2" fillId="0" borderId="0" xfId="0" applyFont="1" applyAlignment="1">
      <alignment horizontal="justify" vertical="top" wrapText="1"/>
    </xf>
    <xf numFmtId="0" fontId="2" fillId="0" borderId="2" xfId="0" applyFont="1" applyBorder="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tabSelected="1" view="pageLayout" topLeftCell="A76" workbookViewId="0"/>
  </sheetViews>
  <sheetFormatPr baseColWidth="10" defaultColWidth="11.19921875" defaultRowHeight="15" x14ac:dyDescent="0.2"/>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x14ac:dyDescent="0.25">
      <c r="A1" s="1" t="s">
        <v>0</v>
      </c>
      <c r="B1" s="52" t="s">
        <v>1</v>
      </c>
      <c r="C1" s="52"/>
      <c r="D1" s="52"/>
      <c r="E1" s="52"/>
      <c r="F1" s="52"/>
      <c r="G1" s="52"/>
      <c r="H1" s="52"/>
      <c r="I1" s="52"/>
      <c r="J1" s="52"/>
      <c r="K1" s="52"/>
      <c r="L1" s="52"/>
      <c r="M1" s="52"/>
    </row>
    <row r="2" spans="1:13" ht="17.850000000000001" customHeight="1" thickBot="1" x14ac:dyDescent="0.25">
      <c r="A2" s="52" t="s">
        <v>2</v>
      </c>
      <c r="B2" s="52"/>
      <c r="C2" s="52"/>
      <c r="D2" s="2"/>
      <c r="E2" s="2"/>
      <c r="F2" s="2"/>
      <c r="G2" s="2"/>
      <c r="H2" s="2"/>
      <c r="I2" s="2"/>
      <c r="J2" s="2"/>
      <c r="K2" s="2"/>
      <c r="L2" s="4" t="s">
        <v>3</v>
      </c>
      <c r="M2" s="6">
        <v>3</v>
      </c>
    </row>
    <row r="3" spans="1:13" ht="16.7" customHeight="1" thickBot="1" x14ac:dyDescent="0.25">
      <c r="A3" s="7" t="s">
        <v>4</v>
      </c>
      <c r="B3" s="7" t="s">
        <v>5</v>
      </c>
      <c r="C3" s="7" t="s">
        <v>6</v>
      </c>
      <c r="D3" s="7" t="s">
        <v>7</v>
      </c>
      <c r="E3" s="8"/>
      <c r="F3" s="8"/>
      <c r="G3" s="8"/>
      <c r="H3" s="8"/>
      <c r="I3" s="8"/>
      <c r="J3" s="8"/>
      <c r="K3" s="9" t="s">
        <v>8</v>
      </c>
      <c r="L3" s="9" t="s">
        <v>9</v>
      </c>
      <c r="M3" s="9" t="s">
        <v>10</v>
      </c>
    </row>
    <row r="4" spans="1:13" ht="34.700000000000003" customHeight="1" thickBot="1" x14ac:dyDescent="0.25">
      <c r="A4" s="11" t="s">
        <v>11</v>
      </c>
      <c r="B4" s="11" t="s">
        <v>12</v>
      </c>
      <c r="C4" s="12"/>
      <c r="D4" s="53"/>
      <c r="E4" s="53"/>
      <c r="F4" s="53"/>
      <c r="G4" s="53"/>
      <c r="H4" s="53"/>
      <c r="I4" s="53"/>
      <c r="J4" s="53"/>
      <c r="K4" s="12"/>
      <c r="L4" s="13">
        <f>L93</f>
        <v>34670.9</v>
      </c>
      <c r="M4" s="13">
        <f>ROUND(L4,2)</f>
        <v>34670.9</v>
      </c>
    </row>
    <row r="5" spans="1:13" ht="15.4" customHeight="1" thickBot="1" x14ac:dyDescent="0.25">
      <c r="A5" s="14" t="s">
        <v>13</v>
      </c>
      <c r="B5" s="14" t="s">
        <v>14</v>
      </c>
      <c r="C5" s="15"/>
      <c r="D5" s="54" t="s">
        <v>15</v>
      </c>
      <c r="E5" s="54"/>
      <c r="F5" s="54"/>
      <c r="G5" s="54"/>
      <c r="H5" s="54"/>
      <c r="I5" s="54"/>
      <c r="J5" s="54"/>
      <c r="K5" s="15"/>
      <c r="L5" s="16">
        <f>L40</f>
        <v>20394.899999999998</v>
      </c>
      <c r="M5" s="16">
        <f>ROUND(L5,2)</f>
        <v>20394.900000000001</v>
      </c>
    </row>
    <row r="6" spans="1:13" ht="21.4" customHeight="1" thickBot="1" x14ac:dyDescent="0.25">
      <c r="A6" s="10" t="s">
        <v>16</v>
      </c>
      <c r="B6" s="5" t="s">
        <v>17</v>
      </c>
      <c r="C6" s="5" t="s">
        <v>18</v>
      </c>
      <c r="D6" s="55" t="s">
        <v>19</v>
      </c>
      <c r="E6" s="55"/>
      <c r="F6" s="55"/>
      <c r="G6" s="55"/>
      <c r="H6" s="55"/>
      <c r="I6" s="55"/>
      <c r="J6" s="55"/>
      <c r="K6" s="17">
        <f>SUM(K9:K10)</f>
        <v>18</v>
      </c>
      <c r="L6" s="18">
        <f>L16</f>
        <v>539.94000000000005</v>
      </c>
      <c r="M6" s="18">
        <f>ROUND(K6*L6,2)</f>
        <v>9718.92</v>
      </c>
    </row>
    <row r="7" spans="1:13" ht="111" customHeight="1" thickBot="1" x14ac:dyDescent="0.25">
      <c r="A7" s="19"/>
      <c r="B7" s="19"/>
      <c r="C7" s="19"/>
      <c r="D7" s="55" t="s">
        <v>20</v>
      </c>
      <c r="E7" s="55"/>
      <c r="F7" s="55"/>
      <c r="G7" s="55"/>
      <c r="H7" s="55"/>
      <c r="I7" s="55"/>
      <c r="J7" s="55"/>
      <c r="K7" s="55"/>
      <c r="L7" s="55"/>
      <c r="M7" s="55"/>
    </row>
    <row r="8" spans="1:13" ht="15.2" customHeight="1" thickBot="1" x14ac:dyDescent="0.25">
      <c r="A8" s="19"/>
      <c r="B8" s="19"/>
      <c r="C8" s="19"/>
      <c r="D8" s="19"/>
      <c r="E8" s="20"/>
      <c r="F8" s="22" t="s">
        <v>21</v>
      </c>
      <c r="G8" s="22" t="s">
        <v>22</v>
      </c>
      <c r="H8" s="22" t="s">
        <v>23</v>
      </c>
      <c r="I8" s="22" t="s">
        <v>24</v>
      </c>
      <c r="J8" s="22" t="s">
        <v>25</v>
      </c>
      <c r="K8" s="22" t="s">
        <v>26</v>
      </c>
      <c r="L8" s="19"/>
      <c r="M8" s="19"/>
    </row>
    <row r="9" spans="1:13" ht="15.2" customHeight="1" thickBot="1" x14ac:dyDescent="0.25">
      <c r="A9" s="19"/>
      <c r="B9" s="19"/>
      <c r="C9" s="19"/>
      <c r="D9" s="23"/>
      <c r="E9" s="24" t="s">
        <v>27</v>
      </c>
      <c r="F9" s="25">
        <v>11</v>
      </c>
      <c r="G9" s="26"/>
      <c r="H9" s="26"/>
      <c r="I9" s="26"/>
      <c r="J9" s="28">
        <f>ROUND(F9,3)</f>
        <v>11</v>
      </c>
      <c r="K9" s="29"/>
      <c r="L9" s="19"/>
      <c r="M9" s="19"/>
    </row>
    <row r="10" spans="1:13" ht="15.2" customHeight="1" thickBot="1" x14ac:dyDescent="0.25">
      <c r="A10" s="19"/>
      <c r="B10" s="19"/>
      <c r="C10" s="19"/>
      <c r="D10" s="23"/>
      <c r="E10" s="5" t="s">
        <v>28</v>
      </c>
      <c r="F10" s="3">
        <v>7</v>
      </c>
      <c r="G10" s="17"/>
      <c r="H10" s="17"/>
      <c r="I10" s="17"/>
      <c r="J10" s="27">
        <f>ROUND(F10,3)</f>
        <v>7</v>
      </c>
      <c r="K10" s="30">
        <f>SUM(J9:J10)</f>
        <v>18</v>
      </c>
      <c r="L10" s="19"/>
      <c r="M10" s="19"/>
    </row>
    <row r="11" spans="1:13" ht="15.2" customHeight="1" thickBot="1" x14ac:dyDescent="0.25">
      <c r="A11" s="5" t="s">
        <v>29</v>
      </c>
      <c r="B11" s="5" t="s">
        <v>30</v>
      </c>
      <c r="C11" s="5" t="s">
        <v>31</v>
      </c>
      <c r="D11" s="55" t="s">
        <v>32</v>
      </c>
      <c r="E11" s="55"/>
      <c r="F11" s="55"/>
      <c r="G11" s="55"/>
      <c r="H11" s="55"/>
      <c r="I11" s="55"/>
      <c r="J11" s="55"/>
      <c r="K11" s="17">
        <v>0.35</v>
      </c>
      <c r="L11" s="17">
        <f>ROUND(19.88,3)</f>
        <v>19.88</v>
      </c>
      <c r="M11" s="18">
        <f>ROUND(K11*L11,2)</f>
        <v>6.96</v>
      </c>
    </row>
    <row r="12" spans="1:13" ht="15.2" customHeight="1" thickBot="1" x14ac:dyDescent="0.25">
      <c r="A12" s="5" t="s">
        <v>33</v>
      </c>
      <c r="B12" s="5" t="s">
        <v>34</v>
      </c>
      <c r="C12" s="5" t="s">
        <v>35</v>
      </c>
      <c r="D12" s="55" t="s">
        <v>36</v>
      </c>
      <c r="E12" s="55"/>
      <c r="F12" s="55"/>
      <c r="G12" s="55"/>
      <c r="H12" s="55"/>
      <c r="I12" s="55"/>
      <c r="J12" s="55"/>
      <c r="K12" s="17">
        <v>0.35</v>
      </c>
      <c r="L12" s="17">
        <f>ROUND(22.09,3)</f>
        <v>22.09</v>
      </c>
      <c r="M12" s="18">
        <f>ROUND(K12*L12,2)</f>
        <v>7.73</v>
      </c>
    </row>
    <row r="13" spans="1:13" ht="15.2" customHeight="1" thickBot="1" x14ac:dyDescent="0.25">
      <c r="A13" s="5" t="s">
        <v>37</v>
      </c>
      <c r="B13" s="5"/>
      <c r="C13" s="5" t="s">
        <v>38</v>
      </c>
      <c r="D13" s="55" t="s">
        <v>39</v>
      </c>
      <c r="E13" s="55"/>
      <c r="F13" s="55"/>
      <c r="G13" s="55"/>
      <c r="H13" s="55"/>
      <c r="I13" s="55"/>
      <c r="J13" s="55"/>
      <c r="K13" s="17">
        <v>1.5</v>
      </c>
      <c r="L13" s="17">
        <f>ROUND(14.69,3)</f>
        <v>14.69</v>
      </c>
      <c r="M13" s="18">
        <f>ROUND((K13*L13)/100,2)</f>
        <v>0.22</v>
      </c>
    </row>
    <row r="14" spans="1:13" ht="24.4" customHeight="1" thickBot="1" x14ac:dyDescent="0.25">
      <c r="A14" s="5" t="s">
        <v>40</v>
      </c>
      <c r="B14" s="5" t="s">
        <v>41</v>
      </c>
      <c r="C14" s="5" t="s">
        <v>42</v>
      </c>
      <c r="D14" s="55" t="s">
        <v>43</v>
      </c>
      <c r="E14" s="55"/>
      <c r="F14" s="55"/>
      <c r="G14" s="55"/>
      <c r="H14" s="55"/>
      <c r="I14" s="55"/>
      <c r="J14" s="55"/>
      <c r="K14" s="17">
        <v>1</v>
      </c>
      <c r="L14" s="17">
        <f>ROUND(326.3,3)</f>
        <v>326.3</v>
      </c>
      <c r="M14" s="18">
        <f>ROUND(K14*L14,2)</f>
        <v>326.3</v>
      </c>
    </row>
    <row r="15" spans="1:13" ht="15.2" customHeight="1" thickBot="1" x14ac:dyDescent="0.25">
      <c r="A15" s="5" t="s">
        <v>44</v>
      </c>
      <c r="B15" s="5" t="s">
        <v>45</v>
      </c>
      <c r="C15" s="5" t="s">
        <v>46</v>
      </c>
      <c r="D15" s="55" t="s">
        <v>47</v>
      </c>
      <c r="E15" s="55"/>
      <c r="F15" s="55"/>
      <c r="G15" s="55"/>
      <c r="H15" s="55"/>
      <c r="I15" s="55"/>
      <c r="J15" s="55"/>
      <c r="K15" s="17">
        <v>1</v>
      </c>
      <c r="L15" s="17">
        <f>ROUND(183,3)</f>
        <v>183</v>
      </c>
      <c r="M15" s="18">
        <f>ROUND(K15*L15,2)</f>
        <v>183</v>
      </c>
    </row>
    <row r="16" spans="1:13" ht="15.4" customHeight="1" thickBot="1" x14ac:dyDescent="0.25">
      <c r="A16" s="31"/>
      <c r="B16" s="31"/>
      <c r="C16" s="31"/>
      <c r="D16" s="32" t="s">
        <v>48</v>
      </c>
      <c r="E16" s="31"/>
      <c r="F16" s="31"/>
      <c r="G16" s="31"/>
      <c r="H16" s="31"/>
      <c r="I16" s="31"/>
      <c r="J16" s="31"/>
      <c r="K16" s="33">
        <v>18</v>
      </c>
      <c r="L16" s="34">
        <f>ROUND((M11+M12+M13+M14+M15)*(1+M2/100),2)</f>
        <v>539.94000000000005</v>
      </c>
      <c r="M16" s="34">
        <f>ROUND(K16*L16,2)</f>
        <v>9718.92</v>
      </c>
    </row>
    <row r="17" spans="1:13" ht="21.4" customHeight="1" thickBot="1" x14ac:dyDescent="0.25">
      <c r="A17" s="35" t="s">
        <v>49</v>
      </c>
      <c r="B17" s="36" t="s">
        <v>50</v>
      </c>
      <c r="C17" s="36" t="s">
        <v>51</v>
      </c>
      <c r="D17" s="56" t="s">
        <v>52</v>
      </c>
      <c r="E17" s="56"/>
      <c r="F17" s="56"/>
      <c r="G17" s="56"/>
      <c r="H17" s="56"/>
      <c r="I17" s="56"/>
      <c r="J17" s="56"/>
      <c r="K17" s="37">
        <f>SUM(K20:K21)</f>
        <v>18</v>
      </c>
      <c r="L17" s="38">
        <f>L30</f>
        <v>513.29</v>
      </c>
      <c r="M17" s="38">
        <f>ROUND(K17*L17,2)</f>
        <v>9239.2199999999993</v>
      </c>
    </row>
    <row r="18" spans="1:13" ht="58.35" customHeight="1" thickBot="1" x14ac:dyDescent="0.25">
      <c r="A18" s="19"/>
      <c r="B18" s="19"/>
      <c r="C18" s="19"/>
      <c r="D18" s="55" t="s">
        <v>53</v>
      </c>
      <c r="E18" s="55"/>
      <c r="F18" s="55"/>
      <c r="G18" s="55"/>
      <c r="H18" s="55"/>
      <c r="I18" s="55"/>
      <c r="J18" s="55"/>
      <c r="K18" s="55"/>
      <c r="L18" s="55"/>
      <c r="M18" s="55"/>
    </row>
    <row r="19" spans="1:13" ht="15.2" customHeight="1" thickBot="1" x14ac:dyDescent="0.25">
      <c r="A19" s="19"/>
      <c r="B19" s="19"/>
      <c r="C19" s="19"/>
      <c r="D19" s="19"/>
      <c r="E19" s="20"/>
      <c r="F19" s="22" t="s">
        <v>54</v>
      </c>
      <c r="G19" s="22" t="s">
        <v>55</v>
      </c>
      <c r="H19" s="22" t="s">
        <v>56</v>
      </c>
      <c r="I19" s="22" t="s">
        <v>57</v>
      </c>
      <c r="J19" s="22" t="s">
        <v>58</v>
      </c>
      <c r="K19" s="22" t="s">
        <v>59</v>
      </c>
      <c r="L19" s="19"/>
      <c r="M19" s="19"/>
    </row>
    <row r="20" spans="1:13" ht="15.2" customHeight="1" thickBot="1" x14ac:dyDescent="0.25">
      <c r="A20" s="19"/>
      <c r="B20" s="19"/>
      <c r="C20" s="19"/>
      <c r="D20" s="23"/>
      <c r="E20" s="24" t="s">
        <v>60</v>
      </c>
      <c r="F20" s="25">
        <v>11</v>
      </c>
      <c r="G20" s="26"/>
      <c r="H20" s="26"/>
      <c r="I20" s="26"/>
      <c r="J20" s="28">
        <f>ROUND(F20,3)</f>
        <v>11</v>
      </c>
      <c r="K20" s="29"/>
      <c r="L20" s="19"/>
      <c r="M20" s="19"/>
    </row>
    <row r="21" spans="1:13" ht="15.2" customHeight="1" thickBot="1" x14ac:dyDescent="0.25">
      <c r="A21" s="19"/>
      <c r="B21" s="19"/>
      <c r="C21" s="19"/>
      <c r="D21" s="23"/>
      <c r="E21" s="5" t="s">
        <v>61</v>
      </c>
      <c r="F21" s="3">
        <v>7</v>
      </c>
      <c r="G21" s="17"/>
      <c r="H21" s="17"/>
      <c r="I21" s="17"/>
      <c r="J21" s="27">
        <f>ROUND(F21,3)</f>
        <v>7</v>
      </c>
      <c r="K21" s="30">
        <f>SUM(J20:J21)</f>
        <v>18</v>
      </c>
      <c r="L21" s="19"/>
      <c r="M21" s="19"/>
    </row>
    <row r="22" spans="1:13" ht="15.2" customHeight="1" thickBot="1" x14ac:dyDescent="0.25">
      <c r="A22" s="5" t="s">
        <v>62</v>
      </c>
      <c r="B22" s="5" t="s">
        <v>63</v>
      </c>
      <c r="C22" s="5" t="s">
        <v>64</v>
      </c>
      <c r="D22" s="55" t="s">
        <v>65</v>
      </c>
      <c r="E22" s="55"/>
      <c r="F22" s="55"/>
      <c r="G22" s="55"/>
      <c r="H22" s="55"/>
      <c r="I22" s="55"/>
      <c r="J22" s="55"/>
      <c r="K22" s="17">
        <v>0.316</v>
      </c>
      <c r="L22" s="17">
        <f>ROUND(19.88,3)</f>
        <v>19.88</v>
      </c>
      <c r="M22" s="18">
        <f t="shared" ref="M22:M27" si="0">ROUND(K22*L22,2)</f>
        <v>6.28</v>
      </c>
    </row>
    <row r="23" spans="1:13" ht="15.2" customHeight="1" thickBot="1" x14ac:dyDescent="0.25">
      <c r="A23" s="5" t="s">
        <v>66</v>
      </c>
      <c r="B23" s="5" t="s">
        <v>67</v>
      </c>
      <c r="C23" s="5" t="s">
        <v>68</v>
      </c>
      <c r="D23" s="55" t="s">
        <v>69</v>
      </c>
      <c r="E23" s="55"/>
      <c r="F23" s="55"/>
      <c r="G23" s="55"/>
      <c r="H23" s="55"/>
      <c r="I23" s="55"/>
      <c r="J23" s="55"/>
      <c r="K23" s="17">
        <v>0.25</v>
      </c>
      <c r="L23" s="17">
        <f>ROUND(20.9,3)</f>
        <v>20.9</v>
      </c>
      <c r="M23" s="18">
        <f t="shared" si="0"/>
        <v>5.23</v>
      </c>
    </row>
    <row r="24" spans="1:13" ht="15.2" customHeight="1" thickBot="1" x14ac:dyDescent="0.25">
      <c r="A24" s="5" t="s">
        <v>70</v>
      </c>
      <c r="B24" s="5" t="s">
        <v>71</v>
      </c>
      <c r="C24" s="5" t="s">
        <v>72</v>
      </c>
      <c r="D24" s="55" t="s">
        <v>73</v>
      </c>
      <c r="E24" s="55"/>
      <c r="F24" s="55"/>
      <c r="G24" s="55"/>
      <c r="H24" s="55"/>
      <c r="I24" s="55"/>
      <c r="J24" s="55"/>
      <c r="K24" s="17">
        <v>0.316</v>
      </c>
      <c r="L24" s="17">
        <f>ROUND(22.09,3)</f>
        <v>22.09</v>
      </c>
      <c r="M24" s="18">
        <f t="shared" si="0"/>
        <v>6.98</v>
      </c>
    </row>
    <row r="25" spans="1:13" ht="15.2" customHeight="1" thickBot="1" x14ac:dyDescent="0.25">
      <c r="A25" s="5" t="s">
        <v>74</v>
      </c>
      <c r="B25" s="5" t="s">
        <v>75</v>
      </c>
      <c r="C25" s="5" t="s">
        <v>76</v>
      </c>
      <c r="D25" s="55" t="s">
        <v>77</v>
      </c>
      <c r="E25" s="55"/>
      <c r="F25" s="55"/>
      <c r="G25" s="55"/>
      <c r="H25" s="55"/>
      <c r="I25" s="55"/>
      <c r="J25" s="55"/>
      <c r="K25" s="17">
        <v>0.24199999999999999</v>
      </c>
      <c r="L25" s="17">
        <f>ROUND(70.12,3)</f>
        <v>70.12</v>
      </c>
      <c r="M25" s="18">
        <f t="shared" si="0"/>
        <v>16.97</v>
      </c>
    </row>
    <row r="26" spans="1:13" ht="15.2" customHeight="1" thickBot="1" x14ac:dyDescent="0.25">
      <c r="A26" s="5" t="s">
        <v>78</v>
      </c>
      <c r="B26" s="5" t="s">
        <v>79</v>
      </c>
      <c r="C26" s="5" t="s">
        <v>80</v>
      </c>
      <c r="D26" s="55" t="s">
        <v>81</v>
      </c>
      <c r="E26" s="55"/>
      <c r="F26" s="55"/>
      <c r="G26" s="55"/>
      <c r="H26" s="55"/>
      <c r="I26" s="55"/>
      <c r="J26" s="55"/>
      <c r="K26" s="17">
        <v>1</v>
      </c>
      <c r="L26" s="17">
        <f>ROUND(43.45,3)</f>
        <v>43.45</v>
      </c>
      <c r="M26" s="18">
        <f t="shared" si="0"/>
        <v>43.45</v>
      </c>
    </row>
    <row r="27" spans="1:13" ht="15.2" customHeight="1" thickBot="1" x14ac:dyDescent="0.25">
      <c r="A27" s="5" t="s">
        <v>82</v>
      </c>
      <c r="B27" s="5" t="s">
        <v>83</v>
      </c>
      <c r="C27" s="5" t="s">
        <v>84</v>
      </c>
      <c r="D27" s="55" t="s">
        <v>85</v>
      </c>
      <c r="E27" s="55"/>
      <c r="F27" s="55"/>
      <c r="G27" s="55"/>
      <c r="H27" s="55"/>
      <c r="I27" s="55"/>
      <c r="J27" s="55"/>
      <c r="K27" s="17">
        <v>0.316</v>
      </c>
      <c r="L27" s="17">
        <f>ROUND(52.36,3)</f>
        <v>52.36</v>
      </c>
      <c r="M27" s="18">
        <f t="shared" si="0"/>
        <v>16.55</v>
      </c>
    </row>
    <row r="28" spans="1:13" ht="15.2" customHeight="1" thickBot="1" x14ac:dyDescent="0.25">
      <c r="A28" s="5" t="s">
        <v>86</v>
      </c>
      <c r="B28" s="5"/>
      <c r="C28" s="5" t="s">
        <v>87</v>
      </c>
      <c r="D28" s="55" t="s">
        <v>88</v>
      </c>
      <c r="E28" s="55"/>
      <c r="F28" s="55"/>
      <c r="G28" s="55"/>
      <c r="H28" s="55"/>
      <c r="I28" s="55"/>
      <c r="J28" s="55"/>
      <c r="K28" s="17">
        <v>1.5</v>
      </c>
      <c r="L28" s="17">
        <f>ROUND(18.49,3)</f>
        <v>18.489999999999998</v>
      </c>
      <c r="M28" s="18">
        <f>ROUND((K28*L28)/100,2)</f>
        <v>0.28000000000000003</v>
      </c>
    </row>
    <row r="29" spans="1:13" ht="24.4" customHeight="1" thickBot="1" x14ac:dyDescent="0.25">
      <c r="A29" s="5" t="s">
        <v>89</v>
      </c>
      <c r="B29" s="5" t="s">
        <v>90</v>
      </c>
      <c r="C29" s="5" t="s">
        <v>91</v>
      </c>
      <c r="D29" s="55" t="s">
        <v>92</v>
      </c>
      <c r="E29" s="55"/>
      <c r="F29" s="55"/>
      <c r="G29" s="55"/>
      <c r="H29" s="55"/>
      <c r="I29" s="55"/>
      <c r="J29" s="55"/>
      <c r="K29" s="17">
        <v>1</v>
      </c>
      <c r="L29" s="17">
        <f>ROUND(402.6,3)</f>
        <v>402.6</v>
      </c>
      <c r="M29" s="18">
        <f>ROUND(K29*L29,2)</f>
        <v>402.6</v>
      </c>
    </row>
    <row r="30" spans="1:13" ht="15.4" customHeight="1" thickBot="1" x14ac:dyDescent="0.25">
      <c r="A30" s="31"/>
      <c r="B30" s="31"/>
      <c r="C30" s="31"/>
      <c r="D30" s="32" t="s">
        <v>93</v>
      </c>
      <c r="E30" s="31"/>
      <c r="F30" s="31"/>
      <c r="G30" s="31"/>
      <c r="H30" s="31"/>
      <c r="I30" s="31"/>
      <c r="J30" s="31"/>
      <c r="K30" s="33">
        <v>18</v>
      </c>
      <c r="L30" s="34">
        <f>ROUND((M22+M23+M24+M25+M26+M27+M28+M29)*(1+M2/100),2)</f>
        <v>513.29</v>
      </c>
      <c r="M30" s="34">
        <f>ROUND(K30*L30,2)</f>
        <v>9239.2199999999993</v>
      </c>
    </row>
    <row r="31" spans="1:13" ht="15.4" customHeight="1" thickBot="1" x14ac:dyDescent="0.25">
      <c r="A31" s="35" t="s">
        <v>94</v>
      </c>
      <c r="B31" s="36" t="s">
        <v>95</v>
      </c>
      <c r="C31" s="36" t="s">
        <v>96</v>
      </c>
      <c r="D31" s="56" t="s">
        <v>97</v>
      </c>
      <c r="E31" s="56"/>
      <c r="F31" s="56"/>
      <c r="G31" s="56"/>
      <c r="H31" s="56"/>
      <c r="I31" s="56"/>
      <c r="J31" s="56"/>
      <c r="K31" s="37">
        <f>SUM(K34:K35)</f>
        <v>6</v>
      </c>
      <c r="L31" s="38">
        <f>L39</f>
        <v>239.46</v>
      </c>
      <c r="M31" s="38">
        <f>ROUND(K31*L31,2)</f>
        <v>1436.76</v>
      </c>
    </row>
    <row r="32" spans="1:13" ht="12.2" customHeight="1" thickBot="1" x14ac:dyDescent="0.25">
      <c r="A32" s="19"/>
      <c r="B32" s="19"/>
      <c r="C32" s="19"/>
      <c r="D32" s="55" t="s">
        <v>98</v>
      </c>
      <c r="E32" s="55"/>
      <c r="F32" s="55"/>
      <c r="G32" s="55"/>
      <c r="H32" s="55"/>
      <c r="I32" s="55"/>
      <c r="J32" s="55"/>
      <c r="K32" s="55"/>
      <c r="L32" s="55"/>
      <c r="M32" s="55"/>
    </row>
    <row r="33" spans="1:13" ht="15.2" customHeight="1" thickBot="1" x14ac:dyDescent="0.25">
      <c r="A33" s="19"/>
      <c r="B33" s="19"/>
      <c r="C33" s="19"/>
      <c r="D33" s="19"/>
      <c r="E33" s="20"/>
      <c r="F33" s="22" t="s">
        <v>99</v>
      </c>
      <c r="G33" s="22" t="s">
        <v>100</v>
      </c>
      <c r="H33" s="22" t="s">
        <v>101</v>
      </c>
      <c r="I33" s="22" t="s">
        <v>102</v>
      </c>
      <c r="J33" s="22" t="s">
        <v>103</v>
      </c>
      <c r="K33" s="22" t="s">
        <v>104</v>
      </c>
      <c r="L33" s="19"/>
      <c r="M33" s="19"/>
    </row>
    <row r="34" spans="1:13" ht="15.2" customHeight="1" thickBot="1" x14ac:dyDescent="0.25">
      <c r="A34" s="19"/>
      <c r="B34" s="19"/>
      <c r="C34" s="19"/>
      <c r="D34" s="23"/>
      <c r="E34" s="24" t="s">
        <v>105</v>
      </c>
      <c r="F34" s="25">
        <v>4</v>
      </c>
      <c r="G34" s="26"/>
      <c r="H34" s="26"/>
      <c r="I34" s="26"/>
      <c r="J34" s="28">
        <f>ROUND(F34,3)</f>
        <v>4</v>
      </c>
      <c r="K34" s="29"/>
      <c r="L34" s="19"/>
      <c r="M34" s="19"/>
    </row>
    <row r="35" spans="1:13" ht="15.2" customHeight="1" thickBot="1" x14ac:dyDescent="0.25">
      <c r="A35" s="19"/>
      <c r="B35" s="19"/>
      <c r="C35" s="19"/>
      <c r="D35" s="23"/>
      <c r="E35" s="5" t="s">
        <v>106</v>
      </c>
      <c r="F35" s="3">
        <v>2</v>
      </c>
      <c r="G35" s="17"/>
      <c r="H35" s="17"/>
      <c r="I35" s="17"/>
      <c r="J35" s="27">
        <f>ROUND(F35,3)</f>
        <v>2</v>
      </c>
      <c r="K35" s="30">
        <f>SUM(J34:J35)</f>
        <v>6</v>
      </c>
      <c r="L35" s="19"/>
      <c r="M35" s="19"/>
    </row>
    <row r="36" spans="1:13" ht="15.2" customHeight="1" thickBot="1" x14ac:dyDescent="0.25">
      <c r="A36" s="5" t="s">
        <v>107</v>
      </c>
      <c r="B36" s="5" t="s">
        <v>108</v>
      </c>
      <c r="C36" s="5" t="s">
        <v>109</v>
      </c>
      <c r="D36" s="55" t="s">
        <v>110</v>
      </c>
      <c r="E36" s="55"/>
      <c r="F36" s="55"/>
      <c r="G36" s="55"/>
      <c r="H36" s="55"/>
      <c r="I36" s="55"/>
      <c r="J36" s="55"/>
      <c r="K36" s="17">
        <v>0.5</v>
      </c>
      <c r="L36" s="17">
        <f>ROUND(19.88,3)</f>
        <v>19.88</v>
      </c>
      <c r="M36" s="18">
        <f>ROUND(K36*L36,2)</f>
        <v>9.94</v>
      </c>
    </row>
    <row r="37" spans="1:13" ht="15.2" customHeight="1" thickBot="1" x14ac:dyDescent="0.25">
      <c r="A37" s="5" t="s">
        <v>111</v>
      </c>
      <c r="B37" s="5" t="s">
        <v>112</v>
      </c>
      <c r="C37" s="5" t="s">
        <v>113</v>
      </c>
      <c r="D37" s="55" t="s">
        <v>114</v>
      </c>
      <c r="E37" s="55"/>
      <c r="F37" s="55"/>
      <c r="G37" s="55"/>
      <c r="H37" s="55"/>
      <c r="I37" s="55"/>
      <c r="J37" s="55"/>
      <c r="K37" s="17">
        <v>0.5</v>
      </c>
      <c r="L37" s="17">
        <f>ROUND(22.09,3)</f>
        <v>22.09</v>
      </c>
      <c r="M37" s="18">
        <f>ROUND(K37*L37,2)</f>
        <v>11.05</v>
      </c>
    </row>
    <row r="38" spans="1:13" ht="15.2" customHeight="1" thickBot="1" x14ac:dyDescent="0.25">
      <c r="A38" s="5" t="s">
        <v>115</v>
      </c>
      <c r="B38" s="5" t="s">
        <v>116</v>
      </c>
      <c r="C38" s="5" t="s">
        <v>117</v>
      </c>
      <c r="D38" s="55" t="s">
        <v>118</v>
      </c>
      <c r="E38" s="55"/>
      <c r="F38" s="55"/>
      <c r="G38" s="55"/>
      <c r="H38" s="55"/>
      <c r="I38" s="55"/>
      <c r="J38" s="55"/>
      <c r="K38" s="17">
        <v>1</v>
      </c>
      <c r="L38" s="17">
        <f>ROUND(211.5,3)</f>
        <v>211.5</v>
      </c>
      <c r="M38" s="18">
        <f>ROUND(K38*L38,2)</f>
        <v>211.5</v>
      </c>
    </row>
    <row r="39" spans="1:13" ht="15.4" customHeight="1" thickBot="1" x14ac:dyDescent="0.25">
      <c r="A39" s="31"/>
      <c r="B39" s="31"/>
      <c r="C39" s="31"/>
      <c r="D39" s="32" t="s">
        <v>119</v>
      </c>
      <c r="E39" s="31"/>
      <c r="F39" s="31"/>
      <c r="G39" s="31"/>
      <c r="H39" s="31"/>
      <c r="I39" s="31"/>
      <c r="J39" s="31"/>
      <c r="K39" s="33">
        <v>6</v>
      </c>
      <c r="L39" s="34">
        <f>ROUND((M36+M37+M38)*(1+M2/100),2)</f>
        <v>239.46</v>
      </c>
      <c r="M39" s="34">
        <f>ROUND(K39*L39,2)</f>
        <v>1436.76</v>
      </c>
    </row>
    <row r="40" spans="1:13" ht="15.4" customHeight="1" thickBot="1" x14ac:dyDescent="0.25">
      <c r="A40" s="39"/>
      <c r="B40" s="39"/>
      <c r="C40" s="39"/>
      <c r="D40" s="40" t="s">
        <v>120</v>
      </c>
      <c r="E40" s="41"/>
      <c r="F40" s="41"/>
      <c r="G40" s="41"/>
      <c r="H40" s="41"/>
      <c r="I40" s="41"/>
      <c r="J40" s="41"/>
      <c r="K40" s="41"/>
      <c r="L40" s="42">
        <f>M6+M17+M31</f>
        <v>20394.899999999998</v>
      </c>
      <c r="M40" s="42">
        <f>ROUND(L40,2)</f>
        <v>20394.900000000001</v>
      </c>
    </row>
    <row r="41" spans="1:13" ht="15.4" customHeight="1" thickBot="1" x14ac:dyDescent="0.25">
      <c r="A41" s="43" t="s">
        <v>121</v>
      </c>
      <c r="B41" s="43" t="s">
        <v>122</v>
      </c>
      <c r="C41" s="44"/>
      <c r="D41" s="57" t="s">
        <v>123</v>
      </c>
      <c r="E41" s="57"/>
      <c r="F41" s="57"/>
      <c r="G41" s="57"/>
      <c r="H41" s="57"/>
      <c r="I41" s="57"/>
      <c r="J41" s="57"/>
      <c r="K41" s="44"/>
      <c r="L41" s="45">
        <f>L92</f>
        <v>14276</v>
      </c>
      <c r="M41" s="45">
        <f>ROUND(L41,2)</f>
        <v>14276</v>
      </c>
    </row>
    <row r="42" spans="1:13" ht="15.4" customHeight="1" thickBot="1" x14ac:dyDescent="0.25">
      <c r="A42" s="10" t="s">
        <v>124</v>
      </c>
      <c r="B42" s="5" t="s">
        <v>125</v>
      </c>
      <c r="C42" s="5" t="s">
        <v>126</v>
      </c>
      <c r="D42" s="55" t="s">
        <v>127</v>
      </c>
      <c r="E42" s="55"/>
      <c r="F42" s="55"/>
      <c r="G42" s="55"/>
      <c r="H42" s="55"/>
      <c r="I42" s="55"/>
      <c r="J42" s="55"/>
      <c r="K42" s="17">
        <f>SUM(K45:K46)</f>
        <v>450</v>
      </c>
      <c r="L42" s="18">
        <f>L52</f>
        <v>9.5299999999999994</v>
      </c>
      <c r="M42" s="18">
        <f>ROUND(K42*L42,2)</f>
        <v>4288.5</v>
      </c>
    </row>
    <row r="43" spans="1:13" ht="12.2" customHeight="1" thickBot="1" x14ac:dyDescent="0.25">
      <c r="A43" s="19"/>
      <c r="B43" s="19"/>
      <c r="C43" s="19"/>
      <c r="D43" s="55" t="s">
        <v>128</v>
      </c>
      <c r="E43" s="55"/>
      <c r="F43" s="55"/>
      <c r="G43" s="55"/>
      <c r="H43" s="55"/>
      <c r="I43" s="55"/>
      <c r="J43" s="55"/>
      <c r="K43" s="55"/>
      <c r="L43" s="55"/>
      <c r="M43" s="55"/>
    </row>
    <row r="44" spans="1:13" ht="15.2" customHeight="1" thickBot="1" x14ac:dyDescent="0.25">
      <c r="A44" s="19"/>
      <c r="B44" s="19"/>
      <c r="C44" s="19"/>
      <c r="D44" s="19"/>
      <c r="E44" s="20"/>
      <c r="F44" s="22" t="s">
        <v>129</v>
      </c>
      <c r="G44" s="22" t="s">
        <v>130</v>
      </c>
      <c r="H44" s="22" t="s">
        <v>131</v>
      </c>
      <c r="I44" s="22" t="s">
        <v>132</v>
      </c>
      <c r="J44" s="22" t="s">
        <v>133</v>
      </c>
      <c r="K44" s="22" t="s">
        <v>134</v>
      </c>
      <c r="L44" s="19"/>
      <c r="M44" s="19"/>
    </row>
    <row r="45" spans="1:13" ht="15.2" customHeight="1" thickBot="1" x14ac:dyDescent="0.25">
      <c r="A45" s="19"/>
      <c r="B45" s="19"/>
      <c r="C45" s="19"/>
      <c r="D45" s="23"/>
      <c r="E45" s="24" t="s">
        <v>135</v>
      </c>
      <c r="F45" s="25">
        <v>280</v>
      </c>
      <c r="G45" s="26"/>
      <c r="H45" s="26"/>
      <c r="I45" s="26"/>
      <c r="J45" s="28">
        <f>ROUND(F45,3)</f>
        <v>280</v>
      </c>
      <c r="K45" s="29"/>
      <c r="L45" s="19"/>
      <c r="M45" s="19"/>
    </row>
    <row r="46" spans="1:13" ht="15.2" customHeight="1" thickBot="1" x14ac:dyDescent="0.25">
      <c r="A46" s="19"/>
      <c r="B46" s="19"/>
      <c r="C46" s="19"/>
      <c r="D46" s="23"/>
      <c r="E46" s="5" t="s">
        <v>136</v>
      </c>
      <c r="F46" s="3">
        <v>170</v>
      </c>
      <c r="G46" s="17"/>
      <c r="H46" s="17"/>
      <c r="I46" s="17"/>
      <c r="J46" s="27">
        <f>ROUND(F46,3)</f>
        <v>170</v>
      </c>
      <c r="K46" s="30">
        <f>SUM(J45:J46)</f>
        <v>450</v>
      </c>
      <c r="L46" s="19"/>
      <c r="M46" s="19"/>
    </row>
    <row r="47" spans="1:13" ht="15.2" customHeight="1" thickBot="1" x14ac:dyDescent="0.25">
      <c r="A47" s="5" t="s">
        <v>137</v>
      </c>
      <c r="B47" s="5" t="s">
        <v>138</v>
      </c>
      <c r="C47" s="5" t="s">
        <v>139</v>
      </c>
      <c r="D47" s="55" t="s">
        <v>140</v>
      </c>
      <c r="E47" s="55"/>
      <c r="F47" s="55"/>
      <c r="G47" s="55"/>
      <c r="H47" s="55"/>
      <c r="I47" s="55"/>
      <c r="J47" s="55"/>
      <c r="K47" s="17">
        <v>0.2</v>
      </c>
      <c r="L47" s="17">
        <f>ROUND(19.88,3)</f>
        <v>19.88</v>
      </c>
      <c r="M47" s="18">
        <f>ROUND(K47*L47,2)</f>
        <v>3.98</v>
      </c>
    </row>
    <row r="48" spans="1:13" ht="15.2" customHeight="1" thickBot="1" x14ac:dyDescent="0.25">
      <c r="A48" s="5" t="s">
        <v>141</v>
      </c>
      <c r="B48" s="5" t="s">
        <v>142</v>
      </c>
      <c r="C48" s="5" t="s">
        <v>143</v>
      </c>
      <c r="D48" s="55" t="s">
        <v>144</v>
      </c>
      <c r="E48" s="55"/>
      <c r="F48" s="55"/>
      <c r="G48" s="55"/>
      <c r="H48" s="55"/>
      <c r="I48" s="55"/>
      <c r="J48" s="55"/>
      <c r="K48" s="17">
        <v>0.2</v>
      </c>
      <c r="L48" s="17">
        <f>ROUND(22.09,3)</f>
        <v>22.09</v>
      </c>
      <c r="M48" s="18">
        <f>ROUND(K48*L48,2)</f>
        <v>4.42</v>
      </c>
    </row>
    <row r="49" spans="1:13" ht="15.2" customHeight="1" thickBot="1" x14ac:dyDescent="0.25">
      <c r="A49" s="5" t="s">
        <v>145</v>
      </c>
      <c r="B49" s="5" t="s">
        <v>146</v>
      </c>
      <c r="C49" s="5" t="s">
        <v>147</v>
      </c>
      <c r="D49" s="55" t="s">
        <v>148</v>
      </c>
      <c r="E49" s="55"/>
      <c r="F49" s="55"/>
      <c r="G49" s="55"/>
      <c r="H49" s="55"/>
      <c r="I49" s="55"/>
      <c r="J49" s="55"/>
      <c r="K49" s="17">
        <v>1.02</v>
      </c>
      <c r="L49" s="17">
        <f>ROUND(0.47,3)</f>
        <v>0.47</v>
      </c>
      <c r="M49" s="18">
        <f>ROUND(K49*L49,2)</f>
        <v>0.48</v>
      </c>
    </row>
    <row r="50" spans="1:13" ht="15.2" customHeight="1" thickBot="1" x14ac:dyDescent="0.25">
      <c r="A50" s="5" t="s">
        <v>149</v>
      </c>
      <c r="B50" s="5" t="s">
        <v>150</v>
      </c>
      <c r="C50" s="5" t="s">
        <v>151</v>
      </c>
      <c r="D50" s="55" t="s">
        <v>152</v>
      </c>
      <c r="E50" s="55"/>
      <c r="F50" s="55"/>
      <c r="G50" s="55"/>
      <c r="H50" s="55"/>
      <c r="I50" s="55"/>
      <c r="J50" s="55"/>
      <c r="K50" s="17">
        <v>1</v>
      </c>
      <c r="L50" s="17">
        <f>ROUND(0.24,3)</f>
        <v>0.24</v>
      </c>
      <c r="M50" s="18">
        <f>ROUND(K50*L50,2)</f>
        <v>0.24</v>
      </c>
    </row>
    <row r="51" spans="1:13" ht="15.2" customHeight="1" thickBot="1" x14ac:dyDescent="0.25">
      <c r="A51" s="5" t="s">
        <v>153</v>
      </c>
      <c r="B51" s="5"/>
      <c r="C51" s="5" t="s">
        <v>154</v>
      </c>
      <c r="D51" s="55" t="s">
        <v>155</v>
      </c>
      <c r="E51" s="55"/>
      <c r="F51" s="55"/>
      <c r="G51" s="55"/>
      <c r="H51" s="55"/>
      <c r="I51" s="55"/>
      <c r="J51" s="55"/>
      <c r="K51" s="17">
        <v>1.5</v>
      </c>
      <c r="L51" s="17">
        <f>ROUND(8.4,3)</f>
        <v>8.4</v>
      </c>
      <c r="M51" s="18">
        <f>ROUND((K51*L51)/100,2)</f>
        <v>0.13</v>
      </c>
    </row>
    <row r="52" spans="1:13" ht="15.4" customHeight="1" thickBot="1" x14ac:dyDescent="0.25">
      <c r="A52" s="31"/>
      <c r="B52" s="31"/>
      <c r="C52" s="31"/>
      <c r="D52" s="32" t="s">
        <v>156</v>
      </c>
      <c r="E52" s="31"/>
      <c r="F52" s="31"/>
      <c r="G52" s="31"/>
      <c r="H52" s="31"/>
      <c r="I52" s="31"/>
      <c r="J52" s="31"/>
      <c r="K52" s="33">
        <v>450</v>
      </c>
      <c r="L52" s="34">
        <f>ROUND((M47+M48+M49+M50+M51)*(1+M2/100),2)</f>
        <v>9.5299999999999994</v>
      </c>
      <c r="M52" s="34">
        <f>ROUND(K52*L52,2)</f>
        <v>4288.5</v>
      </c>
    </row>
    <row r="53" spans="1:13" ht="15.4" customHeight="1" thickBot="1" x14ac:dyDescent="0.25">
      <c r="A53" s="35" t="s">
        <v>157</v>
      </c>
      <c r="B53" s="36" t="s">
        <v>158</v>
      </c>
      <c r="C53" s="36" t="s">
        <v>159</v>
      </c>
      <c r="D53" s="56" t="s">
        <v>160</v>
      </c>
      <c r="E53" s="56"/>
      <c r="F53" s="56"/>
      <c r="G53" s="56"/>
      <c r="H53" s="56"/>
      <c r="I53" s="56"/>
      <c r="J53" s="56"/>
      <c r="K53" s="37">
        <f>SUM(K56:K57)</f>
        <v>450</v>
      </c>
      <c r="L53" s="38">
        <f>L62</f>
        <v>2.86</v>
      </c>
      <c r="M53" s="38">
        <f>ROUND(K53*L53,2)</f>
        <v>1287</v>
      </c>
    </row>
    <row r="54" spans="1:13" ht="21.4" customHeight="1" thickBot="1" x14ac:dyDescent="0.25">
      <c r="A54" s="19"/>
      <c r="B54" s="19"/>
      <c r="C54" s="19"/>
      <c r="D54" s="55" t="s">
        <v>161</v>
      </c>
      <c r="E54" s="55"/>
      <c r="F54" s="55"/>
      <c r="G54" s="55"/>
      <c r="H54" s="55"/>
      <c r="I54" s="55"/>
      <c r="J54" s="55"/>
      <c r="K54" s="55"/>
      <c r="L54" s="55"/>
      <c r="M54" s="55"/>
    </row>
    <row r="55" spans="1:13" ht="15.2" customHeight="1" thickBot="1" x14ac:dyDescent="0.25">
      <c r="A55" s="19"/>
      <c r="B55" s="19"/>
      <c r="C55" s="19"/>
      <c r="D55" s="19"/>
      <c r="E55" s="20"/>
      <c r="F55" s="22" t="s">
        <v>162</v>
      </c>
      <c r="G55" s="22" t="s">
        <v>163</v>
      </c>
      <c r="H55" s="22" t="s">
        <v>164</v>
      </c>
      <c r="I55" s="22" t="s">
        <v>165</v>
      </c>
      <c r="J55" s="22" t="s">
        <v>166</v>
      </c>
      <c r="K55" s="22" t="s">
        <v>167</v>
      </c>
      <c r="L55" s="19"/>
      <c r="M55" s="19"/>
    </row>
    <row r="56" spans="1:13" ht="15.2" customHeight="1" thickBot="1" x14ac:dyDescent="0.25">
      <c r="A56" s="19"/>
      <c r="B56" s="19"/>
      <c r="C56" s="19"/>
      <c r="D56" s="23"/>
      <c r="E56" s="24" t="s">
        <v>168</v>
      </c>
      <c r="F56" s="25">
        <v>280</v>
      </c>
      <c r="G56" s="26"/>
      <c r="H56" s="26"/>
      <c r="I56" s="26"/>
      <c r="J56" s="28">
        <f>ROUND(F56,3)</f>
        <v>280</v>
      </c>
      <c r="K56" s="29"/>
      <c r="L56" s="19"/>
      <c r="M56" s="19"/>
    </row>
    <row r="57" spans="1:13" ht="15.2" customHeight="1" thickBot="1" x14ac:dyDescent="0.25">
      <c r="A57" s="19"/>
      <c r="B57" s="19"/>
      <c r="C57" s="19"/>
      <c r="D57" s="23"/>
      <c r="E57" s="5" t="s">
        <v>169</v>
      </c>
      <c r="F57" s="3">
        <v>170</v>
      </c>
      <c r="G57" s="17"/>
      <c r="H57" s="17"/>
      <c r="I57" s="17"/>
      <c r="J57" s="27">
        <f>ROUND(F57,3)</f>
        <v>170</v>
      </c>
      <c r="K57" s="30">
        <f>SUM(J56:J57)</f>
        <v>450</v>
      </c>
      <c r="L57" s="19"/>
      <c r="M57" s="19"/>
    </row>
    <row r="58" spans="1:13" ht="15.2" customHeight="1" thickBot="1" x14ac:dyDescent="0.25">
      <c r="A58" s="5" t="s">
        <v>170</v>
      </c>
      <c r="B58" s="5" t="s">
        <v>171</v>
      </c>
      <c r="C58" s="5" t="s">
        <v>172</v>
      </c>
      <c r="D58" s="55" t="s">
        <v>173</v>
      </c>
      <c r="E58" s="55"/>
      <c r="F58" s="55"/>
      <c r="G58" s="55"/>
      <c r="H58" s="55"/>
      <c r="I58" s="55"/>
      <c r="J58" s="55"/>
      <c r="K58" s="17">
        <v>0.02</v>
      </c>
      <c r="L58" s="17">
        <f>ROUND(19.88,3)</f>
        <v>19.88</v>
      </c>
      <c r="M58" s="18">
        <f>ROUND(K58*L58,2)</f>
        <v>0.4</v>
      </c>
    </row>
    <row r="59" spans="1:13" ht="15.2" customHeight="1" thickBot="1" x14ac:dyDescent="0.25">
      <c r="A59" s="5" t="s">
        <v>174</v>
      </c>
      <c r="B59" s="5" t="s">
        <v>175</v>
      </c>
      <c r="C59" s="5" t="s">
        <v>176</v>
      </c>
      <c r="D59" s="55" t="s">
        <v>177</v>
      </c>
      <c r="E59" s="55"/>
      <c r="F59" s="55"/>
      <c r="G59" s="55"/>
      <c r="H59" s="55"/>
      <c r="I59" s="55"/>
      <c r="J59" s="55"/>
      <c r="K59" s="17">
        <v>3.3000000000000002E-2</v>
      </c>
      <c r="L59" s="17">
        <f>ROUND(22.09,3)</f>
        <v>22.09</v>
      </c>
      <c r="M59" s="18">
        <f>ROUND(K59*L59,2)</f>
        <v>0.73</v>
      </c>
    </row>
    <row r="60" spans="1:13" ht="15.2" customHeight="1" thickBot="1" x14ac:dyDescent="0.25">
      <c r="A60" s="5" t="s">
        <v>178</v>
      </c>
      <c r="B60" s="5" t="s">
        <v>179</v>
      </c>
      <c r="C60" s="5" t="s">
        <v>180</v>
      </c>
      <c r="D60" s="55" t="s">
        <v>181</v>
      </c>
      <c r="E60" s="55"/>
      <c r="F60" s="55"/>
      <c r="G60" s="55"/>
      <c r="H60" s="55"/>
      <c r="I60" s="55"/>
      <c r="J60" s="55"/>
      <c r="K60" s="17">
        <v>1.02</v>
      </c>
      <c r="L60" s="17">
        <f>ROUND(1.6,3)</f>
        <v>1.6</v>
      </c>
      <c r="M60" s="18">
        <f>ROUND(K60*L60,2)</f>
        <v>1.63</v>
      </c>
    </row>
    <row r="61" spans="1:13" ht="15.2" customHeight="1" thickBot="1" x14ac:dyDescent="0.25">
      <c r="A61" s="5" t="s">
        <v>182</v>
      </c>
      <c r="B61" s="5"/>
      <c r="C61" s="5" t="s">
        <v>183</v>
      </c>
      <c r="D61" s="55" t="s">
        <v>184</v>
      </c>
      <c r="E61" s="55"/>
      <c r="F61" s="55"/>
      <c r="G61" s="55"/>
      <c r="H61" s="55"/>
      <c r="I61" s="55"/>
      <c r="J61" s="55"/>
      <c r="K61" s="17">
        <v>1.5</v>
      </c>
      <c r="L61" s="17">
        <f>ROUND(1.13,3)</f>
        <v>1.1299999999999999</v>
      </c>
      <c r="M61" s="18">
        <f>ROUND((K61*L61)/100,2)</f>
        <v>0.02</v>
      </c>
    </row>
    <row r="62" spans="1:13" ht="15.4" customHeight="1" thickBot="1" x14ac:dyDescent="0.25">
      <c r="A62" s="31"/>
      <c r="B62" s="31"/>
      <c r="C62" s="31"/>
      <c r="D62" s="32" t="s">
        <v>185</v>
      </c>
      <c r="E62" s="31"/>
      <c r="F62" s="31"/>
      <c r="G62" s="31"/>
      <c r="H62" s="31"/>
      <c r="I62" s="31"/>
      <c r="J62" s="31"/>
      <c r="K62" s="33">
        <v>450</v>
      </c>
      <c r="L62" s="34">
        <f>ROUND((M58+M59+M60+M61)*(1+M2/100),2)</f>
        <v>2.86</v>
      </c>
      <c r="M62" s="34">
        <f>ROUND(K62*L62,2)</f>
        <v>1287</v>
      </c>
    </row>
    <row r="63" spans="1:13" ht="21.4" customHeight="1" thickBot="1" x14ac:dyDescent="0.25">
      <c r="A63" s="35" t="s">
        <v>186</v>
      </c>
      <c r="B63" s="36" t="s">
        <v>187</v>
      </c>
      <c r="C63" s="36" t="s">
        <v>188</v>
      </c>
      <c r="D63" s="56" t="s">
        <v>189</v>
      </c>
      <c r="E63" s="56"/>
      <c r="F63" s="56"/>
      <c r="G63" s="56"/>
      <c r="H63" s="56"/>
      <c r="I63" s="56"/>
      <c r="J63" s="56"/>
      <c r="K63" s="37">
        <f>SUM(K66:K68)</f>
        <v>900</v>
      </c>
      <c r="L63" s="38">
        <f>L73</f>
        <v>2.5</v>
      </c>
      <c r="M63" s="38">
        <f>ROUND(K63*L63,2)</f>
        <v>2250</v>
      </c>
    </row>
    <row r="64" spans="1:13" ht="12.2" customHeight="1" thickBot="1" x14ac:dyDescent="0.25">
      <c r="A64" s="19"/>
      <c r="B64" s="19"/>
      <c r="C64" s="19"/>
      <c r="D64" s="55" t="s">
        <v>190</v>
      </c>
      <c r="E64" s="55"/>
      <c r="F64" s="55"/>
      <c r="G64" s="55"/>
      <c r="H64" s="55"/>
      <c r="I64" s="55"/>
      <c r="J64" s="55"/>
      <c r="K64" s="55"/>
      <c r="L64" s="55"/>
      <c r="M64" s="55"/>
    </row>
    <row r="65" spans="1:13" ht="15.2" customHeight="1" thickBot="1" x14ac:dyDescent="0.25">
      <c r="A65" s="19"/>
      <c r="B65" s="19"/>
      <c r="C65" s="19"/>
      <c r="D65" s="19"/>
      <c r="E65" s="20"/>
      <c r="F65" s="22" t="s">
        <v>191</v>
      </c>
      <c r="G65" s="22" t="s">
        <v>192</v>
      </c>
      <c r="H65" s="22" t="s">
        <v>193</v>
      </c>
      <c r="I65" s="22" t="s">
        <v>194</v>
      </c>
      <c r="J65" s="22" t="s">
        <v>195</v>
      </c>
      <c r="K65" s="22" t="s">
        <v>196</v>
      </c>
      <c r="L65" s="19"/>
      <c r="M65" s="19"/>
    </row>
    <row r="66" spans="1:13" ht="21.4" customHeight="1" thickBot="1" x14ac:dyDescent="0.25">
      <c r="A66" s="19"/>
      <c r="B66" s="19"/>
      <c r="C66" s="19"/>
      <c r="D66" s="23"/>
      <c r="E66" s="24" t="s">
        <v>197</v>
      </c>
      <c r="F66" s="25">
        <v>280</v>
      </c>
      <c r="G66" s="26">
        <v>2</v>
      </c>
      <c r="H66" s="26"/>
      <c r="I66" s="26"/>
      <c r="J66" s="28">
        <f>ROUND(F66*G66,3)</f>
        <v>560</v>
      </c>
      <c r="K66" s="29"/>
      <c r="L66" s="19"/>
      <c r="M66" s="19"/>
    </row>
    <row r="67" spans="1:13" ht="21.4" customHeight="1" thickBot="1" x14ac:dyDescent="0.25">
      <c r="A67" s="19"/>
      <c r="B67" s="19"/>
      <c r="C67" s="19"/>
      <c r="D67" s="23"/>
      <c r="E67" s="5" t="s">
        <v>198</v>
      </c>
      <c r="F67" s="3">
        <v>170</v>
      </c>
      <c r="G67" s="17">
        <v>2</v>
      </c>
      <c r="H67" s="17"/>
      <c r="I67" s="17"/>
      <c r="J67" s="27">
        <f>ROUND(F67*G67,3)</f>
        <v>340</v>
      </c>
      <c r="K67" s="19"/>
      <c r="L67" s="19"/>
      <c r="M67" s="19"/>
    </row>
    <row r="68" spans="1:13" ht="15.2" customHeight="1" thickBot="1" x14ac:dyDescent="0.25">
      <c r="A68" s="19"/>
      <c r="B68" s="19"/>
      <c r="C68" s="19"/>
      <c r="D68" s="23"/>
      <c r="E68" s="5"/>
      <c r="F68" s="3"/>
      <c r="G68" s="17"/>
      <c r="H68" s="17"/>
      <c r="I68" s="17"/>
      <c r="J68" s="21" t="s">
        <v>199</v>
      </c>
      <c r="K68" s="30">
        <f>SUM(J66:J68)</f>
        <v>900</v>
      </c>
      <c r="L68" s="19"/>
      <c r="M68" s="19"/>
    </row>
    <row r="69" spans="1:13" ht="15.2" customHeight="1" thickBot="1" x14ac:dyDescent="0.25">
      <c r="A69" s="5" t="s">
        <v>200</v>
      </c>
      <c r="B69" s="5" t="s">
        <v>201</v>
      </c>
      <c r="C69" s="5" t="s">
        <v>202</v>
      </c>
      <c r="D69" s="55" t="s">
        <v>203</v>
      </c>
      <c r="E69" s="55"/>
      <c r="F69" s="55"/>
      <c r="G69" s="55"/>
      <c r="H69" s="55"/>
      <c r="I69" s="55"/>
      <c r="J69" s="55"/>
      <c r="K69" s="17">
        <v>0.04</v>
      </c>
      <c r="L69" s="17">
        <f>ROUND(19.88,3)</f>
        <v>19.88</v>
      </c>
      <c r="M69" s="18">
        <f>ROUND(K69*L69,2)</f>
        <v>0.8</v>
      </c>
    </row>
    <row r="70" spans="1:13" ht="15.2" customHeight="1" thickBot="1" x14ac:dyDescent="0.25">
      <c r="A70" s="5" t="s">
        <v>204</v>
      </c>
      <c r="B70" s="5" t="s">
        <v>205</v>
      </c>
      <c r="C70" s="5" t="s">
        <v>206</v>
      </c>
      <c r="D70" s="55" t="s">
        <v>207</v>
      </c>
      <c r="E70" s="55"/>
      <c r="F70" s="55"/>
      <c r="G70" s="55"/>
      <c r="H70" s="55"/>
      <c r="I70" s="55"/>
      <c r="J70" s="55"/>
      <c r="K70" s="17">
        <v>0.04</v>
      </c>
      <c r="L70" s="17">
        <f>ROUND(22.09,3)</f>
        <v>22.09</v>
      </c>
      <c r="M70" s="18">
        <f>ROUND(K70*L70,2)</f>
        <v>0.88</v>
      </c>
    </row>
    <row r="71" spans="1:13" ht="15.2" customHeight="1" thickBot="1" x14ac:dyDescent="0.25">
      <c r="A71" s="5" t="s">
        <v>208</v>
      </c>
      <c r="B71" s="5" t="s">
        <v>209</v>
      </c>
      <c r="C71" s="5" t="s">
        <v>210</v>
      </c>
      <c r="D71" s="55" t="s">
        <v>211</v>
      </c>
      <c r="E71" s="55"/>
      <c r="F71" s="55"/>
      <c r="G71" s="55"/>
      <c r="H71" s="55"/>
      <c r="I71" s="55"/>
      <c r="J71" s="55"/>
      <c r="K71" s="17">
        <v>1.02</v>
      </c>
      <c r="L71" s="17">
        <f>ROUND(0.71,3)</f>
        <v>0.71</v>
      </c>
      <c r="M71" s="18">
        <f>ROUND(K71*L71,2)</f>
        <v>0.72</v>
      </c>
    </row>
    <row r="72" spans="1:13" ht="15.2" customHeight="1" thickBot="1" x14ac:dyDescent="0.25">
      <c r="A72" s="5" t="s">
        <v>212</v>
      </c>
      <c r="B72" s="5"/>
      <c r="C72" s="5" t="s">
        <v>213</v>
      </c>
      <c r="D72" s="55" t="s">
        <v>214</v>
      </c>
      <c r="E72" s="55"/>
      <c r="F72" s="55"/>
      <c r="G72" s="55"/>
      <c r="H72" s="55"/>
      <c r="I72" s="55"/>
      <c r="J72" s="55"/>
      <c r="K72" s="17">
        <v>1.5</v>
      </c>
      <c r="L72" s="17">
        <f>ROUND(1.68,3)</f>
        <v>1.68</v>
      </c>
      <c r="M72" s="18">
        <f>ROUND((K72*L72)/100,2)</f>
        <v>0.03</v>
      </c>
    </row>
    <row r="73" spans="1:13" ht="15.4" customHeight="1" thickBot="1" x14ac:dyDescent="0.25">
      <c r="A73" s="31"/>
      <c r="B73" s="31"/>
      <c r="C73" s="31"/>
      <c r="D73" s="32" t="s">
        <v>215</v>
      </c>
      <c r="E73" s="31"/>
      <c r="F73" s="31"/>
      <c r="G73" s="31"/>
      <c r="H73" s="31"/>
      <c r="I73" s="31"/>
      <c r="J73" s="31"/>
      <c r="K73" s="33">
        <v>900</v>
      </c>
      <c r="L73" s="34">
        <f>ROUND((M69+M70+M71+M72)*(1+M2/100),2)</f>
        <v>2.5</v>
      </c>
      <c r="M73" s="34">
        <f>ROUND(K73*L73,2)</f>
        <v>2250</v>
      </c>
    </row>
    <row r="74" spans="1:13" ht="21.4" customHeight="1" thickBot="1" x14ac:dyDescent="0.25">
      <c r="A74" s="35" t="s">
        <v>216</v>
      </c>
      <c r="B74" s="36" t="s">
        <v>217</v>
      </c>
      <c r="C74" s="36" t="s">
        <v>218</v>
      </c>
      <c r="D74" s="56" t="s">
        <v>219</v>
      </c>
      <c r="E74" s="56"/>
      <c r="F74" s="56"/>
      <c r="G74" s="56"/>
      <c r="H74" s="56"/>
      <c r="I74" s="56"/>
      <c r="J74" s="56"/>
      <c r="K74" s="37">
        <f>SUM(K77:K78)</f>
        <v>450</v>
      </c>
      <c r="L74" s="38">
        <f>L85</f>
        <v>7.64</v>
      </c>
      <c r="M74" s="38">
        <f>ROUND(K74*L74,2)</f>
        <v>3438</v>
      </c>
    </row>
    <row r="75" spans="1:13" ht="41.25" customHeight="1" thickBot="1" x14ac:dyDescent="0.25">
      <c r="A75" s="19"/>
      <c r="B75" s="19"/>
      <c r="C75" s="19"/>
      <c r="D75" s="55" t="s">
        <v>220</v>
      </c>
      <c r="E75" s="55"/>
      <c r="F75" s="55"/>
      <c r="G75" s="55"/>
      <c r="H75" s="55"/>
      <c r="I75" s="55"/>
      <c r="J75" s="55"/>
      <c r="K75" s="55"/>
      <c r="L75" s="55"/>
      <c r="M75" s="55"/>
    </row>
    <row r="76" spans="1:13" ht="15.2" customHeight="1" thickBot="1" x14ac:dyDescent="0.25">
      <c r="A76" s="19"/>
      <c r="B76" s="19"/>
      <c r="C76" s="19"/>
      <c r="D76" s="19"/>
      <c r="E76" s="20"/>
      <c r="F76" s="22" t="s">
        <v>221</v>
      </c>
      <c r="G76" s="22" t="s">
        <v>222</v>
      </c>
      <c r="H76" s="22" t="s">
        <v>223</v>
      </c>
      <c r="I76" s="22" t="s">
        <v>224</v>
      </c>
      <c r="J76" s="22" t="s">
        <v>225</v>
      </c>
      <c r="K76" s="22" t="s">
        <v>226</v>
      </c>
      <c r="L76" s="19"/>
      <c r="M76" s="19"/>
    </row>
    <row r="77" spans="1:13" ht="15.2" customHeight="1" thickBot="1" x14ac:dyDescent="0.25">
      <c r="A77" s="19"/>
      <c r="B77" s="19"/>
      <c r="C77" s="19"/>
      <c r="D77" s="23"/>
      <c r="E77" s="24" t="s">
        <v>227</v>
      </c>
      <c r="F77" s="25">
        <v>280</v>
      </c>
      <c r="G77" s="26"/>
      <c r="H77" s="26"/>
      <c r="I77" s="26"/>
      <c r="J77" s="28">
        <f>ROUND(F77,3)</f>
        <v>280</v>
      </c>
      <c r="K77" s="29"/>
      <c r="L77" s="19"/>
      <c r="M77" s="19"/>
    </row>
    <row r="78" spans="1:13" ht="15.2" customHeight="1" thickBot="1" x14ac:dyDescent="0.25">
      <c r="A78" s="19"/>
      <c r="B78" s="19"/>
      <c r="C78" s="19"/>
      <c r="D78" s="23"/>
      <c r="E78" s="5" t="s">
        <v>228</v>
      </c>
      <c r="F78" s="3">
        <v>170</v>
      </c>
      <c r="G78" s="17"/>
      <c r="H78" s="17"/>
      <c r="I78" s="17"/>
      <c r="J78" s="27">
        <f>ROUND(F78,3)</f>
        <v>170</v>
      </c>
      <c r="K78" s="30">
        <f>SUM(J77:J78)</f>
        <v>450</v>
      </c>
      <c r="L78" s="19"/>
      <c r="M78" s="19"/>
    </row>
    <row r="79" spans="1:13" ht="15.2" customHeight="1" thickBot="1" x14ac:dyDescent="0.25">
      <c r="A79" s="5" t="s">
        <v>229</v>
      </c>
      <c r="B79" s="5" t="s">
        <v>230</v>
      </c>
      <c r="C79" s="5" t="s">
        <v>231</v>
      </c>
      <c r="D79" s="55" t="s">
        <v>232</v>
      </c>
      <c r="E79" s="55"/>
      <c r="F79" s="55"/>
      <c r="G79" s="55"/>
      <c r="H79" s="55"/>
      <c r="I79" s="55"/>
      <c r="J79" s="55"/>
      <c r="K79" s="17">
        <v>0.08</v>
      </c>
      <c r="L79" s="17">
        <f>ROUND(20.9,3)</f>
        <v>20.9</v>
      </c>
      <c r="M79" s="18">
        <f>ROUND(K79*L79,2)</f>
        <v>1.67</v>
      </c>
    </row>
    <row r="80" spans="1:13" ht="15.2" customHeight="1" thickBot="1" x14ac:dyDescent="0.25">
      <c r="A80" s="5" t="s">
        <v>233</v>
      </c>
      <c r="B80" s="5" t="s">
        <v>234</v>
      </c>
      <c r="C80" s="5" t="s">
        <v>235</v>
      </c>
      <c r="D80" s="55" t="s">
        <v>236</v>
      </c>
      <c r="E80" s="55"/>
      <c r="F80" s="55"/>
      <c r="G80" s="55"/>
      <c r="H80" s="55"/>
      <c r="I80" s="55"/>
      <c r="J80" s="55"/>
      <c r="K80" s="17">
        <v>0.08</v>
      </c>
      <c r="L80" s="17">
        <f>ROUND(21.54,3)</f>
        <v>21.54</v>
      </c>
      <c r="M80" s="18">
        <f>ROUND(K80*L80,2)</f>
        <v>1.72</v>
      </c>
    </row>
    <row r="81" spans="1:13" ht="15.2" customHeight="1" thickBot="1" x14ac:dyDescent="0.25">
      <c r="A81" s="5" t="s">
        <v>237</v>
      </c>
      <c r="B81" s="5" t="s">
        <v>238</v>
      </c>
      <c r="C81" s="5" t="s">
        <v>239</v>
      </c>
      <c r="D81" s="55" t="s">
        <v>240</v>
      </c>
      <c r="E81" s="55"/>
      <c r="F81" s="55"/>
      <c r="G81" s="55"/>
      <c r="H81" s="55"/>
      <c r="I81" s="55"/>
      <c r="J81" s="55"/>
      <c r="K81" s="17">
        <v>0.08</v>
      </c>
      <c r="L81" s="17">
        <f>ROUND(6.04,3)</f>
        <v>6.04</v>
      </c>
      <c r="M81" s="18">
        <f>ROUND(K81*L81,2)</f>
        <v>0.48</v>
      </c>
    </row>
    <row r="82" spans="1:13" ht="15.2" customHeight="1" thickBot="1" x14ac:dyDescent="0.25">
      <c r="A82" s="5" t="s">
        <v>241</v>
      </c>
      <c r="B82" s="5" t="s">
        <v>242</v>
      </c>
      <c r="C82" s="5" t="s">
        <v>243</v>
      </c>
      <c r="D82" s="55" t="s">
        <v>244</v>
      </c>
      <c r="E82" s="55"/>
      <c r="F82" s="55"/>
      <c r="G82" s="55"/>
      <c r="H82" s="55"/>
      <c r="I82" s="55"/>
      <c r="J82" s="55"/>
      <c r="K82" s="17">
        <v>0.06</v>
      </c>
      <c r="L82" s="17">
        <f>ROUND(56.69,3)</f>
        <v>56.69</v>
      </c>
      <c r="M82" s="18">
        <f>ROUND(K82*L82,2)</f>
        <v>3.4</v>
      </c>
    </row>
    <row r="83" spans="1:13" ht="15.2" customHeight="1" thickBot="1" x14ac:dyDescent="0.25">
      <c r="A83" s="5" t="s">
        <v>245</v>
      </c>
      <c r="B83" s="5"/>
      <c r="C83" s="5" t="s">
        <v>246</v>
      </c>
      <c r="D83" s="55" t="s">
        <v>247</v>
      </c>
      <c r="E83" s="55"/>
      <c r="F83" s="55"/>
      <c r="G83" s="55"/>
      <c r="H83" s="55"/>
      <c r="I83" s="55"/>
      <c r="J83" s="55"/>
      <c r="K83" s="17">
        <v>1.5</v>
      </c>
      <c r="L83" s="17">
        <f>ROUND(3.39,3)</f>
        <v>3.39</v>
      </c>
      <c r="M83" s="18">
        <f>ROUND((K83*L83)/100,2)</f>
        <v>0.05</v>
      </c>
    </row>
    <row r="84" spans="1:13" ht="15.2" customHeight="1" thickBot="1" x14ac:dyDescent="0.25">
      <c r="A84" s="5" t="s">
        <v>248</v>
      </c>
      <c r="B84" s="5" t="s">
        <v>249</v>
      </c>
      <c r="C84" s="5" t="s">
        <v>250</v>
      </c>
      <c r="D84" s="55" t="s">
        <v>251</v>
      </c>
      <c r="E84" s="55"/>
      <c r="F84" s="55"/>
      <c r="G84" s="55"/>
      <c r="H84" s="55"/>
      <c r="I84" s="55"/>
      <c r="J84" s="55"/>
      <c r="K84" s="17">
        <v>1</v>
      </c>
      <c r="L84" s="17">
        <f>ROUND(0.1,3)</f>
        <v>0.1</v>
      </c>
      <c r="M84" s="18">
        <f>ROUND(K84*L84,2)</f>
        <v>0.1</v>
      </c>
    </row>
    <row r="85" spans="1:13" ht="15.4" customHeight="1" thickBot="1" x14ac:dyDescent="0.25">
      <c r="A85" s="31"/>
      <c r="B85" s="31"/>
      <c r="C85" s="31"/>
      <c r="D85" s="32" t="s">
        <v>252</v>
      </c>
      <c r="E85" s="31"/>
      <c r="F85" s="31"/>
      <c r="G85" s="31"/>
      <c r="H85" s="31"/>
      <c r="I85" s="31"/>
      <c r="J85" s="31"/>
      <c r="K85" s="33">
        <v>450</v>
      </c>
      <c r="L85" s="34">
        <f>ROUND((M79+M80+M81+M82+M83+M84)*(1+M2/100),2)</f>
        <v>7.64</v>
      </c>
      <c r="M85" s="34">
        <f>ROUND(K85*L85,2)</f>
        <v>3438</v>
      </c>
    </row>
    <row r="86" spans="1:13" ht="15.4" customHeight="1" thickBot="1" x14ac:dyDescent="0.25">
      <c r="A86" s="35" t="s">
        <v>253</v>
      </c>
      <c r="B86" s="36" t="s">
        <v>254</v>
      </c>
      <c r="C86" s="36" t="s">
        <v>255</v>
      </c>
      <c r="D86" s="56" t="s">
        <v>256</v>
      </c>
      <c r="E86" s="56"/>
      <c r="F86" s="56"/>
      <c r="G86" s="56"/>
      <c r="H86" s="56"/>
      <c r="I86" s="56"/>
      <c r="J86" s="56"/>
      <c r="K86" s="37">
        <f>ROUND(1,2)</f>
        <v>1</v>
      </c>
      <c r="L86" s="38">
        <f>ROUND(1504.854*(1+M2/100),2)</f>
        <v>1550</v>
      </c>
      <c r="M86" s="38">
        <f>ROUND(K86*L86,2)</f>
        <v>1550</v>
      </c>
    </row>
    <row r="87" spans="1:13" ht="58.35" customHeight="1" thickBot="1" x14ac:dyDescent="0.25">
      <c r="A87" s="19"/>
      <c r="B87" s="19"/>
      <c r="C87" s="19"/>
      <c r="D87" s="55" t="s">
        <v>257</v>
      </c>
      <c r="E87" s="55"/>
      <c r="F87" s="55"/>
      <c r="G87" s="55"/>
      <c r="H87" s="55"/>
      <c r="I87" s="55"/>
      <c r="J87" s="55"/>
      <c r="K87" s="55"/>
      <c r="L87" s="55"/>
      <c r="M87" s="55"/>
    </row>
    <row r="88" spans="1:13" ht="15.4" customHeight="1" thickBot="1" x14ac:dyDescent="0.25">
      <c r="A88" s="10" t="s">
        <v>258</v>
      </c>
      <c r="B88" s="5" t="s">
        <v>259</v>
      </c>
      <c r="C88" s="5" t="s">
        <v>260</v>
      </c>
      <c r="D88" s="55" t="s">
        <v>261</v>
      </c>
      <c r="E88" s="55"/>
      <c r="F88" s="55"/>
      <c r="G88" s="55"/>
      <c r="H88" s="55"/>
      <c r="I88" s="55"/>
      <c r="J88" s="55"/>
      <c r="K88" s="17">
        <f>ROUND(0.02,2)</f>
        <v>0.02</v>
      </c>
      <c r="L88" s="18">
        <f>ROUND(33495.146*(1+M2/100),2)</f>
        <v>34500</v>
      </c>
      <c r="M88" s="18">
        <f>ROUND(K88*L88,2)</f>
        <v>690</v>
      </c>
    </row>
    <row r="89" spans="1:13" ht="12.2" customHeight="1" thickBot="1" x14ac:dyDescent="0.25">
      <c r="A89" s="19"/>
      <c r="B89" s="19"/>
      <c r="C89" s="19"/>
      <c r="D89" s="55" t="s">
        <v>262</v>
      </c>
      <c r="E89" s="55"/>
      <c r="F89" s="55"/>
      <c r="G89" s="55"/>
      <c r="H89" s="55"/>
      <c r="I89" s="55"/>
      <c r="J89" s="55"/>
      <c r="K89" s="55"/>
      <c r="L89" s="55"/>
      <c r="M89" s="55"/>
    </row>
    <row r="90" spans="1:13" ht="15.4" customHeight="1" thickBot="1" x14ac:dyDescent="0.25">
      <c r="A90" s="10" t="s">
        <v>263</v>
      </c>
      <c r="B90" s="5" t="s">
        <v>264</v>
      </c>
      <c r="C90" s="5" t="s">
        <v>265</v>
      </c>
      <c r="D90" s="55" t="s">
        <v>266</v>
      </c>
      <c r="E90" s="55"/>
      <c r="F90" s="55"/>
      <c r="G90" s="55"/>
      <c r="H90" s="55"/>
      <c r="I90" s="55"/>
      <c r="J90" s="55"/>
      <c r="K90" s="17">
        <f>ROUND(1,2)</f>
        <v>1</v>
      </c>
      <c r="L90" s="18">
        <f>ROUND(750*(1+M2/100),2)</f>
        <v>772.5</v>
      </c>
      <c r="M90" s="18">
        <f>ROUND(K90*L90,2)</f>
        <v>772.5</v>
      </c>
    </row>
    <row r="91" spans="1:13" ht="12.2" customHeight="1" thickBot="1" x14ac:dyDescent="0.25">
      <c r="A91" s="19"/>
      <c r="B91" s="19"/>
      <c r="C91" s="19"/>
      <c r="D91" s="55" t="s">
        <v>267</v>
      </c>
      <c r="E91" s="55"/>
      <c r="F91" s="55"/>
      <c r="G91" s="55"/>
      <c r="H91" s="55"/>
      <c r="I91" s="55"/>
      <c r="J91" s="55"/>
      <c r="K91" s="55"/>
      <c r="L91" s="55"/>
      <c r="M91" s="55"/>
    </row>
    <row r="92" spans="1:13" ht="15.4" customHeight="1" thickBot="1" x14ac:dyDescent="0.25">
      <c r="A92" s="31"/>
      <c r="B92" s="31"/>
      <c r="C92" s="31"/>
      <c r="D92" s="46" t="s">
        <v>268</v>
      </c>
      <c r="E92" s="47"/>
      <c r="F92" s="47"/>
      <c r="G92" s="47"/>
      <c r="H92" s="47"/>
      <c r="I92" s="47"/>
      <c r="J92" s="47"/>
      <c r="K92" s="47"/>
      <c r="L92" s="48">
        <f>M42+M53+M63+M74+M86+M88+M90</f>
        <v>14276</v>
      </c>
      <c r="M92" s="48">
        <f>ROUND(L92,2)</f>
        <v>14276</v>
      </c>
    </row>
    <row r="93" spans="1:13" ht="25.15" customHeight="1" thickBot="1" x14ac:dyDescent="0.25">
      <c r="A93" s="39"/>
      <c r="B93" s="39"/>
      <c r="C93" s="39"/>
      <c r="D93" s="49" t="s">
        <v>269</v>
      </c>
      <c r="E93" s="50"/>
      <c r="F93" s="50"/>
      <c r="G93" s="50"/>
      <c r="H93" s="50"/>
      <c r="I93" s="50"/>
      <c r="J93" s="50"/>
      <c r="K93" s="50"/>
      <c r="L93" s="51">
        <f>M40+M92</f>
        <v>34670.9</v>
      </c>
      <c r="M93" s="51">
        <f>ROUND(L93,2)</f>
        <v>34670.9</v>
      </c>
    </row>
  </sheetData>
  <mergeCells count="60">
    <mergeCell ref="D87:M87"/>
    <mergeCell ref="D88:J88"/>
    <mergeCell ref="D89:M89"/>
    <mergeCell ref="D90:J90"/>
    <mergeCell ref="D91:M91"/>
    <mergeCell ref="D81:J81"/>
    <mergeCell ref="D82:J82"/>
    <mergeCell ref="D83:J83"/>
    <mergeCell ref="D84:J84"/>
    <mergeCell ref="D86:J86"/>
    <mergeCell ref="D72:J72"/>
    <mergeCell ref="D74:J74"/>
    <mergeCell ref="D75:M75"/>
    <mergeCell ref="D79:J79"/>
    <mergeCell ref="D80:J80"/>
    <mergeCell ref="D63:J63"/>
    <mergeCell ref="D64:M64"/>
    <mergeCell ref="D69:J69"/>
    <mergeCell ref="D70:J70"/>
    <mergeCell ref="D71:J71"/>
    <mergeCell ref="D54:M54"/>
    <mergeCell ref="D58:J58"/>
    <mergeCell ref="D59:J59"/>
    <mergeCell ref="D60:J60"/>
    <mergeCell ref="D61:J61"/>
    <mergeCell ref="D48:J48"/>
    <mergeCell ref="D49:J49"/>
    <mergeCell ref="D50:J50"/>
    <mergeCell ref="D51:J51"/>
    <mergeCell ref="D53:J53"/>
    <mergeCell ref="D38:J38"/>
    <mergeCell ref="D41:J41"/>
    <mergeCell ref="D42:J42"/>
    <mergeCell ref="D43:M43"/>
    <mergeCell ref="D47:J47"/>
    <mergeCell ref="D29:J29"/>
    <mergeCell ref="D31:J31"/>
    <mergeCell ref="D32:M32"/>
    <mergeCell ref="D36:J36"/>
    <mergeCell ref="D37:J37"/>
    <mergeCell ref="D24:J24"/>
    <mergeCell ref="D25:J25"/>
    <mergeCell ref="D26:J26"/>
    <mergeCell ref="D27:J27"/>
    <mergeCell ref="D28:J28"/>
    <mergeCell ref="D15:J15"/>
    <mergeCell ref="D17:J17"/>
    <mergeCell ref="D18:M18"/>
    <mergeCell ref="D22:J22"/>
    <mergeCell ref="D23:J23"/>
    <mergeCell ref="D7:M7"/>
    <mergeCell ref="D11:J11"/>
    <mergeCell ref="D12:J12"/>
    <mergeCell ref="D13:J13"/>
    <mergeCell ref="D14:J14"/>
    <mergeCell ref="B1:M1"/>
    <mergeCell ref="A2:C2"/>
    <mergeCell ref="D4:J4"/>
    <mergeCell ref="D5:J5"/>
    <mergeCell ref="D6:J6"/>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Romero</dc:creator>
  <cp:lastModifiedBy>Gemma Perich</cp:lastModifiedBy>
  <cp:lastPrinted>2023-07-24T12:47:39Z</cp:lastPrinted>
  <dcterms:created xsi:type="dcterms:W3CDTF">2023-07-13T12:38:18Z</dcterms:created>
  <dcterms:modified xsi:type="dcterms:W3CDTF">2025-10-20T13:12:21Z</dcterms:modified>
</cp:coreProperties>
</file>