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e9abdb304ed142/Desktop/Consorci/CONSORCI GUILLERIES/ROSA/Contractes/CONTRACTES 2025/SERVEIS/8S-2025 NETEJA EQUIPAMENTS/contracte neteja 2025/"/>
    </mc:Choice>
  </mc:AlternateContent>
  <xr:revisionPtr revIDLastSave="20" documentId="13_ncr:1_{949DE64B-70CF-412C-8EC8-5DE3FA2E7C2E}" xr6:coauthVersionLast="47" xr6:coauthVersionMax="47" xr10:uidLastSave="{A428A8B5-0A33-4EB4-9F80-FA60AEE62CFE}"/>
  <bookViews>
    <workbookView xWindow="-108" yWindow="-108" windowWidth="23256" windowHeight="12456" firstSheet="1" activeTab="3" xr2:uid="{00000000-000D-0000-FFFF-FFFF00000000}"/>
  </bookViews>
  <sheets>
    <sheet name="Proposta 1" sheetId="1" r:id="rId1"/>
    <sheet name="Proposta 2-2023" sheetId="2" r:id="rId2"/>
    <sheet name="Proposta 2-2024" sheetId="4" r:id="rId3"/>
    <sheet name="Proposta 3-2024 + àrea pantà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5" l="1"/>
  <c r="I31" i="5"/>
  <c r="G31" i="5"/>
  <c r="G29" i="5"/>
  <c r="H29" i="5"/>
  <c r="I29" i="5"/>
  <c r="G30" i="5"/>
  <c r="H30" i="5"/>
  <c r="I30" i="5"/>
  <c r="B28" i="5"/>
  <c r="J30" i="5"/>
  <c r="F30" i="5"/>
  <c r="E33" i="5"/>
  <c r="F33" i="5"/>
  <c r="D33" i="5"/>
  <c r="B18" i="5" l="1"/>
  <c r="D31" i="5" s="1"/>
  <c r="E31" i="5" s="1"/>
  <c r="B4" i="5"/>
  <c r="C18" i="5" l="1"/>
  <c r="D29" i="5"/>
  <c r="E29" i="5" s="1"/>
  <c r="F29" i="5" s="1"/>
  <c r="D30" i="5"/>
  <c r="E30" i="5" s="1"/>
  <c r="F31" i="5"/>
  <c r="D32" i="5" l="1"/>
  <c r="D28" i="5"/>
  <c r="E28" i="5" s="1"/>
  <c r="F28" i="5" s="1"/>
  <c r="E32" i="5" l="1"/>
  <c r="F32" i="5"/>
  <c r="C22" i="5" l="1"/>
  <c r="D22" i="5" s="1"/>
  <c r="C21" i="5"/>
  <c r="D21" i="5" s="1"/>
  <c r="B11" i="5"/>
  <c r="B32" i="5"/>
  <c r="B31" i="5"/>
  <c r="A31" i="5"/>
  <c r="B30" i="5"/>
  <c r="A30" i="5"/>
  <c r="B29" i="5"/>
  <c r="D19" i="4"/>
  <c r="D18" i="4"/>
  <c r="L25" i="4"/>
  <c r="J25" i="4"/>
  <c r="N26" i="4"/>
  <c r="M26" i="4"/>
  <c r="L26" i="4"/>
  <c r="N25" i="4"/>
  <c r="M25" i="4"/>
  <c r="J29" i="4"/>
  <c r="J26" i="4"/>
  <c r="J28" i="4"/>
  <c r="J27" i="4"/>
  <c r="I28" i="4"/>
  <c r="I27" i="4"/>
  <c r="B29" i="4"/>
  <c r="B28" i="4"/>
  <c r="B27" i="4"/>
  <c r="B26" i="4"/>
  <c r="B25" i="4"/>
  <c r="K17" i="4"/>
  <c r="B4" i="4"/>
  <c r="B8" i="4" s="1"/>
  <c r="B17" i="4" s="1"/>
  <c r="K19" i="4"/>
  <c r="K8" i="4"/>
  <c r="J17" i="4" s="1"/>
  <c r="K7" i="4"/>
  <c r="K6" i="4"/>
  <c r="K5" i="4"/>
  <c r="D25" i="4" l="1"/>
  <c r="L28" i="4"/>
  <c r="L27" i="4"/>
  <c r="M27" i="4" s="1"/>
  <c r="L29" i="4"/>
  <c r="M29" i="4" s="1"/>
  <c r="N29" i="4" s="1"/>
  <c r="A28" i="4"/>
  <c r="A27" i="4"/>
  <c r="B20" i="4"/>
  <c r="B37" i="2"/>
  <c r="B38" i="2" s="1"/>
  <c r="B21" i="4" l="1"/>
  <c r="K21" i="4" s="1"/>
  <c r="K20" i="4"/>
  <c r="L30" i="4"/>
  <c r="M30" i="4" s="1"/>
  <c r="N30" i="4" s="1"/>
  <c r="N27" i="4"/>
  <c r="M28" i="4"/>
  <c r="N28" i="4" s="1"/>
  <c r="L32" i="4"/>
  <c r="M32" i="4"/>
  <c r="D26" i="4"/>
  <c r="D32" i="4" s="1"/>
  <c r="D27" i="4"/>
  <c r="E27" i="4" s="1"/>
  <c r="F27" i="4" s="1"/>
  <c r="D28" i="4"/>
  <c r="E28" i="4" s="1"/>
  <c r="F28" i="4" s="1"/>
  <c r="D29" i="4"/>
  <c r="E29" i="4" s="1"/>
  <c r="F29" i="4" s="1"/>
  <c r="B24" i="2"/>
  <c r="B23" i="2"/>
  <c r="B18" i="2"/>
  <c r="B19" i="2" s="1"/>
  <c r="B8" i="2"/>
  <c r="B4" i="2"/>
  <c r="B27" i="2"/>
  <c r="A26" i="2"/>
  <c r="A25" i="2"/>
  <c r="N32" i="4" l="1"/>
  <c r="E26" i="4"/>
  <c r="E32" i="4" s="1"/>
  <c r="D30" i="4"/>
  <c r="E25" i="4"/>
  <c r="D23" i="2"/>
  <c r="D24" i="2"/>
  <c r="D30" i="2" s="1"/>
  <c r="B25" i="2"/>
  <c r="D25" i="2" s="1"/>
  <c r="E25" i="2" s="1"/>
  <c r="F25" i="2" s="1"/>
  <c r="E23" i="2"/>
  <c r="D27" i="2"/>
  <c r="E27" i="2" s="1"/>
  <c r="F27" i="2" s="1"/>
  <c r="B26" i="2"/>
  <c r="D26" i="2" s="1"/>
  <c r="B26" i="1"/>
  <c r="D26" i="1" s="1"/>
  <c r="E26" i="1" s="1"/>
  <c r="F26" i="1" s="1"/>
  <c r="B22" i="1"/>
  <c r="D22" i="1" s="1"/>
  <c r="A25" i="1"/>
  <c r="A24" i="1"/>
  <c r="B23" i="1"/>
  <c r="D23" i="1" s="1"/>
  <c r="B17" i="1"/>
  <c r="B18" i="1" s="1"/>
  <c r="B7" i="1"/>
  <c r="F25" i="5" l="1"/>
  <c r="F22" i="4"/>
  <c r="F26" i="4"/>
  <c r="F32" i="4" s="1"/>
  <c r="F25" i="4"/>
  <c r="E30" i="4"/>
  <c r="F30" i="4" s="1"/>
  <c r="B24" i="1"/>
  <c r="D24" i="1" s="1"/>
  <c r="E24" i="1" s="1"/>
  <c r="F23" i="2"/>
  <c r="B25" i="1"/>
  <c r="D25" i="1" s="1"/>
  <c r="D28" i="2"/>
  <c r="E25" i="1"/>
  <c r="F25" i="1" s="1"/>
  <c r="E22" i="1"/>
  <c r="F22" i="1" s="1"/>
  <c r="D27" i="1"/>
  <c r="D29" i="1"/>
  <c r="E23" i="1"/>
  <c r="E29" i="1" s="1"/>
  <c r="E26" i="2"/>
  <c r="F26" i="2" s="1"/>
  <c r="E24" i="2"/>
  <c r="E30" i="2" s="1"/>
  <c r="F24" i="1"/>
  <c r="F24" i="5" l="1"/>
  <c r="F21" i="4"/>
  <c r="E28" i="2"/>
  <c r="F28" i="2"/>
  <c r="F20" i="2"/>
  <c r="F23" i="1"/>
  <c r="F29" i="1" s="1"/>
  <c r="E27" i="1"/>
  <c r="F27" i="1" s="1"/>
  <c r="F24" i="2"/>
  <c r="F30" i="2" s="1"/>
  <c r="H28" i="2" l="1"/>
</calcChain>
</file>

<file path=xl/sharedStrings.xml><?xml version="1.0" encoding="utf-8"?>
<sst xmlns="http://schemas.openxmlformats.org/spreadsheetml/2006/main" count="140" uniqueCount="63">
  <si>
    <t>CONTRACTE NETEJA EDIFICIS CONSORCI 2023-2027</t>
  </si>
  <si>
    <t>Edifici</t>
  </si>
  <si>
    <t>Oficina</t>
  </si>
  <si>
    <t>Vernets</t>
  </si>
  <si>
    <t>Nau</t>
  </si>
  <si>
    <t>hores/setmana</t>
  </si>
  <si>
    <t>TOTAL</t>
  </si>
  <si>
    <t>Setmanes/mes</t>
  </si>
  <si>
    <t>Preu horari (€/h s/IVA)</t>
  </si>
  <si>
    <t xml:space="preserve">IVA </t>
  </si>
  <si>
    <t>Preu horari (€/h IVA inclòs)</t>
  </si>
  <si>
    <t>6 de març de 2023</t>
  </si>
  <si>
    <t xml:space="preserve">més un temps de desplaçament entre els diferents equipaments (desplaçament intern). </t>
  </si>
  <si>
    <t>En les hores a la setmana de neteja dels equipaments inclou 1 hora de desplaçament, d'anar i tornar a Vilanova,</t>
  </si>
  <si>
    <t>ANY</t>
  </si>
  <si>
    <t>Mesos/any</t>
  </si>
  <si>
    <t>setmanes/any</t>
  </si>
  <si>
    <t>Import € (s/IVA)</t>
  </si>
  <si>
    <t>21% IVA</t>
  </si>
  <si>
    <t>Import € (a/IVA)</t>
  </si>
  <si>
    <t>Comptar l'inici del contracte a 15 d'abril del 2023</t>
  </si>
  <si>
    <t>20 d'abril de 2023</t>
  </si>
  <si>
    <t>Desplaçament</t>
  </si>
  <si>
    <t>No es comptabilitza, ja s'anirà fent.</t>
  </si>
  <si>
    <t>h/setmana</t>
  </si>
  <si>
    <t>(noi per netejar)</t>
  </si>
  <si>
    <t>contracte actual TAC</t>
  </si>
  <si>
    <t>€/anuals amb IVA</t>
  </si>
  <si>
    <t>€/setmana</t>
  </si>
  <si>
    <t>€/hora</t>
  </si>
  <si>
    <t>(amb productes inclòs)</t>
  </si>
  <si>
    <t>Jaume Orra visita oficina:</t>
  </si>
  <si>
    <t>CONTRACTE NETEJA EDIFICIS CONSORCI 2024-2028</t>
  </si>
  <si>
    <t>2 de febrer de 2024</t>
  </si>
  <si>
    <t>Pel desplaçament es compta 2 treballadors anar i tornar</t>
  </si>
  <si>
    <t>(suposant que a l'ajuntament de Vilanova hi continua venint TAC Osona)</t>
  </si>
  <si>
    <t>(sense TAC a l'Ajuntament)</t>
  </si>
  <si>
    <t>Setmanes/dies totals any 2024:</t>
  </si>
  <si>
    <t>Hores totals:</t>
  </si>
  <si>
    <t>Setmanes/dies totals any:</t>
  </si>
  <si>
    <t xml:space="preserve">(es resta 0,25 hores perquè al ser cada 15 dies la Nau, la setmana que es suma a les 52 no toca </t>
  </si>
  <si>
    <t>la neteja de la Nau i no es suma la part proporcional)</t>
  </si>
  <si>
    <t>Comptar l'inici del contracte a 1 d'abril del 2024. Parlat amb la Rosa</t>
  </si>
  <si>
    <t>30 d'octubre de 2024</t>
  </si>
  <si>
    <t>Comptar l'inici del contracte a 1 de desembre del 2024.</t>
  </si>
  <si>
    <t>INCREMENTS ANUALS TAULES SALARIALS:</t>
  </si>
  <si>
    <t xml:space="preserve">Segons conveni  Resolució EMT/2947/2024, del sector de tallers per a persones amb discapacitat s'ha considerat un augment pel 2024 del 5% i pel 2025 un 4%. </t>
  </si>
  <si>
    <t>Hores totals a l'any:</t>
  </si>
  <si>
    <t>(1 dia a l'any, 2 persones, 8 hores/p)</t>
  </si>
  <si>
    <t>Neteja anual complementàries:</t>
  </si>
  <si>
    <t xml:space="preserve">preu horari peó especialista </t>
  </si>
  <si>
    <t>IVA</t>
  </si>
  <si>
    <t>Preu horari peó 2025 (€/h s/IVA)</t>
  </si>
  <si>
    <t>hores personal especialista</t>
  </si>
  <si>
    <t>8 mesos</t>
  </si>
  <si>
    <t xml:space="preserve">4 mesos </t>
  </si>
  <si>
    <t xml:space="preserve">(només lavabos) </t>
  </si>
  <si>
    <t xml:space="preserve">CI pantà complert </t>
  </si>
  <si>
    <t xml:space="preserve">CI només lavabos </t>
  </si>
  <si>
    <t xml:space="preserve">(45' anar i 45' tornar) * 2 treballadors </t>
  </si>
  <si>
    <t>(hores/setmana)</t>
  </si>
  <si>
    <t>a partir d'aqui es considera un increment del 3% anual del preu horari</t>
  </si>
  <si>
    <t>(en realitat es 1 hora, però com hi van 1 cop al mes, dividim per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</si>
</sst>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2" fontId="1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5" xfId="0" applyNumberFormat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6" xfId="0" applyBorder="1" applyAlignment="1">
      <alignment horizontal="center"/>
    </xf>
    <xf numFmtId="4" fontId="0" fillId="0" borderId="0" xfId="0" applyNumberFormat="1" applyAlignment="1">
      <alignment horizontal="right"/>
    </xf>
    <xf numFmtId="0" fontId="1" fillId="0" borderId="1" xfId="0" applyFont="1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" fontId="1" fillId="0" borderId="0" xfId="0" applyNumberFormat="1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1" fillId="0" borderId="6" xfId="0" applyFont="1" applyBorder="1" applyAlignment="1">
      <alignment horizontal="center"/>
    </xf>
    <xf numFmtId="4" fontId="1" fillId="0" borderId="7" xfId="0" applyNumberFormat="1" applyFont="1" applyBorder="1"/>
    <xf numFmtId="4" fontId="1" fillId="0" borderId="8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9" xfId="0" applyNumberFormat="1" applyBorder="1" applyAlignment="1">
      <alignment horizontal="right"/>
    </xf>
    <xf numFmtId="4" fontId="0" fillId="0" borderId="9" xfId="0" applyNumberFormat="1" applyBorder="1"/>
    <xf numFmtId="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zoomScale="115" zoomScaleNormal="115" workbookViewId="0">
      <selection sqref="A1:XFD1048576"/>
    </sheetView>
  </sheetViews>
  <sheetFormatPr baseColWidth="10" defaultColWidth="8.88671875" defaultRowHeight="14.4" x14ac:dyDescent="0.3"/>
  <cols>
    <col min="1" max="1" width="24.44140625" customWidth="1"/>
    <col min="2" max="2" width="14.5546875" bestFit="1" customWidth="1"/>
    <col min="4" max="4" width="15.5546875" bestFit="1" customWidth="1"/>
    <col min="5" max="5" width="9.109375" customWidth="1"/>
    <col min="6" max="6" width="15.6640625" bestFit="1" customWidth="1"/>
    <col min="8" max="8" width="12.33203125" customWidth="1"/>
  </cols>
  <sheetData>
    <row r="1" spans="1:5" x14ac:dyDescent="0.3">
      <c r="A1" s="1" t="s">
        <v>0</v>
      </c>
      <c r="E1" t="s">
        <v>11</v>
      </c>
    </row>
    <row r="3" spans="1:5" s="2" customFormat="1" x14ac:dyDescent="0.3">
      <c r="A3" s="2" t="s">
        <v>1</v>
      </c>
      <c r="B3" s="2" t="s">
        <v>5</v>
      </c>
    </row>
    <row r="4" spans="1:5" x14ac:dyDescent="0.3">
      <c r="A4" t="s">
        <v>2</v>
      </c>
      <c r="B4">
        <v>2.5</v>
      </c>
    </row>
    <row r="5" spans="1:5" x14ac:dyDescent="0.3">
      <c r="A5" t="s">
        <v>3</v>
      </c>
      <c r="B5">
        <v>0.5</v>
      </c>
    </row>
    <row r="6" spans="1:5" x14ac:dyDescent="0.3">
      <c r="A6" t="s">
        <v>4</v>
      </c>
      <c r="B6">
        <v>0.25</v>
      </c>
    </row>
    <row r="7" spans="1:5" x14ac:dyDescent="0.3">
      <c r="A7" s="1" t="s">
        <v>6</v>
      </c>
      <c r="B7" s="1">
        <f>SUM(B4:B6)</f>
        <v>3.25</v>
      </c>
    </row>
    <row r="10" spans="1:5" x14ac:dyDescent="0.3">
      <c r="A10" t="s">
        <v>13</v>
      </c>
    </row>
    <row r="11" spans="1:5" x14ac:dyDescent="0.3">
      <c r="A11" t="s">
        <v>12</v>
      </c>
    </row>
    <row r="12" spans="1:5" x14ac:dyDescent="0.3">
      <c r="A12" t="s">
        <v>20</v>
      </c>
    </row>
    <row r="14" spans="1:5" x14ac:dyDescent="0.3">
      <c r="A14" s="1" t="s">
        <v>7</v>
      </c>
      <c r="B14">
        <v>4.33</v>
      </c>
    </row>
    <row r="15" spans="1:5" x14ac:dyDescent="0.3">
      <c r="A15" s="1"/>
    </row>
    <row r="16" spans="1:5" x14ac:dyDescent="0.3">
      <c r="A16" t="s">
        <v>8</v>
      </c>
      <c r="B16">
        <v>15.09</v>
      </c>
    </row>
    <row r="17" spans="1:6" x14ac:dyDescent="0.3">
      <c r="A17" t="s">
        <v>9</v>
      </c>
      <c r="B17" s="3">
        <f>B16*0.21</f>
        <v>3.1688999999999998</v>
      </c>
    </row>
    <row r="18" spans="1:6" x14ac:dyDescent="0.3">
      <c r="A18" s="1" t="s">
        <v>10</v>
      </c>
      <c r="B18" s="4">
        <f>B16+B17</f>
        <v>18.258900000000001</v>
      </c>
    </row>
    <row r="21" spans="1:6" x14ac:dyDescent="0.3">
      <c r="A21" s="2" t="s">
        <v>15</v>
      </c>
      <c r="B21" s="1" t="s">
        <v>16</v>
      </c>
      <c r="C21" s="8" t="s">
        <v>14</v>
      </c>
      <c r="D21" s="9" t="s">
        <v>17</v>
      </c>
      <c r="E21" s="9" t="s">
        <v>18</v>
      </c>
      <c r="F21" s="10" t="s">
        <v>19</v>
      </c>
    </row>
    <row r="22" spans="1:6" x14ac:dyDescent="0.3">
      <c r="A22" s="5">
        <v>8.5</v>
      </c>
      <c r="B22" s="6">
        <f>A22*B14</f>
        <v>36.805</v>
      </c>
      <c r="C22" s="11">
        <v>2023</v>
      </c>
      <c r="D22" s="16">
        <f>B22*B$7*B$16</f>
        <v>1805.0092124999999</v>
      </c>
      <c r="E22" s="16">
        <f>D22*0.21</f>
        <v>379.05193462499994</v>
      </c>
      <c r="F22" s="12">
        <f>D22+E22</f>
        <v>2184.0611471249999</v>
      </c>
    </row>
    <row r="23" spans="1:6" x14ac:dyDescent="0.3">
      <c r="A23" s="5">
        <v>12</v>
      </c>
      <c r="B23" s="6">
        <f>A23*B14</f>
        <v>51.96</v>
      </c>
      <c r="C23" s="11">
        <v>2024</v>
      </c>
      <c r="D23" s="16">
        <f>B23*B$7*B$16</f>
        <v>2548.2483000000002</v>
      </c>
      <c r="E23" s="16">
        <f>D23*0.21</f>
        <v>535.13214300000004</v>
      </c>
      <c r="F23" s="12">
        <f>D23+E23</f>
        <v>3083.380443</v>
      </c>
    </row>
    <row r="24" spans="1:6" x14ac:dyDescent="0.3">
      <c r="A24" s="5">
        <f>A23</f>
        <v>12</v>
      </c>
      <c r="B24" s="6">
        <f>B23</f>
        <v>51.96</v>
      </c>
      <c r="C24" s="11">
        <v>2025</v>
      </c>
      <c r="D24" s="16">
        <f>B24*B$7*B$16</f>
        <v>2548.2483000000002</v>
      </c>
      <c r="E24" s="16">
        <f t="shared" ref="E24:E27" si="0">D24*0.21</f>
        <v>535.13214300000004</v>
      </c>
      <c r="F24" s="12">
        <f t="shared" ref="F24:F27" si="1">D24+E24</f>
        <v>3083.380443</v>
      </c>
    </row>
    <row r="25" spans="1:6" x14ac:dyDescent="0.3">
      <c r="A25" s="5">
        <f>A23</f>
        <v>12</v>
      </c>
      <c r="B25" s="6">
        <f>B23</f>
        <v>51.96</v>
      </c>
      <c r="C25" s="11">
        <v>2026</v>
      </c>
      <c r="D25" s="16">
        <f>B25*B$7*B$16</f>
        <v>2548.2483000000002</v>
      </c>
      <c r="E25" s="16">
        <f t="shared" si="0"/>
        <v>535.13214300000004</v>
      </c>
      <c r="F25" s="12">
        <f t="shared" si="1"/>
        <v>3083.380443</v>
      </c>
    </row>
    <row r="26" spans="1:6" x14ac:dyDescent="0.3">
      <c r="A26" s="5">
        <v>3.5</v>
      </c>
      <c r="B26" s="6">
        <f>A26*B14</f>
        <v>15.155000000000001</v>
      </c>
      <c r="C26" s="11">
        <v>2027</v>
      </c>
      <c r="D26" s="16">
        <f>B26*B$7*B$16</f>
        <v>743.2390875000001</v>
      </c>
      <c r="E26" s="16">
        <f t="shared" si="0"/>
        <v>156.08020837500001</v>
      </c>
      <c r="F26" s="12">
        <f t="shared" si="1"/>
        <v>899.31929587500008</v>
      </c>
    </row>
    <row r="27" spans="1:6" x14ac:dyDescent="0.3">
      <c r="C27" s="15" t="s">
        <v>6</v>
      </c>
      <c r="D27" s="13">
        <f>SUM(D22:D26)</f>
        <v>10192.993200000001</v>
      </c>
      <c r="E27" s="13">
        <f t="shared" si="0"/>
        <v>2140.5285720000002</v>
      </c>
      <c r="F27" s="14">
        <f t="shared" si="1"/>
        <v>12333.521772</v>
      </c>
    </row>
    <row r="29" spans="1:6" x14ac:dyDescent="0.3">
      <c r="D29" s="7">
        <f>D23*4</f>
        <v>10192.993200000001</v>
      </c>
      <c r="E29" s="7">
        <f t="shared" ref="E29:F29" si="2">E23*4</f>
        <v>2140.5285720000002</v>
      </c>
      <c r="F29" s="7">
        <f t="shared" si="2"/>
        <v>12333.521772</v>
      </c>
    </row>
  </sheetData>
  <pageMargins left="0.11811023622047245" right="0.1968503937007874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opLeftCell="A7" zoomScale="115" zoomScaleNormal="115" workbookViewId="0">
      <selection activeCell="B17" sqref="B17"/>
    </sheetView>
  </sheetViews>
  <sheetFormatPr baseColWidth="10" defaultColWidth="8.88671875" defaultRowHeight="14.4" x14ac:dyDescent="0.3"/>
  <cols>
    <col min="1" max="1" width="24.44140625" customWidth="1"/>
    <col min="2" max="2" width="14.5546875" bestFit="1" customWidth="1"/>
    <col min="4" max="4" width="15.5546875" bestFit="1" customWidth="1"/>
    <col min="5" max="5" width="9.109375" customWidth="1"/>
    <col min="6" max="6" width="15.6640625" bestFit="1" customWidth="1"/>
    <col min="8" max="8" width="12.33203125" customWidth="1"/>
  </cols>
  <sheetData>
    <row r="1" spans="1:5" x14ac:dyDescent="0.3">
      <c r="A1" s="1" t="s">
        <v>0</v>
      </c>
      <c r="E1" t="s">
        <v>21</v>
      </c>
    </row>
    <row r="3" spans="1:5" s="2" customFormat="1" x14ac:dyDescent="0.3">
      <c r="A3" s="2" t="s">
        <v>1</v>
      </c>
      <c r="B3" s="2" t="s">
        <v>5</v>
      </c>
    </row>
    <row r="4" spans="1:5" x14ac:dyDescent="0.3">
      <c r="A4" t="s">
        <v>22</v>
      </c>
      <c r="B4">
        <f>0.5*2*2</f>
        <v>2</v>
      </c>
    </row>
    <row r="5" spans="1:5" x14ac:dyDescent="0.3">
      <c r="A5" t="s">
        <v>2</v>
      </c>
      <c r="B5">
        <v>1.5</v>
      </c>
    </row>
    <row r="6" spans="1:5" x14ac:dyDescent="0.3">
      <c r="A6" t="s">
        <v>3</v>
      </c>
      <c r="B6">
        <v>0.5</v>
      </c>
    </row>
    <row r="7" spans="1:5" x14ac:dyDescent="0.3">
      <c r="A7" t="s">
        <v>4</v>
      </c>
      <c r="B7">
        <v>0.25</v>
      </c>
      <c r="C7" t="s">
        <v>23</v>
      </c>
    </row>
    <row r="8" spans="1:5" x14ac:dyDescent="0.3">
      <c r="A8" s="1" t="s">
        <v>6</v>
      </c>
      <c r="B8" s="1">
        <f>SUM(B4:B6)</f>
        <v>4</v>
      </c>
    </row>
    <row r="11" spans="1:5" x14ac:dyDescent="0.3">
      <c r="A11" t="s">
        <v>13</v>
      </c>
    </row>
    <row r="12" spans="1:5" x14ac:dyDescent="0.3">
      <c r="A12" t="s">
        <v>12</v>
      </c>
    </row>
    <row r="13" spans="1:5" x14ac:dyDescent="0.3">
      <c r="A13" t="s">
        <v>20</v>
      </c>
    </row>
    <row r="15" spans="1:5" x14ac:dyDescent="0.3">
      <c r="A15" s="1" t="s">
        <v>7</v>
      </c>
      <c r="B15">
        <v>4.33</v>
      </c>
    </row>
    <row r="16" spans="1:5" x14ac:dyDescent="0.3">
      <c r="A16" s="1"/>
    </row>
    <row r="17" spans="1:8" x14ac:dyDescent="0.3">
      <c r="A17" t="s">
        <v>8</v>
      </c>
      <c r="B17">
        <v>17.440000000000001</v>
      </c>
    </row>
    <row r="18" spans="1:8" x14ac:dyDescent="0.3">
      <c r="A18" t="s">
        <v>9</v>
      </c>
      <c r="B18" s="3">
        <f>B17*0.21</f>
        <v>3.6624000000000003</v>
      </c>
    </row>
    <row r="19" spans="1:8" x14ac:dyDescent="0.3">
      <c r="A19" s="1" t="s">
        <v>10</v>
      </c>
      <c r="B19" s="4">
        <f>B17+B18</f>
        <v>21.102400000000003</v>
      </c>
    </row>
    <row r="20" spans="1:8" x14ac:dyDescent="0.3">
      <c r="F20" s="7">
        <f>E23+E24+E25+E26+E27</f>
        <v>3044.7728640000005</v>
      </c>
    </row>
    <row r="22" spans="1:8" x14ac:dyDescent="0.3">
      <c r="A22" s="2" t="s">
        <v>15</v>
      </c>
      <c r="B22" s="1" t="s">
        <v>16</v>
      </c>
      <c r="C22" s="8" t="s">
        <v>14</v>
      </c>
      <c r="D22" s="9" t="s">
        <v>17</v>
      </c>
      <c r="E22" s="9" t="s">
        <v>18</v>
      </c>
      <c r="F22" s="10" t="s">
        <v>19</v>
      </c>
    </row>
    <row r="23" spans="1:8" x14ac:dyDescent="0.3">
      <c r="A23" s="5">
        <v>8.5</v>
      </c>
      <c r="B23" s="6">
        <f>A23*B15</f>
        <v>36.805</v>
      </c>
      <c r="C23" s="11">
        <v>2023</v>
      </c>
      <c r="D23" s="16">
        <f>B23*B$8*B$17</f>
        <v>2567.5168000000003</v>
      </c>
      <c r="E23" s="16">
        <f>D23*0.21</f>
        <v>539.17852800000003</v>
      </c>
      <c r="F23" s="12">
        <f>D23+E23</f>
        <v>3106.6953280000002</v>
      </c>
    </row>
    <row r="24" spans="1:8" x14ac:dyDescent="0.3">
      <c r="A24" s="5">
        <v>12</v>
      </c>
      <c r="B24" s="6">
        <f>A24*B15</f>
        <v>51.96</v>
      </c>
      <c r="C24" s="11">
        <v>2024</v>
      </c>
      <c r="D24" s="16">
        <f>B24*B$8*B$17</f>
        <v>3624.7296000000001</v>
      </c>
      <c r="E24" s="16">
        <f>D24*0.21</f>
        <v>761.19321600000001</v>
      </c>
      <c r="F24" s="12">
        <f>D24+E24</f>
        <v>4385.9228160000002</v>
      </c>
    </row>
    <row r="25" spans="1:8" x14ac:dyDescent="0.3">
      <c r="A25" s="5">
        <f>A24</f>
        <v>12</v>
      </c>
      <c r="B25" s="6">
        <f>B24</f>
        <v>51.96</v>
      </c>
      <c r="C25" s="11">
        <v>2025</v>
      </c>
      <c r="D25" s="16">
        <f>B25*B$8*B$17</f>
        <v>3624.7296000000001</v>
      </c>
      <c r="E25" s="16">
        <f t="shared" ref="E25:E27" si="0">D25*0.21</f>
        <v>761.19321600000001</v>
      </c>
      <c r="F25" s="12">
        <f t="shared" ref="F25:F27" si="1">D25+E25</f>
        <v>4385.9228160000002</v>
      </c>
    </row>
    <row r="26" spans="1:8" x14ac:dyDescent="0.3">
      <c r="A26" s="5">
        <f>A24</f>
        <v>12</v>
      </c>
      <c r="B26" s="6">
        <f>B24</f>
        <v>51.96</v>
      </c>
      <c r="C26" s="11">
        <v>2026</v>
      </c>
      <c r="D26" s="16">
        <f>B26*B$8*B$17</f>
        <v>3624.7296000000001</v>
      </c>
      <c r="E26" s="16">
        <f t="shared" si="0"/>
        <v>761.19321600000001</v>
      </c>
      <c r="F26" s="12">
        <f t="shared" si="1"/>
        <v>4385.9228160000002</v>
      </c>
    </row>
    <row r="27" spans="1:8" x14ac:dyDescent="0.3">
      <c r="A27" s="5">
        <v>3.5</v>
      </c>
      <c r="B27" s="6">
        <f>A27*B15</f>
        <v>15.155000000000001</v>
      </c>
      <c r="C27" s="11">
        <v>2027</v>
      </c>
      <c r="D27" s="16">
        <f>B27*B$8*B$17</f>
        <v>1057.2128000000002</v>
      </c>
      <c r="E27" s="16">
        <f t="shared" si="0"/>
        <v>222.01468800000004</v>
      </c>
      <c r="F27" s="12">
        <f t="shared" si="1"/>
        <v>1279.2274880000002</v>
      </c>
    </row>
    <row r="28" spans="1:8" x14ac:dyDescent="0.3">
      <c r="C28" s="15" t="s">
        <v>6</v>
      </c>
      <c r="D28" s="13">
        <f>SUM(D23:D27)</f>
        <v>14498.918400000002</v>
      </c>
      <c r="E28" s="13">
        <f>D28*0.21</f>
        <v>3044.7728640000005</v>
      </c>
      <c r="F28" s="14">
        <f>D28+E28</f>
        <v>17543.691264000001</v>
      </c>
      <c r="H28" s="7">
        <f>F23+F24+F25+F26+F27</f>
        <v>17543.691264000001</v>
      </c>
    </row>
    <row r="30" spans="1:8" x14ac:dyDescent="0.3">
      <c r="D30" s="7">
        <f>D24*4</f>
        <v>14498.9184</v>
      </c>
      <c r="E30" s="7">
        <f>E24*4</f>
        <v>3044.772864</v>
      </c>
      <c r="F30" s="7">
        <f>F24*4</f>
        <v>17543.691264000001</v>
      </c>
    </row>
    <row r="34" spans="1:5" x14ac:dyDescent="0.3">
      <c r="A34" s="17" t="s">
        <v>31</v>
      </c>
      <c r="B34" s="18">
        <v>2.5</v>
      </c>
      <c r="C34" s="18" t="s">
        <v>24</v>
      </c>
      <c r="D34" s="19">
        <v>45103</v>
      </c>
      <c r="E34" s="20"/>
    </row>
    <row r="35" spans="1:5" x14ac:dyDescent="0.3">
      <c r="A35" s="21" t="s">
        <v>25</v>
      </c>
      <c r="E35" s="22"/>
    </row>
    <row r="36" spans="1:5" x14ac:dyDescent="0.3">
      <c r="A36" s="21" t="s">
        <v>26</v>
      </c>
      <c r="B36" s="23">
        <v>2146.2399999999998</v>
      </c>
      <c r="C36" s="1" t="s">
        <v>27</v>
      </c>
      <c r="E36" s="22"/>
    </row>
    <row r="37" spans="1:5" x14ac:dyDescent="0.3">
      <c r="A37" s="21"/>
      <c r="B37" s="7">
        <f>B36/52</f>
        <v>41.273846153846151</v>
      </c>
      <c r="C37" t="s">
        <v>28</v>
      </c>
      <c r="E37" s="22"/>
    </row>
    <row r="38" spans="1:5" x14ac:dyDescent="0.3">
      <c r="A38" s="24"/>
      <c r="B38" s="13">
        <f>B37/2</f>
        <v>20.636923076923075</v>
      </c>
      <c r="C38" s="25" t="s">
        <v>29</v>
      </c>
      <c r="D38" s="25" t="s">
        <v>30</v>
      </c>
      <c r="E38" s="26"/>
    </row>
  </sheetData>
  <pageMargins left="0.31496062992125984" right="0.11811023622047245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97E1-DC58-4233-BAA5-9B18C5F0CFE8}">
  <dimension ref="A1:N32"/>
  <sheetViews>
    <sheetView topLeftCell="A13" zoomScaleNormal="100" workbookViewId="0">
      <selection activeCell="E20" sqref="E20"/>
    </sheetView>
  </sheetViews>
  <sheetFormatPr baseColWidth="10" defaultColWidth="8.88671875" defaultRowHeight="14.4" x14ac:dyDescent="0.3"/>
  <cols>
    <col min="1" max="1" width="27.6640625" customWidth="1"/>
    <col min="2" max="2" width="14.5546875" bestFit="1" customWidth="1"/>
    <col min="4" max="4" width="15.5546875" bestFit="1" customWidth="1"/>
    <col min="5" max="5" width="9.109375" customWidth="1"/>
    <col min="6" max="6" width="15.6640625" bestFit="1" customWidth="1"/>
    <col min="7" max="7" width="15.6640625" customWidth="1"/>
    <col min="9" max="9" width="12.33203125" customWidth="1"/>
    <col min="10" max="10" width="13.6640625" bestFit="1" customWidth="1"/>
    <col min="11" max="11" width="14.6640625" bestFit="1" customWidth="1"/>
    <col min="12" max="12" width="12.88671875" customWidth="1"/>
    <col min="14" max="14" width="12.109375" customWidth="1"/>
  </cols>
  <sheetData>
    <row r="1" spans="1:12" x14ac:dyDescent="0.3">
      <c r="A1" s="1" t="s">
        <v>32</v>
      </c>
      <c r="E1" t="s">
        <v>33</v>
      </c>
    </row>
    <row r="2" spans="1:12" x14ac:dyDescent="0.3">
      <c r="J2" s="33" t="s">
        <v>35</v>
      </c>
    </row>
    <row r="3" spans="1:12" s="2" customFormat="1" x14ac:dyDescent="0.3">
      <c r="A3" s="2" t="s">
        <v>1</v>
      </c>
      <c r="B3" s="2" t="s">
        <v>5</v>
      </c>
      <c r="C3" s="31" t="s">
        <v>36</v>
      </c>
      <c r="J3" s="2" t="s">
        <v>1</v>
      </c>
      <c r="K3" s="32" t="s">
        <v>5</v>
      </c>
      <c r="L3" s="31"/>
    </row>
    <row r="4" spans="1:12" x14ac:dyDescent="0.3">
      <c r="A4" t="s">
        <v>22</v>
      </c>
      <c r="B4">
        <f>0.5*2*2</f>
        <v>2</v>
      </c>
      <c r="J4" t="s">
        <v>22</v>
      </c>
      <c r="K4">
        <v>0.5</v>
      </c>
    </row>
    <row r="5" spans="1:12" x14ac:dyDescent="0.3">
      <c r="A5" t="s">
        <v>2</v>
      </c>
      <c r="B5">
        <v>1.5</v>
      </c>
      <c r="J5" t="s">
        <v>2</v>
      </c>
      <c r="K5">
        <f>B5</f>
        <v>1.5</v>
      </c>
    </row>
    <row r="6" spans="1:12" x14ac:dyDescent="0.3">
      <c r="A6" t="s">
        <v>3</v>
      </c>
      <c r="B6">
        <v>0.5</v>
      </c>
      <c r="J6" t="s">
        <v>3</v>
      </c>
      <c r="K6">
        <f>B6</f>
        <v>0.5</v>
      </c>
    </row>
    <row r="7" spans="1:12" x14ac:dyDescent="0.3">
      <c r="A7" t="s">
        <v>4</v>
      </c>
      <c r="B7">
        <v>0.25</v>
      </c>
      <c r="J7" t="s">
        <v>4</v>
      </c>
      <c r="K7">
        <f>B7</f>
        <v>0.25</v>
      </c>
    </row>
    <row r="8" spans="1:12" x14ac:dyDescent="0.3">
      <c r="A8" s="1" t="s">
        <v>6</v>
      </c>
      <c r="B8" s="1">
        <f>SUM(B4:B7)</f>
        <v>4.25</v>
      </c>
      <c r="C8" s="1"/>
      <c r="J8" s="1" t="s">
        <v>6</v>
      </c>
      <c r="K8" s="1">
        <f>SUM(K4:K7)</f>
        <v>2.75</v>
      </c>
    </row>
    <row r="10" spans="1:12" x14ac:dyDescent="0.3">
      <c r="A10" t="s">
        <v>34</v>
      </c>
    </row>
    <row r="12" spans="1:12" x14ac:dyDescent="0.3">
      <c r="A12" t="s">
        <v>13</v>
      </c>
    </row>
    <row r="13" spans="1:12" x14ac:dyDescent="0.3">
      <c r="A13" t="s">
        <v>12</v>
      </c>
    </row>
    <row r="14" spans="1:12" x14ac:dyDescent="0.3">
      <c r="A14" s="34" t="s">
        <v>42</v>
      </c>
    </row>
    <row r="15" spans="1:12" x14ac:dyDescent="0.3">
      <c r="A15" s="27"/>
    </row>
    <row r="16" spans="1:12" x14ac:dyDescent="0.3">
      <c r="A16" s="1" t="s">
        <v>37</v>
      </c>
      <c r="B16">
        <v>53</v>
      </c>
      <c r="I16" s="32" t="s">
        <v>39</v>
      </c>
      <c r="J16">
        <v>53</v>
      </c>
      <c r="K16">
        <v>53</v>
      </c>
    </row>
    <row r="17" spans="1:14" x14ac:dyDescent="0.3">
      <c r="A17" s="1" t="s">
        <v>38</v>
      </c>
      <c r="B17">
        <f>53*B8</f>
        <v>225.25</v>
      </c>
      <c r="I17" s="1" t="s">
        <v>38</v>
      </c>
      <c r="J17">
        <f>53*K8-0.25</f>
        <v>145.5</v>
      </c>
      <c r="K17">
        <f>53*K8-0.25</f>
        <v>145.5</v>
      </c>
      <c r="M17" t="s">
        <v>40</v>
      </c>
    </row>
    <row r="18" spans="1:14" x14ac:dyDescent="0.3">
      <c r="A18" s="1"/>
      <c r="D18">
        <f>226.85</f>
        <v>226.85</v>
      </c>
      <c r="I18" s="1"/>
      <c r="M18" t="s">
        <v>41</v>
      </c>
    </row>
    <row r="19" spans="1:14" x14ac:dyDescent="0.3">
      <c r="A19" t="s">
        <v>8</v>
      </c>
      <c r="B19">
        <v>18.309999999999999</v>
      </c>
      <c r="D19">
        <f>D18*1.05</f>
        <v>238.1925</v>
      </c>
      <c r="I19" t="s">
        <v>8</v>
      </c>
      <c r="K19">
        <f>B19</f>
        <v>18.309999999999999</v>
      </c>
    </row>
    <row r="20" spans="1:14" x14ac:dyDescent="0.3">
      <c r="A20" t="s">
        <v>9</v>
      </c>
      <c r="B20" s="3">
        <f>B19*0.21</f>
        <v>3.8450999999999995</v>
      </c>
      <c r="I20" t="s">
        <v>9</v>
      </c>
      <c r="K20">
        <f>B20</f>
        <v>3.8450999999999995</v>
      </c>
    </row>
    <row r="21" spans="1:14" x14ac:dyDescent="0.3">
      <c r="A21" s="1" t="s">
        <v>10</v>
      </c>
      <c r="B21" s="4">
        <f>B19+B20</f>
        <v>22.155099999999997</v>
      </c>
      <c r="F21" s="7">
        <f>F25+F26+F27+F28+F29</f>
        <v>19961.745099999996</v>
      </c>
      <c r="G21" s="7"/>
      <c r="I21" s="1" t="s">
        <v>10</v>
      </c>
      <c r="K21">
        <f>B21</f>
        <v>22.155099999999997</v>
      </c>
    </row>
    <row r="22" spans="1:14" x14ac:dyDescent="0.3">
      <c r="F22" s="7">
        <f>E25+E26+E27+E28+E29</f>
        <v>3464.4350999999992</v>
      </c>
      <c r="G22" s="7"/>
    </row>
    <row r="24" spans="1:14" x14ac:dyDescent="0.3">
      <c r="A24" s="2" t="s">
        <v>15</v>
      </c>
      <c r="B24" s="1" t="s">
        <v>16</v>
      </c>
      <c r="C24" s="8" t="s">
        <v>14</v>
      </c>
      <c r="D24" s="9" t="s">
        <v>17</v>
      </c>
      <c r="E24" s="9" t="s">
        <v>18</v>
      </c>
      <c r="F24" s="10" t="s">
        <v>19</v>
      </c>
      <c r="G24" s="2"/>
      <c r="I24" s="2" t="s">
        <v>15</v>
      </c>
      <c r="J24" s="1" t="s">
        <v>16</v>
      </c>
      <c r="K24" s="8" t="s">
        <v>14</v>
      </c>
      <c r="L24" s="9" t="s">
        <v>17</v>
      </c>
      <c r="M24" s="9" t="s">
        <v>18</v>
      </c>
      <c r="N24" s="10" t="s">
        <v>19</v>
      </c>
    </row>
    <row r="25" spans="1:14" x14ac:dyDescent="0.3">
      <c r="A25" s="5">
        <v>9</v>
      </c>
      <c r="B25" s="6">
        <f>A25*B$16/12</f>
        <v>39.75</v>
      </c>
      <c r="C25" s="11">
        <v>2024</v>
      </c>
      <c r="D25" s="16">
        <f>B25*B$8*B$19</f>
        <v>3093.2456249999996</v>
      </c>
      <c r="E25" s="16">
        <f>D25*0.21</f>
        <v>649.58158124999989</v>
      </c>
      <c r="F25" s="12">
        <f>D25+E25</f>
        <v>3742.8272062499996</v>
      </c>
      <c r="G25" s="7"/>
      <c r="I25" s="5">
        <v>9</v>
      </c>
      <c r="J25" s="6">
        <f>I25*K$16/12</f>
        <v>39.75</v>
      </c>
      <c r="K25" s="11">
        <v>2024</v>
      </c>
      <c r="L25" s="16">
        <f>J25*K$8*K$19</f>
        <v>2001.5118749999999</v>
      </c>
      <c r="M25" s="16">
        <f>L25*0.21</f>
        <v>420.31749374999998</v>
      </c>
      <c r="N25" s="12">
        <f>L25+M25</f>
        <v>2421.82936875</v>
      </c>
    </row>
    <row r="26" spans="1:14" x14ac:dyDescent="0.3">
      <c r="A26" s="5">
        <v>12</v>
      </c>
      <c r="B26" s="6">
        <f>B$16</f>
        <v>53</v>
      </c>
      <c r="C26" s="11">
        <v>2025</v>
      </c>
      <c r="D26" s="16">
        <f>B26*B$8*B$19</f>
        <v>4124.3274999999994</v>
      </c>
      <c r="E26" s="16">
        <f>D26*0.21</f>
        <v>866.10877499999981</v>
      </c>
      <c r="F26" s="12">
        <f>D26+E26</f>
        <v>4990.4362749999991</v>
      </c>
      <c r="G26" s="7"/>
      <c r="I26" s="5">
        <v>12</v>
      </c>
      <c r="J26" s="6">
        <f>K16</f>
        <v>53</v>
      </c>
      <c r="K26" s="11">
        <v>2025</v>
      </c>
      <c r="L26" s="16">
        <f>J26*K$8*K$19</f>
        <v>2668.6824999999999</v>
      </c>
      <c r="M26" s="16">
        <f>L26*0.21</f>
        <v>560.42332499999998</v>
      </c>
      <c r="N26" s="12">
        <f>L26+M26</f>
        <v>3229.1058249999996</v>
      </c>
    </row>
    <row r="27" spans="1:14" x14ac:dyDescent="0.3">
      <c r="A27" s="5">
        <f>A26</f>
        <v>12</v>
      </c>
      <c r="B27" s="6">
        <f>B16</f>
        <v>53</v>
      </c>
      <c r="C27" s="11">
        <v>2026</v>
      </c>
      <c r="D27" s="16">
        <f>B27*B$8*B$19</f>
        <v>4124.3274999999994</v>
      </c>
      <c r="E27" s="16">
        <f t="shared" ref="E27:E29" si="0">D27*0.21</f>
        <v>866.10877499999981</v>
      </c>
      <c r="F27" s="12">
        <f t="shared" ref="F27:F29" si="1">D27+E27</f>
        <v>4990.4362749999991</v>
      </c>
      <c r="G27" s="7"/>
      <c r="I27" s="5">
        <f>I26</f>
        <v>12</v>
      </c>
      <c r="J27" s="6">
        <f>K16</f>
        <v>53</v>
      </c>
      <c r="K27" s="11">
        <v>2026</v>
      </c>
      <c r="L27" s="16">
        <f t="shared" ref="L27:L29" si="2">J27*K$8*K$19</f>
        <v>2668.6824999999999</v>
      </c>
      <c r="M27" s="16">
        <f t="shared" ref="M27:M29" si="3">L27*0.21</f>
        <v>560.42332499999998</v>
      </c>
      <c r="N27" s="12">
        <f t="shared" ref="N27:N29" si="4">L27+M27</f>
        <v>3229.1058249999996</v>
      </c>
    </row>
    <row r="28" spans="1:14" x14ac:dyDescent="0.3">
      <c r="A28" s="5">
        <f>A26</f>
        <v>12</v>
      </c>
      <c r="B28" s="6">
        <f>B16</f>
        <v>53</v>
      </c>
      <c r="C28" s="11">
        <v>2027</v>
      </c>
      <c r="D28" s="16">
        <f>B28*B$8*B$19</f>
        <v>4124.3274999999994</v>
      </c>
      <c r="E28" s="16">
        <f t="shared" si="0"/>
        <v>866.10877499999981</v>
      </c>
      <c r="F28" s="12">
        <f t="shared" si="1"/>
        <v>4990.4362749999991</v>
      </c>
      <c r="G28" s="7"/>
      <c r="I28" s="5">
        <f>I26</f>
        <v>12</v>
      </c>
      <c r="J28" s="6">
        <f>K16</f>
        <v>53</v>
      </c>
      <c r="K28" s="11">
        <v>2027</v>
      </c>
      <c r="L28" s="16">
        <f t="shared" si="2"/>
        <v>2668.6824999999999</v>
      </c>
      <c r="M28" s="16">
        <f t="shared" si="3"/>
        <v>560.42332499999998</v>
      </c>
      <c r="N28" s="12">
        <f t="shared" si="4"/>
        <v>3229.1058249999996</v>
      </c>
    </row>
    <row r="29" spans="1:14" x14ac:dyDescent="0.3">
      <c r="A29" s="5">
        <v>3</v>
      </c>
      <c r="B29" s="6">
        <f>A29*B$16/12</f>
        <v>13.25</v>
      </c>
      <c r="C29" s="11">
        <v>2028</v>
      </c>
      <c r="D29" s="16">
        <f>B29*B$8*B$19</f>
        <v>1031.0818749999999</v>
      </c>
      <c r="E29" s="16">
        <f t="shared" si="0"/>
        <v>216.52719374999995</v>
      </c>
      <c r="F29" s="12">
        <f t="shared" si="1"/>
        <v>1247.6090687499998</v>
      </c>
      <c r="G29" s="7"/>
      <c r="I29" s="5">
        <v>3</v>
      </c>
      <c r="J29" s="6">
        <f>I29*K$16/12</f>
        <v>13.25</v>
      </c>
      <c r="K29" s="11">
        <v>2028</v>
      </c>
      <c r="L29" s="16">
        <f t="shared" si="2"/>
        <v>667.17062499999997</v>
      </c>
      <c r="M29" s="16">
        <f t="shared" si="3"/>
        <v>140.10583124999999</v>
      </c>
      <c r="N29" s="12">
        <f t="shared" si="4"/>
        <v>807.27645624999991</v>
      </c>
    </row>
    <row r="30" spans="1:14" x14ac:dyDescent="0.3">
      <c r="C30" s="28" t="s">
        <v>6</v>
      </c>
      <c r="D30" s="29">
        <f>SUM(D25:D29)</f>
        <v>16497.309999999998</v>
      </c>
      <c r="E30" s="29">
        <f>D30*0.21</f>
        <v>3464.4350999999992</v>
      </c>
      <c r="F30" s="30">
        <f>D30+E30</f>
        <v>19961.745099999996</v>
      </c>
      <c r="G30" s="23"/>
      <c r="K30" s="28" t="s">
        <v>6</v>
      </c>
      <c r="L30" s="29">
        <f>SUM(L25:L29)</f>
        <v>10674.730000000001</v>
      </c>
      <c r="M30" s="29">
        <f>L30*0.21</f>
        <v>2241.6933000000004</v>
      </c>
      <c r="N30" s="30">
        <f>L30+M30</f>
        <v>12916.423300000002</v>
      </c>
    </row>
    <row r="32" spans="1:14" x14ac:dyDescent="0.3">
      <c r="D32" s="7">
        <f>D26*4</f>
        <v>16497.309999999998</v>
      </c>
      <c r="E32" s="7">
        <f>E26*4</f>
        <v>3464.4350999999992</v>
      </c>
      <c r="F32" s="7">
        <f>F26*4</f>
        <v>19961.745099999996</v>
      </c>
      <c r="G32" s="7"/>
      <c r="L32" s="7">
        <f>L26*4</f>
        <v>10674.73</v>
      </c>
      <c r="M32" s="7">
        <f>M26*4</f>
        <v>2241.6932999999999</v>
      </c>
      <c r="N32" s="7">
        <f>N26*4</f>
        <v>12916.423299999999</v>
      </c>
    </row>
  </sheetData>
  <pageMargins left="0.31496062992125984" right="0.11811023622047245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DC02-708D-4113-B8D4-F289A2FE2D02}">
  <dimension ref="A1:N39"/>
  <sheetViews>
    <sheetView tabSelected="1" topLeftCell="A22" zoomScale="99" zoomScaleNormal="99" workbookViewId="0">
      <selection activeCell="A38" sqref="A38:B38"/>
    </sheetView>
  </sheetViews>
  <sheetFormatPr baseColWidth="10" defaultColWidth="8.88671875" defaultRowHeight="14.4" x14ac:dyDescent="0.3"/>
  <cols>
    <col min="1" max="1" width="27.6640625" customWidth="1"/>
    <col min="2" max="2" width="14.5546875" bestFit="1" customWidth="1"/>
    <col min="4" max="4" width="15.5546875" bestFit="1" customWidth="1"/>
    <col min="5" max="5" width="9.109375" customWidth="1"/>
    <col min="6" max="6" width="15.6640625" bestFit="1" customWidth="1"/>
    <col min="7" max="7" width="15.6640625" customWidth="1"/>
    <col min="9" max="9" width="12.33203125" customWidth="1"/>
    <col min="10" max="10" width="13.6640625" bestFit="1" customWidth="1"/>
    <col min="11" max="11" width="14.6640625" bestFit="1" customWidth="1"/>
    <col min="12" max="12" width="12.88671875" customWidth="1"/>
    <col min="14" max="14" width="12.109375" customWidth="1"/>
  </cols>
  <sheetData>
    <row r="1" spans="1:12" x14ac:dyDescent="0.3">
      <c r="A1" s="1" t="s">
        <v>32</v>
      </c>
      <c r="E1" t="s">
        <v>43</v>
      </c>
    </row>
    <row r="2" spans="1:12" x14ac:dyDescent="0.3">
      <c r="J2" s="33"/>
    </row>
    <row r="3" spans="1:12" s="2" customFormat="1" x14ac:dyDescent="0.3">
      <c r="A3" s="2" t="s">
        <v>1</v>
      </c>
      <c r="B3" s="2" t="s">
        <v>5</v>
      </c>
      <c r="C3" s="31" t="s">
        <v>36</v>
      </c>
      <c r="K3" s="32"/>
      <c r="L3" s="31"/>
    </row>
    <row r="4" spans="1:12" x14ac:dyDescent="0.3">
      <c r="A4" t="s">
        <v>22</v>
      </c>
      <c r="B4">
        <f>0.75*2*2</f>
        <v>3</v>
      </c>
      <c r="D4" t="s">
        <v>59</v>
      </c>
    </row>
    <row r="5" spans="1:12" x14ac:dyDescent="0.3">
      <c r="A5" t="s">
        <v>2</v>
      </c>
      <c r="B5">
        <v>1.5</v>
      </c>
    </row>
    <row r="6" spans="1:12" x14ac:dyDescent="0.3">
      <c r="A6" t="s">
        <v>3</v>
      </c>
      <c r="B6">
        <v>0.25</v>
      </c>
    </row>
    <row r="7" spans="1:12" x14ac:dyDescent="0.3">
      <c r="A7" t="s">
        <v>4</v>
      </c>
      <c r="B7">
        <v>0.25</v>
      </c>
      <c r="D7" t="s">
        <v>62</v>
      </c>
    </row>
    <row r="8" spans="1:12" x14ac:dyDescent="0.3">
      <c r="A8" t="s">
        <v>57</v>
      </c>
      <c r="B8">
        <v>1.5</v>
      </c>
      <c r="C8" t="s">
        <v>54</v>
      </c>
      <c r="J8" s="35"/>
    </row>
    <row r="9" spans="1:12" x14ac:dyDescent="0.3">
      <c r="A9" t="s">
        <v>58</v>
      </c>
      <c r="B9">
        <v>0.5</v>
      </c>
      <c r="C9" t="s">
        <v>55</v>
      </c>
      <c r="D9" t="s">
        <v>56</v>
      </c>
      <c r="J9" s="35"/>
    </row>
    <row r="10" spans="1:12" x14ac:dyDescent="0.3">
      <c r="A10" s="1"/>
      <c r="B10" s="1"/>
      <c r="C10" s="1"/>
      <c r="J10" s="1"/>
      <c r="K10" s="1"/>
    </row>
    <row r="11" spans="1:12" x14ac:dyDescent="0.3">
      <c r="A11" t="s">
        <v>49</v>
      </c>
      <c r="B11">
        <f>1*2*8</f>
        <v>16</v>
      </c>
      <c r="D11" t="s">
        <v>48</v>
      </c>
      <c r="J11" s="35"/>
    </row>
    <row r="13" spans="1:12" x14ac:dyDescent="0.3">
      <c r="A13" t="s">
        <v>13</v>
      </c>
    </row>
    <row r="14" spans="1:12" x14ac:dyDescent="0.3">
      <c r="A14" t="s">
        <v>12</v>
      </c>
    </row>
    <row r="15" spans="1:12" x14ac:dyDescent="0.3">
      <c r="A15" s="34" t="s">
        <v>44</v>
      </c>
    </row>
    <row r="16" spans="1:12" x14ac:dyDescent="0.3">
      <c r="A16" s="27"/>
    </row>
    <row r="17" spans="1:14" x14ac:dyDescent="0.3">
      <c r="A17" s="1" t="s">
        <v>39</v>
      </c>
      <c r="B17">
        <v>52</v>
      </c>
      <c r="C17" t="s">
        <v>60</v>
      </c>
      <c r="I17" s="32"/>
    </row>
    <row r="18" spans="1:14" x14ac:dyDescent="0.3">
      <c r="A18" s="1" t="s">
        <v>47</v>
      </c>
      <c r="B18">
        <f>(B17*(B4+B5+B6+B7)+(B17*2/3)*B8)+(B17*1/3)*B9</f>
        <v>320.66666666666669</v>
      </c>
      <c r="C18">
        <f>B18/B17</f>
        <v>6.166666666666667</v>
      </c>
      <c r="I18" s="32"/>
    </row>
    <row r="19" spans="1:14" x14ac:dyDescent="0.3">
      <c r="A19" t="s">
        <v>53</v>
      </c>
      <c r="B19">
        <v>16</v>
      </c>
      <c r="I19" s="1"/>
    </row>
    <row r="20" spans="1:14" x14ac:dyDescent="0.3">
      <c r="A20" s="1"/>
      <c r="C20" t="s">
        <v>51</v>
      </c>
      <c r="I20" s="1"/>
    </row>
    <row r="21" spans="1:14" x14ac:dyDescent="0.3">
      <c r="A21" t="s">
        <v>52</v>
      </c>
      <c r="B21">
        <v>19.920000000000002</v>
      </c>
      <c r="C21">
        <f>B21*0.21</f>
        <v>4.1832000000000003</v>
      </c>
      <c r="D21">
        <f>B21+C21</f>
        <v>24.103200000000001</v>
      </c>
    </row>
    <row r="22" spans="1:14" x14ac:dyDescent="0.3">
      <c r="A22" t="s">
        <v>50</v>
      </c>
      <c r="B22">
        <v>23.31</v>
      </c>
      <c r="C22">
        <f>B22*0.21</f>
        <v>4.8950999999999993</v>
      </c>
      <c r="D22">
        <f>B22+C22</f>
        <v>28.205099999999998</v>
      </c>
    </row>
    <row r="23" spans="1:14" x14ac:dyDescent="0.3">
      <c r="B23" s="3"/>
      <c r="K23" s="3"/>
    </row>
    <row r="24" spans="1:14" x14ac:dyDescent="0.3">
      <c r="A24" s="1"/>
      <c r="B24" s="4"/>
      <c r="F24" s="7">
        <f>F28+F29+F30+F31+F32</f>
        <v>35254.284489921207</v>
      </c>
      <c r="G24" s="7"/>
      <c r="I24" s="1"/>
      <c r="K24" s="3"/>
    </row>
    <row r="25" spans="1:14" x14ac:dyDescent="0.3">
      <c r="F25" s="7">
        <f>E28+E29+E30+E31+E32</f>
        <v>6118.5121842012013</v>
      </c>
      <c r="G25" s="7"/>
    </row>
    <row r="27" spans="1:14" x14ac:dyDescent="0.3">
      <c r="A27" s="2" t="s">
        <v>15</v>
      </c>
      <c r="B27" s="1" t="s">
        <v>16</v>
      </c>
      <c r="C27" s="38" t="s">
        <v>14</v>
      </c>
      <c r="D27" s="38" t="s">
        <v>17</v>
      </c>
      <c r="E27" s="38" t="s">
        <v>18</v>
      </c>
      <c r="F27" s="38" t="s">
        <v>19</v>
      </c>
      <c r="G27" s="2"/>
      <c r="I27" s="2"/>
      <c r="J27" s="1"/>
      <c r="K27" s="2"/>
      <c r="L27" s="2"/>
      <c r="M27" s="2"/>
      <c r="N27" s="2"/>
    </row>
    <row r="28" spans="1:14" x14ac:dyDescent="0.3">
      <c r="A28" s="5">
        <v>3</v>
      </c>
      <c r="B28" s="6">
        <f>A28*B$17/12</f>
        <v>13</v>
      </c>
      <c r="C28" s="39">
        <v>2025</v>
      </c>
      <c r="D28" s="40">
        <f>(B28*C18*B21)+(B19*B22)</f>
        <v>1969.8800000000003</v>
      </c>
      <c r="E28" s="40">
        <f>D28*0.21</f>
        <v>413.67480000000006</v>
      </c>
      <c r="F28" s="41">
        <f>D28+E28</f>
        <v>2383.5548000000003</v>
      </c>
      <c r="G28" s="16">
        <v>1969.8800000000003</v>
      </c>
      <c r="H28" s="16">
        <v>413.67480000000006</v>
      </c>
      <c r="I28" s="12">
        <v>2383.5548000000003</v>
      </c>
      <c r="J28" s="6"/>
      <c r="K28" s="5"/>
      <c r="L28" s="16"/>
      <c r="M28" s="16"/>
      <c r="N28" s="7"/>
    </row>
    <row r="29" spans="1:14" x14ac:dyDescent="0.3">
      <c r="A29" s="5">
        <v>12</v>
      </c>
      <c r="B29" s="6">
        <f>B$17</f>
        <v>52</v>
      </c>
      <c r="C29" s="39">
        <v>2026</v>
      </c>
      <c r="D29" s="40">
        <f>($B$18*($B$21*1.03)+($B$19*$B$22*1.03))</f>
        <v>6963.4592000000011</v>
      </c>
      <c r="E29" s="40">
        <f t="shared" ref="E29:E32" si="0">D29*0.21</f>
        <v>1462.3264320000003</v>
      </c>
      <c r="F29" s="41">
        <f t="shared" ref="F29:F32" si="1">D29+E29</f>
        <v>8425.785632000001</v>
      </c>
      <c r="G29" s="16">
        <f>($B$18*($B$21*1.03)+($B$19*$B$22*1.03))</f>
        <v>6963.4592000000011</v>
      </c>
      <c r="H29" s="16">
        <f t="shared" ref="H29" si="2">G29*0.21</f>
        <v>1462.3264320000003</v>
      </c>
      <c r="I29" s="12">
        <f t="shared" ref="I29" si="3">G29+H29</f>
        <v>8425.785632000001</v>
      </c>
      <c r="J29" s="6"/>
      <c r="K29" s="5"/>
      <c r="L29" s="16"/>
      <c r="M29" s="16"/>
      <c r="N29" s="7"/>
    </row>
    <row r="30" spans="1:14" x14ac:dyDescent="0.3">
      <c r="A30" s="5">
        <f>A29</f>
        <v>12</v>
      </c>
      <c r="B30" s="6">
        <f>B17</f>
        <v>52</v>
      </c>
      <c r="C30" s="39">
        <v>2027</v>
      </c>
      <c r="D30" s="40">
        <f>($B$18*($B$21*1.03*1.03)+($B$19*($B$22*1.03*1.03)))</f>
        <v>7172.3629760000013</v>
      </c>
      <c r="E30" s="40">
        <f t="shared" si="0"/>
        <v>1506.1962249600001</v>
      </c>
      <c r="F30" s="41">
        <f>D30+E30</f>
        <v>8678.5592009600005</v>
      </c>
      <c r="G30" s="36">
        <f>(D30/12)*9</f>
        <v>5379.2722320000012</v>
      </c>
      <c r="H30" s="36">
        <f>(E30/12)*9</f>
        <v>1129.6471687200001</v>
      </c>
      <c r="I30" s="37">
        <f>(F30/12)*9</f>
        <v>6508.9194007200003</v>
      </c>
      <c r="J30" s="6">
        <f>G30+H30</f>
        <v>6508.9194007200012</v>
      </c>
      <c r="K30" s="5"/>
      <c r="L30" s="16"/>
      <c r="M30" s="16"/>
      <c r="N30" s="7"/>
    </row>
    <row r="31" spans="1:14" x14ac:dyDescent="0.3">
      <c r="A31" s="5">
        <f>A29</f>
        <v>12</v>
      </c>
      <c r="B31" s="6">
        <f>B17</f>
        <v>52</v>
      </c>
      <c r="C31" s="39">
        <v>2028</v>
      </c>
      <c r="D31" s="40">
        <f>($B$18*($B$21*1.03*1.03*1.03)+($B$19*($B$22*1.03*1.03*1.03)))</f>
        <v>7387.5338652800019</v>
      </c>
      <c r="E31" s="40">
        <f t="shared" si="0"/>
        <v>1551.3821117088003</v>
      </c>
      <c r="F31" s="41">
        <f t="shared" si="1"/>
        <v>8938.9159769888029</v>
      </c>
      <c r="G31" s="7">
        <f>SUM(G28:G30)</f>
        <v>14312.611432000003</v>
      </c>
      <c r="H31" s="7">
        <f t="shared" ref="H31:I31" si="4">SUM(H28:H30)</f>
        <v>3005.6484007200006</v>
      </c>
      <c r="I31" s="7">
        <f t="shared" si="4"/>
        <v>17318.259832720003</v>
      </c>
      <c r="J31" s="6"/>
      <c r="K31" s="5"/>
      <c r="L31" s="16"/>
      <c r="M31" s="16"/>
      <c r="N31" s="7"/>
    </row>
    <row r="32" spans="1:14" x14ac:dyDescent="0.3">
      <c r="A32" s="5">
        <v>9</v>
      </c>
      <c r="B32" s="6">
        <f>A32*B$17/12</f>
        <v>39</v>
      </c>
      <c r="C32" s="39">
        <v>2029</v>
      </c>
      <c r="D32" s="40">
        <f>(C18*B32*($B$21*1.03*1.03*1.03)+($B$19*($B$22*1.03*1.03*1.03)))</f>
        <v>5642.5362644400011</v>
      </c>
      <c r="E32" s="40">
        <f t="shared" si="0"/>
        <v>1184.9326155324002</v>
      </c>
      <c r="F32" s="41">
        <f t="shared" si="1"/>
        <v>6827.4688799724008</v>
      </c>
      <c r="G32" s="7"/>
      <c r="I32" s="5"/>
      <c r="J32" s="6"/>
      <c r="K32" s="5"/>
      <c r="L32" s="16"/>
      <c r="M32" s="16"/>
      <c r="N32" s="7"/>
    </row>
    <row r="33" spans="1:14" x14ac:dyDescent="0.3">
      <c r="C33" s="38" t="s">
        <v>6</v>
      </c>
      <c r="D33" s="42">
        <f>SUM(D28:D32)</f>
        <v>29135.772305720006</v>
      </c>
      <c r="E33" s="42">
        <f t="shared" ref="E33:F33" si="5">SUM(E28:E32)</f>
        <v>6118.5121842012013</v>
      </c>
      <c r="F33" s="42">
        <f t="shared" si="5"/>
        <v>35254.284489921207</v>
      </c>
      <c r="G33" s="23"/>
      <c r="K33" s="2"/>
      <c r="L33" s="23"/>
      <c r="M33" s="23"/>
      <c r="N33" s="23"/>
    </row>
    <row r="35" spans="1:14" x14ac:dyDescent="0.3">
      <c r="D35" s="7"/>
      <c r="E35" s="7"/>
      <c r="F35" s="7"/>
      <c r="G35" s="7"/>
      <c r="L35" s="7"/>
      <c r="M35" s="7"/>
      <c r="N35" s="7"/>
    </row>
    <row r="37" spans="1:14" x14ac:dyDescent="0.3">
      <c r="A37" t="s">
        <v>45</v>
      </c>
    </row>
    <row r="38" spans="1:14" x14ac:dyDescent="0.3">
      <c r="A38" t="s">
        <v>46</v>
      </c>
    </row>
    <row r="39" spans="1:14" x14ac:dyDescent="0.3">
      <c r="A39" t="s">
        <v>61</v>
      </c>
    </row>
  </sheetData>
  <pageMargins left="0.31496062992125984" right="0.11811023622047245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Proposta 1</vt:lpstr>
      <vt:lpstr>Proposta 2-2023</vt:lpstr>
      <vt:lpstr>Proposta 2-2024</vt:lpstr>
      <vt:lpstr>Proposta 3-2024 + àrea pantà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llobetjs</dc:creator>
  <cp:lastModifiedBy>Rosa Martinez</cp:lastModifiedBy>
  <cp:lastPrinted>2023-06-26T10:58:41Z</cp:lastPrinted>
  <dcterms:created xsi:type="dcterms:W3CDTF">2023-03-06T09:57:20Z</dcterms:created>
  <dcterms:modified xsi:type="dcterms:W3CDTF">2025-08-27T12:34:58Z</dcterms:modified>
</cp:coreProperties>
</file>