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ociuro\Desktop\PUBLICACIO EXP.4676_2025\"/>
    </mc:Choice>
  </mc:AlternateContent>
  <xr:revisionPtr revIDLastSave="0" documentId="13_ncr:1_{36DB191D-BBB1-4005-9D04-63EEEC1DC135}" xr6:coauthVersionLast="47" xr6:coauthVersionMax="47" xr10:uidLastSave="{00000000-0000-0000-0000-000000000000}"/>
  <bookViews>
    <workbookView xWindow="-120" yWindow="-120" windowWidth="29040" windowHeight="15840" xr2:uid="{00000000-000D-0000-FFFF-FFFF00000000}"/>
  </bookViews>
  <sheets>
    <sheet name="Full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2" i="1" l="1"/>
  <c r="O90" i="1"/>
  <c r="O89" i="1"/>
  <c r="L92" i="1"/>
  <c r="L90" i="1"/>
  <c r="L89" i="1"/>
  <c r="J82" i="1"/>
  <c r="K82" i="1" s="1"/>
  <c r="K80" i="1" s="1"/>
  <c r="M80" i="1" s="1"/>
  <c r="L83" i="1" s="1"/>
  <c r="L80" i="1"/>
  <c r="J77" i="1"/>
  <c r="K77" i="1" s="1"/>
  <c r="K75" i="1" s="1"/>
  <c r="L75" i="1"/>
  <c r="J74" i="1"/>
  <c r="J73" i="1"/>
  <c r="L71" i="1"/>
  <c r="J70" i="1"/>
  <c r="J69" i="1"/>
  <c r="L67" i="1"/>
  <c r="J66" i="1"/>
  <c r="J65" i="1"/>
  <c r="J64" i="1"/>
  <c r="J63" i="1"/>
  <c r="J62" i="1"/>
  <c r="J61" i="1"/>
  <c r="K66" i="1" s="1"/>
  <c r="K58" i="1" s="1"/>
  <c r="M58" i="1" s="1"/>
  <c r="J60" i="1"/>
  <c r="L58" i="1"/>
  <c r="J56" i="1"/>
  <c r="J55" i="1"/>
  <c r="J54" i="1"/>
  <c r="J53" i="1"/>
  <c r="J52" i="1"/>
  <c r="J51" i="1"/>
  <c r="K57" i="1" s="1"/>
  <c r="K49" i="1" s="1"/>
  <c r="M49" i="1" s="1"/>
  <c r="L49" i="1"/>
  <c r="J48" i="1"/>
  <c r="K48" i="1" s="1"/>
  <c r="K46" i="1" s="1"/>
  <c r="L46" i="1"/>
  <c r="K45" i="1"/>
  <c r="K43" i="1" s="1"/>
  <c r="M43" i="1" s="1"/>
  <c r="J45" i="1"/>
  <c r="L43" i="1"/>
  <c r="J42" i="1"/>
  <c r="K42" i="1" s="1"/>
  <c r="K40" i="1" s="1"/>
  <c r="M40" i="1" s="1"/>
  <c r="L40" i="1"/>
  <c r="J39" i="1"/>
  <c r="J38" i="1"/>
  <c r="J37" i="1"/>
  <c r="J36" i="1"/>
  <c r="L34" i="1"/>
  <c r="J33" i="1"/>
  <c r="K33" i="1" s="1"/>
  <c r="K31" i="1" s="1"/>
  <c r="M31" i="1" s="1"/>
  <c r="L31" i="1"/>
  <c r="J30" i="1"/>
  <c r="K30" i="1" s="1"/>
  <c r="K28" i="1" s="1"/>
  <c r="M28" i="1" s="1"/>
  <c r="L28" i="1"/>
  <c r="J27" i="1"/>
  <c r="K27" i="1" s="1"/>
  <c r="K25" i="1" s="1"/>
  <c r="M25" i="1" s="1"/>
  <c r="L25" i="1"/>
  <c r="J24" i="1"/>
  <c r="K24" i="1" s="1"/>
  <c r="K22" i="1" s="1"/>
  <c r="L22" i="1"/>
  <c r="K21" i="1"/>
  <c r="J21" i="1"/>
  <c r="L19" i="1"/>
  <c r="K19" i="1"/>
  <c r="M19" i="1" s="1"/>
  <c r="J18" i="1"/>
  <c r="K18" i="1" s="1"/>
  <c r="K16" i="1" s="1"/>
  <c r="M16" i="1" s="1"/>
  <c r="L16" i="1"/>
  <c r="J15" i="1"/>
  <c r="K15" i="1" s="1"/>
  <c r="K13" i="1" s="1"/>
  <c r="M13" i="1" s="1"/>
  <c r="L13" i="1"/>
  <c r="J12" i="1"/>
  <c r="J11" i="1"/>
  <c r="K12" i="1" s="1"/>
  <c r="K9" i="1" s="1"/>
  <c r="M9" i="1" s="1"/>
  <c r="L9" i="1"/>
  <c r="J8" i="1"/>
  <c r="K8" i="1" s="1"/>
  <c r="K6" i="1" s="1"/>
  <c r="L6" i="1"/>
  <c r="M75" i="1" l="1"/>
  <c r="M6" i="1"/>
  <c r="M22" i="1"/>
  <c r="M46" i="1"/>
  <c r="K74" i="1"/>
  <c r="K71" i="1" s="1"/>
  <c r="M71" i="1" s="1"/>
  <c r="K39" i="1"/>
  <c r="K34" i="1" s="1"/>
  <c r="M34" i="1" s="1"/>
  <c r="K70" i="1"/>
  <c r="K67" i="1" s="1"/>
  <c r="M67" i="1" s="1"/>
  <c r="L78" i="1"/>
  <c r="M83" i="1"/>
  <c r="L79" i="1"/>
  <c r="M79" i="1" s="1"/>
  <c r="L5" i="1" l="1"/>
  <c r="M5" i="1" s="1"/>
  <c r="M78" i="1"/>
  <c r="L84" i="1" s="1"/>
  <c r="M84" i="1" l="1"/>
  <c r="L4" i="1"/>
  <c r="M4" i="1" s="1"/>
</calcChain>
</file>

<file path=xl/sharedStrings.xml><?xml version="1.0" encoding="utf-8"?>
<sst xmlns="http://schemas.openxmlformats.org/spreadsheetml/2006/main" count="245" uniqueCount="245">
  <si>
    <t>Obra:</t>
  </si>
  <si>
    <t>Conjunt d'obres d'Enderroc i Desamiantat Cooperativa, juntament amb la formació d'una nova zona d'aparcament.</t>
  </si>
  <si>
    <t>Pressupost</t>
  </si>
  <si>
    <t>% C.I.</t>
  </si>
  <si>
    <t>Codi</t>
  </si>
  <si>
    <t>Tipus</t>
  </si>
  <si>
    <t>U</t>
  </si>
  <si>
    <t>Resum</t>
  </si>
  <si>
    <t>Quantitat</t>
  </si>
  <si>
    <t>Preu (€)</t>
  </si>
  <si>
    <t>Import (€)</t>
  </si>
  <si>
    <t>ENDERROC I DESAMIANTAT COOPERATIVA - LOT 1</t>
  </si>
  <si>
    <t>Capítol</t>
  </si>
  <si>
    <t>Conjunt d'obres d'Enderroc i Desamiantat Cooperativa, juntament amb la formació d'una nova zona d'aparcament.</t>
  </si>
  <si>
    <t>0</t>
  </si>
  <si>
    <t>Capítol</t>
  </si>
  <si>
    <t>Enderroc i desamiantat Cooperativa</t>
  </si>
  <si>
    <t>PA00012</t>
  </si>
  <si>
    <t>Partida</t>
  </si>
  <si>
    <t>ut</t>
  </si>
  <si>
    <t>Elaboració del Pla Específic per a l'actuació de la retirada d'amiant</t>
  </si>
  <si>
    <t>Uts.</t>
  </si>
  <si>
    <t>Llargada</t>
  </si>
  <si>
    <t>Amplada</t>
  </si>
  <si>
    <t>Alçada</t>
  </si>
  <si>
    <t>Parcial</t>
  </si>
  <si>
    <t>Subtotal</t>
  </si>
  <si>
    <t>YCR020</t>
  </si>
  <si>
    <t>Partida</t>
  </si>
  <si>
    <t>m</t>
  </si>
  <si>
    <t>Clos provisional de solar, de 1,8 m d'altura, compost per panells opacs de xapa perfilada nervada d'acer S320 GD galvanitzat de 0,6 mm espessor i 30 mm altura de cresta i perfils buits de secció quadrada d'acer S275JR, de 60x60x1,5 mm, de 2,5 m de longitud, ancorats al terreny mitjançant daus de formigó HM-20/P/20/I, cada 2,0 m. Amortitzables els panells en 10 usos i els perfils en 5 usos.</t>
  </si>
  <si>
    <t>Uts.</t>
  </si>
  <si>
    <t>Llargada</t>
  </si>
  <si>
    <t>Amplada</t>
  </si>
  <si>
    <t>Alçada</t>
  </si>
  <si>
    <t>Parcial</t>
  </si>
  <si>
    <t>Subtotal</t>
  </si>
  <si>
    <t>C. Joan Carles I</t>
  </si>
  <si>
    <t>P Doctor Pujol</t>
  </si>
  <si>
    <t>YCR026</t>
  </si>
  <si>
    <t>Partida</t>
  </si>
  <si>
    <t>U</t>
  </si>
  <si>
    <t>Porta per a accés de vehicles de xapa d'acer galvanitzat, de dues fulles, de 4,0x2,0 m, col·locada en clos provisional de solar, subjecta mitjançant pals del mateix material, ancorats al terreny amb daus de formigó, amortitzable en 5 usos.</t>
  </si>
  <si>
    <t>Uts.</t>
  </si>
  <si>
    <t>Llargada</t>
  </si>
  <si>
    <t>Amplada</t>
  </si>
  <si>
    <t>Alçada</t>
  </si>
  <si>
    <t>Parcial</t>
  </si>
  <si>
    <t>Subtotal</t>
  </si>
  <si>
    <t>0XP010</t>
  </si>
  <si>
    <t>Partida</t>
  </si>
  <si>
    <t>U</t>
  </si>
  <si>
    <t>Lloguer diari de cistell elevador de braç articulat de 21 m d'altura màxima de treball.</t>
  </si>
  <si>
    <t>Uts.</t>
  </si>
  <si>
    <t>Llargada</t>
  </si>
  <si>
    <t>Amplada</t>
  </si>
  <si>
    <t>Alçada</t>
  </si>
  <si>
    <t>Parcial</t>
  </si>
  <si>
    <t>Subtotal</t>
  </si>
  <si>
    <t>Previsió de 15 dies laborables</t>
  </si>
  <si>
    <t>0XP020</t>
  </si>
  <si>
    <t>Partida</t>
  </si>
  <si>
    <t>U</t>
  </si>
  <si>
    <t>Transport a obra i retirada de cistell elevador de braç articulat de 21 m d'altura màxima de treball.</t>
  </si>
  <si>
    <t>Uts.</t>
  </si>
  <si>
    <t>Llargada</t>
  </si>
  <si>
    <t>Amplada</t>
  </si>
  <si>
    <t>Alçada</t>
  </si>
  <si>
    <t>Parcial</t>
  </si>
  <si>
    <t>Subtotal</t>
  </si>
  <si>
    <t>PA000002</t>
  </si>
  <si>
    <t>Partida</t>
  </si>
  <si>
    <t>ut</t>
  </si>
  <si>
    <t>Partida alçada ajustificar per la retirada de materials i maquinaries existents en l'interior de la nau. El preu inclou la manipulació, el transport, l'abocament a la deixalleira i tots els costos corresponents als treballs a efectuar.</t>
  </si>
  <si>
    <t>Uts.</t>
  </si>
  <si>
    <t>Llargada</t>
  </si>
  <si>
    <t>Amplada</t>
  </si>
  <si>
    <t>Alçada</t>
  </si>
  <si>
    <t>Parcial</t>
  </si>
  <si>
    <t>Subtotal</t>
  </si>
  <si>
    <t>0AE010</t>
  </si>
  <si>
    <t>Partida</t>
  </si>
  <si>
    <t>U</t>
  </si>
  <si>
    <t>Desconnexió d'escomesa elèctrica.</t>
  </si>
  <si>
    <t>Uts.</t>
  </si>
  <si>
    <t>Llargada</t>
  </si>
  <si>
    <t>Amplada</t>
  </si>
  <si>
    <t>Alçada</t>
  </si>
  <si>
    <t>Parcial</t>
  </si>
  <si>
    <t>Subtotal</t>
  </si>
  <si>
    <t>es omesa elèctrica existent</t>
  </si>
  <si>
    <t>DLP300</t>
  </si>
  <si>
    <t>Partida</t>
  </si>
  <si>
    <t>U</t>
  </si>
  <si>
    <t>Desmuntatge de porta de garatge abatible de més de 7 m² de superfície, amb mitjans manuals, sense deteriorar els elements constructius als quals està subjecta, i càrrega manual sobre camió o contenidor.</t>
  </si>
  <si>
    <t>Uts.</t>
  </si>
  <si>
    <t>Llargada</t>
  </si>
  <si>
    <t>Amplada</t>
  </si>
  <si>
    <t>Alçada</t>
  </si>
  <si>
    <t>Parcial</t>
  </si>
  <si>
    <t>Subtotal</t>
  </si>
  <si>
    <t>DEF030</t>
  </si>
  <si>
    <t>Partida</t>
  </si>
  <si>
    <t>m³</t>
  </si>
  <si>
    <t>Demolició de pilastra de fàbrica de maó ceràmic massís, amb mitjans manuals, i càrrega manual sobre camió o contenidor.</t>
  </si>
  <si>
    <t>Uts.</t>
  </si>
  <si>
    <t>Llargada</t>
  </si>
  <si>
    <t>Amplada</t>
  </si>
  <si>
    <t>Alçada</t>
  </si>
  <si>
    <t>Parcial</t>
  </si>
  <si>
    <t>Subtotal</t>
  </si>
  <si>
    <t>DEF040</t>
  </si>
  <si>
    <t>Partida</t>
  </si>
  <si>
    <t>m³</t>
  </si>
  <si>
    <t>Demolició de mur de fàbrica revestida de maó ceràmic buit, amb mitjans manuals, i càrrega manual sobre camió o contenidor.</t>
  </si>
  <si>
    <t>Uts.</t>
  </si>
  <si>
    <t>Llargada</t>
  </si>
  <si>
    <t>Amplada</t>
  </si>
  <si>
    <t>Alçada</t>
  </si>
  <si>
    <t>Parcial</t>
  </si>
  <si>
    <t>Subtotal</t>
  </si>
  <si>
    <t>Façana P Doctor Pujol</t>
  </si>
  <si>
    <t>Façana C Joan Carles I</t>
  </si>
  <si>
    <t>Façana posterior</t>
  </si>
  <si>
    <t>Xamfrà</t>
  </si>
  <si>
    <t>DQT010</t>
  </si>
  <si>
    <t>Partida</t>
  </si>
  <si>
    <t>m²</t>
  </si>
  <si>
    <t>Demolició d'estructura  autoportant de coberta inclinada a dues aigües, de forma manual, sense afectar a l'estabilitat dels elements constructius sobre els quals es dóna suport, i càrrega manual sobre camió o contenidor.</t>
  </si>
  <si>
    <t>Uts.</t>
  </si>
  <si>
    <t>Llargada</t>
  </si>
  <si>
    <t>Amplada</t>
  </si>
  <si>
    <t>Alçada</t>
  </si>
  <si>
    <t>Parcial</t>
  </si>
  <si>
    <t>Subtotal</t>
  </si>
  <si>
    <t>DQC030</t>
  </si>
  <si>
    <t>Partida</t>
  </si>
  <si>
    <t>m²</t>
  </si>
  <si>
    <t>Desmuntatge de cobertura de plaques de fibrociment amb amiant, subjecta mecànicament sobre corretja estructural a menys de 20 m d'altura, per empresa qualificada i inscrita en el Registre d'Empreses amb Risc a l'Amiant, en coberta inclinada a dues aigües amb un pendent mitjà del 30%, per a una superfície mitjana a desmuntar d'entre 201 i 500 m²; amb mitjans i equips adequats, i càrrega mecànica sobre camió.</t>
  </si>
  <si>
    <t>Uts.</t>
  </si>
  <si>
    <t>Llargada</t>
  </si>
  <si>
    <t>Amplada</t>
  </si>
  <si>
    <t>Alçada</t>
  </si>
  <si>
    <t>Parcial</t>
  </si>
  <si>
    <t>Subtotal</t>
  </si>
  <si>
    <t>GCA010</t>
  </si>
  <si>
    <t>Partida</t>
  </si>
  <si>
    <t>m³</t>
  </si>
  <si>
    <t>Retirada manual de plaques i runa contaminada d'amiant, situades en el terra de la nau, degut al enfonsament previ. Tot dins de l'obra en la que es produeixin, amb mitjans manuals.</t>
  </si>
  <si>
    <t>Uts.</t>
  </si>
  <si>
    <t>Llargada</t>
  </si>
  <si>
    <t>Amplada</t>
  </si>
  <si>
    <t>Alçada</t>
  </si>
  <si>
    <t>Parcial</t>
  </si>
  <si>
    <t>Subtotal</t>
  </si>
  <si>
    <t>enfonsament previ</t>
  </si>
  <si>
    <t>GRA020</t>
  </si>
  <si>
    <t>Partida</t>
  </si>
  <si>
    <t>m³</t>
  </si>
  <si>
    <t>Transport amb camió de mescla sense classificar de residus inerts produïts en obres de construcció i/o demolició, a abocador específic, instal·lació de tractament de residus de construcció i demolició externa a l'obra o centre de valorització o eliminació de residus, situat a 10 km de distància.</t>
  </si>
  <si>
    <t>Uts.</t>
  </si>
  <si>
    <t>Llargada</t>
  </si>
  <si>
    <t>Amplada</t>
  </si>
  <si>
    <t>Alçada</t>
  </si>
  <si>
    <t>Parcial</t>
  </si>
  <si>
    <t>Subtotal</t>
  </si>
  <si>
    <t>Pilastres</t>
  </si>
  <si>
    <t>Façana P Doctor Pujol</t>
  </si>
  <si>
    <t>Façana C Joan Carles I</t>
  </si>
  <si>
    <t>Façana posterior</t>
  </si>
  <si>
    <t>Xamfrà</t>
  </si>
  <si>
    <t>estructura autoportant coberta</t>
  </si>
  <si>
    <t>0</t>
  </si>
  <si>
    <t>GRB020</t>
  </si>
  <si>
    <t>Partida</t>
  </si>
  <si>
    <t>m³</t>
  </si>
  <si>
    <t>Cànon d'abocament per lliurament de mescla sense classificar de residus inerts produïts a obres de construcció i/o demolició, en abocador específic, instal·lació de tractament de residus de construcció i demolició externa a l'obra o centre de valorització o eliminació de residus.</t>
  </si>
  <si>
    <t>Uts.</t>
  </si>
  <si>
    <t>Llargada</t>
  </si>
  <si>
    <t>Amplada</t>
  </si>
  <si>
    <t>Alçada</t>
  </si>
  <si>
    <t>Parcial</t>
  </si>
  <si>
    <t>Subtotal</t>
  </si>
  <si>
    <t>Pilastres</t>
  </si>
  <si>
    <t>Façana P Doctor Pujol</t>
  </si>
  <si>
    <t>Façana C Joan Carles I</t>
  </si>
  <si>
    <t>Façana posterior</t>
  </si>
  <si>
    <t>Xamfrà</t>
  </si>
  <si>
    <t>estructura autoportant coberta</t>
  </si>
  <si>
    <t>15% esponjament</t>
  </si>
  <si>
    <t>GEB020</t>
  </si>
  <si>
    <t>Partida</t>
  </si>
  <si>
    <t>m³</t>
  </si>
  <si>
    <t>Transport d'elements de fibrociment amb amiant procedents d'una demolició, a abocador específic, instal·lació de tractament de residus de construcció i demolició externa a l'obra o centre de valorització o eliminació de residus, prèviament plastificats i paletitzats.</t>
  </si>
  <si>
    <t>Uts.</t>
  </si>
  <si>
    <t>Llargada</t>
  </si>
  <si>
    <t>Amplada</t>
  </si>
  <si>
    <t>Alçada</t>
  </si>
  <si>
    <t>Parcial</t>
  </si>
  <si>
    <t>Subtotal</t>
  </si>
  <si>
    <t>enfonsament previ</t>
  </si>
  <si>
    <t>GEC020</t>
  </si>
  <si>
    <t>Partida</t>
  </si>
  <si>
    <t>m³</t>
  </si>
  <si>
    <t>Cànon d'abocament per lliurament a gestor autoritzat de residus perillosos, d'elements de fibrociment amb amiant procedents d'una demolició.</t>
  </si>
  <si>
    <t>Uts.</t>
  </si>
  <si>
    <t>Llargada</t>
  </si>
  <si>
    <t>Amplada</t>
  </si>
  <si>
    <t>Alçada</t>
  </si>
  <si>
    <t>Parcial</t>
  </si>
  <si>
    <t>Subtotal</t>
  </si>
  <si>
    <t>enfonsament previ</t>
  </si>
  <si>
    <t>PA000001</t>
  </si>
  <si>
    <t>Partida</t>
  </si>
  <si>
    <t>ut</t>
  </si>
  <si>
    <t>Partida alçada a justificar per la recuperació de la totalitat dels quadres de trencadis existents en una de les parets de l'edifici afectat. Les feines han d'incloure l'envolcallament, la retirada, i l'acopi d'aquests on indiquin els erveis tècnics municipals. També tots els mitjans auxiliars necessàris per la seva execució.</t>
  </si>
  <si>
    <t>Uts.</t>
  </si>
  <si>
    <t>Llargada</t>
  </si>
  <si>
    <t>Amplada</t>
  </si>
  <si>
    <t>Alçada</t>
  </si>
  <si>
    <t>Parcial</t>
  </si>
  <si>
    <t>Subtotal</t>
  </si>
  <si>
    <t>0</t>
  </si>
  <si>
    <t>Y</t>
  </si>
  <si>
    <t>Capítol</t>
  </si>
  <si>
    <t>Seguretat i salut</t>
  </si>
  <si>
    <t>YCX010</t>
  </si>
  <si>
    <t>Partida</t>
  </si>
  <si>
    <t>U</t>
  </si>
  <si>
    <t>Conjunt de sistemes de protecció col·lectiva, necessaris per al compliment de la normativa vigent en matèria de Seguretat i Salut en el Treball.</t>
  </si>
  <si>
    <t>Uts.</t>
  </si>
  <si>
    <t>Llargada</t>
  </si>
  <si>
    <t>Amplada</t>
  </si>
  <si>
    <t>Alçada</t>
  </si>
  <si>
    <t>Parcial</t>
  </si>
  <si>
    <t>Subtotal</t>
  </si>
  <si>
    <t>Y</t>
  </si>
  <si>
    <t>ENDERROC I DESAMIANTAT COOPERATIVA - LOT 1</t>
  </si>
  <si>
    <t>Preu Oferta (€)</t>
  </si>
  <si>
    <t>Import Oferta (€)</t>
  </si>
  <si>
    <t>13% Despeses Generals</t>
  </si>
  <si>
    <t>6% Benefici Industrial</t>
  </si>
  <si>
    <t>21% iva</t>
  </si>
  <si>
    <t>Total Execució Lot 1</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</si>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</sst>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quot;"/>
  </numFmts>
  <fonts count="8"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
      <sz val="9"/>
      <color rgb="FF000000"/>
      <name val="Arial"/>
      <family val="2"/>
    </font>
  </fonts>
  <fills count="8">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269900"/>
        <bgColor indexed="64"/>
      </patternFill>
    </fill>
    <fill>
      <patternFill patternType="solid">
        <fgColor rgb="FFDFFFBF"/>
        <bgColor indexed="64"/>
      </patternFill>
    </fill>
    <fill>
      <patternFill patternType="solid">
        <fgColor rgb="FF3FB219"/>
        <bgColor indexed="64"/>
      </patternFill>
    </fill>
  </fills>
  <borders count="7">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
      <left/>
      <right/>
      <top/>
      <bottom style="thin">
        <color indexed="64"/>
      </bottom>
      <diagonal/>
    </border>
  </borders>
  <cellStyleXfs count="1">
    <xf numFmtId="0" fontId="0" fillId="0" borderId="0"/>
  </cellStyleXfs>
  <cellXfs count="62">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5" fillId="0" borderId="3" xfId="0" applyFont="1" applyBorder="1" applyAlignment="1">
      <alignment horizontal="left" vertical="top" wrapText="1"/>
    </xf>
    <xf numFmtId="0" fontId="5" fillId="0" borderId="0" xfId="0" applyFont="1" applyAlignment="1">
      <alignment horizontal="righ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16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164" fontId="6" fillId="0" borderId="0" xfId="0" applyNumberFormat="1" applyFont="1" applyAlignment="1">
      <alignment horizontal="right" vertical="top" wrapText="1"/>
    </xf>
    <xf numFmtId="164" fontId="6" fillId="0" borderId="4" xfId="0" applyNumberFormat="1" applyFont="1" applyBorder="1" applyAlignment="1">
      <alignment horizontal="right" vertical="top"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0" fillId="0" borderId="5" xfId="0" applyBorder="1" applyAlignment="1">
      <alignment horizontal="center" vertical="center"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0" fillId="5" borderId="0" xfId="0" applyFill="1" applyAlignment="1">
      <alignment horizontal="left" vertical="center"/>
    </xf>
    <xf numFmtId="0" fontId="2" fillId="6" borderId="0" xfId="0" applyFont="1" applyFill="1" applyAlignment="1">
      <alignment horizontal="left" vertical="top" wrapText="1"/>
    </xf>
    <xf numFmtId="0" fontId="0" fillId="6" borderId="0" xfId="0" applyFill="1" applyAlignment="1">
      <alignment horizontal="left" vertical="center"/>
    </xf>
    <xf numFmtId="0" fontId="7" fillId="6" borderId="0" xfId="0" applyFont="1" applyFill="1" applyAlignment="1">
      <alignment horizontal="center" vertical="center"/>
    </xf>
    <xf numFmtId="4" fontId="4" fillId="7" borderId="0" xfId="0" applyNumberFormat="1" applyFont="1" applyFill="1" applyAlignment="1">
      <alignment horizontal="right" vertical="top" wrapText="1"/>
    </xf>
    <xf numFmtId="0" fontId="7" fillId="0" borderId="0" xfId="0" applyFont="1" applyAlignment="1">
      <alignment horizontal="center" vertical="center"/>
    </xf>
    <xf numFmtId="0" fontId="7" fillId="5" borderId="0" xfId="0" applyFont="1" applyFill="1" applyAlignment="1">
      <alignment horizontal="center" vertical="center"/>
    </xf>
    <xf numFmtId="0" fontId="7" fillId="0" borderId="0" xfId="0" applyFont="1" applyAlignment="1">
      <alignment horizontal="left" vertical="center"/>
    </xf>
    <xf numFmtId="0" fontId="7" fillId="7" borderId="0" xfId="0" applyFont="1" applyFill="1" applyAlignment="1">
      <alignment horizontal="left" vertical="center"/>
    </xf>
    <xf numFmtId="0" fontId="7" fillId="7" borderId="6" xfId="0" applyFont="1" applyFill="1" applyBorder="1" applyAlignment="1">
      <alignment horizontal="left" vertical="center"/>
    </xf>
    <xf numFmtId="165" fontId="3" fillId="5" borderId="0" xfId="0" applyNumberFormat="1" applyFont="1" applyFill="1" applyAlignment="1">
      <alignment horizontal="right" vertical="center"/>
    </xf>
    <xf numFmtId="0" fontId="3" fillId="5" borderId="0" xfId="0" applyFont="1" applyFill="1" applyAlignment="1">
      <alignment horizontal="left" vertical="center"/>
    </xf>
    <xf numFmtId="165" fontId="3" fillId="0" borderId="0" xfId="0" applyNumberFormat="1" applyFont="1" applyAlignment="1">
      <alignment horizontal="right" vertical="center"/>
    </xf>
    <xf numFmtId="0" fontId="2" fillId="0" borderId="0" xfId="0" applyFont="1" applyAlignment="1">
      <alignment horizontal="justify" vertical="top" wrapText="1"/>
    </xf>
    <xf numFmtId="0" fontId="4" fillId="4" borderId="2" xfId="0" applyFont="1" applyFill="1" applyBorder="1" applyAlignment="1">
      <alignment horizontal="justify"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cellXfs>
  <cellStyles count="1">
    <cellStyle name="Normal" xfId="0" builtinId="0"/>
  </cellStyles>
  <dxfs count="0"/>
  <tableStyles count="0" defaultTableStyle="TableStyleMedium9" defaultPivotStyle="PivotStyleLight16"/>
  <colors>
    <mruColors>
      <color rgb="FF269900"/>
      <color rgb="FF3FB219"/>
      <color rgb="FFDFFFBF"/>
      <color rgb="FF007033"/>
      <color rgb="FF0068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2"/>
  <sheetViews>
    <sheetView tabSelected="1" view="pageLayout" workbookViewId="0">
      <selection activeCell="P106" sqref="P106"/>
    </sheetView>
  </sheetViews>
  <sheetFormatPr baseColWidth="10" defaultRowHeight="15" x14ac:dyDescent="0.2"/>
  <cols>
    <col min="1" max="1" width="7.3984375" customWidth="1"/>
    <col min="2" max="2" width="6.59765625" customWidth="1"/>
    <col min="3" max="3" width="3.09765625" customWidth="1"/>
    <col min="4" max="4" width="17.69921875" customWidth="1"/>
    <col min="5" max="5" width="10.296875" customWidth="1"/>
    <col min="6" max="7" width="5.59765625" customWidth="1"/>
    <col min="8" max="8" width="5.69921875" customWidth="1"/>
    <col min="9" max="9" width="4.8984375" customWidth="1"/>
    <col min="10" max="10" width="6.19921875" customWidth="1"/>
    <col min="11" max="11" width="8.19921875" customWidth="1"/>
    <col min="12" max="12" width="12.59765625" customWidth="1"/>
    <col min="13" max="13" width="8.19921875" customWidth="1"/>
    <col min="15" max="15" width="12.8984375" customWidth="1"/>
  </cols>
  <sheetData>
    <row r="1" spans="1:15" ht="17.850000000000001" customHeight="1" thickBot="1" x14ac:dyDescent="0.25">
      <c r="A1" s="1" t="s">
        <v>0</v>
      </c>
      <c r="B1" s="59" t="s">
        <v>1</v>
      </c>
      <c r="C1" s="59"/>
      <c r="D1" s="59"/>
      <c r="E1" s="59"/>
      <c r="F1" s="59"/>
      <c r="G1" s="59"/>
      <c r="H1" s="59"/>
      <c r="I1" s="59"/>
      <c r="J1" s="59"/>
      <c r="K1" s="59"/>
      <c r="L1" s="59"/>
      <c r="M1" s="59"/>
      <c r="N1" s="46"/>
      <c r="O1" s="46"/>
    </row>
    <row r="2" spans="1:15" ht="17.850000000000001" customHeight="1" x14ac:dyDescent="0.2">
      <c r="A2" s="59" t="s">
        <v>2</v>
      </c>
      <c r="B2" s="59"/>
      <c r="C2" s="59"/>
      <c r="D2" s="2"/>
      <c r="E2" s="2"/>
      <c r="F2" s="2"/>
      <c r="G2" s="2"/>
      <c r="H2" s="2"/>
      <c r="I2" s="2"/>
      <c r="J2" s="2"/>
      <c r="K2" s="2"/>
      <c r="L2" s="4" t="s">
        <v>3</v>
      </c>
      <c r="M2" s="45">
        <v>3</v>
      </c>
      <c r="N2" s="46"/>
      <c r="O2" s="46"/>
    </row>
    <row r="3" spans="1:15" ht="16.7" customHeight="1" x14ac:dyDescent="0.2">
      <c r="A3" s="6" t="s">
        <v>4</v>
      </c>
      <c r="B3" s="6" t="s">
        <v>5</v>
      </c>
      <c r="C3" s="6" t="s">
        <v>6</v>
      </c>
      <c r="D3" s="6" t="s">
        <v>7</v>
      </c>
      <c r="E3" s="7"/>
      <c r="F3" s="7"/>
      <c r="G3" s="7"/>
      <c r="H3" s="7"/>
      <c r="I3" s="7"/>
      <c r="J3" s="7"/>
      <c r="K3" s="8" t="s">
        <v>8</v>
      </c>
      <c r="L3" s="8" t="s">
        <v>9</v>
      </c>
      <c r="M3" s="8" t="s">
        <v>10</v>
      </c>
      <c r="N3" s="47" t="s">
        <v>238</v>
      </c>
      <c r="O3" s="47" t="s">
        <v>239</v>
      </c>
    </row>
    <row r="4" spans="1:15" ht="63.4" customHeight="1" x14ac:dyDescent="0.2">
      <c r="A4" s="10" t="s">
        <v>11</v>
      </c>
      <c r="B4" s="10" t="s">
        <v>12</v>
      </c>
      <c r="C4" s="11"/>
      <c r="D4" s="60" t="s">
        <v>13</v>
      </c>
      <c r="E4" s="60"/>
      <c r="F4" s="60"/>
      <c r="G4" s="60"/>
      <c r="H4" s="60"/>
      <c r="I4" s="60"/>
      <c r="J4" s="60"/>
      <c r="K4" s="42"/>
      <c r="L4" s="43">
        <f>L84</f>
        <v>66332.149999999994</v>
      </c>
      <c r="M4" s="12">
        <f>ROUND(L4,2)</f>
        <v>66332.149999999994</v>
      </c>
      <c r="N4" s="44"/>
      <c r="O4" s="44"/>
    </row>
    <row r="5" spans="1:15" ht="15.4" customHeight="1" thickBot="1" x14ac:dyDescent="0.25">
      <c r="A5" s="13" t="s">
        <v>14</v>
      </c>
      <c r="B5" s="13" t="s">
        <v>15</v>
      </c>
      <c r="C5" s="14"/>
      <c r="D5" s="61" t="s">
        <v>16</v>
      </c>
      <c r="E5" s="61"/>
      <c r="F5" s="61"/>
      <c r="G5" s="61"/>
      <c r="H5" s="61"/>
      <c r="I5" s="61"/>
      <c r="J5" s="61"/>
      <c r="K5" s="14"/>
      <c r="L5" s="48">
        <f>L78</f>
        <v>64675.180000000008</v>
      </c>
      <c r="M5" s="15">
        <f>ROUND(L5,2)</f>
        <v>64675.18</v>
      </c>
      <c r="N5" s="52"/>
      <c r="O5" s="52"/>
    </row>
    <row r="6" spans="1:15" ht="15.4" customHeight="1" thickBot="1" x14ac:dyDescent="0.25">
      <c r="A6" s="9" t="s">
        <v>17</v>
      </c>
      <c r="B6" s="5" t="s">
        <v>18</v>
      </c>
      <c r="C6" s="5" t="s">
        <v>19</v>
      </c>
      <c r="D6" s="57" t="s">
        <v>20</v>
      </c>
      <c r="E6" s="57"/>
      <c r="F6" s="57"/>
      <c r="G6" s="57"/>
      <c r="H6" s="57"/>
      <c r="I6" s="57"/>
      <c r="J6" s="57"/>
      <c r="K6" s="16">
        <f>SUM(K8:K8)</f>
        <v>1</v>
      </c>
      <c r="L6" s="17">
        <f>ROUND(2579.523*(1+M2/100),2)</f>
        <v>2656.91</v>
      </c>
      <c r="M6" s="17">
        <f>ROUND(K6*L6,2)</f>
        <v>2656.91</v>
      </c>
      <c r="N6" s="51"/>
      <c r="O6" s="51"/>
    </row>
    <row r="7" spans="1:15" ht="15.2" customHeight="1" thickBot="1" x14ac:dyDescent="0.25">
      <c r="A7" s="18"/>
      <c r="B7" s="18"/>
      <c r="C7" s="18"/>
      <c r="D7" s="18"/>
      <c r="E7" s="19"/>
      <c r="F7" s="21" t="s">
        <v>21</v>
      </c>
      <c r="G7" s="21" t="s">
        <v>22</v>
      </c>
      <c r="H7" s="21" t="s">
        <v>23</v>
      </c>
      <c r="I7" s="21" t="s">
        <v>24</v>
      </c>
      <c r="J7" s="21" t="s">
        <v>25</v>
      </c>
      <c r="K7" s="21" t="s">
        <v>26</v>
      </c>
      <c r="L7" s="18"/>
      <c r="M7" s="18"/>
      <c r="N7" s="51"/>
      <c r="O7" s="51"/>
    </row>
    <row r="8" spans="1:15" ht="15.2" customHeight="1" thickBot="1" x14ac:dyDescent="0.25">
      <c r="A8" s="18"/>
      <c r="B8" s="18"/>
      <c r="C8" s="18"/>
      <c r="D8" s="22"/>
      <c r="E8" s="23"/>
      <c r="F8" s="24">
        <v>1</v>
      </c>
      <c r="G8" s="25"/>
      <c r="H8" s="25"/>
      <c r="I8" s="25"/>
      <c r="J8" s="27">
        <f>ROUND(F8,3)</f>
        <v>1</v>
      </c>
      <c r="K8" s="29">
        <f>SUM(J8:J8)</f>
        <v>1</v>
      </c>
      <c r="L8" s="18"/>
      <c r="M8" s="18"/>
      <c r="N8" s="51"/>
      <c r="O8" s="51"/>
    </row>
    <row r="9" spans="1:15" ht="39.75" customHeight="1" thickBot="1" x14ac:dyDescent="0.25">
      <c r="A9" s="9" t="s">
        <v>27</v>
      </c>
      <c r="B9" s="5" t="s">
        <v>28</v>
      </c>
      <c r="C9" s="5" t="s">
        <v>29</v>
      </c>
      <c r="D9" s="57" t="s">
        <v>30</v>
      </c>
      <c r="E9" s="57"/>
      <c r="F9" s="57"/>
      <c r="G9" s="57"/>
      <c r="H9" s="57"/>
      <c r="I9" s="57"/>
      <c r="J9" s="57"/>
      <c r="K9" s="16">
        <f>SUM(K11:K12)</f>
        <v>49</v>
      </c>
      <c r="L9" s="17">
        <f>ROUND(39.24*(1+M2/100),2)</f>
        <v>40.42</v>
      </c>
      <c r="M9" s="17">
        <f>ROUND(K9*L9,2)</f>
        <v>1980.58</v>
      </c>
      <c r="N9" s="51"/>
      <c r="O9" s="51"/>
    </row>
    <row r="10" spans="1:15" ht="15.2" customHeight="1" thickBot="1" x14ac:dyDescent="0.25">
      <c r="A10" s="18"/>
      <c r="B10" s="18"/>
      <c r="C10" s="18"/>
      <c r="D10" s="18"/>
      <c r="E10" s="19"/>
      <c r="F10" s="21" t="s">
        <v>31</v>
      </c>
      <c r="G10" s="21" t="s">
        <v>32</v>
      </c>
      <c r="H10" s="21" t="s">
        <v>33</v>
      </c>
      <c r="I10" s="21" t="s">
        <v>34</v>
      </c>
      <c r="J10" s="21" t="s">
        <v>35</v>
      </c>
      <c r="K10" s="21" t="s">
        <v>36</v>
      </c>
      <c r="L10" s="18"/>
      <c r="M10" s="18"/>
      <c r="N10" s="51"/>
      <c r="O10" s="51"/>
    </row>
    <row r="11" spans="1:15" ht="15.2" customHeight="1" thickBot="1" x14ac:dyDescent="0.25">
      <c r="A11" s="18"/>
      <c r="B11" s="18"/>
      <c r="C11" s="18"/>
      <c r="D11" s="22"/>
      <c r="E11" s="23" t="s">
        <v>37</v>
      </c>
      <c r="F11" s="24">
        <v>1</v>
      </c>
      <c r="G11" s="25">
        <v>25</v>
      </c>
      <c r="H11" s="25"/>
      <c r="I11" s="25"/>
      <c r="J11" s="27">
        <f>ROUND(F11*G11,3)</f>
        <v>25</v>
      </c>
      <c r="K11" s="30"/>
      <c r="L11" s="18"/>
      <c r="M11" s="18"/>
      <c r="N11" s="51"/>
      <c r="O11" s="51"/>
    </row>
    <row r="12" spans="1:15" ht="15.2" customHeight="1" thickBot="1" x14ac:dyDescent="0.25">
      <c r="A12" s="18"/>
      <c r="B12" s="18"/>
      <c r="C12" s="18"/>
      <c r="D12" s="22"/>
      <c r="E12" s="5" t="s">
        <v>38</v>
      </c>
      <c r="F12" s="3">
        <v>1</v>
      </c>
      <c r="G12" s="16">
        <v>24</v>
      </c>
      <c r="H12" s="16"/>
      <c r="I12" s="16"/>
      <c r="J12" s="26">
        <f>ROUND(F12*G12,3)</f>
        <v>24</v>
      </c>
      <c r="K12" s="28">
        <f>SUM(J11:J12)</f>
        <v>49</v>
      </c>
      <c r="L12" s="18"/>
      <c r="M12" s="18"/>
      <c r="N12" s="51"/>
      <c r="O12" s="51"/>
    </row>
    <row r="13" spans="1:15" ht="30.6" customHeight="1" thickBot="1" x14ac:dyDescent="0.25">
      <c r="A13" s="9" t="s">
        <v>39</v>
      </c>
      <c r="B13" s="5" t="s">
        <v>40</v>
      </c>
      <c r="C13" s="5" t="s">
        <v>41</v>
      </c>
      <c r="D13" s="57" t="s">
        <v>42</v>
      </c>
      <c r="E13" s="57"/>
      <c r="F13" s="57"/>
      <c r="G13" s="57"/>
      <c r="H13" s="57"/>
      <c r="I13" s="57"/>
      <c r="J13" s="57"/>
      <c r="K13" s="16">
        <f>SUM(K15:K15)</f>
        <v>1</v>
      </c>
      <c r="L13" s="17">
        <f>ROUND(257.81*(1+M2/100),2)</f>
        <v>265.54000000000002</v>
      </c>
      <c r="M13" s="17">
        <f>ROUND(K13*L13,2)</f>
        <v>265.54000000000002</v>
      </c>
      <c r="N13" s="51"/>
      <c r="O13" s="51"/>
    </row>
    <row r="14" spans="1:15" ht="15.2" customHeight="1" thickBot="1" x14ac:dyDescent="0.25">
      <c r="A14" s="18"/>
      <c r="B14" s="18"/>
      <c r="C14" s="18"/>
      <c r="D14" s="18"/>
      <c r="E14" s="19"/>
      <c r="F14" s="21" t="s">
        <v>43</v>
      </c>
      <c r="G14" s="21" t="s">
        <v>44</v>
      </c>
      <c r="H14" s="21" t="s">
        <v>45</v>
      </c>
      <c r="I14" s="21" t="s">
        <v>46</v>
      </c>
      <c r="J14" s="21" t="s">
        <v>47</v>
      </c>
      <c r="K14" s="21" t="s">
        <v>48</v>
      </c>
      <c r="L14" s="18"/>
      <c r="M14" s="18"/>
      <c r="N14" s="51"/>
      <c r="O14" s="51"/>
    </row>
    <row r="15" spans="1:15" ht="15.2" customHeight="1" thickBot="1" x14ac:dyDescent="0.25">
      <c r="A15" s="18"/>
      <c r="B15" s="18"/>
      <c r="C15" s="18"/>
      <c r="D15" s="22"/>
      <c r="E15" s="23"/>
      <c r="F15" s="24">
        <v>1</v>
      </c>
      <c r="G15" s="25"/>
      <c r="H15" s="25"/>
      <c r="I15" s="25"/>
      <c r="J15" s="27">
        <f>ROUND(F15,3)</f>
        <v>1</v>
      </c>
      <c r="K15" s="29">
        <f>SUM(J15:J15)</f>
        <v>1</v>
      </c>
      <c r="L15" s="18"/>
      <c r="M15" s="18"/>
      <c r="N15" s="51"/>
      <c r="O15" s="51"/>
    </row>
    <row r="16" spans="1:15" ht="15.4" customHeight="1" thickBot="1" x14ac:dyDescent="0.25">
      <c r="A16" s="9" t="s">
        <v>49</v>
      </c>
      <c r="B16" s="5" t="s">
        <v>50</v>
      </c>
      <c r="C16" s="5" t="s">
        <v>51</v>
      </c>
      <c r="D16" s="57" t="s">
        <v>52</v>
      </c>
      <c r="E16" s="57"/>
      <c r="F16" s="57"/>
      <c r="G16" s="57"/>
      <c r="H16" s="57"/>
      <c r="I16" s="57"/>
      <c r="J16" s="57"/>
      <c r="K16" s="16">
        <f>SUM(K18:K18)</f>
        <v>15</v>
      </c>
      <c r="L16" s="17">
        <f>ROUND(248.01*(1+M2/100),2)</f>
        <v>255.45</v>
      </c>
      <c r="M16" s="17">
        <f>ROUND(K16*L16,2)</f>
        <v>3831.75</v>
      </c>
      <c r="N16" s="51"/>
      <c r="O16" s="51"/>
    </row>
    <row r="17" spans="1:15" ht="15.2" customHeight="1" thickBot="1" x14ac:dyDescent="0.25">
      <c r="A17" s="18"/>
      <c r="B17" s="18"/>
      <c r="C17" s="18"/>
      <c r="D17" s="18"/>
      <c r="E17" s="19"/>
      <c r="F17" s="21" t="s">
        <v>53</v>
      </c>
      <c r="G17" s="21" t="s">
        <v>54</v>
      </c>
      <c r="H17" s="21" t="s">
        <v>55</v>
      </c>
      <c r="I17" s="21" t="s">
        <v>56</v>
      </c>
      <c r="J17" s="21" t="s">
        <v>57</v>
      </c>
      <c r="K17" s="21" t="s">
        <v>58</v>
      </c>
      <c r="L17" s="18"/>
      <c r="M17" s="18"/>
      <c r="N17" s="51"/>
      <c r="O17" s="51"/>
    </row>
    <row r="18" spans="1:15" ht="21.4" customHeight="1" thickBot="1" x14ac:dyDescent="0.25">
      <c r="A18" s="18"/>
      <c r="B18" s="18"/>
      <c r="C18" s="18"/>
      <c r="D18" s="22"/>
      <c r="E18" s="23" t="s">
        <v>59</v>
      </c>
      <c r="F18" s="24">
        <v>15</v>
      </c>
      <c r="G18" s="25"/>
      <c r="H18" s="25"/>
      <c r="I18" s="25"/>
      <c r="J18" s="27">
        <f>ROUND(F18,3)</f>
        <v>15</v>
      </c>
      <c r="K18" s="29">
        <f>SUM(J18:J18)</f>
        <v>15</v>
      </c>
      <c r="L18" s="18"/>
      <c r="M18" s="18"/>
      <c r="N18" s="51"/>
      <c r="O18" s="51"/>
    </row>
    <row r="19" spans="1:15" ht="15.4" customHeight="1" thickBot="1" x14ac:dyDescent="0.25">
      <c r="A19" s="9" t="s">
        <v>60</v>
      </c>
      <c r="B19" s="5" t="s">
        <v>61</v>
      </c>
      <c r="C19" s="5" t="s">
        <v>62</v>
      </c>
      <c r="D19" s="57" t="s">
        <v>63</v>
      </c>
      <c r="E19" s="57"/>
      <c r="F19" s="57"/>
      <c r="G19" s="57"/>
      <c r="H19" s="57"/>
      <c r="I19" s="57"/>
      <c r="J19" s="57"/>
      <c r="K19" s="16">
        <f>SUM(K21:K21)</f>
        <v>1</v>
      </c>
      <c r="L19" s="17">
        <f>ROUND(183.82*(1+M2/100),2)</f>
        <v>189.33</v>
      </c>
      <c r="M19" s="17">
        <f>ROUND(K19*L19,2)</f>
        <v>189.33</v>
      </c>
      <c r="N19" s="51"/>
      <c r="O19" s="51"/>
    </row>
    <row r="20" spans="1:15" ht="15.2" customHeight="1" thickBot="1" x14ac:dyDescent="0.25">
      <c r="A20" s="18"/>
      <c r="B20" s="18"/>
      <c r="C20" s="18"/>
      <c r="D20" s="18"/>
      <c r="E20" s="19"/>
      <c r="F20" s="21" t="s">
        <v>64</v>
      </c>
      <c r="G20" s="21" t="s">
        <v>65</v>
      </c>
      <c r="H20" s="21" t="s">
        <v>66</v>
      </c>
      <c r="I20" s="21" t="s">
        <v>67</v>
      </c>
      <c r="J20" s="21" t="s">
        <v>68</v>
      </c>
      <c r="K20" s="21" t="s">
        <v>69</v>
      </c>
      <c r="L20" s="18"/>
      <c r="M20" s="18"/>
      <c r="N20" s="51"/>
      <c r="O20" s="51"/>
    </row>
    <row r="21" spans="1:15" ht="15.2" customHeight="1" thickBot="1" x14ac:dyDescent="0.25">
      <c r="A21" s="18"/>
      <c r="B21" s="18"/>
      <c r="C21" s="18"/>
      <c r="D21" s="22"/>
      <c r="E21" s="23"/>
      <c r="F21" s="24">
        <v>1</v>
      </c>
      <c r="G21" s="25"/>
      <c r="H21" s="25"/>
      <c r="I21" s="25"/>
      <c r="J21" s="27">
        <f>ROUND(F21,3)</f>
        <v>1</v>
      </c>
      <c r="K21" s="29">
        <f>SUM(J21:J21)</f>
        <v>1</v>
      </c>
      <c r="L21" s="18"/>
      <c r="M21" s="18"/>
      <c r="N21" s="51"/>
      <c r="O21" s="51"/>
    </row>
    <row r="22" spans="1:15" ht="21.4" customHeight="1" thickBot="1" x14ac:dyDescent="0.25">
      <c r="A22" s="9" t="s">
        <v>70</v>
      </c>
      <c r="B22" s="5" t="s">
        <v>71</v>
      </c>
      <c r="C22" s="5" t="s">
        <v>72</v>
      </c>
      <c r="D22" s="57" t="s">
        <v>73</v>
      </c>
      <c r="E22" s="57"/>
      <c r="F22" s="57"/>
      <c r="G22" s="57"/>
      <c r="H22" s="57"/>
      <c r="I22" s="57"/>
      <c r="J22" s="57"/>
      <c r="K22" s="16">
        <f>SUM(K24:K24)</f>
        <v>1</v>
      </c>
      <c r="L22" s="17">
        <f>ROUND(3398.058*(1+M2/100),2)</f>
        <v>3500</v>
      </c>
      <c r="M22" s="17">
        <f>ROUND(K22*L22,2)</f>
        <v>3500</v>
      </c>
      <c r="N22" s="51"/>
      <c r="O22" s="51"/>
    </row>
    <row r="23" spans="1:15" ht="15.2" customHeight="1" thickBot="1" x14ac:dyDescent="0.25">
      <c r="A23" s="18"/>
      <c r="B23" s="18"/>
      <c r="C23" s="18"/>
      <c r="D23" s="18"/>
      <c r="E23" s="19"/>
      <c r="F23" s="21" t="s">
        <v>74</v>
      </c>
      <c r="G23" s="21" t="s">
        <v>75</v>
      </c>
      <c r="H23" s="21" t="s">
        <v>76</v>
      </c>
      <c r="I23" s="21" t="s">
        <v>77</v>
      </c>
      <c r="J23" s="21" t="s">
        <v>78</v>
      </c>
      <c r="K23" s="21" t="s">
        <v>79</v>
      </c>
      <c r="L23" s="18"/>
      <c r="M23" s="18"/>
      <c r="N23" s="51"/>
      <c r="O23" s="51"/>
    </row>
    <row r="24" spans="1:15" ht="15.2" customHeight="1" thickBot="1" x14ac:dyDescent="0.25">
      <c r="A24" s="18"/>
      <c r="B24" s="18"/>
      <c r="C24" s="18"/>
      <c r="D24" s="22"/>
      <c r="E24" s="23"/>
      <c r="F24" s="24">
        <v>1</v>
      </c>
      <c r="G24" s="25"/>
      <c r="H24" s="25"/>
      <c r="I24" s="25"/>
      <c r="J24" s="27">
        <f>ROUND(F24,3)</f>
        <v>1</v>
      </c>
      <c r="K24" s="29">
        <f>SUM(J24:J24)</f>
        <v>1</v>
      </c>
      <c r="L24" s="18"/>
      <c r="M24" s="18"/>
      <c r="N24" s="51"/>
      <c r="O24" s="51"/>
    </row>
    <row r="25" spans="1:15" ht="15.4" customHeight="1" thickBot="1" x14ac:dyDescent="0.25">
      <c r="A25" s="9" t="s">
        <v>80</v>
      </c>
      <c r="B25" s="5" t="s">
        <v>81</v>
      </c>
      <c r="C25" s="5" t="s">
        <v>82</v>
      </c>
      <c r="D25" s="57" t="s">
        <v>83</v>
      </c>
      <c r="E25" s="57"/>
      <c r="F25" s="57"/>
      <c r="G25" s="57"/>
      <c r="H25" s="57"/>
      <c r="I25" s="57"/>
      <c r="J25" s="57"/>
      <c r="K25" s="16">
        <f>SUM(K27:K27)</f>
        <v>1</v>
      </c>
      <c r="L25" s="17">
        <f>ROUND(245.16*(1+M2/100),2)</f>
        <v>252.51</v>
      </c>
      <c r="M25" s="17">
        <f>ROUND(K25*L25,2)</f>
        <v>252.51</v>
      </c>
      <c r="N25" s="51"/>
      <c r="O25" s="51"/>
    </row>
    <row r="26" spans="1:15" ht="15.2" customHeight="1" thickBot="1" x14ac:dyDescent="0.25">
      <c r="A26" s="18"/>
      <c r="B26" s="18"/>
      <c r="C26" s="18"/>
      <c r="D26" s="18"/>
      <c r="E26" s="19"/>
      <c r="F26" s="21" t="s">
        <v>84</v>
      </c>
      <c r="G26" s="21" t="s">
        <v>85</v>
      </c>
      <c r="H26" s="21" t="s">
        <v>86</v>
      </c>
      <c r="I26" s="21" t="s">
        <v>87</v>
      </c>
      <c r="J26" s="21" t="s">
        <v>88</v>
      </c>
      <c r="K26" s="21" t="s">
        <v>89</v>
      </c>
      <c r="L26" s="18"/>
      <c r="M26" s="18"/>
      <c r="N26" s="51"/>
      <c r="O26" s="51"/>
    </row>
    <row r="27" spans="1:15" ht="21.4" customHeight="1" thickBot="1" x14ac:dyDescent="0.25">
      <c r="A27" s="18"/>
      <c r="B27" s="18"/>
      <c r="C27" s="18"/>
      <c r="D27" s="22"/>
      <c r="E27" s="23" t="s">
        <v>90</v>
      </c>
      <c r="F27" s="24">
        <v>1</v>
      </c>
      <c r="G27" s="25"/>
      <c r="H27" s="25"/>
      <c r="I27" s="25"/>
      <c r="J27" s="27">
        <f>ROUND(F27,3)</f>
        <v>1</v>
      </c>
      <c r="K27" s="29">
        <f>SUM(J27:J27)</f>
        <v>1</v>
      </c>
      <c r="L27" s="18"/>
      <c r="M27" s="18"/>
      <c r="N27" s="51"/>
      <c r="O27" s="51"/>
    </row>
    <row r="28" spans="1:15" ht="21.4" customHeight="1" thickBot="1" x14ac:dyDescent="0.25">
      <c r="A28" s="9" t="s">
        <v>91</v>
      </c>
      <c r="B28" s="5" t="s">
        <v>92</v>
      </c>
      <c r="C28" s="5" t="s">
        <v>93</v>
      </c>
      <c r="D28" s="57" t="s">
        <v>94</v>
      </c>
      <c r="E28" s="57"/>
      <c r="F28" s="57"/>
      <c r="G28" s="57"/>
      <c r="H28" s="57"/>
      <c r="I28" s="57"/>
      <c r="J28" s="57"/>
      <c r="K28" s="16">
        <f>SUM(K30:K30)</f>
        <v>2</v>
      </c>
      <c r="L28" s="17">
        <f>ROUND(29.69*(1+M2/100),2)</f>
        <v>30.58</v>
      </c>
      <c r="M28" s="17">
        <f>ROUND(K28*L28,2)</f>
        <v>61.16</v>
      </c>
      <c r="N28" s="51"/>
      <c r="O28" s="51"/>
    </row>
    <row r="29" spans="1:15" ht="15.2" customHeight="1" thickBot="1" x14ac:dyDescent="0.25">
      <c r="A29" s="18"/>
      <c r="B29" s="18"/>
      <c r="C29" s="18"/>
      <c r="D29" s="18"/>
      <c r="E29" s="19"/>
      <c r="F29" s="21" t="s">
        <v>95</v>
      </c>
      <c r="G29" s="21" t="s">
        <v>96</v>
      </c>
      <c r="H29" s="21" t="s">
        <v>97</v>
      </c>
      <c r="I29" s="21" t="s">
        <v>98</v>
      </c>
      <c r="J29" s="21" t="s">
        <v>99</v>
      </c>
      <c r="K29" s="21" t="s">
        <v>100</v>
      </c>
      <c r="L29" s="18"/>
      <c r="M29" s="18"/>
      <c r="N29" s="51"/>
      <c r="O29" s="51"/>
    </row>
    <row r="30" spans="1:15" ht="15.2" customHeight="1" thickBot="1" x14ac:dyDescent="0.25">
      <c r="A30" s="18"/>
      <c r="B30" s="18"/>
      <c r="C30" s="18"/>
      <c r="D30" s="22"/>
      <c r="E30" s="23"/>
      <c r="F30" s="24">
        <v>2</v>
      </c>
      <c r="G30" s="25"/>
      <c r="H30" s="25"/>
      <c r="I30" s="25"/>
      <c r="J30" s="27">
        <f>ROUND(F30,3)</f>
        <v>2</v>
      </c>
      <c r="K30" s="29">
        <f>SUM(J30:J30)</f>
        <v>2</v>
      </c>
      <c r="L30" s="18"/>
      <c r="M30" s="18"/>
      <c r="N30" s="51"/>
      <c r="O30" s="51"/>
    </row>
    <row r="31" spans="1:15" ht="21.4" customHeight="1" thickBot="1" x14ac:dyDescent="0.25">
      <c r="A31" s="9" t="s">
        <v>101</v>
      </c>
      <c r="B31" s="5" t="s">
        <v>102</v>
      </c>
      <c r="C31" s="5" t="s">
        <v>103</v>
      </c>
      <c r="D31" s="57" t="s">
        <v>104</v>
      </c>
      <c r="E31" s="57"/>
      <c r="F31" s="57"/>
      <c r="G31" s="57"/>
      <c r="H31" s="57"/>
      <c r="I31" s="57"/>
      <c r="J31" s="57"/>
      <c r="K31" s="16">
        <f>SUM(K33:K33)</f>
        <v>4.5</v>
      </c>
      <c r="L31" s="17">
        <f>ROUND(190.84*(1+M2/100),2)</f>
        <v>196.57</v>
      </c>
      <c r="M31" s="17">
        <f>ROUND(K31*L31,2)</f>
        <v>884.57</v>
      </c>
      <c r="N31" s="51"/>
      <c r="O31" s="51"/>
    </row>
    <row r="32" spans="1:15" ht="15.2" customHeight="1" thickBot="1" x14ac:dyDescent="0.25">
      <c r="A32" s="18"/>
      <c r="B32" s="18"/>
      <c r="C32" s="18"/>
      <c r="D32" s="18"/>
      <c r="E32" s="19"/>
      <c r="F32" s="21" t="s">
        <v>105</v>
      </c>
      <c r="G32" s="21" t="s">
        <v>106</v>
      </c>
      <c r="H32" s="21" t="s">
        <v>107</v>
      </c>
      <c r="I32" s="21" t="s">
        <v>108</v>
      </c>
      <c r="J32" s="21" t="s">
        <v>109</v>
      </c>
      <c r="K32" s="21" t="s">
        <v>110</v>
      </c>
      <c r="L32" s="18"/>
      <c r="M32" s="18"/>
      <c r="N32" s="51"/>
      <c r="O32" s="51"/>
    </row>
    <row r="33" spans="1:15" ht="15.2" customHeight="1" thickBot="1" x14ac:dyDescent="0.25">
      <c r="A33" s="18"/>
      <c r="B33" s="18"/>
      <c r="C33" s="18"/>
      <c r="D33" s="22"/>
      <c r="E33" s="23"/>
      <c r="F33" s="24">
        <v>3</v>
      </c>
      <c r="G33" s="25">
        <v>0.5</v>
      </c>
      <c r="H33" s="25">
        <v>0.5</v>
      </c>
      <c r="I33" s="25">
        <v>6</v>
      </c>
      <c r="J33" s="27">
        <f>ROUND(F33*G33*H33*I33,3)</f>
        <v>4.5</v>
      </c>
      <c r="K33" s="29">
        <f>SUM(J33:J33)</f>
        <v>4.5</v>
      </c>
      <c r="L33" s="18"/>
      <c r="M33" s="18"/>
      <c r="N33" s="51"/>
      <c r="O33" s="51"/>
    </row>
    <row r="34" spans="1:15" ht="21.4" customHeight="1" thickBot="1" x14ac:dyDescent="0.25">
      <c r="A34" s="9" t="s">
        <v>111</v>
      </c>
      <c r="B34" s="5" t="s">
        <v>112</v>
      </c>
      <c r="C34" s="5" t="s">
        <v>113</v>
      </c>
      <c r="D34" s="57" t="s">
        <v>114</v>
      </c>
      <c r="E34" s="57"/>
      <c r="F34" s="57"/>
      <c r="G34" s="57"/>
      <c r="H34" s="57"/>
      <c r="I34" s="57"/>
      <c r="J34" s="57"/>
      <c r="K34" s="16">
        <f>SUM(K36:K39)</f>
        <v>107.25</v>
      </c>
      <c r="L34" s="17">
        <f>ROUND(85.89*(1+M2/100),2)</f>
        <v>88.47</v>
      </c>
      <c r="M34" s="17">
        <f>ROUND(K34*L34,2)</f>
        <v>9488.41</v>
      </c>
      <c r="N34" s="51"/>
      <c r="O34" s="51"/>
    </row>
    <row r="35" spans="1:15" ht="15.2" customHeight="1" thickBot="1" x14ac:dyDescent="0.25">
      <c r="A35" s="18"/>
      <c r="B35" s="18"/>
      <c r="C35" s="18"/>
      <c r="D35" s="18"/>
      <c r="E35" s="19"/>
      <c r="F35" s="21" t="s">
        <v>115</v>
      </c>
      <c r="G35" s="21" t="s">
        <v>116</v>
      </c>
      <c r="H35" s="21" t="s">
        <v>117</v>
      </c>
      <c r="I35" s="21" t="s">
        <v>118</v>
      </c>
      <c r="J35" s="21" t="s">
        <v>119</v>
      </c>
      <c r="K35" s="21" t="s">
        <v>120</v>
      </c>
      <c r="L35" s="18"/>
      <c r="M35" s="18"/>
      <c r="N35" s="51"/>
      <c r="O35" s="51"/>
    </row>
    <row r="36" spans="1:15" ht="21.4" customHeight="1" thickBot="1" x14ac:dyDescent="0.25">
      <c r="A36" s="18"/>
      <c r="B36" s="18"/>
      <c r="C36" s="18"/>
      <c r="D36" s="22"/>
      <c r="E36" s="23" t="s">
        <v>121</v>
      </c>
      <c r="F36" s="24">
        <v>1</v>
      </c>
      <c r="G36" s="25">
        <v>17</v>
      </c>
      <c r="H36" s="25">
        <v>0.3</v>
      </c>
      <c r="I36" s="25">
        <v>6.5</v>
      </c>
      <c r="J36" s="27">
        <f>ROUND(F36*G36*H36*I36,3)</f>
        <v>33.15</v>
      </c>
      <c r="K36" s="30"/>
      <c r="L36" s="18"/>
      <c r="M36" s="18"/>
      <c r="N36" s="51"/>
      <c r="O36" s="51"/>
    </row>
    <row r="37" spans="1:15" ht="21.4" customHeight="1" thickBot="1" x14ac:dyDescent="0.25">
      <c r="A37" s="18"/>
      <c r="B37" s="18"/>
      <c r="C37" s="18"/>
      <c r="D37" s="22"/>
      <c r="E37" s="5" t="s">
        <v>122</v>
      </c>
      <c r="F37" s="3">
        <v>1</v>
      </c>
      <c r="G37" s="16">
        <v>20</v>
      </c>
      <c r="H37" s="16">
        <v>0.3</v>
      </c>
      <c r="I37" s="16">
        <v>6.5</v>
      </c>
      <c r="J37" s="26">
        <f>ROUND(F37*G37*H37*I37,3)</f>
        <v>39</v>
      </c>
      <c r="K37" s="18"/>
      <c r="L37" s="18"/>
      <c r="M37" s="18"/>
      <c r="N37" s="51"/>
      <c r="O37" s="51"/>
    </row>
    <row r="38" spans="1:15" ht="15.2" customHeight="1" thickBot="1" x14ac:dyDescent="0.25">
      <c r="A38" s="18"/>
      <c r="B38" s="18"/>
      <c r="C38" s="18"/>
      <c r="D38" s="22"/>
      <c r="E38" s="5" t="s">
        <v>123</v>
      </c>
      <c r="F38" s="3">
        <v>1</v>
      </c>
      <c r="G38" s="16">
        <v>19.5</v>
      </c>
      <c r="H38" s="16">
        <v>0.3</v>
      </c>
      <c r="I38" s="16">
        <v>5</v>
      </c>
      <c r="J38" s="26">
        <f>ROUND(F38*G38*H38*I38,3)</f>
        <v>29.25</v>
      </c>
      <c r="K38" s="18"/>
      <c r="L38" s="18"/>
      <c r="M38" s="18"/>
      <c r="N38" s="51"/>
      <c r="O38" s="51"/>
    </row>
    <row r="39" spans="1:15" ht="15.2" customHeight="1" thickBot="1" x14ac:dyDescent="0.25">
      <c r="A39" s="18"/>
      <c r="B39" s="18"/>
      <c r="C39" s="18"/>
      <c r="D39" s="22"/>
      <c r="E39" s="5" t="s">
        <v>124</v>
      </c>
      <c r="F39" s="3">
        <v>1</v>
      </c>
      <c r="G39" s="16">
        <v>3</v>
      </c>
      <c r="H39" s="16">
        <v>0.3</v>
      </c>
      <c r="I39" s="16">
        <v>6.5</v>
      </c>
      <c r="J39" s="26">
        <f>ROUND(F39*G39*H39*I39,3)</f>
        <v>5.85</v>
      </c>
      <c r="K39" s="28">
        <f>SUM(J36:J39)</f>
        <v>107.25</v>
      </c>
      <c r="L39" s="18"/>
      <c r="M39" s="18"/>
      <c r="N39" s="51"/>
      <c r="O39" s="51"/>
    </row>
    <row r="40" spans="1:15" ht="21.4" customHeight="1" thickBot="1" x14ac:dyDescent="0.25">
      <c r="A40" s="9" t="s">
        <v>125</v>
      </c>
      <c r="B40" s="5" t="s">
        <v>126</v>
      </c>
      <c r="C40" s="5" t="s">
        <v>127</v>
      </c>
      <c r="D40" s="57" t="s">
        <v>128</v>
      </c>
      <c r="E40" s="57"/>
      <c r="F40" s="57"/>
      <c r="G40" s="57"/>
      <c r="H40" s="57"/>
      <c r="I40" s="57"/>
      <c r="J40" s="57"/>
      <c r="K40" s="16">
        <f>SUM(K42:K42)</f>
        <v>250</v>
      </c>
      <c r="L40" s="17">
        <f>ROUND(37.45*(1+M2/100),2)</f>
        <v>38.57</v>
      </c>
      <c r="M40" s="17">
        <f>ROUND(K40*L40,2)</f>
        <v>9642.5</v>
      </c>
      <c r="N40" s="51"/>
      <c r="O40" s="51"/>
    </row>
    <row r="41" spans="1:15" ht="15.2" customHeight="1" thickBot="1" x14ac:dyDescent="0.25">
      <c r="A41" s="18"/>
      <c r="B41" s="18"/>
      <c r="C41" s="18"/>
      <c r="D41" s="18"/>
      <c r="E41" s="19"/>
      <c r="F41" s="21" t="s">
        <v>129</v>
      </c>
      <c r="G41" s="21" t="s">
        <v>130</v>
      </c>
      <c r="H41" s="21" t="s">
        <v>131</v>
      </c>
      <c r="I41" s="21" t="s">
        <v>132</v>
      </c>
      <c r="J41" s="21" t="s">
        <v>133</v>
      </c>
      <c r="K41" s="21" t="s">
        <v>134</v>
      </c>
      <c r="L41" s="18"/>
      <c r="M41" s="18"/>
      <c r="N41" s="51"/>
      <c r="O41" s="51"/>
    </row>
    <row r="42" spans="1:15" ht="15.2" customHeight="1" thickBot="1" x14ac:dyDescent="0.25">
      <c r="A42" s="18"/>
      <c r="B42" s="18"/>
      <c r="C42" s="18"/>
      <c r="D42" s="22"/>
      <c r="E42" s="23"/>
      <c r="F42" s="24">
        <v>1</v>
      </c>
      <c r="G42" s="25">
        <v>12.5</v>
      </c>
      <c r="H42" s="25">
        <v>20</v>
      </c>
      <c r="I42" s="25"/>
      <c r="J42" s="27">
        <f>ROUND(F42*G42*H42,3)</f>
        <v>250</v>
      </c>
      <c r="K42" s="29">
        <f>SUM(J42:J42)</f>
        <v>250</v>
      </c>
      <c r="L42" s="18"/>
      <c r="M42" s="18"/>
      <c r="N42" s="51"/>
      <c r="O42" s="51"/>
    </row>
    <row r="43" spans="1:15" ht="39.75" customHeight="1" thickBot="1" x14ac:dyDescent="0.25">
      <c r="A43" s="9" t="s">
        <v>135</v>
      </c>
      <c r="B43" s="5" t="s">
        <v>136</v>
      </c>
      <c r="C43" s="5" t="s">
        <v>137</v>
      </c>
      <c r="D43" s="57" t="s">
        <v>138</v>
      </c>
      <c r="E43" s="57"/>
      <c r="F43" s="57"/>
      <c r="G43" s="57"/>
      <c r="H43" s="57"/>
      <c r="I43" s="57"/>
      <c r="J43" s="57"/>
      <c r="K43" s="16">
        <f>SUM(K45:K45)</f>
        <v>250</v>
      </c>
      <c r="L43" s="17">
        <f>ROUND(31.58*(1+M2/100),2)</f>
        <v>32.53</v>
      </c>
      <c r="M43" s="17">
        <f>ROUND(K43*L43,2)</f>
        <v>8132.5</v>
      </c>
      <c r="N43" s="51"/>
      <c r="O43" s="51"/>
    </row>
    <row r="44" spans="1:15" ht="15.2" customHeight="1" thickBot="1" x14ac:dyDescent="0.25">
      <c r="A44" s="18"/>
      <c r="B44" s="18"/>
      <c r="C44" s="18"/>
      <c r="D44" s="18"/>
      <c r="E44" s="19"/>
      <c r="F44" s="21" t="s">
        <v>139</v>
      </c>
      <c r="G44" s="21" t="s">
        <v>140</v>
      </c>
      <c r="H44" s="21" t="s">
        <v>141</v>
      </c>
      <c r="I44" s="21" t="s">
        <v>142</v>
      </c>
      <c r="J44" s="21" t="s">
        <v>143</v>
      </c>
      <c r="K44" s="21" t="s">
        <v>144</v>
      </c>
      <c r="L44" s="18"/>
      <c r="M44" s="18"/>
      <c r="N44" s="51"/>
      <c r="O44" s="51"/>
    </row>
    <row r="45" spans="1:15" ht="15.2" customHeight="1" thickBot="1" x14ac:dyDescent="0.25">
      <c r="A45" s="18"/>
      <c r="B45" s="18"/>
      <c r="C45" s="18"/>
      <c r="D45" s="22"/>
      <c r="E45" s="23"/>
      <c r="F45" s="24">
        <v>1</v>
      </c>
      <c r="G45" s="25">
        <v>12.5</v>
      </c>
      <c r="H45" s="25">
        <v>20</v>
      </c>
      <c r="I45" s="25"/>
      <c r="J45" s="27">
        <f>ROUND(F45*G45*H45,3)</f>
        <v>250</v>
      </c>
      <c r="K45" s="29">
        <f>SUM(J45:J45)</f>
        <v>250</v>
      </c>
      <c r="L45" s="18"/>
      <c r="M45" s="18"/>
      <c r="N45" s="51"/>
      <c r="O45" s="51"/>
    </row>
    <row r="46" spans="1:15" ht="21.4" customHeight="1" thickBot="1" x14ac:dyDescent="0.25">
      <c r="A46" s="9" t="s">
        <v>145</v>
      </c>
      <c r="B46" s="5" t="s">
        <v>146</v>
      </c>
      <c r="C46" s="5" t="s">
        <v>147</v>
      </c>
      <c r="D46" s="57" t="s">
        <v>148</v>
      </c>
      <c r="E46" s="57"/>
      <c r="F46" s="57"/>
      <c r="G46" s="57"/>
      <c r="H46" s="57"/>
      <c r="I46" s="57"/>
      <c r="J46" s="57"/>
      <c r="K46" s="16">
        <f>SUM(K48:K48)</f>
        <v>29.4</v>
      </c>
      <c r="L46" s="17">
        <f>ROUND(24.254*(1+M2/100),2)</f>
        <v>24.98</v>
      </c>
      <c r="M46" s="17">
        <f>ROUND(K46*L46,2)</f>
        <v>734.41</v>
      </c>
      <c r="N46" s="51"/>
      <c r="O46" s="51"/>
    </row>
    <row r="47" spans="1:15" ht="15.2" customHeight="1" thickBot="1" x14ac:dyDescent="0.25">
      <c r="A47" s="18"/>
      <c r="B47" s="18"/>
      <c r="C47" s="18"/>
      <c r="D47" s="18"/>
      <c r="E47" s="19"/>
      <c r="F47" s="21" t="s">
        <v>149</v>
      </c>
      <c r="G47" s="21" t="s">
        <v>150</v>
      </c>
      <c r="H47" s="21" t="s">
        <v>151</v>
      </c>
      <c r="I47" s="21" t="s">
        <v>152</v>
      </c>
      <c r="J47" s="21" t="s">
        <v>153</v>
      </c>
      <c r="K47" s="21" t="s">
        <v>154</v>
      </c>
      <c r="L47" s="18"/>
      <c r="M47" s="18"/>
      <c r="N47" s="51"/>
      <c r="O47" s="51"/>
    </row>
    <row r="48" spans="1:15" ht="15.2" customHeight="1" thickBot="1" x14ac:dyDescent="0.25">
      <c r="A48" s="18"/>
      <c r="B48" s="18"/>
      <c r="C48" s="18"/>
      <c r="D48" s="22"/>
      <c r="E48" s="23" t="s">
        <v>155</v>
      </c>
      <c r="F48" s="24">
        <v>1</v>
      </c>
      <c r="G48" s="25">
        <v>20</v>
      </c>
      <c r="H48" s="25">
        <v>9.8000000000000007</v>
      </c>
      <c r="I48" s="25">
        <v>0.15</v>
      </c>
      <c r="J48" s="27">
        <f>ROUND(F48*G48*H48*I48,3)</f>
        <v>29.4</v>
      </c>
      <c r="K48" s="29">
        <f>SUM(J48:J48)</f>
        <v>29.4</v>
      </c>
      <c r="L48" s="18"/>
      <c r="M48" s="18"/>
      <c r="N48" s="51"/>
      <c r="O48" s="51"/>
    </row>
    <row r="49" spans="1:15" ht="30.6" customHeight="1" thickBot="1" x14ac:dyDescent="0.25">
      <c r="A49" s="9" t="s">
        <v>156</v>
      </c>
      <c r="B49" s="5" t="s">
        <v>157</v>
      </c>
      <c r="C49" s="5" t="s">
        <v>158</v>
      </c>
      <c r="D49" s="57" t="s">
        <v>159</v>
      </c>
      <c r="E49" s="57"/>
      <c r="F49" s="57"/>
      <c r="G49" s="57"/>
      <c r="H49" s="57"/>
      <c r="I49" s="57"/>
      <c r="J49" s="57"/>
      <c r="K49" s="16">
        <f>SUM(K51:K57)</f>
        <v>361.75</v>
      </c>
      <c r="L49" s="17">
        <f>ROUND(2.95*(1+M2/100),2)</f>
        <v>3.04</v>
      </c>
      <c r="M49" s="17">
        <f>ROUND(K49*L49,2)</f>
        <v>1099.72</v>
      </c>
      <c r="N49" s="51"/>
      <c r="O49" s="51"/>
    </row>
    <row r="50" spans="1:15" ht="15.2" customHeight="1" thickBot="1" x14ac:dyDescent="0.25">
      <c r="A50" s="18"/>
      <c r="B50" s="18"/>
      <c r="C50" s="18"/>
      <c r="D50" s="18"/>
      <c r="E50" s="19"/>
      <c r="F50" s="21" t="s">
        <v>160</v>
      </c>
      <c r="G50" s="21" t="s">
        <v>161</v>
      </c>
      <c r="H50" s="21" t="s">
        <v>162</v>
      </c>
      <c r="I50" s="21" t="s">
        <v>163</v>
      </c>
      <c r="J50" s="21" t="s">
        <v>164</v>
      </c>
      <c r="K50" s="21" t="s">
        <v>165</v>
      </c>
      <c r="L50" s="18"/>
      <c r="M50" s="18"/>
      <c r="N50" s="51"/>
      <c r="O50" s="51"/>
    </row>
    <row r="51" spans="1:15" ht="15.2" customHeight="1" thickBot="1" x14ac:dyDescent="0.25">
      <c r="A51" s="18"/>
      <c r="B51" s="18"/>
      <c r="C51" s="18"/>
      <c r="D51" s="22"/>
      <c r="E51" s="23" t="s">
        <v>166</v>
      </c>
      <c r="F51" s="24">
        <v>3</v>
      </c>
      <c r="G51" s="25">
        <v>0.5</v>
      </c>
      <c r="H51" s="25">
        <v>0.5</v>
      </c>
      <c r="I51" s="25">
        <v>6</v>
      </c>
      <c r="J51" s="27">
        <f>ROUND(F51*G51*H51*I51,3)</f>
        <v>4.5</v>
      </c>
      <c r="K51" s="30"/>
      <c r="L51" s="18"/>
      <c r="M51" s="18"/>
      <c r="N51" s="51"/>
      <c r="O51" s="51"/>
    </row>
    <row r="52" spans="1:15" ht="21.4" customHeight="1" thickBot="1" x14ac:dyDescent="0.25">
      <c r="A52" s="18"/>
      <c r="B52" s="18"/>
      <c r="C52" s="18"/>
      <c r="D52" s="22"/>
      <c r="E52" s="5" t="s">
        <v>167</v>
      </c>
      <c r="F52" s="3">
        <v>1</v>
      </c>
      <c r="G52" s="16">
        <v>17</v>
      </c>
      <c r="H52" s="16">
        <v>0.3</v>
      </c>
      <c r="I52" s="16">
        <v>6.5</v>
      </c>
      <c r="J52" s="26">
        <f>ROUND(F52*G52*H52*I52,3)</f>
        <v>33.15</v>
      </c>
      <c r="K52" s="18"/>
      <c r="L52" s="18"/>
      <c r="M52" s="18"/>
      <c r="N52" s="51"/>
      <c r="O52" s="51"/>
    </row>
    <row r="53" spans="1:15" ht="21.4" customHeight="1" thickBot="1" x14ac:dyDescent="0.25">
      <c r="A53" s="18"/>
      <c r="B53" s="18"/>
      <c r="C53" s="18"/>
      <c r="D53" s="22"/>
      <c r="E53" s="5" t="s">
        <v>168</v>
      </c>
      <c r="F53" s="3">
        <v>1</v>
      </c>
      <c r="G53" s="16">
        <v>20</v>
      </c>
      <c r="H53" s="16">
        <v>0.3</v>
      </c>
      <c r="I53" s="16">
        <v>6.5</v>
      </c>
      <c r="J53" s="26">
        <f>ROUND(F53*G53*H53*I53,3)</f>
        <v>39</v>
      </c>
      <c r="K53" s="18"/>
      <c r="L53" s="18"/>
      <c r="M53" s="18"/>
      <c r="N53" s="51"/>
      <c r="O53" s="51"/>
    </row>
    <row r="54" spans="1:15" ht="15.2" customHeight="1" thickBot="1" x14ac:dyDescent="0.25">
      <c r="A54" s="18"/>
      <c r="B54" s="18"/>
      <c r="C54" s="18"/>
      <c r="D54" s="22"/>
      <c r="E54" s="5" t="s">
        <v>169</v>
      </c>
      <c r="F54" s="3">
        <v>1</v>
      </c>
      <c r="G54" s="16">
        <v>19.5</v>
      </c>
      <c r="H54" s="16">
        <v>0.3</v>
      </c>
      <c r="I54" s="16">
        <v>5</v>
      </c>
      <c r="J54" s="26">
        <f>ROUND(F54*G54*H54*I54,3)</f>
        <v>29.25</v>
      </c>
      <c r="K54" s="18"/>
      <c r="L54" s="18"/>
      <c r="M54" s="18"/>
      <c r="N54" s="51"/>
      <c r="O54" s="51"/>
    </row>
    <row r="55" spans="1:15" ht="15.2" customHeight="1" thickBot="1" x14ac:dyDescent="0.25">
      <c r="A55" s="18"/>
      <c r="B55" s="18"/>
      <c r="C55" s="18"/>
      <c r="D55" s="22"/>
      <c r="E55" s="5" t="s">
        <v>170</v>
      </c>
      <c r="F55" s="3">
        <v>1</v>
      </c>
      <c r="G55" s="16">
        <v>3</v>
      </c>
      <c r="H55" s="16">
        <v>0.3</v>
      </c>
      <c r="I55" s="16">
        <v>6.5</v>
      </c>
      <c r="J55" s="26">
        <f>ROUND(F55*G55*H55*I55,3)</f>
        <v>5.85</v>
      </c>
      <c r="K55" s="18"/>
      <c r="L55" s="18"/>
      <c r="M55" s="18"/>
      <c r="N55" s="51"/>
      <c r="O55" s="51"/>
    </row>
    <row r="56" spans="1:15" ht="21.4" customHeight="1" thickBot="1" x14ac:dyDescent="0.25">
      <c r="A56" s="18"/>
      <c r="B56" s="18"/>
      <c r="C56" s="18"/>
      <c r="D56" s="22"/>
      <c r="E56" s="5" t="s">
        <v>171</v>
      </c>
      <c r="F56" s="3">
        <v>1</v>
      </c>
      <c r="G56" s="16">
        <v>12.5</v>
      </c>
      <c r="H56" s="16">
        <v>20</v>
      </c>
      <c r="I56" s="16"/>
      <c r="J56" s="26">
        <f>ROUND(F56*G56*H56,3)</f>
        <v>250</v>
      </c>
      <c r="K56" s="18"/>
      <c r="L56" s="18"/>
      <c r="M56" s="18"/>
      <c r="N56" s="51"/>
      <c r="O56" s="51"/>
    </row>
    <row r="57" spans="1:15" ht="15.2" customHeight="1" thickBot="1" x14ac:dyDescent="0.25">
      <c r="A57" s="18"/>
      <c r="B57" s="18"/>
      <c r="C57" s="18"/>
      <c r="D57" s="22"/>
      <c r="E57" s="5"/>
      <c r="F57" s="3"/>
      <c r="G57" s="16"/>
      <c r="H57" s="16"/>
      <c r="I57" s="16"/>
      <c r="J57" s="20" t="s">
        <v>172</v>
      </c>
      <c r="K57" s="28">
        <f>SUM(J51:J57)</f>
        <v>361.75</v>
      </c>
      <c r="L57" s="18"/>
      <c r="M57" s="18"/>
      <c r="N57" s="51"/>
      <c r="O57" s="51"/>
    </row>
    <row r="58" spans="1:15" ht="30.6" customHeight="1" thickBot="1" x14ac:dyDescent="0.25">
      <c r="A58" s="9" t="s">
        <v>173</v>
      </c>
      <c r="B58" s="5" t="s">
        <v>174</v>
      </c>
      <c r="C58" s="5" t="s">
        <v>175</v>
      </c>
      <c r="D58" s="57" t="s">
        <v>176</v>
      </c>
      <c r="E58" s="57"/>
      <c r="F58" s="57"/>
      <c r="G58" s="57"/>
      <c r="H58" s="57"/>
      <c r="I58" s="57"/>
      <c r="J58" s="57"/>
      <c r="K58" s="16">
        <f>SUM(K60:K66)</f>
        <v>171.63800000000001</v>
      </c>
      <c r="L58" s="17">
        <f>ROUND(22.08*(1+M2/100),2)</f>
        <v>22.74</v>
      </c>
      <c r="M58" s="17">
        <f>ROUND(K58*L58,2)</f>
        <v>3903.05</v>
      </c>
      <c r="N58" s="51"/>
      <c r="O58" s="51"/>
    </row>
    <row r="59" spans="1:15" ht="15.2" customHeight="1" thickBot="1" x14ac:dyDescent="0.25">
      <c r="A59" s="18"/>
      <c r="B59" s="18"/>
      <c r="C59" s="18"/>
      <c r="D59" s="18"/>
      <c r="E59" s="19"/>
      <c r="F59" s="21" t="s">
        <v>177</v>
      </c>
      <c r="G59" s="21" t="s">
        <v>178</v>
      </c>
      <c r="H59" s="21" t="s">
        <v>179</v>
      </c>
      <c r="I59" s="21" t="s">
        <v>180</v>
      </c>
      <c r="J59" s="21" t="s">
        <v>181</v>
      </c>
      <c r="K59" s="21" t="s">
        <v>182</v>
      </c>
      <c r="L59" s="18"/>
      <c r="M59" s="18"/>
      <c r="N59" s="51"/>
      <c r="O59" s="51"/>
    </row>
    <row r="60" spans="1:15" ht="15.2" customHeight="1" thickBot="1" x14ac:dyDescent="0.25">
      <c r="A60" s="18"/>
      <c r="B60" s="18"/>
      <c r="C60" s="18"/>
      <c r="D60" s="22"/>
      <c r="E60" s="23" t="s">
        <v>183</v>
      </c>
      <c r="F60" s="24">
        <v>3</v>
      </c>
      <c r="G60" s="25">
        <v>0.5</v>
      </c>
      <c r="H60" s="25">
        <v>0.5</v>
      </c>
      <c r="I60" s="25">
        <v>6</v>
      </c>
      <c r="J60" s="27">
        <f t="shared" ref="J60:J65" si="0">ROUND(F60*G60*H60*I60,3)</f>
        <v>4.5</v>
      </c>
      <c r="K60" s="30"/>
      <c r="L60" s="18"/>
      <c r="M60" s="18"/>
      <c r="N60" s="51"/>
      <c r="O60" s="51"/>
    </row>
    <row r="61" spans="1:15" ht="21.4" customHeight="1" thickBot="1" x14ac:dyDescent="0.25">
      <c r="A61" s="18"/>
      <c r="B61" s="18"/>
      <c r="C61" s="18"/>
      <c r="D61" s="22"/>
      <c r="E61" s="5" t="s">
        <v>184</v>
      </c>
      <c r="F61" s="3">
        <v>1</v>
      </c>
      <c r="G61" s="16">
        <v>17</v>
      </c>
      <c r="H61" s="16">
        <v>0.3</v>
      </c>
      <c r="I61" s="16">
        <v>6.5</v>
      </c>
      <c r="J61" s="26">
        <f t="shared" si="0"/>
        <v>33.15</v>
      </c>
      <c r="K61" s="18"/>
      <c r="L61" s="18"/>
      <c r="M61" s="18"/>
      <c r="N61" s="51"/>
      <c r="O61" s="51"/>
    </row>
    <row r="62" spans="1:15" ht="21.4" customHeight="1" thickBot="1" x14ac:dyDescent="0.25">
      <c r="A62" s="18"/>
      <c r="B62" s="18"/>
      <c r="C62" s="18"/>
      <c r="D62" s="22"/>
      <c r="E62" s="5" t="s">
        <v>185</v>
      </c>
      <c r="F62" s="3">
        <v>1</v>
      </c>
      <c r="G62" s="16">
        <v>20</v>
      </c>
      <c r="H62" s="16">
        <v>0.3</v>
      </c>
      <c r="I62" s="16">
        <v>6.5</v>
      </c>
      <c r="J62" s="26">
        <f t="shared" si="0"/>
        <v>39</v>
      </c>
      <c r="K62" s="18"/>
      <c r="L62" s="18"/>
      <c r="M62" s="18"/>
      <c r="N62" s="51"/>
      <c r="O62" s="51"/>
    </row>
    <row r="63" spans="1:15" ht="15.2" customHeight="1" thickBot="1" x14ac:dyDescent="0.25">
      <c r="A63" s="18"/>
      <c r="B63" s="18"/>
      <c r="C63" s="18"/>
      <c r="D63" s="22"/>
      <c r="E63" s="5" t="s">
        <v>186</v>
      </c>
      <c r="F63" s="3">
        <v>1</v>
      </c>
      <c r="G63" s="16">
        <v>19.5</v>
      </c>
      <c r="H63" s="16">
        <v>0.3</v>
      </c>
      <c r="I63" s="16">
        <v>5</v>
      </c>
      <c r="J63" s="26">
        <f t="shared" si="0"/>
        <v>29.25</v>
      </c>
      <c r="K63" s="18"/>
      <c r="L63" s="18"/>
      <c r="M63" s="18"/>
      <c r="N63" s="51"/>
      <c r="O63" s="51"/>
    </row>
    <row r="64" spans="1:15" ht="15.2" customHeight="1" thickBot="1" x14ac:dyDescent="0.25">
      <c r="A64" s="18"/>
      <c r="B64" s="18"/>
      <c r="C64" s="18"/>
      <c r="D64" s="22"/>
      <c r="E64" s="5" t="s">
        <v>187</v>
      </c>
      <c r="F64" s="3">
        <v>1</v>
      </c>
      <c r="G64" s="16">
        <v>3</v>
      </c>
      <c r="H64" s="16">
        <v>0.3</v>
      </c>
      <c r="I64" s="16">
        <v>6.5</v>
      </c>
      <c r="J64" s="26">
        <f t="shared" si="0"/>
        <v>5.85</v>
      </c>
      <c r="K64" s="18"/>
      <c r="L64" s="18"/>
      <c r="M64" s="18"/>
      <c r="N64" s="51"/>
      <c r="O64" s="51"/>
    </row>
    <row r="65" spans="1:15" ht="21.4" customHeight="1" thickBot="1" x14ac:dyDescent="0.25">
      <c r="A65" s="18"/>
      <c r="B65" s="18"/>
      <c r="C65" s="18"/>
      <c r="D65" s="22"/>
      <c r="E65" s="5" t="s">
        <v>188</v>
      </c>
      <c r="F65" s="3">
        <v>1</v>
      </c>
      <c r="G65" s="16">
        <v>12.5</v>
      </c>
      <c r="H65" s="16">
        <v>20</v>
      </c>
      <c r="I65" s="16">
        <v>0.15</v>
      </c>
      <c r="J65" s="26">
        <f t="shared" si="0"/>
        <v>37.5</v>
      </c>
      <c r="K65" s="18"/>
      <c r="L65" s="18"/>
      <c r="M65" s="18"/>
      <c r="N65" s="51"/>
      <c r="O65" s="51"/>
    </row>
    <row r="66" spans="1:15" ht="15.2" customHeight="1" thickBot="1" x14ac:dyDescent="0.25">
      <c r="A66" s="18"/>
      <c r="B66" s="18"/>
      <c r="C66" s="18"/>
      <c r="D66" s="22"/>
      <c r="E66" s="5" t="s">
        <v>189</v>
      </c>
      <c r="F66" s="3">
        <v>0.15</v>
      </c>
      <c r="G66" s="16">
        <v>149.25</v>
      </c>
      <c r="H66" s="16"/>
      <c r="I66" s="16"/>
      <c r="J66" s="26">
        <f>ROUND(F66*G66,3)</f>
        <v>22.388000000000002</v>
      </c>
      <c r="K66" s="28">
        <f>SUM(J60:J66)</f>
        <v>171.63800000000001</v>
      </c>
      <c r="L66" s="18"/>
      <c r="M66" s="18"/>
      <c r="N66" s="51"/>
      <c r="O66" s="51"/>
    </row>
    <row r="67" spans="1:15" ht="30.6" customHeight="1" thickBot="1" x14ac:dyDescent="0.25">
      <c r="A67" s="9" t="s">
        <v>190</v>
      </c>
      <c r="B67" s="5" t="s">
        <v>191</v>
      </c>
      <c r="C67" s="5" t="s">
        <v>192</v>
      </c>
      <c r="D67" s="57" t="s">
        <v>193</v>
      </c>
      <c r="E67" s="57"/>
      <c r="F67" s="57"/>
      <c r="G67" s="57"/>
      <c r="H67" s="57"/>
      <c r="I67" s="57"/>
      <c r="J67" s="57"/>
      <c r="K67" s="16">
        <f>SUM(K69:K70)</f>
        <v>49.4</v>
      </c>
      <c r="L67" s="17">
        <f>ROUND(117.87*(1+M2/100),2)</f>
        <v>121.41</v>
      </c>
      <c r="M67" s="17">
        <f>ROUND(K67*L67,2)</f>
        <v>5997.65</v>
      </c>
      <c r="N67" s="51"/>
      <c r="O67" s="51"/>
    </row>
    <row r="68" spans="1:15" ht="15.2" customHeight="1" thickBot="1" x14ac:dyDescent="0.25">
      <c r="A68" s="18"/>
      <c r="B68" s="18"/>
      <c r="C68" s="18"/>
      <c r="D68" s="18"/>
      <c r="E68" s="19"/>
      <c r="F68" s="21" t="s">
        <v>194</v>
      </c>
      <c r="G68" s="21" t="s">
        <v>195</v>
      </c>
      <c r="H68" s="21" t="s">
        <v>196</v>
      </c>
      <c r="I68" s="21" t="s">
        <v>197</v>
      </c>
      <c r="J68" s="21" t="s">
        <v>198</v>
      </c>
      <c r="K68" s="21" t="s">
        <v>199</v>
      </c>
      <c r="L68" s="18"/>
      <c r="M68" s="18"/>
      <c r="N68" s="51"/>
      <c r="O68" s="51"/>
    </row>
    <row r="69" spans="1:15" ht="15.2" customHeight="1" thickBot="1" x14ac:dyDescent="0.25">
      <c r="A69" s="18"/>
      <c r="B69" s="18"/>
      <c r="C69" s="18"/>
      <c r="D69" s="22"/>
      <c r="E69" s="23"/>
      <c r="F69" s="24">
        <v>1</v>
      </c>
      <c r="G69" s="25">
        <v>12.5</v>
      </c>
      <c r="H69" s="25">
        <v>20</v>
      </c>
      <c r="I69" s="25">
        <v>0.08</v>
      </c>
      <c r="J69" s="27">
        <f>ROUND(F69*G69*H69*I69,3)</f>
        <v>20</v>
      </c>
      <c r="K69" s="30"/>
      <c r="L69" s="18"/>
      <c r="M69" s="18"/>
      <c r="N69" s="51"/>
      <c r="O69" s="51"/>
    </row>
    <row r="70" spans="1:15" ht="15.2" customHeight="1" thickBot="1" x14ac:dyDescent="0.25">
      <c r="A70" s="18"/>
      <c r="B70" s="18"/>
      <c r="C70" s="18"/>
      <c r="D70" s="22"/>
      <c r="E70" s="5" t="s">
        <v>200</v>
      </c>
      <c r="F70" s="3">
        <v>1</v>
      </c>
      <c r="G70" s="16">
        <v>20</v>
      </c>
      <c r="H70" s="16">
        <v>9.8000000000000007</v>
      </c>
      <c r="I70" s="16">
        <v>0.15</v>
      </c>
      <c r="J70" s="26">
        <f>ROUND(F70*G70*H70*I70,3)</f>
        <v>29.4</v>
      </c>
      <c r="K70" s="28">
        <f>SUM(J69:J70)</f>
        <v>49.4</v>
      </c>
      <c r="L70" s="18"/>
      <c r="M70" s="18"/>
      <c r="N70" s="51"/>
      <c r="O70" s="51"/>
    </row>
    <row r="71" spans="1:15" ht="21.4" customHeight="1" thickBot="1" x14ac:dyDescent="0.25">
      <c r="A71" s="9" t="s">
        <v>201</v>
      </c>
      <c r="B71" s="5" t="s">
        <v>202</v>
      </c>
      <c r="C71" s="5" t="s">
        <v>203</v>
      </c>
      <c r="D71" s="57" t="s">
        <v>204</v>
      </c>
      <c r="E71" s="57"/>
      <c r="F71" s="57"/>
      <c r="G71" s="57"/>
      <c r="H71" s="57"/>
      <c r="I71" s="57"/>
      <c r="J71" s="57"/>
      <c r="K71" s="16">
        <f>SUM(K73:K74)</f>
        <v>49.4</v>
      </c>
      <c r="L71" s="17">
        <f>ROUND(195.64*(1+M2/100),2)</f>
        <v>201.51</v>
      </c>
      <c r="M71" s="17">
        <f>ROUND(K71*L71,2)</f>
        <v>9954.59</v>
      </c>
      <c r="N71" s="51"/>
      <c r="O71" s="51"/>
    </row>
    <row r="72" spans="1:15" ht="15.2" customHeight="1" thickBot="1" x14ac:dyDescent="0.25">
      <c r="A72" s="18"/>
      <c r="B72" s="18"/>
      <c r="C72" s="18"/>
      <c r="D72" s="18"/>
      <c r="E72" s="19"/>
      <c r="F72" s="21" t="s">
        <v>205</v>
      </c>
      <c r="G72" s="21" t="s">
        <v>206</v>
      </c>
      <c r="H72" s="21" t="s">
        <v>207</v>
      </c>
      <c r="I72" s="21" t="s">
        <v>208</v>
      </c>
      <c r="J72" s="21" t="s">
        <v>209</v>
      </c>
      <c r="K72" s="21" t="s">
        <v>210</v>
      </c>
      <c r="L72" s="18"/>
      <c r="M72" s="18"/>
      <c r="N72" s="51"/>
      <c r="O72" s="51"/>
    </row>
    <row r="73" spans="1:15" ht="15.2" customHeight="1" thickBot="1" x14ac:dyDescent="0.25">
      <c r="A73" s="18"/>
      <c r="B73" s="18"/>
      <c r="C73" s="18"/>
      <c r="D73" s="22"/>
      <c r="E73" s="23"/>
      <c r="F73" s="24">
        <v>1</v>
      </c>
      <c r="G73" s="25">
        <v>12.5</v>
      </c>
      <c r="H73" s="25">
        <v>20</v>
      </c>
      <c r="I73" s="25">
        <v>0.08</v>
      </c>
      <c r="J73" s="27">
        <f>ROUND(F73*G73*H73*I73,3)</f>
        <v>20</v>
      </c>
      <c r="K73" s="30"/>
      <c r="L73" s="18"/>
      <c r="M73" s="18"/>
      <c r="N73" s="51"/>
      <c r="O73" s="51"/>
    </row>
    <row r="74" spans="1:15" ht="15.2" customHeight="1" thickBot="1" x14ac:dyDescent="0.25">
      <c r="A74" s="18"/>
      <c r="B74" s="18"/>
      <c r="C74" s="18"/>
      <c r="D74" s="22"/>
      <c r="E74" s="5" t="s">
        <v>211</v>
      </c>
      <c r="F74" s="3">
        <v>1</v>
      </c>
      <c r="G74" s="16">
        <v>20</v>
      </c>
      <c r="H74" s="16">
        <v>9.8000000000000007</v>
      </c>
      <c r="I74" s="16">
        <v>0.15</v>
      </c>
      <c r="J74" s="26">
        <f>ROUND(F74*G74*H74*I74,3)</f>
        <v>29.4</v>
      </c>
      <c r="K74" s="28">
        <f>SUM(J73:J74)</f>
        <v>49.4</v>
      </c>
      <c r="L74" s="18"/>
      <c r="M74" s="18"/>
      <c r="N74" s="51"/>
      <c r="O74" s="51"/>
    </row>
    <row r="75" spans="1:15" ht="30.6" customHeight="1" thickBot="1" x14ac:dyDescent="0.25">
      <c r="A75" s="9" t="s">
        <v>212</v>
      </c>
      <c r="B75" s="5" t="s">
        <v>213</v>
      </c>
      <c r="C75" s="5" t="s">
        <v>214</v>
      </c>
      <c r="D75" s="57" t="s">
        <v>215</v>
      </c>
      <c r="E75" s="57"/>
      <c r="F75" s="57"/>
      <c r="G75" s="57"/>
      <c r="H75" s="57"/>
      <c r="I75" s="57"/>
      <c r="J75" s="57"/>
      <c r="K75" s="16">
        <f>SUM(K77:K77)</f>
        <v>1</v>
      </c>
      <c r="L75" s="17">
        <f>ROUND(2038.835*(1+M2/100),2)</f>
        <v>2100</v>
      </c>
      <c r="M75" s="17">
        <f>ROUND(K75*L75,2)</f>
        <v>2100</v>
      </c>
      <c r="N75" s="51"/>
      <c r="O75" s="51"/>
    </row>
    <row r="76" spans="1:15" ht="15.2" customHeight="1" thickBot="1" x14ac:dyDescent="0.25">
      <c r="A76" s="18"/>
      <c r="B76" s="18"/>
      <c r="C76" s="18"/>
      <c r="D76" s="18"/>
      <c r="E76" s="19"/>
      <c r="F76" s="21" t="s">
        <v>216</v>
      </c>
      <c r="G76" s="21" t="s">
        <v>217</v>
      </c>
      <c r="H76" s="21" t="s">
        <v>218</v>
      </c>
      <c r="I76" s="21" t="s">
        <v>219</v>
      </c>
      <c r="J76" s="21" t="s">
        <v>220</v>
      </c>
      <c r="K76" s="21" t="s">
        <v>221</v>
      </c>
      <c r="L76" s="18"/>
      <c r="M76" s="18"/>
      <c r="N76" s="51"/>
      <c r="O76" s="51"/>
    </row>
    <row r="77" spans="1:15" ht="15.2" customHeight="1" x14ac:dyDescent="0.2">
      <c r="A77" s="18"/>
      <c r="B77" s="18"/>
      <c r="C77" s="18"/>
      <c r="D77" s="22"/>
      <c r="E77" s="23"/>
      <c r="F77" s="24">
        <v>1</v>
      </c>
      <c r="G77" s="25"/>
      <c r="H77" s="25"/>
      <c r="I77" s="25"/>
      <c r="J77" s="27">
        <f>ROUND(F77,3)</f>
        <v>1</v>
      </c>
      <c r="K77" s="29">
        <f>SUM(J77:J77)</f>
        <v>1</v>
      </c>
      <c r="L77" s="18"/>
      <c r="M77" s="18"/>
      <c r="N77" s="51"/>
      <c r="O77" s="51"/>
    </row>
    <row r="78" spans="1:15" ht="15.4" customHeight="1" x14ac:dyDescent="0.2">
      <c r="A78" s="31"/>
      <c r="B78" s="31"/>
      <c r="C78" s="31"/>
      <c r="D78" s="32" t="s">
        <v>222</v>
      </c>
      <c r="E78" s="33"/>
      <c r="F78" s="33"/>
      <c r="G78" s="33"/>
      <c r="H78" s="33"/>
      <c r="I78" s="33"/>
      <c r="J78" s="33"/>
      <c r="K78" s="33"/>
      <c r="L78" s="34">
        <f>M6+M9+M13+M16+M19+M22+M25+M28+M31+M34+M40+M43+M46+M49+M58+M67+M71+M75</f>
        <v>64675.180000000008</v>
      </c>
      <c r="M78" s="34">
        <f>ROUND(L78,2)</f>
        <v>64675.18</v>
      </c>
      <c r="N78" s="53"/>
      <c r="O78" s="53"/>
    </row>
    <row r="79" spans="1:15" ht="15.4" customHeight="1" x14ac:dyDescent="0.2">
      <c r="A79" s="35" t="s">
        <v>223</v>
      </c>
      <c r="B79" s="35" t="s">
        <v>224</v>
      </c>
      <c r="C79" s="36"/>
      <c r="D79" s="58" t="s">
        <v>225</v>
      </c>
      <c r="E79" s="58"/>
      <c r="F79" s="58"/>
      <c r="G79" s="58"/>
      <c r="H79" s="58"/>
      <c r="I79" s="58"/>
      <c r="J79" s="58"/>
      <c r="K79" s="36"/>
      <c r="L79" s="37">
        <f>L83</f>
        <v>1656.97</v>
      </c>
      <c r="M79" s="37">
        <f>ROUND(L79,2)</f>
        <v>1656.97</v>
      </c>
      <c r="N79" s="52"/>
      <c r="O79" s="52"/>
    </row>
    <row r="80" spans="1:15" ht="21.4" customHeight="1" thickBot="1" x14ac:dyDescent="0.25">
      <c r="A80" s="9" t="s">
        <v>226</v>
      </c>
      <c r="B80" s="5" t="s">
        <v>227</v>
      </c>
      <c r="C80" s="5" t="s">
        <v>228</v>
      </c>
      <c r="D80" s="57" t="s">
        <v>229</v>
      </c>
      <c r="E80" s="57"/>
      <c r="F80" s="57"/>
      <c r="G80" s="57"/>
      <c r="H80" s="57"/>
      <c r="I80" s="57"/>
      <c r="J80" s="57"/>
      <c r="K80" s="16">
        <f>SUM(K82:K82)</f>
        <v>1</v>
      </c>
      <c r="L80" s="17">
        <f>ROUND(1608.704*(1+M2/100),2)</f>
        <v>1656.97</v>
      </c>
      <c r="M80" s="17">
        <f>ROUND(K80*L80,2)</f>
        <v>1656.97</v>
      </c>
      <c r="N80" s="51"/>
      <c r="O80" s="51"/>
    </row>
    <row r="81" spans="1:15" ht="15.2" customHeight="1" thickBot="1" x14ac:dyDescent="0.25">
      <c r="A81" s="18"/>
      <c r="B81" s="18"/>
      <c r="C81" s="18"/>
      <c r="D81" s="18"/>
      <c r="E81" s="19"/>
      <c r="F81" s="21" t="s">
        <v>230</v>
      </c>
      <c r="G81" s="21" t="s">
        <v>231</v>
      </c>
      <c r="H81" s="21" t="s">
        <v>232</v>
      </c>
      <c r="I81" s="21" t="s">
        <v>233</v>
      </c>
      <c r="J81" s="21" t="s">
        <v>234</v>
      </c>
      <c r="K81" s="21" t="s">
        <v>235</v>
      </c>
      <c r="L81" s="18"/>
      <c r="M81" s="18"/>
      <c r="N81" s="51"/>
      <c r="O81" s="51"/>
    </row>
    <row r="82" spans="1:15" ht="15.2" customHeight="1" thickBot="1" x14ac:dyDescent="0.25">
      <c r="A82" s="18"/>
      <c r="B82" s="18"/>
      <c r="C82" s="18"/>
      <c r="D82" s="22"/>
      <c r="E82" s="23"/>
      <c r="F82" s="24">
        <v>1</v>
      </c>
      <c r="G82" s="25"/>
      <c r="H82" s="25"/>
      <c r="I82" s="25"/>
      <c r="J82" s="27">
        <f>ROUND(F82,3)</f>
        <v>1</v>
      </c>
      <c r="K82" s="29">
        <f>SUM(J82:J82)</f>
        <v>1</v>
      </c>
      <c r="L82" s="18"/>
      <c r="M82" s="18"/>
      <c r="N82" s="51"/>
      <c r="O82" s="51"/>
    </row>
    <row r="83" spans="1:15" ht="15.4" customHeight="1" thickBot="1" x14ac:dyDescent="0.25">
      <c r="A83" s="31"/>
      <c r="B83" s="31"/>
      <c r="C83" s="31"/>
      <c r="D83" s="32" t="s">
        <v>236</v>
      </c>
      <c r="E83" s="33"/>
      <c r="F83" s="33"/>
      <c r="G83" s="33"/>
      <c r="H83" s="33"/>
      <c r="I83" s="33"/>
      <c r="J83" s="33"/>
      <c r="K83" s="33"/>
      <c r="L83" s="34">
        <f>M80</f>
        <v>1656.97</v>
      </c>
      <c r="M83" s="34">
        <f>ROUND(L83,2)</f>
        <v>1656.97</v>
      </c>
      <c r="N83" s="53"/>
      <c r="O83" s="53"/>
    </row>
    <row r="84" spans="1:15" ht="25.15" customHeight="1" thickBot="1" x14ac:dyDescent="0.25">
      <c r="A84" s="38"/>
      <c r="B84" s="38"/>
      <c r="C84" s="38"/>
      <c r="D84" s="39" t="s">
        <v>237</v>
      </c>
      <c r="E84" s="40"/>
      <c r="F84" s="40"/>
      <c r="G84" s="40"/>
      <c r="H84" s="40"/>
      <c r="I84" s="40"/>
      <c r="J84" s="40"/>
      <c r="K84" s="40"/>
      <c r="L84" s="41">
        <f>M78+M83</f>
        <v>66332.149999999994</v>
      </c>
      <c r="M84" s="41">
        <f>ROUND(L84,2)</f>
        <v>66332.149999999994</v>
      </c>
      <c r="N84" s="52"/>
      <c r="O84" s="52"/>
    </row>
    <row r="85" spans="1:15" x14ac:dyDescent="0.2">
      <c r="N85" s="51"/>
      <c r="O85" s="51"/>
    </row>
    <row r="86" spans="1:15" x14ac:dyDescent="0.2">
      <c r="D86" s="50" t="s">
        <v>240</v>
      </c>
      <c r="L86" s="54">
        <v>8623.18</v>
      </c>
      <c r="N86" s="51"/>
      <c r="O86" s="54"/>
    </row>
    <row r="87" spans="1:15" x14ac:dyDescent="0.2">
      <c r="D87" s="50" t="s">
        <v>241</v>
      </c>
      <c r="L87" s="54">
        <v>3979.93</v>
      </c>
      <c r="N87" s="51"/>
      <c r="O87" s="54"/>
    </row>
    <row r="88" spans="1:15" x14ac:dyDescent="0.2">
      <c r="L88" s="54"/>
      <c r="N88" s="51"/>
      <c r="O88" s="56"/>
    </row>
    <row r="89" spans="1:15" x14ac:dyDescent="0.2">
      <c r="D89" s="50" t="s">
        <v>244</v>
      </c>
      <c r="L89" s="54">
        <f>SUM(L84:L87)</f>
        <v>78935.25999999998</v>
      </c>
      <c r="N89" s="51"/>
      <c r="O89" s="54">
        <f>SUM(O84:O87)</f>
        <v>0</v>
      </c>
    </row>
    <row r="90" spans="1:15" x14ac:dyDescent="0.2">
      <c r="D90" s="50" t="s">
        <v>242</v>
      </c>
      <c r="L90" s="54">
        <f>SUM(L89*21%)</f>
        <v>16576.404599999994</v>
      </c>
      <c r="N90" s="51"/>
      <c r="O90" s="54">
        <f>SUM(O89*21%)</f>
        <v>0</v>
      </c>
    </row>
    <row r="91" spans="1:15" x14ac:dyDescent="0.2">
      <c r="D91" s="49"/>
      <c r="L91" s="55"/>
      <c r="N91" s="51"/>
      <c r="O91" s="56"/>
    </row>
    <row r="92" spans="1:15" x14ac:dyDescent="0.2">
      <c r="D92" s="50" t="s">
        <v>243</v>
      </c>
      <c r="L92" s="54">
        <f>SUM(L89:L90)</f>
        <v>95511.664599999975</v>
      </c>
      <c r="N92" s="51"/>
      <c r="O92" s="54">
        <f>SUM(O89:O90)</f>
        <v>0</v>
      </c>
    </row>
  </sheetData>
  <mergeCells count="24">
    <mergeCell ref="B1:M1"/>
    <mergeCell ref="A2:C2"/>
    <mergeCell ref="D4:J4"/>
    <mergeCell ref="D5:J5"/>
    <mergeCell ref="D6:J6"/>
    <mergeCell ref="D9:J9"/>
    <mergeCell ref="D13:J13"/>
    <mergeCell ref="D16:J16"/>
    <mergeCell ref="D19:J19"/>
    <mergeCell ref="D22:J22"/>
    <mergeCell ref="D25:J25"/>
    <mergeCell ref="D28:J28"/>
    <mergeCell ref="D31:J31"/>
    <mergeCell ref="D34:J34"/>
    <mergeCell ref="D40:J40"/>
    <mergeCell ref="D71:J71"/>
    <mergeCell ref="D75:J75"/>
    <mergeCell ref="D79:J79"/>
    <mergeCell ref="D80:J80"/>
    <mergeCell ref="D43:J43"/>
    <mergeCell ref="D46:J46"/>
    <mergeCell ref="D49:J49"/>
    <mergeCell ref="D58:J58"/>
    <mergeCell ref="D67:J67"/>
  </mergeCells>
  <pageMargins left="0.62007900000000005" right="0.472441" top="0.472441" bottom="0.472441"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Óscar Ciuró Fortuny</dc:creator>
  <cp:lastModifiedBy>Óscar Ciuró Fortuny</cp:lastModifiedBy>
  <dcterms:created xsi:type="dcterms:W3CDTF">2025-09-08T10:02:25Z</dcterms:created>
  <dcterms:modified xsi:type="dcterms:W3CDTF">2025-09-08T10:32:18Z</dcterms:modified>
</cp:coreProperties>
</file>