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1 - CONTRACTACIÓ PÚBLICA\EXPEDIENTS CONTRACTACIÓ\15- CONTRACTES 2025\8- PCI\0-EXPEDIENT DIGITALITZAT\"/>
    </mc:Choice>
  </mc:AlternateContent>
  <xr:revisionPtr revIDLastSave="0" documentId="8_{02A5E9B2-8F2D-40DF-B434-0DDD256F0AD3}" xr6:coauthVersionLast="47" xr6:coauthVersionMax="47" xr10:uidLastSave="{00000000-0000-0000-0000-000000000000}"/>
  <bookViews>
    <workbookView xWindow="-120" yWindow="-120" windowWidth="29040" windowHeight="17520" xr2:uid="{00000000-000D-0000-FFFF-FFFF00000000}"/>
  </bookViews>
  <sheets>
    <sheet name="Hoja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4" i="1" l="1"/>
  <c r="K784" i="1" s="1"/>
  <c r="L781" i="1"/>
  <c r="K781" i="1"/>
  <c r="M781" i="1" s="1"/>
  <c r="K780" i="1"/>
  <c r="K777" i="1" s="1"/>
  <c r="M777" i="1" s="1"/>
  <c r="J780" i="1"/>
  <c r="L777" i="1"/>
  <c r="J776" i="1"/>
  <c r="K776" i="1" s="1"/>
  <c r="L773" i="1"/>
  <c r="K773" i="1"/>
  <c r="M773" i="1" s="1"/>
  <c r="J772" i="1"/>
  <c r="K772" i="1" s="1"/>
  <c r="K769" i="1" s="1"/>
  <c r="M769" i="1" s="1"/>
  <c r="L769" i="1"/>
  <c r="J768" i="1"/>
  <c r="K768" i="1" s="1"/>
  <c r="K765" i="1" s="1"/>
  <c r="M765" i="1" s="1"/>
  <c r="L765" i="1"/>
  <c r="J764" i="1"/>
  <c r="K764" i="1" s="1"/>
  <c r="L761" i="1"/>
  <c r="K761" i="1"/>
  <c r="M761" i="1" s="1"/>
  <c r="J760" i="1"/>
  <c r="K760" i="1" s="1"/>
  <c r="K757" i="1" s="1"/>
  <c r="M757" i="1" s="1"/>
  <c r="L757" i="1"/>
  <c r="J756" i="1"/>
  <c r="K756" i="1" s="1"/>
  <c r="K753" i="1" s="1"/>
  <c r="L753" i="1"/>
  <c r="J749" i="1"/>
  <c r="K750" i="1" s="1"/>
  <c r="K746" i="1" s="1"/>
  <c r="M746" i="1" s="1"/>
  <c r="L746" i="1"/>
  <c r="J745" i="1"/>
  <c r="K745" i="1" s="1"/>
  <c r="L742" i="1"/>
  <c r="K742" i="1"/>
  <c r="M742" i="1" s="1"/>
  <c r="J741" i="1"/>
  <c r="K741" i="1" s="1"/>
  <c r="K738" i="1" s="1"/>
  <c r="M738" i="1" s="1"/>
  <c r="L738" i="1"/>
  <c r="J737" i="1"/>
  <c r="K737" i="1" s="1"/>
  <c r="K734" i="1" s="1"/>
  <c r="M734" i="1" s="1"/>
  <c r="L734" i="1"/>
  <c r="J733" i="1"/>
  <c r="K733" i="1" s="1"/>
  <c r="K730" i="1" s="1"/>
  <c r="M730" i="1" s="1"/>
  <c r="L730" i="1"/>
  <c r="J729" i="1"/>
  <c r="K729" i="1" s="1"/>
  <c r="K726" i="1" s="1"/>
  <c r="M726" i="1" s="1"/>
  <c r="L726" i="1"/>
  <c r="J724" i="1"/>
  <c r="K725" i="1" s="1"/>
  <c r="K721" i="1" s="1"/>
  <c r="M721" i="1" s="1"/>
  <c r="L721" i="1"/>
  <c r="K720" i="1"/>
  <c r="J720" i="1"/>
  <c r="L717" i="1"/>
  <c r="K717" i="1"/>
  <c r="M717" i="1" s="1"/>
  <c r="J716" i="1"/>
  <c r="K716" i="1" s="1"/>
  <c r="L713" i="1"/>
  <c r="K713" i="1"/>
  <c r="M713" i="1" s="1"/>
  <c r="K712" i="1"/>
  <c r="K709" i="1" s="1"/>
  <c r="M709" i="1" s="1"/>
  <c r="J712" i="1"/>
  <c r="L709" i="1"/>
  <c r="J708" i="1"/>
  <c r="J707" i="1"/>
  <c r="K708" i="1" s="1"/>
  <c r="K704" i="1" s="1"/>
  <c r="M704" i="1" s="1"/>
  <c r="L704" i="1"/>
  <c r="J703" i="1"/>
  <c r="K703" i="1" s="1"/>
  <c r="K700" i="1" s="1"/>
  <c r="M700" i="1" s="1"/>
  <c r="L700" i="1"/>
  <c r="J699" i="1"/>
  <c r="K699" i="1" s="1"/>
  <c r="K696" i="1" s="1"/>
  <c r="M696" i="1" s="1"/>
  <c r="L696" i="1"/>
  <c r="J695" i="1"/>
  <c r="K695" i="1" s="1"/>
  <c r="K692" i="1" s="1"/>
  <c r="M692" i="1" s="1"/>
  <c r="L692" i="1"/>
  <c r="J691" i="1"/>
  <c r="J690" i="1"/>
  <c r="K691" i="1" s="1"/>
  <c r="K687" i="1" s="1"/>
  <c r="M687" i="1" s="1"/>
  <c r="L687" i="1"/>
  <c r="K684" i="1"/>
  <c r="K681" i="1" s="1"/>
  <c r="M681" i="1" s="1"/>
  <c r="J684" i="1"/>
  <c r="L681" i="1"/>
  <c r="J680" i="1"/>
  <c r="K680" i="1" s="1"/>
  <c r="L677" i="1"/>
  <c r="K677" i="1"/>
  <c r="M677" i="1" s="1"/>
  <c r="K676" i="1"/>
  <c r="K673" i="1" s="1"/>
  <c r="M673" i="1" s="1"/>
  <c r="J676" i="1"/>
  <c r="L673" i="1"/>
  <c r="J672" i="1"/>
  <c r="J671" i="1"/>
  <c r="J670" i="1"/>
  <c r="K672" i="1" s="1"/>
  <c r="L667" i="1"/>
  <c r="K667" i="1"/>
  <c r="M667" i="1" s="1"/>
  <c r="J666" i="1"/>
  <c r="J665" i="1"/>
  <c r="K666" i="1" s="1"/>
  <c r="K661" i="1" s="1"/>
  <c r="M661" i="1" s="1"/>
  <c r="J664" i="1"/>
  <c r="L661" i="1"/>
  <c r="J660" i="1"/>
  <c r="J659" i="1"/>
  <c r="K660" i="1" s="1"/>
  <c r="L656" i="1"/>
  <c r="K656" i="1"/>
  <c r="M656" i="1" s="1"/>
  <c r="J655" i="1"/>
  <c r="K655" i="1" s="1"/>
  <c r="K651" i="1" s="1"/>
  <c r="M651" i="1" s="1"/>
  <c r="J654" i="1"/>
  <c r="L651" i="1"/>
  <c r="J649" i="1"/>
  <c r="K650" i="1" s="1"/>
  <c r="L646" i="1"/>
  <c r="K646" i="1"/>
  <c r="M646" i="1" s="1"/>
  <c r="J645" i="1"/>
  <c r="J644" i="1"/>
  <c r="K645" i="1" s="1"/>
  <c r="K635" i="1" s="1"/>
  <c r="M635" i="1" s="1"/>
  <c r="J643" i="1"/>
  <c r="J642" i="1"/>
  <c r="J641" i="1"/>
  <c r="J640" i="1"/>
  <c r="J639" i="1"/>
  <c r="J638" i="1"/>
  <c r="L635" i="1"/>
  <c r="K634" i="1"/>
  <c r="K630" i="1" s="1"/>
  <c r="M630" i="1" s="1"/>
  <c r="J633" i="1"/>
  <c r="L630" i="1"/>
  <c r="J629" i="1"/>
  <c r="K629" i="1" s="1"/>
  <c r="K626" i="1" s="1"/>
  <c r="M626" i="1" s="1"/>
  <c r="L626" i="1"/>
  <c r="J625" i="1"/>
  <c r="K625" i="1" s="1"/>
  <c r="L622" i="1"/>
  <c r="K622" i="1"/>
  <c r="M622" i="1" s="1"/>
  <c r="J621" i="1"/>
  <c r="K621" i="1" s="1"/>
  <c r="K618" i="1" s="1"/>
  <c r="M618" i="1" s="1"/>
  <c r="L618" i="1"/>
  <c r="J616" i="1"/>
  <c r="K617" i="1" s="1"/>
  <c r="K613" i="1" s="1"/>
  <c r="M613" i="1" s="1"/>
  <c r="L613" i="1"/>
  <c r="J612" i="1"/>
  <c r="K612" i="1" s="1"/>
  <c r="K600" i="1" s="1"/>
  <c r="M600" i="1" s="1"/>
  <c r="J611" i="1"/>
  <c r="J610" i="1"/>
  <c r="J609" i="1"/>
  <c r="J608" i="1"/>
  <c r="J607" i="1"/>
  <c r="J606" i="1"/>
  <c r="J605" i="1"/>
  <c r="J604" i="1"/>
  <c r="J603" i="1"/>
  <c r="L600" i="1"/>
  <c r="J599" i="1"/>
  <c r="K599" i="1" s="1"/>
  <c r="K596" i="1" s="1"/>
  <c r="M596" i="1" s="1"/>
  <c r="L596" i="1"/>
  <c r="J595" i="1"/>
  <c r="K595" i="1" s="1"/>
  <c r="L592" i="1"/>
  <c r="K592" i="1"/>
  <c r="M592" i="1" s="1"/>
  <c r="J591" i="1"/>
  <c r="K591" i="1" s="1"/>
  <c r="K588" i="1" s="1"/>
  <c r="M588" i="1" s="1"/>
  <c r="L588" i="1"/>
  <c r="J587" i="1"/>
  <c r="K587" i="1" s="1"/>
  <c r="K584" i="1" s="1"/>
  <c r="M584" i="1" s="1"/>
  <c r="L584" i="1"/>
  <c r="J583" i="1"/>
  <c r="K583" i="1" s="1"/>
  <c r="K580" i="1" s="1"/>
  <c r="M580" i="1" s="1"/>
  <c r="L580" i="1"/>
  <c r="J579" i="1"/>
  <c r="J578" i="1"/>
  <c r="J577" i="1"/>
  <c r="K579" i="1" s="1"/>
  <c r="K574" i="1" s="1"/>
  <c r="M574" i="1" s="1"/>
  <c r="L574" i="1"/>
  <c r="J573" i="1"/>
  <c r="K573" i="1" s="1"/>
  <c r="K570" i="1" s="1"/>
  <c r="M570" i="1" s="1"/>
  <c r="L570" i="1"/>
  <c r="J569" i="1"/>
  <c r="J568" i="1"/>
  <c r="J567" i="1"/>
  <c r="J566" i="1"/>
  <c r="J565" i="1"/>
  <c r="K569" i="1" s="1"/>
  <c r="L562" i="1"/>
  <c r="K562" i="1"/>
  <c r="M562" i="1" s="1"/>
  <c r="J561" i="1"/>
  <c r="K561" i="1" s="1"/>
  <c r="K558" i="1" s="1"/>
  <c r="M558" i="1" s="1"/>
  <c r="L558" i="1"/>
  <c r="J557" i="1"/>
  <c r="K557" i="1" s="1"/>
  <c r="L554" i="1"/>
  <c r="K554" i="1"/>
  <c r="M554" i="1" s="1"/>
  <c r="J553" i="1"/>
  <c r="J552" i="1"/>
  <c r="K553" i="1" s="1"/>
  <c r="K549" i="1" s="1"/>
  <c r="M549" i="1" s="1"/>
  <c r="L549" i="1"/>
  <c r="J548" i="1"/>
  <c r="K548" i="1" s="1"/>
  <c r="K545" i="1" s="1"/>
  <c r="M545" i="1" s="1"/>
  <c r="L545" i="1"/>
  <c r="J544" i="1"/>
  <c r="K544" i="1" s="1"/>
  <c r="K541" i="1" s="1"/>
  <c r="M541" i="1"/>
  <c r="L541" i="1"/>
  <c r="J540" i="1"/>
  <c r="K540" i="1" s="1"/>
  <c r="K537" i="1" s="1"/>
  <c r="M537" i="1" s="1"/>
  <c r="L537" i="1"/>
  <c r="J536" i="1"/>
  <c r="K536" i="1" s="1"/>
  <c r="L533" i="1"/>
  <c r="K533" i="1"/>
  <c r="M533" i="1" s="1"/>
  <c r="J532" i="1"/>
  <c r="K532" i="1" s="1"/>
  <c r="K529" i="1" s="1"/>
  <c r="M529" i="1" s="1"/>
  <c r="L529" i="1"/>
  <c r="J528" i="1"/>
  <c r="K528" i="1" s="1"/>
  <c r="K525" i="1" s="1"/>
  <c r="M525" i="1" s="1"/>
  <c r="L525" i="1"/>
  <c r="J524" i="1"/>
  <c r="J523" i="1"/>
  <c r="J522" i="1"/>
  <c r="K524" i="1" s="1"/>
  <c r="K517" i="1" s="1"/>
  <c r="M517" i="1" s="1"/>
  <c r="J521" i="1"/>
  <c r="J520" i="1"/>
  <c r="L517" i="1"/>
  <c r="J516" i="1"/>
  <c r="K516" i="1" s="1"/>
  <c r="L513" i="1"/>
  <c r="K513" i="1"/>
  <c r="M513" i="1" s="1"/>
  <c r="K512" i="1"/>
  <c r="K509" i="1" s="1"/>
  <c r="M509" i="1" s="1"/>
  <c r="J512" i="1"/>
  <c r="L509" i="1"/>
  <c r="J508" i="1"/>
  <c r="K508" i="1" s="1"/>
  <c r="L505" i="1"/>
  <c r="K505" i="1"/>
  <c r="M505" i="1" s="1"/>
  <c r="J502" i="1"/>
  <c r="K502" i="1" s="1"/>
  <c r="K499" i="1" s="1"/>
  <c r="M499" i="1" s="1"/>
  <c r="L499" i="1"/>
  <c r="J498" i="1"/>
  <c r="K498" i="1" s="1"/>
  <c r="L495" i="1"/>
  <c r="K495" i="1"/>
  <c r="M495" i="1" s="1"/>
  <c r="J494" i="1"/>
  <c r="K494" i="1" s="1"/>
  <c r="K491" i="1" s="1"/>
  <c r="M491" i="1" s="1"/>
  <c r="L491" i="1"/>
  <c r="J490" i="1"/>
  <c r="K490" i="1" s="1"/>
  <c r="L487" i="1"/>
  <c r="K487" i="1"/>
  <c r="M487" i="1" s="1"/>
  <c r="J486" i="1"/>
  <c r="K486" i="1" s="1"/>
  <c r="K483" i="1" s="1"/>
  <c r="M483" i="1" s="1"/>
  <c r="L483" i="1"/>
  <c r="K482" i="1"/>
  <c r="J482" i="1"/>
  <c r="L479" i="1"/>
  <c r="K479" i="1"/>
  <c r="M479" i="1" s="1"/>
  <c r="J478" i="1"/>
  <c r="K478" i="1" s="1"/>
  <c r="L475" i="1"/>
  <c r="K475" i="1"/>
  <c r="M475" i="1" s="1"/>
  <c r="K474" i="1"/>
  <c r="K471" i="1" s="1"/>
  <c r="M471" i="1" s="1"/>
  <c r="J474" i="1"/>
  <c r="L471" i="1"/>
  <c r="J466" i="1"/>
  <c r="K466" i="1" s="1"/>
  <c r="K463" i="1" s="1"/>
  <c r="M463" i="1" s="1"/>
  <c r="L463" i="1"/>
  <c r="J462" i="1"/>
  <c r="K462" i="1" s="1"/>
  <c r="L459" i="1"/>
  <c r="K459" i="1"/>
  <c r="M459" i="1" s="1"/>
  <c r="K458" i="1"/>
  <c r="K455" i="1" s="1"/>
  <c r="M455" i="1" s="1"/>
  <c r="J458" i="1"/>
  <c r="L455" i="1"/>
  <c r="J454" i="1"/>
  <c r="K454" i="1" s="1"/>
  <c r="L451" i="1"/>
  <c r="K451" i="1"/>
  <c r="M451" i="1" s="1"/>
  <c r="J450" i="1"/>
  <c r="K450" i="1" s="1"/>
  <c r="K447" i="1" s="1"/>
  <c r="M447" i="1" s="1"/>
  <c r="L447" i="1"/>
  <c r="K446" i="1"/>
  <c r="J446" i="1"/>
  <c r="L443" i="1"/>
  <c r="K443" i="1"/>
  <c r="M443" i="1" s="1"/>
  <c r="J442" i="1"/>
  <c r="K442" i="1" s="1"/>
  <c r="L439" i="1"/>
  <c r="K439" i="1"/>
  <c r="M439" i="1" s="1"/>
  <c r="K438" i="1"/>
  <c r="K435" i="1" s="1"/>
  <c r="M435" i="1" s="1"/>
  <c r="J438" i="1"/>
  <c r="L435" i="1"/>
  <c r="L432" i="1"/>
  <c r="K431" i="1"/>
  <c r="K427" i="1" s="1"/>
  <c r="M427" i="1" s="1"/>
  <c r="J431" i="1"/>
  <c r="J430" i="1"/>
  <c r="L427" i="1"/>
  <c r="J426" i="1"/>
  <c r="J425" i="1"/>
  <c r="K426" i="1" s="1"/>
  <c r="L422" i="1"/>
  <c r="K422" i="1"/>
  <c r="M422" i="1" s="1"/>
  <c r="J417" i="1"/>
  <c r="K417" i="1" s="1"/>
  <c r="K414" i="1" s="1"/>
  <c r="M414" i="1" s="1"/>
  <c r="L414" i="1"/>
  <c r="K413" i="1"/>
  <c r="J413" i="1"/>
  <c r="J412" i="1"/>
  <c r="J411" i="1"/>
  <c r="J410" i="1"/>
  <c r="J409" i="1"/>
  <c r="L406" i="1"/>
  <c r="K406" i="1"/>
  <c r="M406" i="1" s="1"/>
  <c r="J403" i="1"/>
  <c r="J402" i="1"/>
  <c r="J401" i="1"/>
  <c r="K403" i="1" s="1"/>
  <c r="K398" i="1" s="1"/>
  <c r="M398" i="1" s="1"/>
  <c r="L398" i="1"/>
  <c r="J397" i="1"/>
  <c r="J396" i="1"/>
  <c r="K397" i="1" s="1"/>
  <c r="K393" i="1" s="1"/>
  <c r="L393" i="1"/>
  <c r="J392" i="1"/>
  <c r="J391" i="1"/>
  <c r="J390" i="1"/>
  <c r="J389" i="1"/>
  <c r="J388" i="1"/>
  <c r="J387" i="1"/>
  <c r="K392" i="1" s="1"/>
  <c r="L384" i="1"/>
  <c r="K384" i="1"/>
  <c r="M384" i="1" s="1"/>
  <c r="K383" i="1"/>
  <c r="K375" i="1" s="1"/>
  <c r="M375" i="1" s="1"/>
  <c r="J383" i="1"/>
  <c r="J382" i="1"/>
  <c r="J381" i="1"/>
  <c r="J380" i="1"/>
  <c r="J379" i="1"/>
  <c r="J378" i="1"/>
  <c r="L375" i="1"/>
  <c r="J374" i="1"/>
  <c r="J373" i="1"/>
  <c r="K374" i="1" s="1"/>
  <c r="K366" i="1" s="1"/>
  <c r="M366" i="1" s="1"/>
  <c r="J372" i="1"/>
  <c r="J371" i="1"/>
  <c r="J370" i="1"/>
  <c r="J369" i="1"/>
  <c r="L366" i="1"/>
  <c r="J365" i="1"/>
  <c r="J364" i="1"/>
  <c r="J363" i="1"/>
  <c r="J362" i="1"/>
  <c r="K365" i="1" s="1"/>
  <c r="K357" i="1" s="1"/>
  <c r="M357" i="1" s="1"/>
  <c r="J361" i="1"/>
  <c r="J360" i="1"/>
  <c r="L357" i="1"/>
  <c r="J356" i="1"/>
  <c r="J355" i="1"/>
  <c r="J354" i="1"/>
  <c r="J353" i="1"/>
  <c r="J352" i="1"/>
  <c r="J351" i="1"/>
  <c r="J350" i="1"/>
  <c r="L347" i="1"/>
  <c r="J346" i="1"/>
  <c r="J345" i="1"/>
  <c r="J344" i="1"/>
  <c r="J343" i="1"/>
  <c r="J342" i="1"/>
  <c r="J341" i="1"/>
  <c r="K346" i="1" s="1"/>
  <c r="K338" i="1" s="1"/>
  <c r="M338" i="1" s="1"/>
  <c r="L338" i="1"/>
  <c r="J337" i="1"/>
  <c r="J336" i="1"/>
  <c r="J335" i="1"/>
  <c r="J334" i="1"/>
  <c r="K337" i="1" s="1"/>
  <c r="L331" i="1"/>
  <c r="K331" i="1"/>
  <c r="M331" i="1" s="1"/>
  <c r="J330" i="1"/>
  <c r="K330" i="1" s="1"/>
  <c r="K327" i="1" s="1"/>
  <c r="M327" i="1" s="1"/>
  <c r="L327" i="1"/>
  <c r="J326" i="1"/>
  <c r="K326" i="1" s="1"/>
  <c r="L323" i="1"/>
  <c r="K323" i="1"/>
  <c r="M323" i="1" s="1"/>
  <c r="J322" i="1"/>
  <c r="K322" i="1" s="1"/>
  <c r="K319" i="1" s="1"/>
  <c r="M319" i="1" s="1"/>
  <c r="L319" i="1"/>
  <c r="J318" i="1"/>
  <c r="J317" i="1"/>
  <c r="K318" i="1" s="1"/>
  <c r="K314" i="1" s="1"/>
  <c r="M314" i="1" s="1"/>
  <c r="L314" i="1"/>
  <c r="J308" i="1"/>
  <c r="K308" i="1" s="1"/>
  <c r="L305" i="1"/>
  <c r="K305" i="1"/>
  <c r="M305" i="1" s="1"/>
  <c r="J304" i="1"/>
  <c r="K304" i="1" s="1"/>
  <c r="K301" i="1" s="1"/>
  <c r="M301" i="1" s="1"/>
  <c r="L301" i="1"/>
  <c r="J300" i="1"/>
  <c r="K300" i="1" s="1"/>
  <c r="K297" i="1" s="1"/>
  <c r="M297" i="1" s="1"/>
  <c r="L297" i="1"/>
  <c r="J296" i="1"/>
  <c r="K296" i="1" s="1"/>
  <c r="K293" i="1" s="1"/>
  <c r="M293" i="1" s="1"/>
  <c r="L293" i="1"/>
  <c r="J292" i="1"/>
  <c r="K292" i="1" s="1"/>
  <c r="K289" i="1" s="1"/>
  <c r="M289" i="1" s="1"/>
  <c r="L289" i="1"/>
  <c r="J288" i="1"/>
  <c r="K288" i="1" s="1"/>
  <c r="L285" i="1"/>
  <c r="K285" i="1"/>
  <c r="M285" i="1" s="1"/>
  <c r="K284" i="1"/>
  <c r="K281" i="1" s="1"/>
  <c r="M281" i="1" s="1"/>
  <c r="J284" i="1"/>
  <c r="L281" i="1"/>
  <c r="J280" i="1"/>
  <c r="K280" i="1" s="1"/>
  <c r="L277" i="1"/>
  <c r="K277" i="1"/>
  <c r="M277" i="1" s="1"/>
  <c r="J273" i="1"/>
  <c r="J272" i="1"/>
  <c r="K273" i="1" s="1"/>
  <c r="L269" i="1"/>
  <c r="K269" i="1"/>
  <c r="M269" i="1" s="1"/>
  <c r="L274" i="1" s="1"/>
  <c r="J265" i="1"/>
  <c r="K265" i="1" s="1"/>
  <c r="L262" i="1"/>
  <c r="K262" i="1"/>
  <c r="M262" i="1" s="1"/>
  <c r="J261" i="1"/>
  <c r="K261" i="1" s="1"/>
  <c r="K258" i="1" s="1"/>
  <c r="M258" i="1" s="1"/>
  <c r="L266" i="1" s="1"/>
  <c r="L258" i="1"/>
  <c r="J255" i="1"/>
  <c r="K255" i="1" s="1"/>
  <c r="K252" i="1" s="1"/>
  <c r="M252" i="1"/>
  <c r="L252" i="1"/>
  <c r="J251" i="1"/>
  <c r="K251" i="1" s="1"/>
  <c r="K248" i="1" s="1"/>
  <c r="M248" i="1" s="1"/>
  <c r="L256" i="1" s="1"/>
  <c r="L248" i="1"/>
  <c r="J245" i="1"/>
  <c r="K245" i="1" s="1"/>
  <c r="K242" i="1" s="1"/>
  <c r="M242" i="1" s="1"/>
  <c r="L242" i="1"/>
  <c r="J241" i="1"/>
  <c r="K241" i="1" s="1"/>
  <c r="K238" i="1" s="1"/>
  <c r="M238" i="1" s="1"/>
  <c r="L238" i="1"/>
  <c r="J235" i="1"/>
  <c r="K235" i="1" s="1"/>
  <c r="K232" i="1" s="1"/>
  <c r="M232" i="1" s="1"/>
  <c r="L232" i="1"/>
  <c r="K231" i="1"/>
  <c r="J231" i="1"/>
  <c r="L228" i="1"/>
  <c r="K228" i="1"/>
  <c r="M228" i="1" s="1"/>
  <c r="L236" i="1" s="1"/>
  <c r="M236" i="1" s="1"/>
  <c r="L227" i="1"/>
  <c r="M227" i="1" s="1"/>
  <c r="K225" i="1"/>
  <c r="K222" i="1" s="1"/>
  <c r="M222" i="1" s="1"/>
  <c r="J225" i="1"/>
  <c r="L222" i="1"/>
  <c r="J221" i="1"/>
  <c r="K221" i="1" s="1"/>
  <c r="L218" i="1"/>
  <c r="K218" i="1"/>
  <c r="M218" i="1" s="1"/>
  <c r="L226" i="1" s="1"/>
  <c r="J215" i="1"/>
  <c r="K215" i="1" s="1"/>
  <c r="K212" i="1" s="1"/>
  <c r="M212" i="1" s="1"/>
  <c r="L212" i="1"/>
  <c r="J211" i="1"/>
  <c r="K211" i="1" s="1"/>
  <c r="L208" i="1"/>
  <c r="K208" i="1"/>
  <c r="M208" i="1" s="1"/>
  <c r="L216" i="1" s="1"/>
  <c r="J205" i="1"/>
  <c r="K205" i="1" s="1"/>
  <c r="L202" i="1"/>
  <c r="K202" i="1"/>
  <c r="M202" i="1" s="1"/>
  <c r="J201" i="1"/>
  <c r="K201" i="1" s="1"/>
  <c r="K198" i="1" s="1"/>
  <c r="M198" i="1" s="1"/>
  <c r="L206" i="1" s="1"/>
  <c r="L198" i="1"/>
  <c r="J195" i="1"/>
  <c r="K195" i="1" s="1"/>
  <c r="L192" i="1"/>
  <c r="K192" i="1"/>
  <c r="M192" i="1" s="1"/>
  <c r="J191" i="1"/>
  <c r="K191" i="1" s="1"/>
  <c r="K188" i="1" s="1"/>
  <c r="M188" i="1" s="1"/>
  <c r="L196" i="1" s="1"/>
  <c r="L188" i="1"/>
  <c r="J185" i="1"/>
  <c r="K185" i="1" s="1"/>
  <c r="K182" i="1" s="1"/>
  <c r="L182" i="1"/>
  <c r="J181" i="1"/>
  <c r="K181" i="1" s="1"/>
  <c r="K178" i="1" s="1"/>
  <c r="M178" i="1" s="1"/>
  <c r="L178" i="1"/>
  <c r="J175" i="1"/>
  <c r="K175" i="1" s="1"/>
  <c r="K172" i="1" s="1"/>
  <c r="M172" i="1" s="1"/>
  <c r="L176" i="1" s="1"/>
  <c r="L172" i="1"/>
  <c r="K171" i="1"/>
  <c r="J171" i="1"/>
  <c r="L168" i="1"/>
  <c r="K168" i="1"/>
  <c r="M168" i="1" s="1"/>
  <c r="J164" i="1"/>
  <c r="J163" i="1"/>
  <c r="J162" i="1"/>
  <c r="J161" i="1"/>
  <c r="K164" i="1" s="1"/>
  <c r="L158" i="1"/>
  <c r="K158" i="1"/>
  <c r="M158" i="1" s="1"/>
  <c r="J157" i="1"/>
  <c r="J156" i="1"/>
  <c r="K157" i="1" s="1"/>
  <c r="K152" i="1" s="1"/>
  <c r="M152" i="1" s="1"/>
  <c r="J155" i="1"/>
  <c r="L152" i="1"/>
  <c r="J151" i="1"/>
  <c r="J150" i="1"/>
  <c r="J149" i="1"/>
  <c r="J148" i="1"/>
  <c r="K151" i="1" s="1"/>
  <c r="L145" i="1"/>
  <c r="K145" i="1"/>
  <c r="M145" i="1" s="1"/>
  <c r="J142" i="1"/>
  <c r="J141" i="1"/>
  <c r="J140" i="1"/>
  <c r="K142" i="1" s="1"/>
  <c r="L136" i="1"/>
  <c r="K136" i="1"/>
  <c r="M136" i="1" s="1"/>
  <c r="K135" i="1"/>
  <c r="K128" i="1" s="1"/>
  <c r="M128" i="1" s="1"/>
  <c r="J135" i="1"/>
  <c r="J134" i="1"/>
  <c r="J133" i="1"/>
  <c r="J132" i="1"/>
  <c r="L128" i="1"/>
  <c r="J127" i="1"/>
  <c r="J126" i="1"/>
  <c r="K127" i="1" s="1"/>
  <c r="K123" i="1" s="1"/>
  <c r="M123" i="1" s="1"/>
  <c r="L143" i="1" s="1"/>
  <c r="L123" i="1"/>
  <c r="J118" i="1"/>
  <c r="K118" i="1" s="1"/>
  <c r="K115" i="1" s="1"/>
  <c r="M115" i="1" s="1"/>
  <c r="L115" i="1"/>
  <c r="K114" i="1"/>
  <c r="J114" i="1"/>
  <c r="L111" i="1"/>
  <c r="K111" i="1"/>
  <c r="M111" i="1" s="1"/>
  <c r="J110" i="1"/>
  <c r="K110" i="1" s="1"/>
  <c r="K107" i="1" s="1"/>
  <c r="M107" i="1" s="1"/>
  <c r="L107" i="1"/>
  <c r="J106" i="1"/>
  <c r="K106" i="1" s="1"/>
  <c r="K103" i="1" s="1"/>
  <c r="M103" i="1" s="1"/>
  <c r="L103" i="1"/>
  <c r="J102" i="1"/>
  <c r="K102" i="1" s="1"/>
  <c r="K99" i="1" s="1"/>
  <c r="M99" i="1"/>
  <c r="L99" i="1"/>
  <c r="J98" i="1"/>
  <c r="K98" i="1" s="1"/>
  <c r="K93" i="1" s="1"/>
  <c r="M93" i="1" s="1"/>
  <c r="J97" i="1"/>
  <c r="J96" i="1"/>
  <c r="L93" i="1"/>
  <c r="J90" i="1"/>
  <c r="J89" i="1"/>
  <c r="K90" i="1" s="1"/>
  <c r="K85" i="1" s="1"/>
  <c r="M85" i="1" s="1"/>
  <c r="J88" i="1"/>
  <c r="L85" i="1"/>
  <c r="J84" i="1"/>
  <c r="J83" i="1"/>
  <c r="K84" i="1" s="1"/>
  <c r="L80" i="1"/>
  <c r="K80" i="1"/>
  <c r="M80" i="1" s="1"/>
  <c r="J79" i="1"/>
  <c r="K79" i="1" s="1"/>
  <c r="K72" i="1" s="1"/>
  <c r="M72" i="1" s="1"/>
  <c r="J78" i="1"/>
  <c r="J77" i="1"/>
  <c r="J76" i="1"/>
  <c r="J75" i="1"/>
  <c r="L72" i="1"/>
  <c r="J71" i="1"/>
  <c r="J70" i="1"/>
  <c r="J69" i="1"/>
  <c r="J68" i="1"/>
  <c r="K71" i="1" s="1"/>
  <c r="K64" i="1" s="1"/>
  <c r="M64" i="1" s="1"/>
  <c r="J67" i="1"/>
  <c r="L64" i="1"/>
  <c r="J63" i="1"/>
  <c r="J62" i="1"/>
  <c r="J61" i="1"/>
  <c r="J60" i="1"/>
  <c r="J59" i="1"/>
  <c r="L56" i="1"/>
  <c r="J55" i="1"/>
  <c r="J54" i="1"/>
  <c r="J53" i="1"/>
  <c r="J52" i="1"/>
  <c r="J51" i="1"/>
  <c r="K55" i="1" s="1"/>
  <c r="L48" i="1"/>
  <c r="K48" i="1"/>
  <c r="K47" i="1"/>
  <c r="J47" i="1"/>
  <c r="J46" i="1"/>
  <c r="J45" i="1"/>
  <c r="J44" i="1"/>
  <c r="J43" i="1"/>
  <c r="J42" i="1"/>
  <c r="L39" i="1"/>
  <c r="K39" i="1"/>
  <c r="M39" i="1" s="1"/>
  <c r="J38" i="1"/>
  <c r="J37" i="1"/>
  <c r="K38" i="1" s="1"/>
  <c r="K31" i="1" s="1"/>
  <c r="M31" i="1" s="1"/>
  <c r="J36" i="1"/>
  <c r="J35" i="1"/>
  <c r="J34" i="1"/>
  <c r="L31" i="1"/>
  <c r="J30" i="1"/>
  <c r="J29" i="1"/>
  <c r="J28" i="1"/>
  <c r="K30" i="1" s="1"/>
  <c r="L25" i="1"/>
  <c r="K25" i="1"/>
  <c r="M25" i="1" s="1"/>
  <c r="J24" i="1"/>
  <c r="K24" i="1" s="1"/>
  <c r="K21" i="1" s="1"/>
  <c r="M21" i="1" s="1"/>
  <c r="L21" i="1"/>
  <c r="J20" i="1"/>
  <c r="K20" i="1" s="1"/>
  <c r="L17" i="1"/>
  <c r="K17" i="1"/>
  <c r="M17" i="1" s="1"/>
  <c r="J16" i="1"/>
  <c r="K16" i="1" s="1"/>
  <c r="K13" i="1" s="1"/>
  <c r="M13" i="1" s="1"/>
  <c r="L13" i="1"/>
  <c r="J12" i="1"/>
  <c r="J11" i="1"/>
  <c r="K12" i="1" s="1"/>
  <c r="L8" i="1"/>
  <c r="K8" i="1"/>
  <c r="M8" i="1" s="1"/>
  <c r="L197" i="1" l="1"/>
  <c r="M197" i="1" s="1"/>
  <c r="M206" i="1"/>
  <c r="M176" i="1"/>
  <c r="L167" i="1"/>
  <c r="M167" i="1" s="1"/>
  <c r="M274" i="1"/>
  <c r="L268" i="1"/>
  <c r="M268" i="1" s="1"/>
  <c r="L122" i="1"/>
  <c r="M122" i="1" s="1"/>
  <c r="M143" i="1"/>
  <c r="L404" i="1"/>
  <c r="L685" i="1"/>
  <c r="L165" i="1"/>
  <c r="L247" i="1"/>
  <c r="M247" i="1" s="1"/>
  <c r="M256" i="1"/>
  <c r="M393" i="1"/>
  <c r="M182" i="1"/>
  <c r="L207" i="1"/>
  <c r="M207" i="1" s="1"/>
  <c r="M216" i="1"/>
  <c r="M753" i="1"/>
  <c r="L785" i="1" s="1"/>
  <c r="L187" i="1"/>
  <c r="M187" i="1" s="1"/>
  <c r="M196" i="1"/>
  <c r="M226" i="1"/>
  <c r="L217" i="1"/>
  <c r="M217" i="1" s="1"/>
  <c r="M432" i="1"/>
  <c r="L433" i="1" s="1"/>
  <c r="L421" i="1"/>
  <c r="M421" i="1" s="1"/>
  <c r="L503" i="1"/>
  <c r="L467" i="1"/>
  <c r="L257" i="1"/>
  <c r="M257" i="1" s="1"/>
  <c r="M266" i="1"/>
  <c r="M48" i="1"/>
  <c r="L91" i="1" s="1"/>
  <c r="L119" i="1"/>
  <c r="L246" i="1"/>
  <c r="K63" i="1"/>
  <c r="K56" i="1" s="1"/>
  <c r="M56" i="1" s="1"/>
  <c r="L186" i="1"/>
  <c r="L418" i="1"/>
  <c r="L309" i="1"/>
  <c r="K356" i="1"/>
  <c r="K347" i="1" s="1"/>
  <c r="M347" i="1" s="1"/>
  <c r="L751" i="1"/>
  <c r="L7" i="1" l="1"/>
  <c r="M7" i="1" s="1"/>
  <c r="M91" i="1"/>
  <c r="M309" i="1"/>
  <c r="L276" i="1"/>
  <c r="M276" i="1" s="1"/>
  <c r="L420" i="1"/>
  <c r="M420" i="1" s="1"/>
  <c r="M433" i="1"/>
  <c r="M418" i="1"/>
  <c r="L405" i="1"/>
  <c r="M405" i="1" s="1"/>
  <c r="L144" i="1"/>
  <c r="M144" i="1" s="1"/>
  <c r="M165" i="1"/>
  <c r="M186" i="1"/>
  <c r="L267" i="1" s="1"/>
  <c r="L177" i="1"/>
  <c r="M177" i="1" s="1"/>
  <c r="L237" i="1"/>
  <c r="M237" i="1" s="1"/>
  <c r="M246" i="1"/>
  <c r="M785" i="1"/>
  <c r="L752" i="1"/>
  <c r="M752" i="1" s="1"/>
  <c r="L434" i="1"/>
  <c r="M434" i="1" s="1"/>
  <c r="M467" i="1"/>
  <c r="M751" i="1"/>
  <c r="L686" i="1"/>
  <c r="M686" i="1" s="1"/>
  <c r="L470" i="1"/>
  <c r="M470" i="1" s="1"/>
  <c r="M503" i="1"/>
  <c r="M685" i="1"/>
  <c r="L504" i="1"/>
  <c r="M504" i="1" s="1"/>
  <c r="M404" i="1"/>
  <c r="L313" i="1"/>
  <c r="M313" i="1" s="1"/>
  <c r="L92" i="1"/>
  <c r="M92" i="1" s="1"/>
  <c r="M119" i="1"/>
  <c r="M267" i="1" l="1"/>
  <c r="L275" i="1" s="1"/>
  <c r="L166" i="1"/>
  <c r="M166" i="1" s="1"/>
  <c r="L786" i="1"/>
  <c r="L419" i="1"/>
  <c r="L120" i="1"/>
  <c r="L121" i="1" l="1"/>
  <c r="M121" i="1" s="1"/>
  <c r="M275" i="1"/>
  <c r="L6" i="1"/>
  <c r="M6" i="1" s="1"/>
  <c r="M120" i="1"/>
  <c r="L310" i="1" s="1"/>
  <c r="M419" i="1"/>
  <c r="L468" i="1" s="1"/>
  <c r="L312" i="1"/>
  <c r="M312" i="1" s="1"/>
  <c r="M786" i="1"/>
  <c r="L469" i="1"/>
  <c r="M469" i="1" s="1"/>
  <c r="L311" i="1" l="1"/>
  <c r="M311" i="1" s="1"/>
  <c r="M468" i="1"/>
  <c r="L5" i="1"/>
  <c r="M5" i="1" s="1"/>
  <c r="M310" i="1"/>
  <c r="L787" i="1" s="1"/>
  <c r="M787" i="1" l="1"/>
  <c r="L4" i="1"/>
  <c r="M4" i="1" s="1"/>
</calcChain>
</file>

<file path=xl/sharedStrings.xml><?xml version="1.0" encoding="utf-8"?>
<sst xmlns="http://schemas.openxmlformats.org/spreadsheetml/2006/main" count="1933" uniqueCount="1933">
  <si>
    <t>Obra:</t>
  </si>
  <si>
    <t>PROYECTO AMPLIACIÓN Y MEJORA DE LA RED CONTRAINCENDIOS DEL CIRCUIT DE CATALUNYA</t>
  </si>
  <si>
    <t>Presupuesto</t>
  </si>
  <si>
    <t>% C.I.</t>
  </si>
  <si>
    <t>Código</t>
  </si>
  <si>
    <t>Tipo</t>
  </si>
  <si>
    <t>Ud</t>
  </si>
  <si>
    <t>Resumen</t>
  </si>
  <si>
    <t>Cantidad</t>
  </si>
  <si>
    <t>Precio (€)</t>
  </si>
  <si>
    <t>Importe (€)</t>
  </si>
  <si>
    <t>R17.05 PRESUPUESTO</t>
  </si>
  <si>
    <t>Capítulo</t>
  </si>
  <si>
    <t>PROYECTO AMPLIACIÓN Y MEJORA DE LA RED CONTRAINCENDIOS DEL CIRCUIT DE CATALUNYA</t>
  </si>
  <si>
    <t>01</t>
  </si>
  <si>
    <t>Capítulo</t>
  </si>
  <si>
    <t>CAPÍTULO 01</t>
  </si>
  <si>
    <t>01.01</t>
  </si>
  <si>
    <t>Capítulo</t>
  </si>
  <si>
    <t>CANALIZACIONES EN ZANJA ANILLO 1</t>
  </si>
  <si>
    <t>01.01.01</t>
  </si>
  <si>
    <t>Capítulo</t>
  </si>
  <si>
    <t>OBRA CIVIL CANALIZACIONES ANILLO 1</t>
  </si>
  <si>
    <t>ADE010c</t>
  </si>
  <si>
    <t>Partida</t>
  </si>
  <si>
    <t>m³</t>
  </si>
  <si>
    <t>Excavación de zanjas y pozos c/zanjadora.</t>
  </si>
  <si>
    <t>Excavación de zanjas para instalaciones hasta una profundidad de 2 m, en cualquier tipo de terreno, con zanjadora, carga a camión.
Criterio de valoración económica: El precio  incluye el transporte de los materiales excavados sobrantes a vertedero y cànon de vertido.
Incluye: Replanteo general y fijación de los puntos y niveles de referencia. Colocación de las camillas en las esquinas y extremos de las alineaciones. Excavación en sucesivas franjas horizontales y extracción de tierras. Refinado de fondos con extracción de las tierras. Carga a camión de los materiales excavados sobrantes, transportes a vertedero y cànon.
El precio incluye campaña de catas con retro de pequeñas dimensiones cada 50m y detección completa de tramos para localización de servicios existentes con georadar.</t>
  </si>
  <si>
    <t>Uds.</t>
  </si>
  <si>
    <t>Largo</t>
  </si>
  <si>
    <t>Ancho</t>
  </si>
  <si>
    <t>Alto</t>
  </si>
  <si>
    <t>Parcial</t>
  </si>
  <si>
    <t>Subtotal</t>
  </si>
  <si>
    <t>Longitud tuberías</t>
  </si>
  <si>
    <t>Remod. tubo existente</t>
  </si>
  <si>
    <t>ADE010r</t>
  </si>
  <si>
    <t>Partida</t>
  </si>
  <si>
    <t>ud</t>
  </si>
  <si>
    <t>Desplazamiento de zanjadora</t>
  </si>
  <si>
    <t>Desplazamiento de zanjadora</t>
  </si>
  <si>
    <t>Uds.</t>
  </si>
  <si>
    <t>Largo</t>
  </si>
  <si>
    <t>Ancho</t>
  </si>
  <si>
    <t>Alto</t>
  </si>
  <si>
    <t>Parcial</t>
  </si>
  <si>
    <t>Subtotal</t>
  </si>
  <si>
    <t>ADE010s</t>
  </si>
  <si>
    <t>Partida</t>
  </si>
  <si>
    <t>ud</t>
  </si>
  <si>
    <t>Cata con retro mixta y 3 operarios</t>
  </si>
  <si>
    <t>Cata con retro mixta y 3 operarios</t>
  </si>
  <si>
    <t>Uds.</t>
  </si>
  <si>
    <t>Largo</t>
  </si>
  <si>
    <t>Ancho</t>
  </si>
  <si>
    <t>Alto</t>
  </si>
  <si>
    <t>Parcial</t>
  </si>
  <si>
    <t>Subtotal</t>
  </si>
  <si>
    <t>ADE010t</t>
  </si>
  <si>
    <t>Partida</t>
  </si>
  <si>
    <t>ud</t>
  </si>
  <si>
    <t>Jornada de detección de servicios existentes en el subsuelo con georadar y planos de resultado</t>
  </si>
  <si>
    <t>Jornada de detección de servicios existentes en el subsuelo con georadar y planos de resultado</t>
  </si>
  <si>
    <t>Uds.</t>
  </si>
  <si>
    <t>Largo</t>
  </si>
  <si>
    <t>Ancho</t>
  </si>
  <si>
    <t>Alto</t>
  </si>
  <si>
    <t>Parcial</t>
  </si>
  <si>
    <t>Subtotal</t>
  </si>
  <si>
    <t>ADE010b</t>
  </si>
  <si>
    <t>Partida</t>
  </si>
  <si>
    <t>m³</t>
  </si>
  <si>
    <t>Excavación de zanjas y pozos, c/retroexcavadora</t>
  </si>
  <si>
    <t>Excavación de zanjas y pozos,hasta 2m de profundidad, en todo tipo de terreno con medios mecánicos y carga sobre camión, con transportes a vertedero o lugar de uso, incluye cánon de vertido de vertedero.El precio incluye campaña de catas con retro de pequeñas dimensiones cada 50m y detección completa de tramos para localización de servicios existentes con georadar.</t>
  </si>
  <si>
    <t>Uds.</t>
  </si>
  <si>
    <t>Largo</t>
  </si>
  <si>
    <t>Ancho</t>
  </si>
  <si>
    <t>Alto</t>
  </si>
  <si>
    <t>Parcial</t>
  </si>
  <si>
    <t>Subtotal</t>
  </si>
  <si>
    <t xml:space="preserve">Previsión de abastecimiento para PCI de paddock </t>
  </si>
  <si>
    <t xml:space="preserve">Previsión de abastecimiento para PCI de tribuna </t>
  </si>
  <si>
    <t>Conexión armario grupo presión con anillos</t>
  </si>
  <si>
    <t>ADR010b</t>
  </si>
  <si>
    <t>Partida</t>
  </si>
  <si>
    <t>m³</t>
  </si>
  <si>
    <t>Relleno de zanjas para instalaciones.</t>
  </si>
  <si>
    <t>Relleno envolvente y principal de zanjas para instalaciones, con tierra seleccionada procedente de la propia excavación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</si>
  <si>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Uds.</t>
  </si>
  <si>
    <t>Largo</t>
  </si>
  <si>
    <t>Ancho</t>
  </si>
  <si>
    <t>Alto</t>
  </si>
  <si>
    <t>Parcial</t>
  </si>
  <si>
    <t>Subtotal</t>
  </si>
  <si>
    <t>Longitud tuberías</t>
  </si>
  <si>
    <t xml:space="preserve">Previsión de abastecimiento para PCI de tribuna </t>
  </si>
  <si>
    <t>Conexión armario grupo presión con anillos</t>
  </si>
  <si>
    <t>Remodelación tubo existente</t>
  </si>
  <si>
    <t>UFF010b</t>
  </si>
  <si>
    <t>Partida</t>
  </si>
  <si>
    <t>tn</t>
  </si>
  <si>
    <t>Pavimentación con MBC.</t>
  </si>
  <si>
    <t>Formación de firme flexible, compuesto por: mezcla bituminosa en caliente en tapado de zanja: 2 capas  de 6 cm de espesor formada por  mezcla bituminosa en caliente AC 22 intermedia y rodadura,  adecuado para tráfico T2 , y betún asfáltico 60/70.
Incluye:  Preparación de la superficie para la imprimación. Preparación de la superficie para el riego de adherencia. Estudio de la mezcla y obtención de la fórmula de trabajo de la mezcla bituminosa. Preparación de la superficie existente para la capa de mezcla bituminosa. Aprovisionamiento de áridos para la fabricación de la mezcla bituminosa y betún . Fabricación de la mezcla bituminosa. Transporte de la mezcla bituminosa. Extensión de la mezcla bituminosa. Compactación de la capa de mezcla bituminosa. Ejecución de juntas transversales y longitudinales en la capa de mezcla bituminosa. 
densidad considerada 2,4.</t>
  </si>
  <si>
    <t>Uds.</t>
  </si>
  <si>
    <t>Largo</t>
  </si>
  <si>
    <t>Ancho</t>
  </si>
  <si>
    <t>Alto</t>
  </si>
  <si>
    <t>Parcial</t>
  </si>
  <si>
    <t>Subtotal</t>
  </si>
  <si>
    <t>Longitud tuberías</t>
  </si>
  <si>
    <t>Previsión de abastecimiento para PCI de paddock</t>
  </si>
  <si>
    <t xml:space="preserve">Previsión de abastecimiento para PCI de tribuna </t>
  </si>
  <si>
    <t>Conexión armario grupo presión con anillos</t>
  </si>
  <si>
    <t>Remodelación tubo existente</t>
  </si>
  <si>
    <t>N-FRES031</t>
  </si>
  <si>
    <t>Partida</t>
  </si>
  <si>
    <t>m²/cm</t>
  </si>
  <si>
    <t>Fresado de pavimento de aglomerado asfáltico en calzada, con martillo neumático.</t>
  </si>
  <si>
    <t>Fresado de pavimento de aglomerado asfáltico en calzada, mediante fresadora en frío compacta, sin incluir la demolición de la base soporte. Incluso p/p de corte previo del contorno con cortadora de asfalto, limpieza, acopio, retirada y carga manual de escombros sobre camión o contenedor, transporte y gestión de residuos.
Incluye: Corte del contorno con cortadora de asfalto. Demolición del pavimento con martillo neumático. Fragmentación de los escombros en piezas manejables. Retirada y acopio de escombros. Limpieza de los restos de obra. Carga manual de escombros sobre camión o contenedor. Transporte y gestión de residuos incluida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</si>
  <si>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</si>
  <si>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</si>
  <si>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</si>
  <si>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</si>
  <si>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</si>
  <si>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</si>
  <si>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Longitud tuberías</t>
  </si>
  <si>
    <t xml:space="preserve">Previsión de abastecimiento para PCI de paddock </t>
  </si>
  <si>
    <t>Previsión de abastecimiento para PCI de tribuna</t>
  </si>
  <si>
    <t>Conexión armario grupo presión con anillos</t>
  </si>
  <si>
    <t>N-ZAH001</t>
  </si>
  <si>
    <t>Partida</t>
  </si>
  <si>
    <t>m³</t>
  </si>
  <si>
    <t>Subbase granular con zahorra natural granítica</t>
  </si>
  <si>
    <t>Subbase granular con zahorra natural granítica, y compactación al 98% del Proctor Modificado con medios mecánicos, en tongadas de 30 cm de espesor, hasta alcanzar una densidad seca no inferior al al 98% del Proctor Modificado de la máxima obtenida en el ensayo Proctor Modificado, realizado según UNE 103501, para mejora de las propiedades resistentes del terreno. El precio no incluye la realización del ensayo Proctor Modificado.</t>
  </si>
  <si>
    <t>Uds.</t>
  </si>
  <si>
    <t>Largo</t>
  </si>
  <si>
    <t>Ancho</t>
  </si>
  <si>
    <t>Alto</t>
  </si>
  <si>
    <t>Parcial</t>
  </si>
  <si>
    <t>Subtotal</t>
  </si>
  <si>
    <t>Longitud tuberías</t>
  </si>
  <si>
    <t>Previsión de abastecimiento para PCI de paddock</t>
  </si>
  <si>
    <t xml:space="preserve">Previsión de abastecimiento para PCI de tribuna </t>
  </si>
  <si>
    <t>Conexión armario grupo presión con anillos</t>
  </si>
  <si>
    <t>N-RIADH001</t>
  </si>
  <si>
    <t>Partida</t>
  </si>
  <si>
    <t>m²</t>
  </si>
  <si>
    <t>Riego de adherencia ECR-1</t>
  </si>
  <si>
    <t>Riego de adherencia, con emulsión asfáltica catiónica de rotura rápida ECR-1 con una dotación de 0,50 kg/m2., incluso barrido y preparación de la superficie</t>
  </si>
  <si>
    <t>Uds.</t>
  </si>
  <si>
    <t>Largo</t>
  </si>
  <si>
    <t>Ancho</t>
  </si>
  <si>
    <t>Alto</t>
  </si>
  <si>
    <t>Parcial</t>
  </si>
  <si>
    <t>Subtotal</t>
  </si>
  <si>
    <t>Longitud tuberías</t>
  </si>
  <si>
    <t>Previsión de abastecimiento para PCI de paddock</t>
  </si>
  <si>
    <t xml:space="preserve">Previsión de abastecimiento para PCI de tribuna </t>
  </si>
  <si>
    <t>Conexión armario grupo presión con anillos</t>
  </si>
  <si>
    <t>N-RIIMP001</t>
  </si>
  <si>
    <t>Partida</t>
  </si>
  <si>
    <t>m²</t>
  </si>
  <si>
    <t>Riego de imprimación ECI.</t>
  </si>
  <si>
    <t>Riego de imprimación, con emulsión asfáltica catiónica de imprimación ECI, de capas granulares, con una dotación de 1 kg/m2., incluso barrido y preparación de la superficie.</t>
  </si>
  <si>
    <t>Uds.</t>
  </si>
  <si>
    <t>Largo</t>
  </si>
  <si>
    <t>Ancho</t>
  </si>
  <si>
    <t>Alto</t>
  </si>
  <si>
    <t>Parcial</t>
  </si>
  <si>
    <t>Subtotal</t>
  </si>
  <si>
    <t>Longitud tuberías</t>
  </si>
  <si>
    <t>Previsión de abastecimiento para PCI de paddock</t>
  </si>
  <si>
    <t xml:space="preserve">Previsión de abastecimiento para PCI de tribuna </t>
  </si>
  <si>
    <t>Conexión armario grupo presión con anillos</t>
  </si>
  <si>
    <t>IFW070b</t>
  </si>
  <si>
    <t>Partida</t>
  </si>
  <si>
    <t>Ud</t>
  </si>
  <si>
    <t>Arqueta de hormigón 60x60x60cm</t>
  </si>
  <si>
    <t>Formación de arqueta enterrada, de dimensiones interiores 60x60x60 cm, de hormigón en masa "in situ" HM-30/B/20/X0+XA2, sobre solera de hormigón en masa HM-30/B/20/X0+XA2 de 15 cm de espesor, con marco y tapa de fundición clase B-125 según UNE-EN 124, para alojamiento de la válvula; previa excavación con medios mecánicos y posterior relleno del trasdós con material granular. Incluso molde reutilizable de chapa metálica, amortizable en 20 usos.
Incluye: Replanteo. Excavación con medios mecánicos. Eliminación de las tierras sueltas del fondo de la excavación. Vertido y compactación del hormigón en formación de solera. Colocación del encofrado metálico. Vertido y compactación del hormigón en formación de la arqueta previa humectación del encofrado. Retirada del encofrado. Conexionado de los tubos a la arqueta. Colocación de la tapa. Relleno del trasdós.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</si>
  <si>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</si>
  <si>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</si>
  <si>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</si>
  <si>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</si>
  <si>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</si>
  <si>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</si>
  <si>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Válvulas</t>
  </si>
  <si>
    <t>Arquetas de paso cada 50m</t>
  </si>
  <si>
    <t>ADR010a</t>
  </si>
  <si>
    <t>Partida</t>
  </si>
  <si>
    <t>Ud</t>
  </si>
  <si>
    <t>Dado de anclaje de hormigón</t>
  </si>
  <si>
    <t>Dado de anclaje de hormigón HA-25/P/20/I, para anclaje de piezas o válvulas en conducciones de diámetro entre 60 y 225 mm, incluida la colocación de armaduras y el vibrado del hormigón</t>
  </si>
  <si>
    <t>Uds.</t>
  </si>
  <si>
    <t>Largo</t>
  </si>
  <si>
    <t>Ancho</t>
  </si>
  <si>
    <t>Alto</t>
  </si>
  <si>
    <t>Parcial</t>
  </si>
  <si>
    <t>Subtotal</t>
  </si>
  <si>
    <t>Válvulas</t>
  </si>
  <si>
    <t>Codos</t>
  </si>
  <si>
    <t>Tes</t>
  </si>
  <si>
    <t>01.01.01</t>
  </si>
  <si>
    <t>01.01.02</t>
  </si>
  <si>
    <t>Capítulo</t>
  </si>
  <si>
    <t>TUBERÍA Y VALVULERÍA CANALIZACIÓN ANILLO 1</t>
  </si>
  <si>
    <t>IOB022</t>
  </si>
  <si>
    <t>Partida</t>
  </si>
  <si>
    <t>m</t>
  </si>
  <si>
    <t>Tubería PEAD DN125</t>
  </si>
  <si>
    <t>Suministro e instalación de red enterrada de distribución de agua para abastecimiento de los equipos de extinción de incendios, formada por tubería de polietileno (PE), de 125 mm de diámetro, unión electrosoldable, colocada sobre lecho de arena de 15 cm de espesor, debidamente compactada y nivelada con pisón vibrante de guiado manual, relleno lateral compactando hasta los riñones y posterior relleno con la misma arena hasta 5 cm por encima de la generatriz superior. Incluso  codos, tes, dados de anclaje, piezas de conexión, accesorios y piezas especiales.
Criterio de valoración económica: El precio no incluye la excavación ni el relleno principal.
Incluye: Replanteo del recorrido de la tubería y de la situación de los elementos de sujeción. Suministro y presentación de tubos. Suministro y vertido de la arena. Ejecución del relleno envolvente con arena. Colocación de tubería. Realización de pruebas de servicio. Codos, tes, y demás accesorios. Dados de anclaje.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</si>
  <si>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</si>
  <si>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</si>
  <si>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</si>
  <si>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</si>
  <si>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</si>
  <si>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</si>
  <si>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ANILLO INTERIOR</t>
  </si>
  <si>
    <t>Previsión de abastecimiento para PCI de Paddock</t>
  </si>
  <si>
    <t xml:space="preserve">Previsión de abastecimiento para PCI de tribuna principal </t>
  </si>
  <si>
    <t>N-IOB022b</t>
  </si>
  <si>
    <t>Partida</t>
  </si>
  <si>
    <t>m</t>
  </si>
  <si>
    <t>Tubería PEAD DN150</t>
  </si>
  <si>
    <t>Suministro e instalación de red enterrada de distribución de agua para abastecimiento de los equipos de extinción de incendios, formada por tubería de polietileno (PE), de 150 mm de diámetro, unión electrosoldable, colocada sobre lecho de arena de 15 cm de espesor, debidamente compactada y nivelada con pisón vibrante de guiado manual, relleno lateral compactando hasta los riñones y posterior relleno con la misma arena hasta 5 cm por encima de la generatriz superior. Incluso  codos, tes, dados de anclaje, piezas de conexión, accesorios y piezas especiales.
Criterio de valoración económica: El precio no incluye la excavación ni el relleno principal.
Incluye: Replanteo del recorrido de la tubería y de la situación de los elementos de sujeción. Presentación de tubos. Suministro y vertido de la arena. Ejecución del relleno envolvente con arena. Colocación de tubería. Realización de pruebas de servicio. Codos, tes, y demás accesorios. Dados de anclaje.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</si>
  <si>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</si>
  <si>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</si>
  <si>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</si>
  <si>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</si>
  <si>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</si>
  <si>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</si>
  <si>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Conexión armario grupo presión con anillos</t>
  </si>
  <si>
    <t>IOB025</t>
  </si>
  <si>
    <t>Partida</t>
  </si>
  <si>
    <t>Ud</t>
  </si>
  <si>
    <t>Válvula mariposa 4"</t>
  </si>
  <si>
    <t>Suministro e instalación de válvula de mariposa de palanca y asiento de EPDM, unión con bridas, de 4" de diámetro, PN=16 bar, formada por cuerpo, disco y palanca de fundición dúctil y eje de acero inoxidable, incluida arqueta prefabricada de 60x60 con tapa metálica.
Incluye: Montaje, soportación,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</si>
  <si>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</si>
  <si>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</si>
  <si>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</si>
  <si>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</si>
  <si>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</si>
  <si>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</si>
  <si>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Tramo 0-1</t>
  </si>
  <si>
    <t>IOB025d</t>
  </si>
  <si>
    <t>Partida</t>
  </si>
  <si>
    <t>Ud</t>
  </si>
  <si>
    <t>Válvula mariposa 5"</t>
  </si>
  <si>
    <t>Suministro e instalación de válvula de mariposa de palanca y asiento de EPDM, unión con bridas, de 5" de diámetro, PN=16 bar, formada por cuerpo, disco y palanca de fundición dúctil y eje de acero inoxidable. incluida arqueta prefabricada de 60x60 con tapa metálica.
Incluye: Montaje, soportación,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</si>
  <si>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</si>
  <si>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</si>
  <si>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</si>
  <si>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</si>
  <si>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</si>
  <si>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</si>
  <si>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 xml:space="preserve">Tramo </t>
  </si>
  <si>
    <t>IOB025c</t>
  </si>
  <si>
    <t>Partida</t>
  </si>
  <si>
    <t>Ud</t>
  </si>
  <si>
    <t>Válvula compuerta 4"</t>
  </si>
  <si>
    <t>Suministro e instalación de válvula de compuerta de husillo ascendente y cierre elástico, unión con bridas, de 4" de diámetro, PN=16 bar, formada por cuerpo, disco en cuña y volante de fundición dúctil y husillo de acero inoxidable.incluida arqueta prefabricada de 60x60 con tapa metálica.
Incluye: Montaje, soportación,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</si>
  <si>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</si>
  <si>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</si>
  <si>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</si>
  <si>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</si>
  <si>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</si>
  <si>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</si>
  <si>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Tramo Anillo interior</t>
  </si>
  <si>
    <t>IOB025b</t>
  </si>
  <si>
    <t>Partida</t>
  </si>
  <si>
    <t>Ud</t>
  </si>
  <si>
    <t>Válvula compuerta 5".</t>
  </si>
  <si>
    <t>Suministro e instalación de válvula de compuerta de husillo ascendente y cierre elástico, unión con bridas, de 5" de diámetro, PN=16 bar, formada por cuerpo, disco en cuña y volante de fundición dúctil y husillo de acero inoxidable.incluida arqueta prefabricada de 60x60 con tapa metálica.
Incluye: Montaje, soportación,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</si>
  <si>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</si>
  <si>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</si>
  <si>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</si>
  <si>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</si>
  <si>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</si>
  <si>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</si>
  <si>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Tramo 3-20</t>
  </si>
  <si>
    <t>01.01.02</t>
  </si>
  <si>
    <t>01.01</t>
  </si>
  <si>
    <t>01.02</t>
  </si>
  <si>
    <t>Capítulo</t>
  </si>
  <si>
    <t>EQUIPOS Y RESTO OBRA CIVIL CAPÍTULO 01</t>
  </si>
  <si>
    <t>01.02.01</t>
  </si>
  <si>
    <t>Capítulo</t>
  </si>
  <si>
    <t>TUBERÍA  AÉREA ANILLO 1</t>
  </si>
  <si>
    <t>IOB022e</t>
  </si>
  <si>
    <t>Partida</t>
  </si>
  <si>
    <t>m</t>
  </si>
  <si>
    <t>Tubería acero DN125</t>
  </si>
  <si>
    <t>Suministro e instalación de red aérea de distribución de agua para abastecimiento de los equipos de extinción de incendios, formada por tubería de acero negro estirado sin soldadura, de diámetro DN125,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Fijación del material auxiliar para montaje y sujeción a la obra.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</si>
  <si>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</si>
  <si>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</si>
  <si>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</si>
  <si>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</si>
  <si>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</si>
  <si>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</si>
  <si>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Colector interior hidrantes en Paddock</t>
  </si>
  <si>
    <t>Derivaciones en Paddock hacia hidrante</t>
  </si>
  <si>
    <t>N-IOB022f</t>
  </si>
  <si>
    <t>Partida</t>
  </si>
  <si>
    <t>m</t>
  </si>
  <si>
    <t>Tubería acero 1"</t>
  </si>
  <si>
    <t>Suministro e instalación de red aérea de distribución de agua para abastecimiento de los equipos de extinción de incendios, formada por tubería de acero negro estirado sin soldadura, de diámetro 1",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Fijación del material auxiliar para montaje y sujeción a la obra.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</si>
  <si>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</si>
  <si>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</si>
  <si>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</si>
  <si>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</si>
  <si>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</si>
  <si>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</si>
  <si>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Conexión BIES 25mm desde colector</t>
  </si>
  <si>
    <t>0</t>
  </si>
  <si>
    <t>Moreneta</t>
  </si>
  <si>
    <t>Paddock</t>
  </si>
  <si>
    <t>centro medico</t>
  </si>
  <si>
    <t xml:space="preserve">servicios </t>
  </si>
  <si>
    <t>N-IOB022g</t>
  </si>
  <si>
    <t>Partida</t>
  </si>
  <si>
    <t>m</t>
  </si>
  <si>
    <t>Tubería acero 1 1/2"</t>
  </si>
  <si>
    <t>Suministro e instalación de red aérea de distribución de agua para abastecimiento de los equipos de extinción de incendios, formada por tubería de acero negro estirado sin soldadura, de diámetro 1 1/2",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Fijación del material auxiliar para montaje y sujeción a la obra.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</si>
  <si>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</si>
  <si>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</si>
  <si>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</si>
  <si>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</si>
  <si>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</si>
  <si>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</si>
  <si>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Conexión BIES 45mm desde colector</t>
  </si>
  <si>
    <t>0</t>
  </si>
  <si>
    <t>Cavallerises</t>
  </si>
  <si>
    <t>Tribuna</t>
  </si>
  <si>
    <t>Torre control</t>
  </si>
  <si>
    <t>01.02.01</t>
  </si>
  <si>
    <t>01.02.02</t>
  </si>
  <si>
    <t>Capítulo</t>
  </si>
  <si>
    <t>BIES E HIDRANTES ANILLO 1</t>
  </si>
  <si>
    <t>IOB041bbb</t>
  </si>
  <si>
    <t>Partida</t>
  </si>
  <si>
    <t>Ud</t>
  </si>
  <si>
    <t>BIES 25mm</t>
  </si>
  <si>
    <t>Suministro e instalación de boca de incendio equipada (BIE), de 25 mm (1") y de 680x480x215 mm, compuesta de: armario construido en acero de 1,2 mm de espesor, acabado con pintura epoxi color rojo RAL 3000 y puerta semiciega con ventana de metacrilato de acero de 1,2 mm de espesor, acabado con pintura epoxi color rojo RAL 3000;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para instalar en superficie. Coeficiente de descarga K de 42 (métrico). Incluso accesorios y elementos de fijación y conexionado. Certificada por AENOR según UNE-EN 671-1. Incluye: Replanteo. Suministro, montaje, soportación de armario, conexionado con tubería de alimentación, accesorios y comprobación de su correcto funcionamiento.</t>
  </si>
  <si>
    <t>Uds.</t>
  </si>
  <si>
    <t>Largo</t>
  </si>
  <si>
    <t>Ancho</t>
  </si>
  <si>
    <t>Alto</t>
  </si>
  <si>
    <t>Parcial</t>
  </si>
  <si>
    <t>Subtotal</t>
  </si>
  <si>
    <t>Moreneta</t>
  </si>
  <si>
    <t>Paddock</t>
  </si>
  <si>
    <t>centro medico</t>
  </si>
  <si>
    <t xml:space="preserve">servicios </t>
  </si>
  <si>
    <t>IOB041bb</t>
  </si>
  <si>
    <t>Partida</t>
  </si>
  <si>
    <t>Ud</t>
  </si>
  <si>
    <t>BIES 45mm</t>
  </si>
  <si>
    <t>Suministro e instalación de boca de incendio equipada (BIE) de 45 mm (1 1/2") y de 575x505x152 mm, compuesta de: armario de acero de 1,2 mm de espesor, acabado con pintura epoxi color rojo RAL 3000 y puerta semiciega con ventana de metacrilato de acero de 1,2 mm de espesor, acabado con pintura epoxi color rojo RAL 3000; devanadera metálica giratoria abatible 180° permitiendo la extracción de la manguera en cualquier dirección, pintada en rojo epoxi, con alimentación axial; manguera plana de 20 m de longitud; lanza de tres efectos (cierre, pulverización y chorro compacto) construida en plástico ABS y válvula de cierre de asiento de 45 mm (1 1/2"), de latón, con manómetro 0-16 bar; para instalar en superficie. Coeficiente de descarga K de 85 (métrico). Incluso accesorios y elementos de fijación y conexionado. Certificada por AENOR según UNE-EN 671-2. Incluye: Suministro, montaje, soportación de armario, conexionado con tubería de alimentación, accesorios y comprobación de su correcto funcionamiento.</t>
  </si>
  <si>
    <t>Uds.</t>
  </si>
  <si>
    <t>Largo</t>
  </si>
  <si>
    <t>Ancho</t>
  </si>
  <si>
    <t>Alto</t>
  </si>
  <si>
    <t>Parcial</t>
  </si>
  <si>
    <t>Subtotal</t>
  </si>
  <si>
    <t>Cavallerises</t>
  </si>
  <si>
    <t>Tribuna</t>
  </si>
  <si>
    <t>Torre control</t>
  </si>
  <si>
    <t>IOB041</t>
  </si>
  <si>
    <t>Partida</t>
  </si>
  <si>
    <t>Ud</t>
  </si>
  <si>
    <t>Hidrante bajo nivel de tierra.</t>
  </si>
  <si>
    <t>Suministro e instalación de hidrante bajo nivel de tierra, de 4" DN 100 mm de diámetro, con dos salidas de 2 1/2" DN 70 mm, con racores, tapones, arqueta prefabricada, marco y tapa circular para calzada. Incluso elementos de fijación y de conexionado a red.
Incluye: Replanteo. Suministro, montaje, accesorios, conexionado a red de alimentación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</si>
  <si>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</si>
  <si>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</si>
  <si>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</si>
  <si>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</si>
  <si>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</si>
  <si>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</si>
  <si>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Paddock</t>
  </si>
  <si>
    <t>Cavallerises</t>
  </si>
  <si>
    <t>Centro medico</t>
  </si>
  <si>
    <t>Tribuna</t>
  </si>
  <si>
    <t>01.02.02</t>
  </si>
  <si>
    <t>01.02.03</t>
  </si>
  <si>
    <t>Capítulo</t>
  </si>
  <si>
    <t>ACONDICIONAMIENTO PROTECCIÓN PASIVA  ANILLO 1</t>
  </si>
  <si>
    <t>01.02.03.01</t>
  </si>
  <si>
    <t>Capítulo</t>
  </si>
  <si>
    <t>MODIFICACION MEDIOS PROTECCIÓN PASIVA CONTRAINCENDIOS ESCUELA RACC</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</si>
  <si>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</si>
  <si>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</si>
  <si>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</si>
  <si>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</si>
  <si>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</si>
  <si>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</si>
  <si>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</si>
  <si>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</si>
  <si>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</si>
  <si>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</si>
  <si>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</si>
  <si>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</si>
  <si>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</si>
  <si>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</si>
  <si>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</si>
  <si>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</si>
  <si>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</si>
  <si>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</si>
  <si>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</si>
  <si>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</si>
  <si>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</si>
  <si>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</si>
  <si>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01.02.03.01</t>
  </si>
  <si>
    <t>01.02.03.02</t>
  </si>
  <si>
    <t>Capítulo</t>
  </si>
  <si>
    <t>MODIFICACION MEDIOS PROTECCIÓN PASIVA CONTRAINCENDIOS SERVICIOS</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</si>
  <si>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</si>
  <si>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</si>
  <si>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</si>
  <si>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</si>
  <si>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</si>
  <si>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</si>
  <si>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</si>
  <si>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</si>
  <si>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</si>
  <si>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</si>
  <si>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</si>
  <si>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</si>
  <si>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</si>
  <si>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</si>
  <si>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</si>
  <si>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</si>
  <si>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</si>
  <si>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</si>
  <si>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</si>
  <si>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</si>
  <si>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</si>
  <si>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</si>
  <si>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01.02.03.02</t>
  </si>
  <si>
    <t>01.02.03.03</t>
  </si>
  <si>
    <t>Capítulo</t>
  </si>
  <si>
    <t>MODIFICACION MEDIOS PROTECCIÓN PASIVA CONTRAINCENDIOS MIRADOR DE SOCIOS</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</si>
  <si>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</si>
  <si>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</si>
  <si>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</si>
  <si>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</si>
  <si>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</si>
  <si>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</si>
  <si>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</si>
  <si>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</si>
  <si>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</si>
  <si>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</si>
  <si>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</si>
  <si>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</si>
  <si>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</si>
  <si>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</si>
  <si>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</si>
  <si>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</si>
  <si>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</si>
  <si>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</si>
  <si>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</si>
  <si>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</si>
  <si>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</si>
  <si>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</si>
  <si>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01.02.03.03</t>
  </si>
  <si>
    <t>01.02.03.04</t>
  </si>
  <si>
    <t>Capítulo</t>
  </si>
  <si>
    <t>MODIFICACION MEDIOS PROTECCIÓN PASIVA CONTRAINCENDIOS CAVALLERISES</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</si>
  <si>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</si>
  <si>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</si>
  <si>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</si>
  <si>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</si>
  <si>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</si>
  <si>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</si>
  <si>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</si>
  <si>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</si>
  <si>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</si>
  <si>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</si>
  <si>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</si>
  <si>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</si>
  <si>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</si>
  <si>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</si>
  <si>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</si>
  <si>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</si>
  <si>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</si>
  <si>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</si>
  <si>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</si>
  <si>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</si>
  <si>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</si>
  <si>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</si>
  <si>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01.02.03.04</t>
  </si>
  <si>
    <t>01.02.03.05</t>
  </si>
  <si>
    <t>Capítulo</t>
  </si>
  <si>
    <t>MODIFICACION MEDIOS PROTECCIÓN PASIVA CONTRAINCENDIOS OFICINAS MORENETA</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</si>
  <si>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</si>
  <si>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</si>
  <si>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</si>
  <si>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</si>
  <si>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</si>
  <si>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</si>
  <si>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</si>
  <si>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</si>
  <si>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</si>
  <si>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</si>
  <si>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</si>
  <si>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</si>
  <si>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</si>
  <si>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</si>
  <si>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</si>
  <si>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</si>
  <si>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</si>
  <si>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</si>
  <si>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</si>
  <si>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</si>
  <si>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</si>
  <si>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</si>
  <si>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01.02.03.05</t>
  </si>
  <si>
    <t>01.02.03.06</t>
  </si>
  <si>
    <t>Capítulo</t>
  </si>
  <si>
    <t>MODIFICACION MEDIOS PROTECCIÓN PASIVA CONTRAINCENDIOS OFICINAS CRISTAL PALACE</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</si>
  <si>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</si>
  <si>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</si>
  <si>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</si>
  <si>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</si>
  <si>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</si>
  <si>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</si>
  <si>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</si>
  <si>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</si>
  <si>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</si>
  <si>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</si>
  <si>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</si>
  <si>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</si>
  <si>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</si>
  <si>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</si>
  <si>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</si>
  <si>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</si>
  <si>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</si>
  <si>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</si>
  <si>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</si>
  <si>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</si>
  <si>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</si>
  <si>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</si>
  <si>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01.02.03.06</t>
  </si>
  <si>
    <t>01.02.03.07</t>
  </si>
  <si>
    <t>Capítulo</t>
  </si>
  <si>
    <t>MODIFICACION MEDIOS PROTECCIÓN PASIVA CONTRAINCENDIOS CENTRO MÉDICO</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</si>
  <si>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</si>
  <si>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</si>
  <si>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</si>
  <si>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</si>
  <si>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</si>
  <si>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</si>
  <si>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</si>
  <si>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</si>
  <si>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</si>
  <si>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</si>
  <si>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</si>
  <si>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</si>
  <si>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</si>
  <si>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</si>
  <si>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</si>
  <si>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</si>
  <si>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</si>
  <si>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</si>
  <si>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</si>
  <si>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</si>
  <si>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</si>
  <si>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</si>
  <si>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01.02.03.07</t>
  </si>
  <si>
    <t>01.02.03.08</t>
  </si>
  <si>
    <t>Capítulo</t>
  </si>
  <si>
    <t>MODIFICACION MEDIOS PROTECCIÓN PASIVA CONTRAINCENDIOS TORRE DE CONTROL</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</si>
  <si>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</si>
  <si>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</si>
  <si>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</si>
  <si>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</si>
  <si>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</si>
  <si>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</si>
  <si>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</si>
  <si>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</si>
  <si>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</si>
  <si>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</si>
  <si>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</si>
  <si>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</si>
  <si>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</si>
  <si>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</si>
  <si>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</si>
  <si>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</si>
  <si>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</si>
  <si>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</si>
  <si>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</si>
  <si>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</si>
  <si>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</si>
  <si>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</si>
  <si>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01.02.03.08</t>
  </si>
  <si>
    <t>01.02.03.09</t>
  </si>
  <si>
    <t>Capítulo</t>
  </si>
  <si>
    <t>MODIFICACION MEDIOS PROTECCIÓN PASIVA CONTRAINCENDIOS PADDOCK/BOXES</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</si>
  <si>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</si>
  <si>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</si>
  <si>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</si>
  <si>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</si>
  <si>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</si>
  <si>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</si>
  <si>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</si>
  <si>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</si>
  <si>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</si>
  <si>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</si>
  <si>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</si>
  <si>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</si>
  <si>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</si>
  <si>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</si>
  <si>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</si>
  <si>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</si>
  <si>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</si>
  <si>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</si>
  <si>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</si>
  <si>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</si>
  <si>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</si>
  <si>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</si>
  <si>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01.02.03.09</t>
  </si>
  <si>
    <t>01.02.03.10</t>
  </si>
  <si>
    <t>Capítulo</t>
  </si>
  <si>
    <t>MODIFICACION MEDIOS PROTECCIÓN PASIVA CONTRAINCENDIOS TRIBUNA PRINCIPAL</t>
  </si>
  <si>
    <t>IOJ010</t>
  </si>
  <si>
    <t>Partida</t>
  </si>
  <si>
    <t>Ud</t>
  </si>
  <si>
    <t>Sellado de paso de cables con espuma intumescente hueco 40x20 cm.</t>
  </si>
  <si>
    <t>Sellado de paso de bandejas de cables, con mazos de cables con aislamiento de hueco 40x20 cm, a través de una abertura de 100 cm², en muro o forjado, para protección pasiva contra incendios y garantizar la resistencia al fuego EI 60, con espuma intumescente con propiedades ignífugas.</t>
  </si>
  <si>
    <t>Uds.</t>
  </si>
  <si>
    <t>Largo</t>
  </si>
  <si>
    <t>Ancho</t>
  </si>
  <si>
    <t>Alto</t>
  </si>
  <si>
    <t>Parcial</t>
  </si>
  <si>
    <t>Subtotal</t>
  </si>
  <si>
    <t>IOR010b</t>
  </si>
  <si>
    <t>Partida</t>
  </si>
  <si>
    <t>m2</t>
  </si>
  <si>
    <t>Instalación de sistemas prefabricados para mejora de resistencia al fuego de elementos estructurales, resist. fuego equiv. EI60</t>
  </si>
  <si>
    <t>Instalación de sistemas prefabricados para mejora de resistencia al fuego de elementos estructurales con placas de yeso laminado con una resistencia al fuego equivalente EI60.</t>
  </si>
  <si>
    <t>Uds.</t>
  </si>
  <si>
    <t>Largo</t>
  </si>
  <si>
    <t>Ancho</t>
  </si>
  <si>
    <t>Alto</t>
  </si>
  <si>
    <t>Parcial</t>
  </si>
  <si>
    <t>Subtotal</t>
  </si>
  <si>
    <t>01.02.03.10</t>
  </si>
  <si>
    <t>01.02.03</t>
  </si>
  <si>
    <t>01.02.04</t>
  </si>
  <si>
    <t>Capítulo</t>
  </si>
  <si>
    <t>OBRA CIVIL ALJIBE Y GRUPO PRESIÓN</t>
  </si>
  <si>
    <t>N-ANS011</t>
  </si>
  <si>
    <t>Partida</t>
  </si>
  <si>
    <t>m2</t>
  </si>
  <si>
    <t>Solera hormigón e=30cm</t>
  </si>
  <si>
    <t>Solera de hormigón armado de 30 cm de espesor, realizada con hormigón HA-25 fabricado en central, y vertido desde camión, y malla electrosoldada 150x150x8 mm. como armadura de reparto, incluidos separadores. Espesor de hormigón 225 mm. Incluye encachado de piedra de 80mm. de espesor. Incluido pruebas de carga de la solera.</t>
  </si>
  <si>
    <t>Uds.</t>
  </si>
  <si>
    <t>Largo</t>
  </si>
  <si>
    <t>Ancho</t>
  </si>
  <si>
    <t>Alto</t>
  </si>
  <si>
    <t>Parcial</t>
  </si>
  <si>
    <t>Subtotal</t>
  </si>
  <si>
    <t>Aljibe</t>
  </si>
  <si>
    <t>Caseta grupo de presión</t>
  </si>
  <si>
    <t>01.02.04</t>
  </si>
  <si>
    <t>01.02</t>
  </si>
  <si>
    <t>01.03</t>
  </si>
  <si>
    <t>Capítulo</t>
  </si>
  <si>
    <t>VARIOS CAPÍTULO 01</t>
  </si>
  <si>
    <t>07001</t>
  </si>
  <si>
    <t>Partida</t>
  </si>
  <si>
    <t>Pa</t>
  </si>
  <si>
    <t>Partida alzada a justificar para para Imprevistos capítulo 1</t>
  </si>
  <si>
    <t>Partida alzada a justificar para para Imprevistos capítulo 1</t>
  </si>
  <si>
    <t>Uds.</t>
  </si>
  <si>
    <t>Largo</t>
  </si>
  <si>
    <t>Ancho</t>
  </si>
  <si>
    <t>Alto</t>
  </si>
  <si>
    <t>Parcial</t>
  </si>
  <si>
    <t>Subtotal</t>
  </si>
  <si>
    <t>070011</t>
  </si>
  <si>
    <t>Partida</t>
  </si>
  <si>
    <t>Pa</t>
  </si>
  <si>
    <t>Partida alzada a justificar para redacción proyecto as built capítulo 1</t>
  </si>
  <si>
    <t>Partida alzada a justificar para redacción proyecto as built capítulo 1</t>
  </si>
  <si>
    <t>Uds.</t>
  </si>
  <si>
    <t>Largo</t>
  </si>
  <si>
    <t>Ancho</t>
  </si>
  <si>
    <t>Alto</t>
  </si>
  <si>
    <t>Parcial</t>
  </si>
  <si>
    <t>Subtotal</t>
  </si>
  <si>
    <t>070012</t>
  </si>
  <si>
    <t>Partida</t>
  </si>
  <si>
    <t>Pa</t>
  </si>
  <si>
    <t>Partida alzada a justificar para nuevos estudios y/o recálculos necesarios capítulo 1</t>
  </si>
  <si>
    <t>Partida alzada a justificar para nuevos estudios y/o recálculos necesarios capítulo 1</t>
  </si>
  <si>
    <t>Uds.</t>
  </si>
  <si>
    <t>Largo</t>
  </si>
  <si>
    <t>Ancho</t>
  </si>
  <si>
    <t>Alto</t>
  </si>
  <si>
    <t>Parcial</t>
  </si>
  <si>
    <t>Subtotal</t>
  </si>
  <si>
    <t>070013</t>
  </si>
  <si>
    <t>Partida</t>
  </si>
  <si>
    <t>Pa</t>
  </si>
  <si>
    <t>Partida alzada  a justificar en obra en concepto de requerimientos de responsables del Circuit , Dirección de obra, Asistencia técnica y Project Management</t>
  </si>
  <si>
    <t>Partida alzada  a justificar en obra en concepto de requerimientos de responsables del Circuit , Dirección de obra, Asistencia técnica y Project Management</t>
  </si>
  <si>
    <t>Uds.</t>
  </si>
  <si>
    <t>Largo</t>
  </si>
  <si>
    <t>Ancho</t>
  </si>
  <si>
    <t>Alto</t>
  </si>
  <si>
    <t>Parcial</t>
  </si>
  <si>
    <t>Subtotal</t>
  </si>
  <si>
    <t>070014</t>
  </si>
  <si>
    <t>Partida</t>
  </si>
  <si>
    <t>Pa</t>
  </si>
  <si>
    <t>Partida alzada de abono integro Seguridad y Salud</t>
  </si>
  <si>
    <t>Partida alzada de abono integro Seguridad y Salud</t>
  </si>
  <si>
    <t>Uds.</t>
  </si>
  <si>
    <t>Largo</t>
  </si>
  <si>
    <t>Ancho</t>
  </si>
  <si>
    <t>Alto</t>
  </si>
  <si>
    <t>Parcial</t>
  </si>
  <si>
    <t>Subtotal</t>
  </si>
  <si>
    <t>070015</t>
  </si>
  <si>
    <t>Partida</t>
  </si>
  <si>
    <t>Pa</t>
  </si>
  <si>
    <t>Partida alzada a justificar para reposición de SSAA</t>
  </si>
  <si>
    <t>Partida alzada a justificar para reposición de SSAA</t>
  </si>
  <si>
    <t>Uds.</t>
  </si>
  <si>
    <t>Largo</t>
  </si>
  <si>
    <t>Ancho</t>
  </si>
  <si>
    <t>Alto</t>
  </si>
  <si>
    <t>Parcial</t>
  </si>
  <si>
    <t>Subtotal</t>
  </si>
  <si>
    <t>070016</t>
  </si>
  <si>
    <t>Partida</t>
  </si>
  <si>
    <t>Pa</t>
  </si>
  <si>
    <t>Partida alzada a justificar de gestión de residuos capítulo 1</t>
  </si>
  <si>
    <t>Partida alzada a justificar de gestión de residuos capítulo 1</t>
  </si>
  <si>
    <t>Uds.</t>
  </si>
  <si>
    <t>Largo</t>
  </si>
  <si>
    <t>Ancho</t>
  </si>
  <si>
    <t>Alto</t>
  </si>
  <si>
    <t>Parcial</t>
  </si>
  <si>
    <t>Subtotal</t>
  </si>
  <si>
    <t>070017</t>
  </si>
  <si>
    <t>Partida</t>
  </si>
  <si>
    <t>Pa</t>
  </si>
  <si>
    <t>Partida alzada a justificar control de calidad capítulo 1</t>
  </si>
  <si>
    <t>Partida alzada a justificar control de calidad capítulo 1</t>
  </si>
  <si>
    <t>Uds.</t>
  </si>
  <si>
    <t>Largo</t>
  </si>
  <si>
    <t>Ancho</t>
  </si>
  <si>
    <t>Alto</t>
  </si>
  <si>
    <t>Parcial</t>
  </si>
  <si>
    <t>Subtotal</t>
  </si>
  <si>
    <t>01.03</t>
  </si>
  <si>
    <t>01</t>
  </si>
  <si>
    <t>02</t>
  </si>
  <si>
    <t>Capítulo</t>
  </si>
  <si>
    <t>CAPÍTULO 02</t>
  </si>
  <si>
    <t>02.01</t>
  </si>
  <si>
    <t>Capítulo</t>
  </si>
  <si>
    <t>CANALIZACIONES EN ZANJA ANILLO 2</t>
  </si>
  <si>
    <t>02.01.01</t>
  </si>
  <si>
    <t>Capítulo</t>
  </si>
  <si>
    <t>OBRA CIVIL CANALIZACIONES ANILLO 2</t>
  </si>
  <si>
    <t>ADE010c</t>
  </si>
  <si>
    <t>Partida</t>
  </si>
  <si>
    <t>m³</t>
  </si>
  <si>
    <t>Excavación de zanjas y pozos c/zanjadora.</t>
  </si>
  <si>
    <t>Excavación de zanjas para instalaciones hasta una profundidad de 2 m, en cualquier tipo de terreno, con zanjadora, carga a camión.
Criterio de valoración económica: El precio  incluye el transporte de los materiales excavados sobrantes a vertedero y cànon de vertido.
Incluye: Replanteo general y fijación de los puntos y niveles de referencia. Colocación de las camillas en las esquinas y extremos de las alineaciones. Excavación en sucesivas franjas horizontales y extracción de tierras. Refinado de fondos con extracción de las tierras. Carga a camión de los materiales excavados sobrantes, transportes a vertedero y cànon.
El precio incluye campaña de catas con retro de pequeñas dimensiones cada 50m y detección completa de tramos para localización de servicios existentes con georadar.</t>
  </si>
  <si>
    <t>Uds.</t>
  </si>
  <si>
    <t>Largo</t>
  </si>
  <si>
    <t>Ancho</t>
  </si>
  <si>
    <t>Alto</t>
  </si>
  <si>
    <t>Parcial</t>
  </si>
  <si>
    <t>Subtotal</t>
  </si>
  <si>
    <t>Longitud tuberías</t>
  </si>
  <si>
    <t>Remod. tubo exist.</t>
  </si>
  <si>
    <t>ADE010r</t>
  </si>
  <si>
    <t>Partida</t>
  </si>
  <si>
    <t>ud</t>
  </si>
  <si>
    <t>Desplazamiento de zanjadora</t>
  </si>
  <si>
    <t>Desplazamiento de zanjadora</t>
  </si>
  <si>
    <t>Uds.</t>
  </si>
  <si>
    <t>Largo</t>
  </si>
  <si>
    <t>Ancho</t>
  </si>
  <si>
    <t>Alto</t>
  </si>
  <si>
    <t>Parcial</t>
  </si>
  <si>
    <t>Subtotal</t>
  </si>
  <si>
    <t>ADE010s</t>
  </si>
  <si>
    <t>Partida</t>
  </si>
  <si>
    <t>ud</t>
  </si>
  <si>
    <t>Cata con retro mixta y 3 operarios</t>
  </si>
  <si>
    <t>Cata con retro mixta y 3 operarios</t>
  </si>
  <si>
    <t>Uds.</t>
  </si>
  <si>
    <t>Largo</t>
  </si>
  <si>
    <t>Ancho</t>
  </si>
  <si>
    <t>Alto</t>
  </si>
  <si>
    <t>Parcial</t>
  </si>
  <si>
    <t>Subtotal</t>
  </si>
  <si>
    <t>ADE010t</t>
  </si>
  <si>
    <t>Partida</t>
  </si>
  <si>
    <t>ud</t>
  </si>
  <si>
    <t>Jornada de detección de servicios existentes en el subsuelo con georadar y planos de resultado</t>
  </si>
  <si>
    <t>Jornada de detección de servicios existentes en el subsuelo con georadar y planos de resultado</t>
  </si>
  <si>
    <t>Uds.</t>
  </si>
  <si>
    <t>Largo</t>
  </si>
  <si>
    <t>Ancho</t>
  </si>
  <si>
    <t>Alto</t>
  </si>
  <si>
    <t>Parcial</t>
  </si>
  <si>
    <t>Subtotal</t>
  </si>
  <si>
    <t>ADE010b</t>
  </si>
  <si>
    <t>Partida</t>
  </si>
  <si>
    <t>m³</t>
  </si>
  <si>
    <t>Excavación de zanjas y pozos, c/retroexcavadora</t>
  </si>
  <si>
    <t>Excavación de zanjas y pozos,hasta 2m de profundidad, en todo tipo de terreno con medios mecánicos y carga sobre camión, con transportes a vertedero o lugar de uso, incluye cánon de vertido de vertedero.El precio incluye campaña de catas con retro de pequeñas dimensiones cada 50m y detección completa de tramos para localización de servicios existentes con georadar.</t>
  </si>
  <si>
    <t>Uds.</t>
  </si>
  <si>
    <t>Largo</t>
  </si>
  <si>
    <t>Ancho</t>
  </si>
  <si>
    <t>Alto</t>
  </si>
  <si>
    <t>Parcial</t>
  </si>
  <si>
    <t>Subtotal</t>
  </si>
  <si>
    <t xml:space="preserve">Previsión de abastecimiento para PCI de zona restaurante sur </t>
  </si>
  <si>
    <t>Previsión de abastecimiento para PCI de  Zona Socios</t>
  </si>
  <si>
    <t>Previsión de abastecimiento para PCI de  Tramo Helipuerto-Cavallerises</t>
  </si>
  <si>
    <t>Previsión de abastecimiento para PCI de  Entrada Sur</t>
  </si>
  <si>
    <t>ADR010b</t>
  </si>
  <si>
    <t>Partida</t>
  </si>
  <si>
    <t>m³</t>
  </si>
  <si>
    <t>Relleno de zanjas para instalaciones.</t>
  </si>
  <si>
    <t>Relleno envolvente y principal de zanjas para instalaciones, con tierra seleccionada procedente de la propia excavación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</si>
  <si>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Uds.</t>
  </si>
  <si>
    <t>Largo</t>
  </si>
  <si>
    <t>Ancho</t>
  </si>
  <si>
    <t>Alto</t>
  </si>
  <si>
    <t>Parcial</t>
  </si>
  <si>
    <t>Subtotal</t>
  </si>
  <si>
    <t>Longitud tuberías</t>
  </si>
  <si>
    <t xml:space="preserve">Previsión de abastecimiento para PCI de zona restaurante sur </t>
  </si>
  <si>
    <t>Previsión de abastecimiento para PCI de  Zona Socios</t>
  </si>
  <si>
    <t>Previsión de abastecimiento para PCI de  Tramo Helipuerto-Cavallerises</t>
  </si>
  <si>
    <t>Previsión de abastecimiento para PCI de  Entrada Sur</t>
  </si>
  <si>
    <t>UFF010b</t>
  </si>
  <si>
    <t>Partida</t>
  </si>
  <si>
    <t>tn</t>
  </si>
  <si>
    <t>Pavimentación con MBC.</t>
  </si>
  <si>
    <t>Formación de firme flexible, compuesto por: mezcla bituminosa en caliente en tapado de zanja: 2 capas  de 6 cm de espesor formada por  mezcla bituminosa en caliente AC 22 intermedia y rodadura,  adecuado para tráfico T2 , y betún asfáltico 60/70.
Incluye:  Preparación de la superficie para la imprimación. Preparación de la superficie para el riego de adherencia. Estudio de la mezcla y obtención de la fórmula de trabajo de la mezcla bituminosa. Preparación de la superficie existente para la capa de mezcla bituminosa. Aprovisionamiento de áridos para la fabricación de la mezcla bituminosa y betún . Fabricación de la mezcla bituminosa. Transporte de la mezcla bituminosa. Extensión de la mezcla bituminosa. Compactación de la capa de mezcla bituminosa. Ejecución de juntas transversales y longitudinales en la capa de mezcla bituminosa. 
densidad considerada 2,4.</t>
  </si>
  <si>
    <t>Uds.</t>
  </si>
  <si>
    <t>Largo</t>
  </si>
  <si>
    <t>Ancho</t>
  </si>
  <si>
    <t>Alto</t>
  </si>
  <si>
    <t>Parcial</t>
  </si>
  <si>
    <t>Subtotal</t>
  </si>
  <si>
    <t>Longitud tuberías</t>
  </si>
  <si>
    <t xml:space="preserve">Previsión de abastecimiento para PCI de zona restaurante sur </t>
  </si>
  <si>
    <t>Previsión de abastecimiento para PCI de  Tramo Helipuerto-Cavallerises</t>
  </si>
  <si>
    <t>Previsión de abastecimiento para PCI de  Tramo Helipuerto-Cavallerises</t>
  </si>
  <si>
    <t>Previsión de abastecimiento para PCI de  Entrada Sur</t>
  </si>
  <si>
    <t>N-FRES031</t>
  </si>
  <si>
    <t>Partida</t>
  </si>
  <si>
    <t>m²/cm</t>
  </si>
  <si>
    <t>Fresado de pavimento de aglomerado asfáltico en calzada, con martillo neumático.</t>
  </si>
  <si>
    <t>Fresado de pavimento de aglomerado asfáltico en calzada, mediante fresadora en frío compacta, sin incluir la demolición de la base soporte. Incluso p/p de corte previo del contorno con cortadora de asfalto, limpieza, acopio, retirada y carga manual de escombros sobre camión o contenedor, transporte y gestión de residuos.
Incluye: Corte del contorno con cortadora de asfalto. Demolición del pavimento con martillo neumático. Fragmentación de los escombros en piezas manejables. Retirada y acopio de escombros. Limpieza de los restos de obra. Carga manual de escombros sobre camión o contenedor. Transporte y gestión de residuos incluida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</si>
  <si>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</si>
  <si>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</si>
  <si>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</si>
  <si>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</si>
  <si>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</si>
  <si>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</si>
  <si>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Longitud tuberías</t>
  </si>
  <si>
    <t xml:space="preserve">Previsión de abastecimiento para PCI de zona restaurante sur </t>
  </si>
  <si>
    <t>Previsión de abastecimiento para PCI de  Zona Socios</t>
  </si>
  <si>
    <t>Previsión de abastecimiento para PCI de  Tramo Helipuerto-Cavallerises</t>
  </si>
  <si>
    <t>Previsión de abastecimiento para PCI de  Entrada Sur</t>
  </si>
  <si>
    <t>N-ZAH001</t>
  </si>
  <si>
    <t>Partida</t>
  </si>
  <si>
    <t>m³</t>
  </si>
  <si>
    <t>Subbase granular con zahorra natural granítica</t>
  </si>
  <si>
    <t>Subbase granular con zahorra natural granítica, y compactación al 98% del Proctor Modificado con medios mecánicos, en tongadas de 30 cm de espesor, hasta alcanzar una densidad seca no inferior al al 98% del Proctor Modificado de la máxima obtenida en el ensayo Proctor Modificado, realizado según UNE 103501, para mejora de las propiedades resistentes del terreno. El precio no incluye la realización del ensayo Proctor Modificado.</t>
  </si>
  <si>
    <t>Uds.</t>
  </si>
  <si>
    <t>Largo</t>
  </si>
  <si>
    <t>Ancho</t>
  </si>
  <si>
    <t>Alto</t>
  </si>
  <si>
    <t>Parcial</t>
  </si>
  <si>
    <t>Subtotal</t>
  </si>
  <si>
    <t>Longitud tuberías</t>
  </si>
  <si>
    <t xml:space="preserve">Previsión de abastecimiento para PCI de zona restaurante sur </t>
  </si>
  <si>
    <t>Previsión de abastecimiento para PCI de  Tramo Helipuerto-Cavallerises</t>
  </si>
  <si>
    <t>Previsión de abastecimiento para PCI de  Tramo Helipuerto-Cavallerises</t>
  </si>
  <si>
    <t>Previsión de abastecimiento para PCI de  Entrada Sur</t>
  </si>
  <si>
    <t>N-RIADH001</t>
  </si>
  <si>
    <t>Partida</t>
  </si>
  <si>
    <t>m²</t>
  </si>
  <si>
    <t>Riego de adherencia ECR-1</t>
  </si>
  <si>
    <t>Riego de adherencia, con emulsión asfáltica catiónica de rotura rápida ECR-1 con una dotación de 0,50 kg/m2., incluso barrido y preparación de la superficie</t>
  </si>
  <si>
    <t>Uds.</t>
  </si>
  <si>
    <t>Largo</t>
  </si>
  <si>
    <t>Ancho</t>
  </si>
  <si>
    <t>Alto</t>
  </si>
  <si>
    <t>Parcial</t>
  </si>
  <si>
    <t>Subtotal</t>
  </si>
  <si>
    <t>Longitud tuberías</t>
  </si>
  <si>
    <t xml:space="preserve">Previsión de abastecimiento para PCI de zona restaurante sur </t>
  </si>
  <si>
    <t>Previsión de abastecimiento para PCI de  Tramo Helipuerto-Cavallerises</t>
  </si>
  <si>
    <t>Previsión de abastecimiento para PCI de  Tramo Helipuerto-Cavallerises</t>
  </si>
  <si>
    <t>Previsión de abastecimiento para PCI de  Entrada Sur</t>
  </si>
  <si>
    <t>N-RIIMP001</t>
  </si>
  <si>
    <t>Partida</t>
  </si>
  <si>
    <t>m²</t>
  </si>
  <si>
    <t>Riego de imprimación ECI.</t>
  </si>
  <si>
    <t>Riego de imprimación, con emulsión asfáltica catiónica de imprimación ECI, de capas granulares, con una dotación de 1 kg/m2., incluso barrido y preparación de la superficie.</t>
  </si>
  <si>
    <t>Uds.</t>
  </si>
  <si>
    <t>Largo</t>
  </si>
  <si>
    <t>Ancho</t>
  </si>
  <si>
    <t>Alto</t>
  </si>
  <si>
    <t>Parcial</t>
  </si>
  <si>
    <t>Subtotal</t>
  </si>
  <si>
    <t>Longitud tuberías</t>
  </si>
  <si>
    <t xml:space="preserve">Previsión de abastecimiento para PCI de zona restaurante sur </t>
  </si>
  <si>
    <t>Previsión de abastecimiento para PCI de  Tramo Helipuerto-Cavallerises</t>
  </si>
  <si>
    <t>Previsión de abastecimiento para PCI de  Tramo Helipuerto-Cavallerises</t>
  </si>
  <si>
    <t>Previsión de abastecimiento para PCI de  Entrada Sur</t>
  </si>
  <si>
    <t>IFW070b</t>
  </si>
  <si>
    <t>Partida</t>
  </si>
  <si>
    <t>Ud</t>
  </si>
  <si>
    <t>Arqueta de hormigón 60x60x60cm</t>
  </si>
  <si>
    <t>Formación de arqueta enterrada, de dimensiones interiores 60x60x60 cm, de hormigón en masa "in situ" HM-30/B/20/X0+XA2, sobre solera de hormigón en masa HM-30/B/20/X0+XA2 de 15 cm de espesor, con marco y tapa de fundición clase B-125 según UNE-EN 124, para alojamiento de la válvula; previa excavación con medios mecánicos y posterior relleno del trasdós con material granular. Incluso molde reutilizable de chapa metálica, amortizable en 20 usos.
Incluye: Replanteo. Excavación con medios mecánicos. Eliminación de las tierras sueltas del fondo de la excavación. Vertido y compactación del hormigón en formación de solera. Colocación del encofrado metálico. Vertido y compactación del hormigón en formación de la arqueta previa humectación del encofrado. Retirada del encofrado. Conexionado de los tubos a la arqueta. Colocación de la tapa. Relleno del trasdós.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</si>
  <si>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</si>
  <si>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</si>
  <si>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</si>
  <si>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</si>
  <si>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</si>
  <si>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</si>
  <si>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Válvulas</t>
  </si>
  <si>
    <t>Arquetas de paso cada 50m</t>
  </si>
  <si>
    <t>ADR010a</t>
  </si>
  <si>
    <t>Partida</t>
  </si>
  <si>
    <t>Ud</t>
  </si>
  <si>
    <t>Dado de anclaje de hormigón</t>
  </si>
  <si>
    <t>Dado de anclaje de hormigón HA-25/P/20/I, para anclaje de piezas o válvulas en conducciones de diámetro entre 60 y 225 mm, incluida la colocación de armaduras y el vibrado del hormigón</t>
  </si>
  <si>
    <t>Uds.</t>
  </si>
  <si>
    <t>Largo</t>
  </si>
  <si>
    <t>Ancho</t>
  </si>
  <si>
    <t>Alto</t>
  </si>
  <si>
    <t>Parcial</t>
  </si>
  <si>
    <t>Subtotal</t>
  </si>
  <si>
    <t>Válvulas</t>
  </si>
  <si>
    <t>Codos</t>
  </si>
  <si>
    <t>Tes</t>
  </si>
  <si>
    <t>02.01.01</t>
  </si>
  <si>
    <t>02.01.02</t>
  </si>
  <si>
    <t>Capítulo</t>
  </si>
  <si>
    <t>TUBERÍA Y VALVULERÍA CANALIZACIONES ANILLO 2</t>
  </si>
  <si>
    <t>IOB022b</t>
  </si>
  <si>
    <t>Partida</t>
  </si>
  <si>
    <t>m</t>
  </si>
  <si>
    <t>Tubería PEAD DN125</t>
  </si>
  <si>
    <t>Suministro e instalación de red enterrada de distribución de agua para abastecimiento de los equipos de extinción de incendios, formada por tubería de polietileno (PE), de 125 mm de diámetro, unión electrosoldable, colocada sobre lecho de arena de 15 cm de espesor, debidamente compactada y nivelada con pisón vibrante de guiado manual, relleno lateral compactando hasta los riñones y posterior relleno con la misma arena hasta 5 cm por encima de la generatriz superior. Incluso  codos, tes, dados de anclaje, piezas de conexión, accesorios y piezas especiales.
Criterio de valoración económica: El precio no incluye la excavación ni el relleno principal.
Incluye: Replanteo del recorrido de la tubería y de la situación de los elementos de sujeción. Suministro y presentación de tubos. Suministro y vertido de la arena. Ejecución del relleno envolvente con arena. Colocación de tubería. Realización de pruebas de servicio. Codos, tes, y demás accesorios. Dados de anclaje.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</si>
  <si>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</si>
  <si>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</si>
  <si>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</si>
  <si>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</si>
  <si>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</si>
  <si>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</si>
  <si>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 xml:space="preserve">Anillo exterior </t>
  </si>
  <si>
    <t xml:space="preserve">Previsión de abastecimiento para PCI de zona restaurante sur </t>
  </si>
  <si>
    <t>Previsión de abastecimiento para PCI de  Zona Socios</t>
  </si>
  <si>
    <t>Previsión de abastecimiento para PCI de  Tramo Helipuerto-Cavallerises</t>
  </si>
  <si>
    <t>Previsión de abastecimiento para PCI de  Entrada Sur</t>
  </si>
  <si>
    <t>IOB025e</t>
  </si>
  <si>
    <t>Partida</t>
  </si>
  <si>
    <t>Ud</t>
  </si>
  <si>
    <t>Válvula compuerta 5".</t>
  </si>
  <si>
    <t>Suministro e instalación de válvula de compuerta de husillo ascendente y cierre elástico, unión con bridas, de 5" de diámetro, PN=16 bar, formada por cuerpo, disco en cuña y volante de fundición dúctil y husillo de acero inoxidable.incluida arqueta prefabricada de 60x60 con tapa metálica.
Incluye: Montaje, soportación,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</si>
  <si>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</si>
  <si>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</si>
  <si>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</si>
  <si>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</si>
  <si>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</si>
  <si>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</si>
  <si>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Tramo 3-20</t>
  </si>
  <si>
    <t>02.01.02</t>
  </si>
  <si>
    <t>02.01</t>
  </si>
  <si>
    <t>02.02</t>
  </si>
  <si>
    <t>Capítulo</t>
  </si>
  <si>
    <t>EQUIPOS CAPÍTULO 02</t>
  </si>
  <si>
    <t>02.02.01</t>
  </si>
  <si>
    <t>Capítulo</t>
  </si>
  <si>
    <t>BIES E HIDRANTES ANILLO 2</t>
  </si>
  <si>
    <t>IOB041bbb</t>
  </si>
  <si>
    <t>Partida</t>
  </si>
  <si>
    <t>Ud</t>
  </si>
  <si>
    <t>BIES 25mm</t>
  </si>
  <si>
    <t>Suministro e instalación de boca de incendio equipada (BIE), de 25 mm (1") y de 680x480x215 mm, compuesta de: armario construido en acero de 1,2 mm de espesor, acabado con pintura epoxi color rojo RAL 3000 y puerta semiciega con ventana de metacrilato de acero de 1,2 mm de espesor, acabado con pintura epoxi color rojo RAL 3000;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para instalar en superficie. Coeficiente de descarga K de 42 (métrico). Incluso accesorios y elementos de fijación y conexionado. Certificada por AENOR según UNE-EN 671-1. Incluye: Replanteo. Suministro, montaje, soportación de armario, conexionado con tubería de alimentación, accesorios y comprobación de su correcto funcionamiento.</t>
  </si>
  <si>
    <t>Uds.</t>
  </si>
  <si>
    <t>Largo</t>
  </si>
  <si>
    <t>Ancho</t>
  </si>
  <si>
    <t>Alto</t>
  </si>
  <si>
    <t>Parcial</t>
  </si>
  <si>
    <t>Subtotal</t>
  </si>
  <si>
    <t>socios</t>
  </si>
  <si>
    <t>IOB041</t>
  </si>
  <si>
    <t>Partida</t>
  </si>
  <si>
    <t>Ud</t>
  </si>
  <si>
    <t>Hidrante bajo nivel de tierra.</t>
  </si>
  <si>
    <t>Suministro e instalación de hidrante bajo nivel de tierra, de 4" DN 100 mm de diámetro, con dos salidas de 2 1/2" DN 70 mm, con racores, tapones, arqueta prefabricada, marco y tapa circular para calzada. Incluso elementos de fijación y de conexionado a red.
Incluye: Replanteo. Suministro, montaje, accesorios, conexionado a red de alimentación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</si>
  <si>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</si>
  <si>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</si>
  <si>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</si>
  <si>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</si>
  <si>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</si>
  <si>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</si>
  <si>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Racc</t>
  </si>
  <si>
    <t>02.02.01</t>
  </si>
  <si>
    <t>02.02</t>
  </si>
  <si>
    <t>02.03</t>
  </si>
  <si>
    <t>Capítulo</t>
  </si>
  <si>
    <t>VARIOS CAPÍTULO 02</t>
  </si>
  <si>
    <t>07002</t>
  </si>
  <si>
    <t>Partida</t>
  </si>
  <si>
    <t>Pa</t>
  </si>
  <si>
    <t>Partida alzada a justificar para Imprevistos capítulo 2</t>
  </si>
  <si>
    <t>Partida alzada a justificar para Imprevistos capítulo 2</t>
  </si>
  <si>
    <t>Uds.</t>
  </si>
  <si>
    <t>Largo</t>
  </si>
  <si>
    <t>Ancho</t>
  </si>
  <si>
    <t>Alto</t>
  </si>
  <si>
    <t>Parcial</t>
  </si>
  <si>
    <t>Subtotal</t>
  </si>
  <si>
    <t>070021</t>
  </si>
  <si>
    <t>Partida</t>
  </si>
  <si>
    <t>Pa</t>
  </si>
  <si>
    <t>Partida alzada  a justificar en obra en concepto de requerimientos de responsables del Circuit , Dirección de obra, Asistencia técnica y Project Management</t>
  </si>
  <si>
    <t>Partida alzada  a justificar en obra en concepto de requerimientos de responsables del Circuit , Dirección de obra, Asistencia técnica y Project Management</t>
  </si>
  <si>
    <t>Uds.</t>
  </si>
  <si>
    <t>Largo</t>
  </si>
  <si>
    <t>Ancho</t>
  </si>
  <si>
    <t>Alto</t>
  </si>
  <si>
    <t>Parcial</t>
  </si>
  <si>
    <t>Subtotal</t>
  </si>
  <si>
    <t>070022</t>
  </si>
  <si>
    <t>Partida</t>
  </si>
  <si>
    <t>Pa</t>
  </si>
  <si>
    <t>Partida alzada de abono integro Seguridad y Salud</t>
  </si>
  <si>
    <t>Partida alzada de abono integro Seguridad y Salud</t>
  </si>
  <si>
    <t>Uds.</t>
  </si>
  <si>
    <t>Largo</t>
  </si>
  <si>
    <t>Ancho</t>
  </si>
  <si>
    <t>Alto</t>
  </si>
  <si>
    <t>Parcial</t>
  </si>
  <si>
    <t>Subtotal</t>
  </si>
  <si>
    <t>070023</t>
  </si>
  <si>
    <t>Partida</t>
  </si>
  <si>
    <t>Pa</t>
  </si>
  <si>
    <t>Partida alzada a justificar para redacción proyecto as built capítulo 2</t>
  </si>
  <si>
    <t>Partida alzada a justificar para redacción proyecto as built capítulo 2</t>
  </si>
  <si>
    <t>Uds.</t>
  </si>
  <si>
    <t>Largo</t>
  </si>
  <si>
    <t>Ancho</t>
  </si>
  <si>
    <t>Alto</t>
  </si>
  <si>
    <t>Parcial</t>
  </si>
  <si>
    <t>Subtotal</t>
  </si>
  <si>
    <t>070024</t>
  </si>
  <si>
    <t>Partida</t>
  </si>
  <si>
    <t>Pa</t>
  </si>
  <si>
    <t>Partida alzada a justificar para nuevos estudios y/o recálculos necesarios capítulo 2</t>
  </si>
  <si>
    <t>Partida alzada a justificar para nuevos estudios y/o recálculos necesarios capítulo 2</t>
  </si>
  <si>
    <t>Uds.</t>
  </si>
  <si>
    <t>Largo</t>
  </si>
  <si>
    <t>Ancho</t>
  </si>
  <si>
    <t>Alto</t>
  </si>
  <si>
    <t>Parcial</t>
  </si>
  <si>
    <t>Subtotal</t>
  </si>
  <si>
    <t>070025</t>
  </si>
  <si>
    <t>Partida</t>
  </si>
  <si>
    <t>Pa</t>
  </si>
  <si>
    <t>Partida alzada a justificar para reposición de SSAA</t>
  </si>
  <si>
    <t>Partida alzada a justificar para reposición de SSAA</t>
  </si>
  <si>
    <t>Uds.</t>
  </si>
  <si>
    <t>Largo</t>
  </si>
  <si>
    <t>Ancho</t>
  </si>
  <si>
    <t>Alto</t>
  </si>
  <si>
    <t>Parcial</t>
  </si>
  <si>
    <t>Subtotal</t>
  </si>
  <si>
    <t>070026</t>
  </si>
  <si>
    <t>Partida</t>
  </si>
  <si>
    <t>Pa</t>
  </si>
  <si>
    <t>Partida alzada a justificar para gestión de residuos capítulo 2</t>
  </si>
  <si>
    <t>Partida alzada a justificar para gestión de residuos capítulo 2</t>
  </si>
  <si>
    <t>Uds.</t>
  </si>
  <si>
    <t>Largo</t>
  </si>
  <si>
    <t>Ancho</t>
  </si>
  <si>
    <t>Alto</t>
  </si>
  <si>
    <t>Parcial</t>
  </si>
  <si>
    <t>Subtotal</t>
  </si>
  <si>
    <t>070027</t>
  </si>
  <si>
    <t>Partida</t>
  </si>
  <si>
    <t>Pa</t>
  </si>
  <si>
    <t>Partida alzada a justificar para control de calidad capítulo 2</t>
  </si>
  <si>
    <t>Partida alzada a justificar para control de calidad capítulo 2</t>
  </si>
  <si>
    <t>Uds.</t>
  </si>
  <si>
    <t>Largo</t>
  </si>
  <si>
    <t>Ancho</t>
  </si>
  <si>
    <t>Alto</t>
  </si>
  <si>
    <t>Parcial</t>
  </si>
  <si>
    <t>Subtotal</t>
  </si>
  <si>
    <t>02.03</t>
  </si>
  <si>
    <t>02</t>
  </si>
  <si>
    <t>03</t>
  </si>
  <si>
    <t>Capítulo</t>
  </si>
  <si>
    <t>CAPÍTULO 03</t>
  </si>
  <si>
    <t>03.01</t>
  </si>
  <si>
    <t>Capítulo</t>
  </si>
  <si>
    <t>GRUPO BOMBEO Y ALJIBE</t>
  </si>
  <si>
    <t>IOB021</t>
  </si>
  <si>
    <t>Partida</t>
  </si>
  <si>
    <t>Ud</t>
  </si>
  <si>
    <t>Grupo de presión contraincendios</t>
  </si>
  <si>
    <t>Suministro e instalación de armario con grupo de presión, incluyendo:
Gru.con.inc. U 100/80 ED Norma 2012
Grupo contra incendios Para 110 m3 a 70 Metros de Columna de
Agua
Formada por Bomba JOCKEY + ELÉCTRICA + DIESEL Fabricada
por DBM
PUMPS Bajo norma UNE 23-500-2012
caudalímetro DN150 (6``)
(Incluye transporte Barcelona)</t>
  </si>
  <si>
    <t>Uds.</t>
  </si>
  <si>
    <t>Largo</t>
  </si>
  <si>
    <t>Ancho</t>
  </si>
  <si>
    <t>Alto</t>
  </si>
  <si>
    <t>Parcial</t>
  </si>
  <si>
    <t>Subtotal</t>
  </si>
  <si>
    <t>IOB020</t>
  </si>
  <si>
    <t>Partida</t>
  </si>
  <si>
    <t>Ud</t>
  </si>
  <si>
    <t>Depósito 120m3.</t>
  </si>
  <si>
    <t>Suministro e instalación de depósito de 120 m3 con las siguientes características:
Cuerpo :Construido con paneles prefabricados de acero según norma española UNE-EN-10346. Planchas con recubrimiento anticorrosión magnelis, acero revestido recomendable para corrosividad tipo C5 según la EN ISO 12944-2. Las uniones se realizan mediante tornillos especiales de acero galv. (grado 8,8 y/o 10,9). Interiormente el depósito queda cubierto con una membrana de PVC que garantiza su estanqueidad. El depósito está reforzado con perfiles “U” en el perímetro superior e inferior y en virolas intermedias cuando sea necesario.
Cubierta: Techo plano (no hermético) en chapas de acero galvanizado y prelacado. El soporte del techo se hace por medio de correas “zetabor”. El perímetro se cubre con un embellecedor tipo “L” que sirve de remate. Diseñado para soportar 72 Kg/m2.
Accesorios en acero galvanizado en caliente. Bridas DIN – PN - 16.
 -Aspiración: Compuesta de codo interior con placa antivortice y carrete exterior 1 – DN 200.
 -Retorno: Compuesto de codo interior y carrete exterior 1 – DN 150.
 -Llenado: Compuesto de carrete interior, carrete exterior y válvula de flotador 1 – DN 50.
 -Vaciado: Compuesto de carrete exterior y válvula de compuerta 1 – DN 50. 
 -Rebosadero: Compuesto de codo interior invertido carrete exterior 1 – DN 100
Incluye:
Boca de hombre vertical (600 mm.) en la primera virola.
Caseta de llenado con rejilla de venteo en la parte posterior.
Indicador de nivel manométrico. 
Escalera vertical de aluminio en exterior con protección y tramo de salida. 
Plataforma con barandilla en techo. 
Soportes exteriores regulables con abarcón para retorno, llenado y rebosadero.
Incluido: Transporte, puesto a pie de obra, montaje por personal especializado, incluyendo medios auxiliares y de elevación para su correcto montaje.
Pruebas de presión del depósito de agua. Retirada residuos sobrantes producidos durante el montaje.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</si>
  <si>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</si>
  <si>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</si>
  <si>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</si>
  <si>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</si>
  <si>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</si>
  <si>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</si>
  <si>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N-IOB022eb</t>
  </si>
  <si>
    <t>Partida</t>
  </si>
  <si>
    <t>m</t>
  </si>
  <si>
    <t>Tubería acero DN180</t>
  </si>
  <si>
    <t>Suministro e instalación de red aérea de distribución de agua para abastecimiento de los equipos de extinción de incendios, formada por tubería de acero negro estirado sin soldadura, de diámetro DN180,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Soportación y elementos de fijación.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</si>
  <si>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</si>
  <si>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</si>
  <si>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</si>
  <si>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</si>
  <si>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</si>
  <si>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</si>
  <si>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Colector aspiración grupo bombeo desde aljibe</t>
  </si>
  <si>
    <t>N-IOB022ec</t>
  </si>
  <si>
    <t>Partida</t>
  </si>
  <si>
    <t>m</t>
  </si>
  <si>
    <t>Tubería acero DN100</t>
  </si>
  <si>
    <t>Suministro e instalación de red aérea de distribución de agua para abastecimiento de los equipos de extinción de incendios, formada por tubería de acero negro estirado sin soldadura, de diámetro DN100,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Soportación y elementos de fijación.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</si>
  <si>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</si>
  <si>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</si>
  <si>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</si>
  <si>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</si>
  <si>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</si>
  <si>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</si>
  <si>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Retorno pruebas grupo presión a aljibe</t>
  </si>
  <si>
    <t>N-IOB022ed</t>
  </si>
  <si>
    <t>Partida</t>
  </si>
  <si>
    <t>m</t>
  </si>
  <si>
    <t>Tubería acero DN80</t>
  </si>
  <si>
    <t>Suministro e instalación de red aérea de distribución de agua para abastecimiento de los equipos de extinción de incendios, formada por tubería de acero negro estirado sin soldadura, de diámetro DN80,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Soportación y elementos de fijación.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</si>
  <si>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</si>
  <si>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</si>
  <si>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</si>
  <si>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</si>
  <si>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</si>
  <si>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</si>
  <si>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Tubería para llenado aljibe</t>
  </si>
  <si>
    <t>N-IOB022ee</t>
  </si>
  <si>
    <t>Partida</t>
  </si>
  <si>
    <t>m</t>
  </si>
  <si>
    <t>Tubería acero DN50</t>
  </si>
  <si>
    <t>Suministro e instalación de red aérea de distribución de agua para abastecimiento de los equipos de extinción de incendios, formada por tubería de acero negro estirado sin soldadura, de diámetro DN50, unión ranurada, sin calorifugar. Incluso material auxiliar para montaje y soportación a la obra,  codos, tes, accesorios y piezas especiales, mano de imprimación antioxidante de al menos 50 micras de espesor, y dos manos de esmalte rojo de al menos 40 micras de espesor cada una. Incluida soportación y medios auxilares y de elevación necesarios para la instalación.
Incluye: Replanteo del recorrido de la tubería y de la situación de los elementos de sujeción. Suministro y presentación de tubos. Soportación y elementos de fijación. Raspado y limpieza de óxidos. Aplicación de imprimación antioxidante y esmalte. Colocación de tubos. Realización de pruebas de servicio.
Criterio de medición de proyecto: Longitud medida según documentación gráfica de Proyecto.
Criterio de medición de obra: Se medirá la longitud realmente ejecutada según especificaciones de Proyecto.</t>
  </si>
  <si>
    <t>Uds.</t>
  </si>
  <si>
    <t>Largo</t>
  </si>
  <si>
    <t>Ancho</t>
  </si>
  <si>
    <t>Alto</t>
  </si>
  <si>
    <t>Parcial</t>
  </si>
  <si>
    <t>Subtotal</t>
  </si>
  <si>
    <t>Tubería para vaciado aljibe</t>
  </si>
  <si>
    <t>N-INEL01</t>
  </si>
  <si>
    <t>Partida</t>
  </si>
  <si>
    <t>Ud</t>
  </si>
  <si>
    <t>Alimentación eléctrica a aljibe desde contenedor grupo presión</t>
  </si>
  <si>
    <t>Conexionado de elementos eléctricos del aljibe desde cuadro eléctrico del contenedor del grupo presión, incluyendo suministro y montaje cableado, bandeja de PVC, tubo protección de acero inoxidable,cajas de conexión, conexionado, totalmente instalado.</t>
  </si>
  <si>
    <t>Uds.</t>
  </si>
  <si>
    <t>Largo</t>
  </si>
  <si>
    <t>Ancho</t>
  </si>
  <si>
    <t>Alto</t>
  </si>
  <si>
    <t>Parcial</t>
  </si>
  <si>
    <t>Subtotal</t>
  </si>
  <si>
    <t>N-CONT01</t>
  </si>
  <si>
    <t>Partida</t>
  </si>
  <si>
    <t>Ud</t>
  </si>
  <si>
    <t>Contenedor para grupo presión</t>
  </si>
  <si>
    <t>Suministro e instalación de contenedor para grupo de presión., con los siguientes elementos:
Bombas:
Cuadros eléctricos
-Cuadro eléctrico en armario metálicoen armario metálico con arranque automático/manual y paro manual para la bomba principal eléctrica y la bomba jockey.
-1 cuadro eléctrico en armario metálico con arranque automático/manual y paro manual para la bomba principal diésel
-1 cofre arranque emergencia
-Elementos de instrumentación.
Colector:
-1 colector de impulsión DN150 preparado para acoplar a los grupos de bombeo principales y a la bomba jockey.
-2 Válvulas de mariposa con indicador posición y final de carrera DN125
-2 Válvulas de retención. DN125
-1 depósito de expansión de 50lts./16kgs
-1 depósito de combustible de 140lts
-Presostatos
-Manómetros
-Otros elementos de montaje
Caseta contenedor:
-Dimensiones: 10,50x3,00 m.
-Material: Panel sandwich de 80 mm. de espesor, con estructura a base de perfiles IPE160
-Canalón de recogida de aguas y dos bajantes PVC DN60
-Falso suelo para paso de cableado y prolongación  de bajantes.
Sistemas auxiliares:
-Sistema de calefacción para mantener una temperatura superior a 10ºC
-Iluminación LED y de emergencia.
-Extintor de CO2 y extintor de polvo.
-Sistema de protección mediante rociadores.
-Cuadro eléctrico independiente para servicios del contenedor.
Totalmente terminado, conexionado, probado para su funcionamiento correcto. Incluido accesorios, medios elevación y medios auxiliares para su colocación.</t>
  </si>
  <si>
    <t>Uds.</t>
  </si>
  <si>
    <t>Largo</t>
  </si>
  <si>
    <t>Ancho</t>
  </si>
  <si>
    <t>Alto</t>
  </si>
  <si>
    <t>Parcial</t>
  </si>
  <si>
    <t>Subtotal</t>
  </si>
  <si>
    <t>03.01</t>
  </si>
  <si>
    <t>03.02</t>
  </si>
  <si>
    <t>Capítulo</t>
  </si>
  <si>
    <t>EQUIPOS PCI ANILLO 1</t>
  </si>
  <si>
    <t>IOD004b</t>
  </si>
  <si>
    <t>Partida</t>
  </si>
  <si>
    <t>Ud</t>
  </si>
  <si>
    <t>Pulsador de alarma, convencional.pcd-100</t>
  </si>
  <si>
    <t>Suministro e instalación de pulsador de alarma convencional rearmable, con llave de prueba, montaje de superficie. Marca Detnov, modelo PCD-100. Uso de interior. Color rojo. Incluye resistencia de 100 Ohm.-2W. Dimensiones 98x98x48mm. Certificado CPR EN54-11.
Incluye: Replanteo. Fijación al paramento.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</si>
  <si>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</si>
  <si>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</si>
  <si>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</si>
  <si>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</si>
  <si>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</si>
  <si>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</si>
  <si>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IOX010c</t>
  </si>
  <si>
    <t>Partida</t>
  </si>
  <si>
    <t>Ud</t>
  </si>
  <si>
    <t>Extintor ABC</t>
  </si>
  <si>
    <t>Suministro e instalación de extintor portátil de polvo químico ABC polivalente antibrasa, con presión incorporada, de eficacia 21A-144B-C, con 6 kg de agente extintor, con manómetro y manguera con boquilla difusora, alojado en armario metálico con puerta ciega, de 700x280x210 mm. Incluso accesorios de montaje.
Incluye: Replanteo. Armario metálico. Fijación del armario al paramento. Colocación del extintor dentro del armario.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</si>
  <si>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</si>
  <si>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</si>
  <si>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</si>
  <si>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</si>
  <si>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</si>
  <si>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</si>
  <si>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IOX010d</t>
  </si>
  <si>
    <t>Partida</t>
  </si>
  <si>
    <t>Ud</t>
  </si>
  <si>
    <t>Extintor AFF ESPUMOGENO</t>
  </si>
  <si>
    <t>Suministro e instalación de extintor portátil de espumógenos AFFF (Espumógeno formador de película acuosa), con presión incorporada, de eficacia 34A 233B 75F , con 6 kg de agente extintor, con manómetro y manguera con boquilla difusora, Incluido carro para transporte. Incluso accesorios de montaje.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</si>
  <si>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</si>
  <si>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</si>
  <si>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</si>
  <si>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</si>
  <si>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</si>
  <si>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</si>
  <si>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Paddock</t>
  </si>
  <si>
    <t>IOX010f</t>
  </si>
  <si>
    <t>Partida</t>
  </si>
  <si>
    <t>Ud</t>
  </si>
  <si>
    <t>Extintor CO2</t>
  </si>
  <si>
    <t>Suministro e instalación de extintor portátil de nieve carbónica CO2, de eficacia 89B, con 5 kg de agente extintor, alojado en armario con puerta ciega. Incluso accesorios de montaje.
Incluye: Replanteo. Fijación del armario al paramento. Colocación del extintor dentro del armario.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</si>
  <si>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</si>
  <si>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</si>
  <si>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</si>
  <si>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</si>
  <si>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</si>
  <si>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</si>
  <si>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 xml:space="preserve">Servicios </t>
  </si>
  <si>
    <t>Cavallerises</t>
  </si>
  <si>
    <t>Centro médico</t>
  </si>
  <si>
    <t>Tribuna</t>
  </si>
  <si>
    <t xml:space="preserve">Torre control </t>
  </si>
  <si>
    <t>IOD002b</t>
  </si>
  <si>
    <t>Partida</t>
  </si>
  <si>
    <t>Ud</t>
  </si>
  <si>
    <t>DTD-210. Detector termovelocimétrico convencional</t>
  </si>
  <si>
    <t>Suministro e instalación de detector termovelocimétrico convencional (58ºC-8ºC/minuto) con led indicador de estado y salida para piloto remoto, sistema anti hurto. Marca Detnov, modelo DTD-210. Color blanco. Precisa base de conexión Z-200 o Z-200-H. Certificado CPR EN54-5. Dimensiones: 100 x 40 mm.
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</si>
  <si>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</si>
  <si>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</si>
  <si>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</si>
  <si>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</si>
  <si>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</si>
  <si>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</si>
  <si>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IOD002h</t>
  </si>
  <si>
    <t>Partida</t>
  </si>
  <si>
    <t>Ud</t>
  </si>
  <si>
    <t>DOD-220. Detector óptico de humo convencional</t>
  </si>
  <si>
    <t>Suministro e instalación de detector óptico de humo convencional con led indicador de estado y salida para piloto remoto, sistema anti hurto. Marca Detnov, modelo DOD-220. Color blanco. Precisa base de conexión Z-200 o Z-200-H. Certificado CPR EN54-7. Dimensiones: 100 x 40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</si>
  <si>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</si>
  <si>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</si>
  <si>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</si>
  <si>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</si>
  <si>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</si>
  <si>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</si>
  <si>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IOD002i</t>
  </si>
  <si>
    <t>Partida</t>
  </si>
  <si>
    <t>Ud</t>
  </si>
  <si>
    <t>Z-200. Base de conexión para detectores convencionales y analógicos</t>
  </si>
  <si>
    <t>Suministro e instalación de base de conexión para detectores de las series 200 y 200A. Marca Detnov, modelo Z-200. Dispone de sistema anti hurto del detector. Contactos metálicos inoxidables. Color blanco. Dimensiones: 5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</si>
  <si>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</si>
  <si>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</si>
  <si>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</si>
  <si>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</si>
  <si>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</si>
  <si>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</si>
  <si>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IOD002j</t>
  </si>
  <si>
    <t>Partida</t>
  </si>
  <si>
    <t>Ud</t>
  </si>
  <si>
    <t>Z-200-H. Base de conexión con entrada de tubo visto para detectores convencionales y analógicos</t>
  </si>
  <si>
    <t>Suministro e instalación de base de conexión con entrada de tubo visto para detectores de las series 200 y 200A. Marca Detnov, modelo Z-200-H. Dispone de sistema anti hurto del detector. Contactos metálicos inoxidables. Color blanco. Dimensiones: 43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</si>
  <si>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</si>
  <si>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</si>
  <si>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</si>
  <si>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</si>
  <si>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</si>
  <si>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</si>
  <si>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Base</t>
  </si>
  <si>
    <t>IOD003b</t>
  </si>
  <si>
    <t>Partida</t>
  </si>
  <si>
    <t>Ud</t>
  </si>
  <si>
    <t>Piloto indicador</t>
  </si>
  <si>
    <t>Suministro e instalación de piloto indicador de acción analógico con aislador incorporado. Gran luminosidad. Ocupa una dirección en el lazo Dimensiones: 80 x 80 x 27 mm. Marca Detnov, modelo PAD-10A-I. Instalación en paramento, incluso elementos de fijación.</t>
  </si>
  <si>
    <t>Uds.</t>
  </si>
  <si>
    <t>Largo</t>
  </si>
  <si>
    <t>Ancho</t>
  </si>
  <si>
    <t>Alto</t>
  </si>
  <si>
    <t>Parcial</t>
  </si>
  <si>
    <t>Subtotal</t>
  </si>
  <si>
    <t>piloto</t>
  </si>
  <si>
    <t>IOD003</t>
  </si>
  <si>
    <t>Partida</t>
  </si>
  <si>
    <t>Ud</t>
  </si>
  <si>
    <t>HOLA F24EN (SP). Sirena de alarma con flash de exterior bitonal</t>
  </si>
  <si>
    <t>Suministro e instalación de sirena de alarma con flash de exterior. 32 tonos seleccionables. Marca Detnov, modelo SFD-230. Alimentación a 24Vcc/8mA a 36mA según tono. IP65. Color rojo. Potencia acústica entre 78 y 116 dB según tono. Certificado CPR EN54-3. Dimensiones: 100x75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</si>
  <si>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</si>
  <si>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</si>
  <si>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</si>
  <si>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</si>
  <si>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</si>
  <si>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</si>
  <si>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IOD001</t>
  </si>
  <si>
    <t>Partida</t>
  </si>
  <si>
    <t>Ud</t>
  </si>
  <si>
    <t>CCD-102. Central de detección de incendios convencional de 2 zonas</t>
  </si>
  <si>
    <t>Suministro e instalación de central de detección de incendios convencional de 2 zonas montada en carcasa de plástico ABS. Marca Detnov, modelo CCD-102. Posibilidad de ser empotrada. Discrimina entre alarma de detector y alarma de pulsador. Hasta 32 detectores por zona. Posibilidad de conexión a PC mediante USB para programaciones complejas. Integrable a sistemas analógicos directamente al lazo.  Dispone de dos salidas de sirenas supervisadas configurables (1A consumo máximo entre ambas), salidas de alarma y avería por relé libre de tensión, salida 24V auxiliares (500 mA consumo máximo), salida 24V reseteables (500 mA consumo máximo) y 1 entrada exterior programable. Admite hasta 3 tarjetas de expansión (TRD-100: 4 salidas relés libres de tensión, TSD100: 4 salidas sirenas supervisadas, TMD-100: salida Modbus para integraciones, TCD: protocolo Contact ID para conexión a CRA, TPLD-100: integración al lazo analógico). Telemantenimiento y control remoto a través de la tarjeta TED-151WS. Indicaciones óptico-acústicas por zonas. Teclado multilingüe. Certificado CPR EN54-2, EN54-4 y EN54-13. Dimensiones: 443 x 268 x 109 mm. Incluidas 2 baterías BTD-1207.
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</si>
  <si>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</si>
  <si>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</si>
  <si>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</si>
  <si>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</si>
  <si>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</si>
  <si>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</si>
  <si>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centro medico</t>
  </si>
  <si>
    <t>crystal palace</t>
  </si>
  <si>
    <t>IOD001b</t>
  </si>
  <si>
    <t>Partida</t>
  </si>
  <si>
    <t>Ud</t>
  </si>
  <si>
    <t>CCD-104. Central de detección de incendios convencional de 4 zonas</t>
  </si>
  <si>
    <t>Suministro e instalación de central de detección de incendios convencional de 4 zonas montada en carcasa de plástico ABS. Marca Detnov, modelo CCD-104. Posibilidad de ser empotrada. Discrimina entre alarma de detector y alarma de pulsador. Hasta 32 detectores por zona. Posibilidad de conexión a PC mediante USB para programaciones complejas. Integrable a sistemas analógicos directamente al lazo.  Dispone de dos salidas de sirenas supervisadas configurables (1A consumo máximo entre ambas), salidas de alarma y avería por relé libre de tensión, salida 24V auxiliares (500 mA consumo máximo), salida 24V reseteables (500 mA consumo máximo) y 1 entrada exterior programable. Admite hasta 3 tarjetas de expansión (TRD-100: 4 salidas relés libres de tensión, TSD100: 4 salidas sirenas supervisadas, TMD-100: salida Modbus para integraciones, TCD: protocolo Contact ID para conexión a CRA, TPLD-100: integración al lazo analógico). Telemantenimiento y control remoto a través de la tarjeta TED-151WS. Indicaciones óptico-acústicas por zonas. Teclado multilingüe. Certificado CPR EN54-2, EN54-4 y EN54-13. Dimensiones: 443 x 268 x 109 mm. Precisa de 2 baterías BTD-1207 no incluidas.Criterio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</si>
  <si>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</si>
  <si>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</si>
  <si>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</si>
  <si>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</si>
  <si>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</si>
  <si>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</si>
  <si>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IOD001bc</t>
  </si>
  <si>
    <t>Partida</t>
  </si>
  <si>
    <t>Ud</t>
  </si>
  <si>
    <t>Software.Licencia del software gráfico</t>
  </si>
  <si>
    <t>Suministro de licencia del software gráfico hasta 1 central convencional de la serie CCD-100. Control, supervisión y gestión de la instalación de detección de incendio en entorno gráfico(PC).</t>
  </si>
  <si>
    <t>Uds.</t>
  </si>
  <si>
    <t>Largo</t>
  </si>
  <si>
    <t>Ancho</t>
  </si>
  <si>
    <t>Alto</t>
  </si>
  <si>
    <t>Parcial</t>
  </si>
  <si>
    <t>Subtotal</t>
  </si>
  <si>
    <t>software</t>
  </si>
  <si>
    <t>IOD001bb</t>
  </si>
  <si>
    <t>Partida</t>
  </si>
  <si>
    <t>Ud</t>
  </si>
  <si>
    <t>SGD-151-E-CCD. Ampliación licencia de software gráfico para central convencional adicional de la serie CCD-100</t>
  </si>
  <si>
    <t>Suministro e instalación de SGD-151-E-CCD. Ampliación licencia de software gráfico para central convencional adicional de la serie CCD-100</t>
  </si>
  <si>
    <t>Uds.</t>
  </si>
  <si>
    <t>Largo</t>
  </si>
  <si>
    <t>Ancho</t>
  </si>
  <si>
    <t>Alto</t>
  </si>
  <si>
    <t>Parcial</t>
  </si>
  <si>
    <t>Subtotal</t>
  </si>
  <si>
    <t>Servicios</t>
  </si>
  <si>
    <t>Cavallerises</t>
  </si>
  <si>
    <t>Centro médico</t>
  </si>
  <si>
    <t>crystral palace</t>
  </si>
  <si>
    <t>moreneta</t>
  </si>
  <si>
    <t>IOD001bd</t>
  </si>
  <si>
    <t>Partida</t>
  </si>
  <si>
    <t>Ud</t>
  </si>
  <si>
    <t>TED-151-CL. Tarjeta de comunicación TCP/IP, permite conexión a aplicación Detnov Cloud</t>
  </si>
  <si>
    <t>Suministro e instalación de TED-151-CL. Tarjeta de comunicación TCP/IP, permite conexión a aplicación Detnov Cloud</t>
  </si>
  <si>
    <t>Uds.</t>
  </si>
  <si>
    <t>Largo</t>
  </si>
  <si>
    <t>Ancho</t>
  </si>
  <si>
    <t>Alto</t>
  </si>
  <si>
    <t>Parcial</t>
  </si>
  <si>
    <t>Subtotal</t>
  </si>
  <si>
    <t>IOD001c</t>
  </si>
  <si>
    <t>Partida</t>
  </si>
  <si>
    <t>Ud</t>
  </si>
  <si>
    <t>CAD-250. Central modular de detección de incendios analógica ampliable hasta 32 lazos mediante tarjetas de 2 lazos (TBUD-250) y cajas de expansión (CAD-250-B; CAD-250-BLED).</t>
  </si>
  <si>
    <t>Suministro e instalación de central modular de detección de incendios analógica ampliable hasta 32 lazos mediante tarjetas de 2 lazos (TBUD-250) y cajas de expansión (CAD-250-B; CAD-250-BLED). Marca Detnov, modelo CAD-250. No incorpora lazos de detección. Pantalla táctil de 10" con gestión gráfica. 2048 zonas, 256 áreas y 1024 grupos. Registro histórico de 100.000 eventos. Software de configuración y mantenimiento gratuitos, configuración mediante puerto USB o Ethernet. 2 salidas de sirenas supervisadas y 2 salidas de relés libres de tensión en placa. Salida auxiliar de 24 V 500 mA. Conectable a una red (T-Network) de 64 centrales analógicas mediante RS485 o fibra óptica (no incluidas). Ethernet en placa para programación y telemantenimiento. Conectividad a Detnov Cloud. Cabina metálica. Multilingüe. Certificado CPR EN 54-2 y EN 54-4. Incluidas 2 baterías BTD-1224. Dimensiones: 533 x 453 x 212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</si>
  <si>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</si>
  <si>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</si>
  <si>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</si>
  <si>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</si>
  <si>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</si>
  <si>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</si>
  <si>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Paddock</t>
  </si>
  <si>
    <t>Tribuna</t>
  </si>
  <si>
    <t>Torre control</t>
  </si>
  <si>
    <t>IOD001dc</t>
  </si>
  <si>
    <t>Partida</t>
  </si>
  <si>
    <t>Ud</t>
  </si>
  <si>
    <t>TBUD-250. Tarjeta de expansión microprocesada de 2 lazos analógicos con capacidad de 500 dispositivos</t>
  </si>
  <si>
    <t>Suministro e instalación de tarjeta de expansión microprocesada de 2 lazos con capacidad de 500 dispositivos. Marca Detnov, modelo TBUD-250. 250 direcciones por lazo (detectores, módulos, sirenas o pulsadores). Conectable a las centrales analógicas CAD-250.</t>
  </si>
  <si>
    <t>Uds.</t>
  </si>
  <si>
    <t>Largo</t>
  </si>
  <si>
    <t>Ancho</t>
  </si>
  <si>
    <t>Alto</t>
  </si>
  <si>
    <t>Parcial</t>
  </si>
  <si>
    <t>Subtotal</t>
  </si>
  <si>
    <t>IOD001db</t>
  </si>
  <si>
    <t>Partida</t>
  </si>
  <si>
    <t>Ud</t>
  </si>
  <si>
    <t>SGD-151-1-2L. Licencia para 1 central analógica de la serie CAD-150 y CAD-250  de hasta dos lazos del software gráfico SGD-151.</t>
  </si>
  <si>
    <t>Suministro de licencia para 1 central analógica de la serie CAD-150 y CAD-250  de hasta dos lazos del software gráfico SGD-151. Control, supervisión y gestión de la instalación de detección de incendio en entorno gráfico (PC). Admite hasta 5 subestaciones (PC) de control esclavas</t>
  </si>
  <si>
    <t>Uds.</t>
  </si>
  <si>
    <t>Largo</t>
  </si>
  <si>
    <t>Ancho</t>
  </si>
  <si>
    <t>Alto</t>
  </si>
  <si>
    <t>Parcial</t>
  </si>
  <si>
    <t>Subtotal</t>
  </si>
  <si>
    <t>IOD001dd</t>
  </si>
  <si>
    <t>Partida</t>
  </si>
  <si>
    <t>Ud</t>
  </si>
  <si>
    <t>SGD-151-E-2L. Ampliación de licencia de 2 lazos analógicos adicionales del software gráfico SGD-151.</t>
  </si>
  <si>
    <t>Ampliación de licencia de 2 lazos analógicos adicionales del software gráfico SGD-151. Control, supervisión y gestión de la instalación de detección de incendio en entorno gráfico (PC). Admite hasta 5 subestaciones (PC) de control esclavas</t>
  </si>
  <si>
    <t>Uds.</t>
  </si>
  <si>
    <t>Largo</t>
  </si>
  <si>
    <t>Ancho</t>
  </si>
  <si>
    <t>Alto</t>
  </si>
  <si>
    <t>Parcial</t>
  </si>
  <si>
    <t>Subtotal</t>
  </si>
  <si>
    <t>IOD001df</t>
  </si>
  <si>
    <t>Partida</t>
  </si>
  <si>
    <t>Ud</t>
  </si>
  <si>
    <t>MAD-431-I. Módulo de control analógico con aislador incorporado de 1 salida de 24v supervisados</t>
  </si>
  <si>
    <t>Suministro e instalación de módulo de control analógico con aislador incorporado de 1 salida de 24v supervisados, para la activación de sistemas de señalización óptico-acústicos o maniobras que precisen alimentación, discriminando la avería de corte o cortocircuito en dicha línea. Marca Detnov, modelo MAD-431-I. Ocupa una dirección de lazo. Precisa alimentación auxiliar de 24 Vcc. Incluye led indicador de estado. Conexionado mediante regletas extraíbles de hasta 2,5mm2 de sección. Posibilidad de ser instalado en carril DIN o montaje plano a pared en caja BOX-400. Consumo menor de 300µA en reposo. Color rojo. Dimensiones 100 x 82 x 23 mm. Certificado CPR EN54-18 y EN54-17.Criterio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</si>
  <si>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</si>
  <si>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</si>
  <si>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</si>
  <si>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</si>
  <si>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</si>
  <si>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</si>
  <si>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IOD001de</t>
  </si>
  <si>
    <t>Partida</t>
  </si>
  <si>
    <t>Ud</t>
  </si>
  <si>
    <t>MAD-401-I. Módulo analógico monitor con aislador incorporado de 1 entrada técnica supervisada</t>
  </si>
  <si>
    <t>Suministro e instalación de módulo analógico monitor con aislador incorporado de 1 entrada técnica supervisada para la señalización de estado de equipos que proporcionan un contacto NC o NA. Marca Detnov, modelo MAD-401-I. Ocupa una dirección en el lazo. Alimentación directa desde el lazo. Incluye led indicador de estado. Conexionado mediante regletas extraíbles de hasta 2,5mm2 de sección. Posibilidad de ser instalado en carril DIN o montaje plano a pared en caja BOX-400. Consumo menor de 300µA en reposo. Color rojo. Dimensiones 100 x 82 x 23 mm. Certificado CPR EN54-18 y EN54-17.Criterio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</si>
  <si>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</si>
  <si>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</si>
  <si>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</si>
  <si>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</si>
  <si>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</si>
  <si>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</si>
  <si>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IOD001d</t>
  </si>
  <si>
    <t>Partida</t>
  </si>
  <si>
    <t>Ud</t>
  </si>
  <si>
    <t>CBD-KRF. Cable manguera rojo/negro de 2 x 1,5 mm², trenzado, apantallado y resistente al fuego</t>
  </si>
  <si>
    <t>Suministro e instalación de cable manguera rojo/negro de 2 x 1,5 mm². Trenzado y apantallado, de muy baja capacidad, libre de halógenos y resistente al fuego RF90. Marca Detnov, modelo CBD-KRF. Se suministra en rollos de 100 metros.
Incluido tendido, bandeja o tubo de protección, conexionado, listo para funcionar</t>
  </si>
  <si>
    <t>Uds.</t>
  </si>
  <si>
    <t>Largo</t>
  </si>
  <si>
    <t>Ancho</t>
  </si>
  <si>
    <t>Alto</t>
  </si>
  <si>
    <t>Parcial</t>
  </si>
  <si>
    <t>Subtotal</t>
  </si>
  <si>
    <t>Racc</t>
  </si>
  <si>
    <t>Serveis</t>
  </si>
  <si>
    <t>Socios</t>
  </si>
  <si>
    <t>Cavallerises</t>
  </si>
  <si>
    <t>Moreneta</t>
  </si>
  <si>
    <t>Cristal Palace</t>
  </si>
  <si>
    <t>Hospital</t>
  </si>
  <si>
    <t>Torre control</t>
  </si>
  <si>
    <t>Paddock y boxes</t>
  </si>
  <si>
    <t>Tribuna</t>
  </si>
  <si>
    <t>IOD001di</t>
  </si>
  <si>
    <t>Partida</t>
  </si>
  <si>
    <t>Ud</t>
  </si>
  <si>
    <t>DOD-220A-I. Detector óptico de humo con aislador incorporado para sistema analógico</t>
  </si>
  <si>
    <t>Suministro e instalación de detector óptico  de humo con aislador incorporado para sistema analógico, incorpora algoritmos de verificación y compensación de suciedad. Marca Detnov, modelo DOD-220A-I. Led indicador de estado y salida para piloto remoto o zumbador, sistema anti hurto. Color blanco. Precisa base de conexión Z-200 o Z-200-H. Certificados CPR EN54-7 y EN54-17. Dimensiones: 100 x 40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</si>
  <si>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</si>
  <si>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</si>
  <si>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</si>
  <si>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</si>
  <si>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</si>
  <si>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</si>
  <si>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0</t>
  </si>
  <si>
    <t>IOD001dh</t>
  </si>
  <si>
    <t>Partida</t>
  </si>
  <si>
    <t>Ud</t>
  </si>
  <si>
    <t>DTD-210A-I. Detector termovelocimétrico con aislador incorporado para sistema analógico</t>
  </si>
  <si>
    <t>Suministro e instalación de detector termovelocimétrico (58ºC-8ºC/minuto) con aislador incorporado para sistema analógico, incorpora algoritmos de verificación. Marca Detnov, modelo DTD-210A-I. Led indicador de estado y salida para piloto remoto o zumbador, sistema anti hurto. Color blanco. Precisa zócalo de conexión Z-200 o Z-200-H. Certificados CPR EN54-5 y EN54-17. Dimensiones: 100 x 40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</si>
  <si>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</si>
  <si>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</si>
  <si>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</si>
  <si>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</si>
  <si>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</si>
  <si>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</si>
  <si>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IOD002i</t>
  </si>
  <si>
    <t>Partida</t>
  </si>
  <si>
    <t>Ud</t>
  </si>
  <si>
    <t>Z-200. Base de conexión para detectores convencionales y analógicos</t>
  </si>
  <si>
    <t>Suministro e instalación de base de conexión para detectores de las series 200 y 200A. Marca Detnov, modelo Z-200. Dispone de sistema anti hurto del detector. Contactos metálicos inoxidables. Color blanco. Dimensiones: 5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</si>
  <si>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</si>
  <si>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</si>
  <si>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</si>
  <si>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</si>
  <si>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</si>
  <si>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</si>
  <si>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IOD002j</t>
  </si>
  <si>
    <t>Partida</t>
  </si>
  <si>
    <t>Ud</t>
  </si>
  <si>
    <t>Z-200-H. Base de conexión con entrada de tubo visto para detectores convencionales y analógicos</t>
  </si>
  <si>
    <t>Suministro e instalación de base de conexión con entrada de tubo visto para detectores de las series 200 y 200A. Marca Detnov, modelo Z-200-H. Dispone de sistema anti hurto del detector. Contactos metálicos inoxidables. Color blanco. Dimensiones: 43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</si>
  <si>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</si>
  <si>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</si>
  <si>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</si>
  <si>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</si>
  <si>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</si>
  <si>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</si>
  <si>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IOD001djb</t>
  </si>
  <si>
    <t>Partida</t>
  </si>
  <si>
    <t>Ud</t>
  </si>
  <si>
    <t>MAD-451-I. Pulsador de alarma analógico rearmable con aislador incorporado</t>
  </si>
  <si>
    <t>Suministro e instalación de pulsador de alarma analógico rearmable con aislador incorporado para montaje en superficie. Marca Detnov, modelo MAD-451-I. Incorpora led indicador de estado y llave de prueba. Color rojo. Certificados CPR EN 54-11 y EN 54-17. Dimensiones: 85 x 85 x 55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</si>
  <si>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</si>
  <si>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</si>
  <si>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</si>
  <si>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</si>
  <si>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</si>
  <si>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</si>
  <si>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0</t>
  </si>
  <si>
    <t>IOD001djdb</t>
  </si>
  <si>
    <t>Partida</t>
  </si>
  <si>
    <t>Ud</t>
  </si>
  <si>
    <t>Instalación eléctrica asociada a sistema de detección y comunicación de alarma</t>
  </si>
  <si>
    <t>Suministro e instalación de instalación eléctrica asociada a sistema de detección y alarma de incendios formada por central de detección automática de incendios, detectores de incendio ópticos y termovelocimétricos, pulsadores de alarma con señalización luminosa, sirena interior con señal acústica, sirena exterior con señal óptica y acústica y canalización de protección de cableado fija en superficie formada por tubo de PVC rígido, blindado, enchufable, de color negro, con IP54. Incluso cable no propagador de la llama libre de halógenos, elementos de fijación y cuantos accesorios sean necesarios para su correcta instalación..Criterio de medición de proyecto: Por instalación proyectada en edificio, según documentación gráfica de Proyecto.
Incluye: Replanteo. Montaje, conexionado y comprobación de su correcto funcionamiento.</t>
  </si>
  <si>
    <t>Uds.</t>
  </si>
  <si>
    <t>Largo</t>
  </si>
  <si>
    <t>Ancho</t>
  </si>
  <si>
    <t>Alto</t>
  </si>
  <si>
    <t>Parcial</t>
  </si>
  <si>
    <t>Subtotal</t>
  </si>
  <si>
    <t>Cavallerises</t>
  </si>
  <si>
    <t>Moreneta</t>
  </si>
  <si>
    <t>Paddock</t>
  </si>
  <si>
    <t>Tribuna</t>
  </si>
  <si>
    <t>Torre control</t>
  </si>
  <si>
    <t>centro medico</t>
  </si>
  <si>
    <t>crystal palace</t>
  </si>
  <si>
    <t xml:space="preserve">servicios </t>
  </si>
  <si>
    <t>IOD001djd</t>
  </si>
  <si>
    <t>Partida</t>
  </si>
  <si>
    <t>Ud</t>
  </si>
  <si>
    <t>MAD-565-I. Sirena de pared analógica y flash de color rojo con aislador incorporado</t>
  </si>
  <si>
    <t>Suministro e instalación de sirena de pared analógica y flash de color rojo con aislador incorporado para conexión directa al lazo. Marca Detnov, modelo MAD-565-I. 32 tonos  y 2 volúmenes configurables (Bajo, Alto). Potencia acústica de 95 dB  a 100 dB, dependiendo del tono seleccionado. Ocupa una dirección en el lazo. Color rojo. IP65. Base alta para entrada de tubo visto. Certificado CPR EN 54-3, EN54-23 y EN 54-17. Coberturas de W4-9 y W3-7. Se alimenta del lazo o desde una fuente exterior EN54-4. Dimensiones: 63 x 118 x 121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</si>
  <si>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</si>
  <si>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</si>
  <si>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</si>
  <si>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</si>
  <si>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</si>
  <si>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</si>
  <si>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0</t>
  </si>
  <si>
    <t>IOX010h</t>
  </si>
  <si>
    <t>Partida</t>
  </si>
  <si>
    <t>Kg</t>
  </si>
  <si>
    <t>GAS NOVEC FK-5-1-12 UL Kg de agente extintor</t>
  </si>
  <si>
    <t>Suministro y carga de GAS NOVEC FK-5-1-12 UL Kg de agente extintor</t>
  </si>
  <si>
    <t>Uds.</t>
  </si>
  <si>
    <t>Largo</t>
  </si>
  <si>
    <t>Ancho</t>
  </si>
  <si>
    <t>Alto</t>
  </si>
  <si>
    <t>Parcial</t>
  </si>
  <si>
    <t>Subtotal</t>
  </si>
  <si>
    <t>moreneta</t>
  </si>
  <si>
    <t>Crystal Palace</t>
  </si>
  <si>
    <t>IOX010i</t>
  </si>
  <si>
    <t>Partida</t>
  </si>
  <si>
    <t>Ud</t>
  </si>
  <si>
    <t>GAS NOVEC Cilindro modular 40L Químico 50 bar</t>
  </si>
  <si>
    <t>Suministro e instalación de Cilindro modular 40L Químico 50 bar
Incluye:
- Cilindro de alta presión sin soldadura de 40 L y 50 bar
- Tapón de transporte
- Etiqueta del cilindro
- VdS Válvula química 50 bar
- VdS Manómetro con contacto 50 bar
- VdS Actuador electromagnético 4,5 W/ 24 VdC
- VdS Actuador manual
- VdS Manguera de descarga
- Soporte
- Accesorios
Totalmente montado, conexionado y probado funcionamiento.</t>
  </si>
  <si>
    <t>Uds.</t>
  </si>
  <si>
    <t>Largo</t>
  </si>
  <si>
    <t>Ancho</t>
  </si>
  <si>
    <t>Alto</t>
  </si>
  <si>
    <t>Parcial</t>
  </si>
  <si>
    <t>Subtotal</t>
  </si>
  <si>
    <t>moreneta</t>
  </si>
  <si>
    <t>Crystal palace</t>
  </si>
  <si>
    <t>IOX010j</t>
  </si>
  <si>
    <t>Partida</t>
  </si>
  <si>
    <t>Ud</t>
  </si>
  <si>
    <t>GAS NOVEC Presostato en el colector</t>
  </si>
  <si>
    <t>Suministro e instalación de presostato en el colector
Incluye:
- Rosca G1/2" BSP
- Conectado al colector
- Notifica si se ha producido una descarga.
Totalmente montado, conexionado y probado funcionamiento.</t>
  </si>
  <si>
    <t>Uds.</t>
  </si>
  <si>
    <t>Largo</t>
  </si>
  <si>
    <t>Ancho</t>
  </si>
  <si>
    <t>Alto</t>
  </si>
  <si>
    <t>Parcial</t>
  </si>
  <si>
    <t>Subtotal</t>
  </si>
  <si>
    <t>Moreneta</t>
  </si>
  <si>
    <t>Torre control</t>
  </si>
  <si>
    <t>Crystal Palace</t>
  </si>
  <si>
    <t>IOX010k</t>
  </si>
  <si>
    <t>Partida</t>
  </si>
  <si>
    <t>Ud</t>
  </si>
  <si>
    <t>GAS NOVEC Boquilla de alta presión 1/2" BSP - 360º</t>
  </si>
  <si>
    <t>Suministro e instalación de boquilla de alta presión 1/2" BSP - 360º
Incluye:
- Diafragma calibrado. Diámetro de perforación determinado por cálculo hidráulico
Totalmente montado, conexionado y probado funcionamiento.</t>
  </si>
  <si>
    <t>Uds.</t>
  </si>
  <si>
    <t>Largo</t>
  </si>
  <si>
    <t>Ancho</t>
  </si>
  <si>
    <t>Alto</t>
  </si>
  <si>
    <t>Parcial</t>
  </si>
  <si>
    <t>Subtotal</t>
  </si>
  <si>
    <t>moreneta</t>
  </si>
  <si>
    <t>torre control</t>
  </si>
  <si>
    <t>Crystal palace</t>
  </si>
  <si>
    <t>IOX010h</t>
  </si>
  <si>
    <t>Partida</t>
  </si>
  <si>
    <t>Kg</t>
  </si>
  <si>
    <t>GAS NOVEC FK-5-1-12 UL Kg de agente extintor</t>
  </si>
  <si>
    <t>Suministro y carga de GAS NOVEC FK-5-1-12 UL Kg de agente extintor</t>
  </si>
  <si>
    <t>Uds.</t>
  </si>
  <si>
    <t>Largo</t>
  </si>
  <si>
    <t>Ancho</t>
  </si>
  <si>
    <t>Alto</t>
  </si>
  <si>
    <t>Parcial</t>
  </si>
  <si>
    <t>Subtotal</t>
  </si>
  <si>
    <t>sala armarios torre control</t>
  </si>
  <si>
    <t>IOX010m</t>
  </si>
  <si>
    <t>Partida</t>
  </si>
  <si>
    <t>Ud</t>
  </si>
  <si>
    <t>GAS NOVEC  Batería 2 cilindros 120L Químico 50 bar</t>
  </si>
  <si>
    <t>Suministro e instalación de batería 2 cilindros 120L Químico 50 bar
Incluye:
- Cilindro de alta presión sin soldadura de 120 L y 50 bar
- Tapón de transporte
- Etiqueta del cilindro
- VdS Válvula química 50 bar
- VdS Manómetro con contacto 50 bar
- VdS Actuador electromagnético 9,5 W/ 24 VdC
- VdS Actuador manual
- VdS Actuador neumático
- VdS Manguera de descarga
- Colector [determinado en cálculo hidráulico]
- Presostato en el colector
- Soporte
Totalmente montado, conexionado y probado funcionamiento.</t>
  </si>
  <si>
    <t>Uds.</t>
  </si>
  <si>
    <t>Largo</t>
  </si>
  <si>
    <t>Ancho</t>
  </si>
  <si>
    <t>Alto</t>
  </si>
  <si>
    <t>Parcial</t>
  </si>
  <si>
    <t>Subtotal</t>
  </si>
  <si>
    <t>torre control</t>
  </si>
  <si>
    <t>IOX010h</t>
  </si>
  <si>
    <t>Partida</t>
  </si>
  <si>
    <t>Kg</t>
  </si>
  <si>
    <t>GAS NOVEC FK-5-1-12 UL Kg de agente extintor</t>
  </si>
  <si>
    <t>Suministro y carga de GAS NOVEC FK-5-1-12 UL Kg de agente extintor</t>
  </si>
  <si>
    <t>Uds.</t>
  </si>
  <si>
    <t>Largo</t>
  </si>
  <si>
    <t>Ancho</t>
  </si>
  <si>
    <t>Alto</t>
  </si>
  <si>
    <t>Parcial</t>
  </si>
  <si>
    <t>Subtotal</t>
  </si>
  <si>
    <t>torre control sala ibercom</t>
  </si>
  <si>
    <t>03.02</t>
  </si>
  <si>
    <t>03.03</t>
  </si>
  <si>
    <t>Capítulo</t>
  </si>
  <si>
    <t>EQUIPOS PCI ANILLO 2</t>
  </si>
  <si>
    <t>IOX010c</t>
  </si>
  <si>
    <t>Partida</t>
  </si>
  <si>
    <t>Ud</t>
  </si>
  <si>
    <t>Extintor ABC</t>
  </si>
  <si>
    <t>Suministro e instalación de extintor portátil de polvo químico ABC polivalente antibrasa, con presión incorporada, de eficacia 21A-144B-C, con 6 kg de agente extintor, con manómetro y manguera con boquilla difusora, alojado en armario metálico con puerta ciega, de 700x280x210 mm. Incluso accesorios de montaje.
Incluye: Replanteo. Armario metálico. Fijación del armario al paramento. Colocación del extintor dentro del armario.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</si>
  <si>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</si>
  <si>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</si>
  <si>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</si>
  <si>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</si>
  <si>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</si>
  <si>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</si>
  <si>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racc</t>
  </si>
  <si>
    <t>socios</t>
  </si>
  <si>
    <t>IOX010l</t>
  </si>
  <si>
    <t>Partida</t>
  </si>
  <si>
    <t>Ud</t>
  </si>
  <si>
    <t>Extintor CO2</t>
  </si>
  <si>
    <t>Suministro e instalación de extintor portátil de nieve carbónica CO2, de eficacia 89B, con 5 kg de agente extintor, alojado en armario con puerta ciega. Incluso accesorios de montaje.
Incluye: Replanteo. Fijación del armario al paramento. Colocación del extintor dentro del armario.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</si>
  <si>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</si>
  <si>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</si>
  <si>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</si>
  <si>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</si>
  <si>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</si>
  <si>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</si>
  <si>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IOD002b</t>
  </si>
  <si>
    <t>Partida</t>
  </si>
  <si>
    <t>Ud</t>
  </si>
  <si>
    <t>DTD-210. Detector termovelocimétrico convencional</t>
  </si>
  <si>
    <t>Suministro e instalación de detector termovelocimétrico convencional (58ºC-8ºC/minuto) con led indicador de estado y salida para piloto remoto, sistema anti hurto. Marca Detnov, modelo DTD-210. Color blanco. Precisa base de conexión Z-200 o Z-200-H. Certificado CPR EN54-5. Dimensiones: 100 x 40 mm.
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</si>
  <si>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</si>
  <si>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</si>
  <si>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</si>
  <si>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</si>
  <si>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</si>
  <si>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</si>
  <si>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Socios</t>
  </si>
  <si>
    <t>IOD002h</t>
  </si>
  <si>
    <t>Partida</t>
  </si>
  <si>
    <t>Ud</t>
  </si>
  <si>
    <t>DOD-220. Detector óptico de humo convencional</t>
  </si>
  <si>
    <t>Suministro e instalación de detector óptico de humo convencional con led indicador de estado y salida para piloto remoto, sistema anti hurto. Marca Detnov, modelo DOD-220. Color blanco. Precisa base de conexión Z-200 o Z-200-H. Certificado CPR EN54-7. Dimensiones: 100 x 40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</si>
  <si>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</si>
  <si>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</si>
  <si>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</si>
  <si>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</si>
  <si>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</si>
  <si>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</si>
  <si>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IOD003</t>
  </si>
  <si>
    <t>Partida</t>
  </si>
  <si>
    <t>Ud</t>
  </si>
  <si>
    <t>HOLA F24EN (SP). Sirena de alarma con flash de exterior bitonal</t>
  </si>
  <si>
    <t>Suministro e instalación de sirena de alarma con flash de exterior. 32 tonos seleccionables. Marca Detnov, modelo SFD-230. Alimentación a 24Vcc/8mA a 36mA según tono. IP65. Color rojo. Potencia acústica entre 78 y 116 dB según tono. Certificado CPR EN54-3. Dimensiones: 100x75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</si>
  <si>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</si>
  <si>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</si>
  <si>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</si>
  <si>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</si>
  <si>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</si>
  <si>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</si>
  <si>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Racc</t>
  </si>
  <si>
    <t>socios</t>
  </si>
  <si>
    <t>IOD001</t>
  </si>
  <si>
    <t>Partida</t>
  </si>
  <si>
    <t>Ud</t>
  </si>
  <si>
    <t>CCD-102. Central de detección de incendios convencional de 2 zonas</t>
  </si>
  <si>
    <t>Suministro e instalación de central de detección de incendios convencional de 2 zonas montada en carcasa de plástico ABS. Marca Detnov, modelo CCD-102. Posibilidad de ser empotrada. Discrimina entre alarma de detector y alarma de pulsador. Hasta 32 detectores por zona. Posibilidad de conexión a PC mediante USB para programaciones complejas. Integrable a sistemas analógicos directamente al lazo.  Dispone de dos salidas de sirenas supervisadas configurables (1A consumo máximo entre ambas), salidas de alarma y avería por relé libre de tensión, salida 24V auxiliares (500 mA consumo máximo), salida 24V reseteables (500 mA consumo máximo) y 1 entrada exterior programable. Admite hasta 3 tarjetas de expansión (TRD-100: 4 salidas relés libres de tensión, TSD100: 4 salidas sirenas supervisadas, TMD-100: salida Modbus para integraciones, TCD: protocolo Contact ID para conexión a CRA, TPLD-100: integración al lazo analógico). Telemantenimiento y control remoto a través de la tarjeta TED-151WS. Indicaciones óptico-acústicas por zonas. Teclado multilingüe. Certificado CPR EN54-2, EN54-4 y EN54-13. Dimensiones: 443 x 268 x 109 mm. Incluidas 2 baterías BTD-1207.
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</si>
  <si>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</si>
  <si>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</si>
  <si>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</si>
  <si>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</si>
  <si>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</si>
  <si>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</si>
  <si>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Racc</t>
  </si>
  <si>
    <t>IOD001b</t>
  </si>
  <si>
    <t>Partida</t>
  </si>
  <si>
    <t>Ud</t>
  </si>
  <si>
    <t>CCD-104. Central de detección de incendios convencional de 4 zonas</t>
  </si>
  <si>
    <t>Suministro e instalación de central de detección de incendios convencional de 4 zonas montada en carcasa de plástico ABS. Marca Detnov, modelo CCD-104. Posibilidad de ser empotrada. Discrimina entre alarma de detector y alarma de pulsador. Hasta 32 detectores por zona. Posibilidad de conexión a PC mediante USB para programaciones complejas. Integrable a sistemas analógicos directamente al lazo.  Dispone de dos salidas de sirenas supervisadas configurables (1A consumo máximo entre ambas), salidas de alarma y avería por relé libre de tensión, salida 24V auxiliares (500 mA consumo máximo), salida 24V reseteables (500 mA consumo máximo) y 1 entrada exterior programable. Admite hasta 3 tarjetas de expansión (TRD-100: 4 salidas relés libres de tensión, TSD100: 4 salidas sirenas supervisadas, TMD-100: salida Modbus para integraciones, TCD: protocolo Contact ID para conexión a CRA, TPLD-100: integración al lazo analógico). Telemantenimiento y control remoto a través de la tarjeta TED-151WS. Indicaciones óptico-acústicas por zonas. Teclado multilingüe. Certificado CPR EN54-2, EN54-4 y EN54-13. Dimensiones: 443 x 268 x 109 mm. Precisa de 2 baterías BTD-1207 no incluidas.Criterio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</si>
  <si>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</si>
  <si>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</si>
  <si>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</si>
  <si>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</si>
  <si>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</si>
  <si>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</si>
  <si>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Socios</t>
  </si>
  <si>
    <t>IOD001bc</t>
  </si>
  <si>
    <t>Partida</t>
  </si>
  <si>
    <t>Ud</t>
  </si>
  <si>
    <t>Software.Licencia del software gráfico</t>
  </si>
  <si>
    <t>Suministro de licencia del software gráfico hasta 1 central convencional de la serie CCD-100. Control, supervisión y gestión de la instalación de detección de incendio en entorno gráfico(PC).</t>
  </si>
  <si>
    <t>Uds.</t>
  </si>
  <si>
    <t>Largo</t>
  </si>
  <si>
    <t>Ancho</t>
  </si>
  <si>
    <t>Alto</t>
  </si>
  <si>
    <t>Parcial</t>
  </si>
  <si>
    <t>Subtotal</t>
  </si>
  <si>
    <t>IOD001bb</t>
  </si>
  <si>
    <t>Partida</t>
  </si>
  <si>
    <t>Ud</t>
  </si>
  <si>
    <t>SGD-151-E-CCD. Ampliación licencia de software gráfico para central convencional adicional de la serie CCD-100</t>
  </si>
  <si>
    <t>Suministro e instalación de SGD-151-E-CCD. Ampliación licencia de software gráfico para central convencional adicional de la serie CCD-100</t>
  </si>
  <si>
    <t>Uds.</t>
  </si>
  <si>
    <t>Largo</t>
  </si>
  <si>
    <t>Ancho</t>
  </si>
  <si>
    <t>Alto</t>
  </si>
  <si>
    <t>Parcial</t>
  </si>
  <si>
    <t>Subtotal</t>
  </si>
  <si>
    <t>0</t>
  </si>
  <si>
    <t>IOD001bd</t>
  </si>
  <si>
    <t>Partida</t>
  </si>
  <si>
    <t>Ud</t>
  </si>
  <si>
    <t>TED-151-CL. Tarjeta de comunicación TCP/IP, permite conexión a aplicación Detnov Cloud</t>
  </si>
  <si>
    <t>Suministro e instalación de TED-151-CL. Tarjeta de comunicación TCP/IP, permite conexión a aplicación Detnov Cloud</t>
  </si>
  <si>
    <t>Uds.</t>
  </si>
  <si>
    <t>Largo</t>
  </si>
  <si>
    <t>Ancho</t>
  </si>
  <si>
    <t>Alto</t>
  </si>
  <si>
    <t>Parcial</t>
  </si>
  <si>
    <t>Subtotal</t>
  </si>
  <si>
    <t>IOD001d</t>
  </si>
  <si>
    <t>Partida</t>
  </si>
  <si>
    <t>Ud</t>
  </si>
  <si>
    <t>CBD-KRF. Cable manguera rojo/negro de 2 x 1,5 mm², trenzado, apantallado y resistente al fuego</t>
  </si>
  <si>
    <t>Suministro e instalación de cable manguera rojo/negro de 2 x 1,5 mm². Trenzado y apantallado, de muy baja capacidad, libre de halógenos y resistente al fuego RF90. Marca Detnov, modelo CBD-KRF. Se suministra en rollos de 100 metros.
Incluido tendido, bandeja o tubo de protección, conexionado, listo para funcionar</t>
  </si>
  <si>
    <t>Uds.</t>
  </si>
  <si>
    <t>Largo</t>
  </si>
  <si>
    <t>Ancho</t>
  </si>
  <si>
    <t>Alto</t>
  </si>
  <si>
    <t>Parcial</t>
  </si>
  <si>
    <t>Subtotal</t>
  </si>
  <si>
    <t>IOD002i</t>
  </si>
  <si>
    <t>Partida</t>
  </si>
  <si>
    <t>Ud</t>
  </si>
  <si>
    <t>Z-200. Base de conexión para detectores convencionales y analógicos</t>
  </si>
  <si>
    <t>Suministro e instalación de base de conexión para detectores de las series 200 y 200A. Marca Detnov, modelo Z-200. Dispone de sistema anti hurto del detector. Contactos metálicos inoxidables. Color blanco. Dimensiones: 5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</si>
  <si>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</si>
  <si>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</si>
  <si>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</si>
  <si>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</si>
  <si>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</si>
  <si>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</si>
  <si>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IOD002j</t>
  </si>
  <si>
    <t>Partida</t>
  </si>
  <si>
    <t>Ud</t>
  </si>
  <si>
    <t>Z-200-H. Base de conexión con entrada de tubo visto para detectores convencionales y analógicos</t>
  </si>
  <si>
    <t>Suministro e instalación de base de conexión con entrada de tubo visto para detectores de las series 200 y 200A. Marca Detnov, modelo Z-200-H. Dispone de sistema anti hurto del detector. Contactos metálicos inoxidables. Color blanco. Dimensiones: 43 x 100 mm.
Incluye: Replanteo. Fijación de la base.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</si>
  <si>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</si>
  <si>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</si>
  <si>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</si>
  <si>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</si>
  <si>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</si>
  <si>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</si>
  <si>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IOD004c</t>
  </si>
  <si>
    <t>Partida</t>
  </si>
  <si>
    <t>Ud</t>
  </si>
  <si>
    <t>Pulsador de alarma, convencional.pcd-100</t>
  </si>
  <si>
    <t>Suministro e instalación de pulsador de alarma convencional rearmable, con llave de prueba, montaje de superficie. Marca Detnov, modelo PCD-100. Uso de interior. Color rojo. Incluye resistencia de 100 Ohm.-2W. Dimensiones 98x98x48mm. Certificado CPR EN54-11.
Incluye: Replanteo. Fijación al paramento.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</si>
  <si>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</si>
  <si>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</si>
  <si>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</si>
  <si>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</si>
  <si>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</si>
  <si>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</si>
  <si>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IOD001djd</t>
  </si>
  <si>
    <t>Partida</t>
  </si>
  <si>
    <t>Ud</t>
  </si>
  <si>
    <t>MAD-565-I. Sirena de pared analógica y flash de color rojo con aislador incorporado</t>
  </si>
  <si>
    <t>Suministro e instalación de sirena de pared analógica y flash de color rojo con aislador incorporado para conexión directa al lazo. Marca Detnov, modelo MAD-565-I. 32 tonos  y 2 volúmenes configurables (Bajo, Alto). Potencia acústica de 95 dB  a 100 dB, dependiendo del tono seleccionado. Ocupa una dirección en el lazo. Color rojo. IP65. Base alta para entrada de tubo visto. Certificado CPR EN 54-3, EN54-23 y EN 54-17. Coberturas de W4-9 y W3-7. Se alimenta del lazo o desde una fuente exterior EN54-4. Dimensiones: 63 x 118 x 121 mm.Criterio de medición de proyecto: Número de unidades previstas, según documentación gráfica de Proyecto.
Criterio de medición de obra: Se medirá el número de unidades realmente ejecutadas según especificaciones de Proyecto.
Incluye: Replanteo. Montaje, conexionado y comprobación de su correcto funcionamiento.</t>
  </si>
  <si>
    <t>Uds.</t>
  </si>
  <si>
    <t>Largo</t>
  </si>
  <si>
    <t>Ancho</t>
  </si>
  <si>
    <t>Alto</t>
  </si>
  <si>
    <t>Parcial</t>
  </si>
  <si>
    <t>Subtotal</t>
  </si>
  <si>
    <t>0</t>
  </si>
  <si>
    <t>03.03</t>
  </si>
  <si>
    <t>03.04</t>
  </si>
  <si>
    <t>Capítulo</t>
  </si>
  <si>
    <t>VARIOS CAPÍTULO 03</t>
  </si>
  <si>
    <t>PA003</t>
  </si>
  <si>
    <t>Partida</t>
  </si>
  <si>
    <t>PA</t>
  </si>
  <si>
    <t>Partida alzada a justificar para imprevistos capítulo 03</t>
  </si>
  <si>
    <t>Partida alzada a justificar para imprevistos capítulo 03</t>
  </si>
  <si>
    <t>Uds.</t>
  </si>
  <si>
    <t>Largo</t>
  </si>
  <si>
    <t>Ancho</t>
  </si>
  <si>
    <t>Alto</t>
  </si>
  <si>
    <t>Parcial</t>
  </si>
  <si>
    <t>Subtotal</t>
  </si>
  <si>
    <t>PA0031</t>
  </si>
  <si>
    <t>Partida</t>
  </si>
  <si>
    <t>PA</t>
  </si>
  <si>
    <t>Partida alzada a justificar para nuevos estudios y/o recálculos necesarios capítulo 3</t>
  </si>
  <si>
    <t>Partida alzada a justificar para nuevos estudios y/o recálculos necesarios capítulo 3</t>
  </si>
  <si>
    <t>Uds.</t>
  </si>
  <si>
    <t>Largo</t>
  </si>
  <si>
    <t>Ancho</t>
  </si>
  <si>
    <t>Alto</t>
  </si>
  <si>
    <t>Parcial</t>
  </si>
  <si>
    <t>Subtotal</t>
  </si>
  <si>
    <t>PA0032</t>
  </si>
  <si>
    <t>Partida</t>
  </si>
  <si>
    <t>Pa</t>
  </si>
  <si>
    <t>Partida alzada a justificar para redacción proyecto as built capítulo 3</t>
  </si>
  <si>
    <t>Partida alzada a justificar para redacción proyecto as built capítulo 3</t>
  </si>
  <si>
    <t>Uds.</t>
  </si>
  <si>
    <t>Largo</t>
  </si>
  <si>
    <t>Ancho</t>
  </si>
  <si>
    <t>Alto</t>
  </si>
  <si>
    <t>Parcial</t>
  </si>
  <si>
    <t>Subtotal</t>
  </si>
  <si>
    <t>PA0033</t>
  </si>
  <si>
    <t>Partida</t>
  </si>
  <si>
    <t>PA</t>
  </si>
  <si>
    <t>Partida alzada de abono integro Seguridad y Salud</t>
  </si>
  <si>
    <t>Partida alzada de abono integro Seguridad y Salud</t>
  </si>
  <si>
    <t>Uds.</t>
  </si>
  <si>
    <t>Largo</t>
  </si>
  <si>
    <t>Ancho</t>
  </si>
  <si>
    <t>Alto</t>
  </si>
  <si>
    <t>Parcial</t>
  </si>
  <si>
    <t>Subtotal</t>
  </si>
  <si>
    <t>PA0034</t>
  </si>
  <si>
    <t>Partida</t>
  </si>
  <si>
    <t>PA</t>
  </si>
  <si>
    <t>Partida alzada  a justificar en obra en concepto de requerimientos de responsables del Circuit , Dirección de obra, Asistencia técnica y Project Management</t>
  </si>
  <si>
    <t>Partida alzada  a justificar en obra en concepto de requerimientos de responsables del Circuit , Dirección de obra, Asistencia técnica y Project Management</t>
  </si>
  <si>
    <t>Uds.</t>
  </si>
  <si>
    <t>Largo</t>
  </si>
  <si>
    <t>Ancho</t>
  </si>
  <si>
    <t>Alto</t>
  </si>
  <si>
    <t>Parcial</t>
  </si>
  <si>
    <t>Subtotal</t>
  </si>
  <si>
    <t>PA0035</t>
  </si>
  <si>
    <t>Partida</t>
  </si>
  <si>
    <t>PA</t>
  </si>
  <si>
    <t>Partida alzada a justificar para reposición de SSAA</t>
  </si>
  <si>
    <t>Partida alzada a justificar para reposición de SSAA</t>
  </si>
  <si>
    <t>Uds.</t>
  </si>
  <si>
    <t>Largo</t>
  </si>
  <si>
    <t>Ancho</t>
  </si>
  <si>
    <t>Alto</t>
  </si>
  <si>
    <t>Parcial</t>
  </si>
  <si>
    <t>Subtotal</t>
  </si>
  <si>
    <t>PA0036</t>
  </si>
  <si>
    <t>Partida</t>
  </si>
  <si>
    <t>Pa</t>
  </si>
  <si>
    <t>Partida alzada a justificar para gestión de residuos capítulo 3</t>
  </si>
  <si>
    <t>Partida alzada a justificar para gestión de residuos capítulo 3</t>
  </si>
  <si>
    <t>Uds.</t>
  </si>
  <si>
    <t>Largo</t>
  </si>
  <si>
    <t>Ancho</t>
  </si>
  <si>
    <t>Alto</t>
  </si>
  <si>
    <t>Parcial</t>
  </si>
  <si>
    <t>Subtotal</t>
  </si>
  <si>
    <t>PA0037</t>
  </si>
  <si>
    <t>Partida</t>
  </si>
  <si>
    <t>Pa</t>
  </si>
  <si>
    <t>Partida alzada a justificar para control de calidad capítulo 3</t>
  </si>
  <si>
    <t>Partida alzada a justificar para control de calidad capítulo 3</t>
  </si>
  <si>
    <t>Uds.</t>
  </si>
  <si>
    <t>Largo</t>
  </si>
  <si>
    <t>Ancho</t>
  </si>
  <si>
    <t>Alto</t>
  </si>
  <si>
    <t>Parcial</t>
  </si>
  <si>
    <t>Subtotal</t>
  </si>
  <si>
    <t>03.04</t>
  </si>
  <si>
    <t>03</t>
  </si>
  <si>
    <t>R17.05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</si>
</sst>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8">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
      <patternFill patternType="solid">
        <fgColor rgb="FF8AFD64"/>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88">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0" fontId="0" fillId="0" borderId="4" xfId="0" applyBorder="1" applyAlignment="1">
      <alignment horizontal="center" vertical="center"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1" xfId="0" applyBorder="1" applyAlignment="1">
      <alignment horizontal="center" vertical="center"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4" fontId="4" fillId="6" borderId="1" xfId="0" applyNumberFormat="1" applyFont="1" applyFill="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4" fillId="5" borderId="5"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5" fillId="0" borderId="4" xfId="0" applyFont="1" applyBorder="1" applyAlignment="1">
      <alignment horizontal="right" vertical="top" wrapText="1"/>
    </xf>
    <xf numFmtId="0" fontId="4" fillId="7" borderId="0" xfId="0" applyFont="1" applyFill="1" applyAlignment="1">
      <alignment horizontal="left" vertical="top" wrapText="1"/>
    </xf>
    <xf numFmtId="0" fontId="0" fillId="7" borderId="0" xfId="0" applyFill="1" applyAlignment="1">
      <alignment horizontal="left" vertical="top" wrapText="1"/>
    </xf>
    <xf numFmtId="4" fontId="4" fillId="7" borderId="0" xfId="0" applyNumberFormat="1" applyFont="1" applyFill="1" applyAlignment="1">
      <alignment horizontal="right" vertical="top" wrapText="1"/>
    </xf>
    <xf numFmtId="0" fontId="4" fillId="7" borderId="1" xfId="0" applyFont="1" applyFill="1" applyBorder="1" applyAlignment="1">
      <alignment horizontal="left" vertical="top" wrapText="1"/>
    </xf>
    <xf numFmtId="0" fontId="0" fillId="7" borderId="1" xfId="0" applyFill="1" applyBorder="1" applyAlignment="1">
      <alignment horizontal="left" vertical="top" wrapText="1"/>
    </xf>
    <xf numFmtId="4" fontId="4" fillId="7" borderId="1" xfId="0" applyNumberFormat="1" applyFont="1" applyFill="1" applyBorder="1" applyAlignment="1">
      <alignment horizontal="right" vertical="top"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wrapText="1"/>
    </xf>
    <xf numFmtId="4" fontId="4" fillId="7" borderId="2" xfId="0" applyNumberFormat="1" applyFont="1" applyFill="1" applyBorder="1" applyAlignment="1">
      <alignment horizontal="right" vertical="top" wrapText="1"/>
    </xf>
    <xf numFmtId="0" fontId="4" fillId="6" borderId="5" xfId="0" applyFont="1" applyFill="1" applyBorder="1" applyAlignment="1">
      <alignment horizontal="left" vertical="top" wrapText="1"/>
    </xf>
    <xf numFmtId="0" fontId="0" fillId="6" borderId="5" xfId="0" applyFill="1" applyBorder="1" applyAlignment="1">
      <alignment horizontal="left" vertical="top" wrapText="1"/>
    </xf>
    <xf numFmtId="4" fontId="4" fillId="6" borderId="5" xfId="0" applyNumberFormat="1" applyFont="1" applyFill="1" applyBorder="1" applyAlignment="1">
      <alignment horizontal="right" vertical="top"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4" fillId="6" borderId="0" xfId="0" applyFont="1" applyFill="1" applyAlignment="1">
      <alignment horizontal="justify" vertical="top" wrapText="1"/>
    </xf>
    <xf numFmtId="0" fontId="2" fillId="0" borderId="0" xfId="0" applyFont="1" applyAlignment="1">
      <alignment horizontal="justify" vertical="top" wrapText="1"/>
    </xf>
    <xf numFmtId="0" fontId="4" fillId="6" borderId="2" xfId="0" applyFont="1" applyFill="1" applyBorder="1" applyAlignment="1">
      <alignment horizontal="justify" vertical="top" wrapText="1"/>
    </xf>
    <xf numFmtId="0" fontId="4" fillId="5" borderId="2" xfId="0" applyFont="1" applyFill="1" applyBorder="1" applyAlignment="1">
      <alignment horizontal="justify" vertical="top" wrapText="1"/>
    </xf>
    <xf numFmtId="0" fontId="4" fillId="7" borderId="0" xfId="0" applyFont="1" applyFill="1" applyAlignment="1">
      <alignment horizontal="justify" vertical="top" wrapText="1"/>
    </xf>
    <xf numFmtId="0" fontId="4" fillId="7" borderId="2" xfId="0" applyFont="1" applyFill="1" applyBorder="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7"/>
  <sheetViews>
    <sheetView tabSelected="1" view="pageLayout" topLeftCell="A289" workbookViewId="0">
      <selection activeCell="D5" sqref="D5:J5"/>
    </sheetView>
  </sheetViews>
  <sheetFormatPr defaultColWidth="11.19921875" defaultRowHeight="15" x14ac:dyDescent="0.2"/>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x14ac:dyDescent="0.25">
      <c r="A1" s="1" t="s">
        <v>0</v>
      </c>
      <c r="B1" s="77" t="s">
        <v>1</v>
      </c>
      <c r="C1" s="77"/>
      <c r="D1" s="77"/>
      <c r="E1" s="77"/>
      <c r="F1" s="77"/>
      <c r="G1" s="77"/>
      <c r="H1" s="77"/>
      <c r="I1" s="77"/>
      <c r="J1" s="77"/>
      <c r="K1" s="77"/>
      <c r="L1" s="77"/>
      <c r="M1" s="77"/>
    </row>
    <row r="2" spans="1:13" ht="17.850000000000001" customHeight="1" thickBot="1" x14ac:dyDescent="0.25">
      <c r="A2" s="77" t="s">
        <v>2</v>
      </c>
      <c r="B2" s="77"/>
      <c r="C2" s="77"/>
      <c r="D2" s="2"/>
      <c r="E2" s="2"/>
      <c r="F2" s="2"/>
      <c r="G2" s="2"/>
      <c r="H2" s="2"/>
      <c r="I2" s="2"/>
      <c r="J2" s="2"/>
      <c r="K2" s="2"/>
      <c r="L2" s="4" t="s">
        <v>3</v>
      </c>
      <c r="M2" s="6">
        <v>6</v>
      </c>
    </row>
    <row r="3" spans="1:13" ht="16.7" customHeight="1" thickBot="1" x14ac:dyDescent="0.25">
      <c r="A3" s="7" t="s">
        <v>4</v>
      </c>
      <c r="B3" s="7" t="s">
        <v>5</v>
      </c>
      <c r="C3" s="7" t="s">
        <v>6</v>
      </c>
      <c r="D3" s="7" t="s">
        <v>7</v>
      </c>
      <c r="E3" s="8"/>
      <c r="F3" s="8"/>
      <c r="G3" s="8"/>
      <c r="H3" s="8"/>
      <c r="I3" s="8"/>
      <c r="J3" s="8"/>
      <c r="K3" s="9" t="s">
        <v>8</v>
      </c>
      <c r="L3" s="9" t="s">
        <v>9</v>
      </c>
      <c r="M3" s="9" t="s">
        <v>10</v>
      </c>
    </row>
    <row r="4" spans="1:13" ht="34.700000000000003" customHeight="1" thickBot="1" x14ac:dyDescent="0.25">
      <c r="A4" s="11" t="s">
        <v>11</v>
      </c>
      <c r="B4" s="11" t="s">
        <v>12</v>
      </c>
      <c r="C4" s="12"/>
      <c r="D4" s="78" t="s">
        <v>13</v>
      </c>
      <c r="E4" s="78"/>
      <c r="F4" s="78"/>
      <c r="G4" s="78"/>
      <c r="H4" s="78"/>
      <c r="I4" s="78"/>
      <c r="J4" s="78"/>
      <c r="K4" s="12"/>
      <c r="L4" s="13">
        <f>L787</f>
        <v>1791924.29</v>
      </c>
      <c r="M4" s="13">
        <f>ROUND(L4,2)</f>
        <v>1791924.29</v>
      </c>
    </row>
    <row r="5" spans="1:13" ht="15.4" customHeight="1" thickBot="1" x14ac:dyDescent="0.25">
      <c r="A5" s="14" t="s">
        <v>14</v>
      </c>
      <c r="B5" s="14" t="s">
        <v>15</v>
      </c>
      <c r="C5" s="15"/>
      <c r="D5" s="79" t="s">
        <v>16</v>
      </c>
      <c r="E5" s="79"/>
      <c r="F5" s="79"/>
      <c r="G5" s="79"/>
      <c r="H5" s="79"/>
      <c r="I5" s="79"/>
      <c r="J5" s="79"/>
      <c r="K5" s="15"/>
      <c r="L5" s="16">
        <f>L310</f>
        <v>625507.47</v>
      </c>
      <c r="M5" s="16">
        <f>ROUND(L5,2)</f>
        <v>625507.47</v>
      </c>
    </row>
    <row r="6" spans="1:13" ht="15.4" customHeight="1" thickBot="1" x14ac:dyDescent="0.25">
      <c r="A6" s="17" t="s">
        <v>17</v>
      </c>
      <c r="B6" s="17" t="s">
        <v>18</v>
      </c>
      <c r="C6" s="18"/>
      <c r="D6" s="80" t="s">
        <v>19</v>
      </c>
      <c r="E6" s="80"/>
      <c r="F6" s="80"/>
      <c r="G6" s="80"/>
      <c r="H6" s="80"/>
      <c r="I6" s="80"/>
      <c r="J6" s="80"/>
      <c r="K6" s="18"/>
      <c r="L6" s="19">
        <f>L120</f>
        <v>333127.81</v>
      </c>
      <c r="M6" s="19">
        <f>ROUND(L6,2)</f>
        <v>333127.81</v>
      </c>
    </row>
    <row r="7" spans="1:13" ht="15.4" customHeight="1" thickBot="1" x14ac:dyDescent="0.25">
      <c r="A7" s="20" t="s">
        <v>20</v>
      </c>
      <c r="B7" s="20" t="s">
        <v>21</v>
      </c>
      <c r="C7" s="21"/>
      <c r="D7" s="81" t="s">
        <v>22</v>
      </c>
      <c r="E7" s="81"/>
      <c r="F7" s="81"/>
      <c r="G7" s="81"/>
      <c r="H7" s="81"/>
      <c r="I7" s="81"/>
      <c r="J7" s="81"/>
      <c r="K7" s="21"/>
      <c r="L7" s="22">
        <f>L91</f>
        <v>240042.10000000003</v>
      </c>
      <c r="M7" s="22">
        <f>ROUND(L7,2)</f>
        <v>240042.1</v>
      </c>
    </row>
    <row r="8" spans="1:13" ht="15.4" customHeight="1" thickBot="1" x14ac:dyDescent="0.25">
      <c r="A8" s="10" t="s">
        <v>23</v>
      </c>
      <c r="B8" s="5" t="s">
        <v>24</v>
      </c>
      <c r="C8" s="5" t="s">
        <v>25</v>
      </c>
      <c r="D8" s="82" t="s">
        <v>26</v>
      </c>
      <c r="E8" s="82"/>
      <c r="F8" s="82"/>
      <c r="G8" s="82"/>
      <c r="H8" s="82"/>
      <c r="I8" s="82"/>
      <c r="J8" s="82"/>
      <c r="K8" s="23">
        <f>SUM(K11:K12)</f>
        <v>1649.096</v>
      </c>
      <c r="L8" s="24">
        <f>ROUND(9.44*(1+M2/100),2)</f>
        <v>10.01</v>
      </c>
      <c r="M8" s="24">
        <f>ROUND(K8*L8,2)</f>
        <v>16507.45</v>
      </c>
    </row>
    <row r="9" spans="1:13" ht="67.5" customHeight="1" thickBot="1" x14ac:dyDescent="0.25">
      <c r="A9" s="25"/>
      <c r="B9" s="25"/>
      <c r="C9" s="25"/>
      <c r="D9" s="82" t="s">
        <v>27</v>
      </c>
      <c r="E9" s="82"/>
      <c r="F9" s="82"/>
      <c r="G9" s="82"/>
      <c r="H9" s="82"/>
      <c r="I9" s="82"/>
      <c r="J9" s="82"/>
      <c r="K9" s="82"/>
      <c r="L9" s="82"/>
      <c r="M9" s="82"/>
    </row>
    <row r="10" spans="1:13" ht="15.2" customHeight="1" thickBot="1" x14ac:dyDescent="0.25">
      <c r="A10" s="25"/>
      <c r="B10" s="25"/>
      <c r="C10" s="25"/>
      <c r="D10" s="25"/>
      <c r="E10" s="26"/>
      <c r="F10" s="28" t="s">
        <v>28</v>
      </c>
      <c r="G10" s="28" t="s">
        <v>29</v>
      </c>
      <c r="H10" s="28" t="s">
        <v>30</v>
      </c>
      <c r="I10" s="28" t="s">
        <v>31</v>
      </c>
      <c r="J10" s="28" t="s">
        <v>32</v>
      </c>
      <c r="K10" s="28" t="s">
        <v>33</v>
      </c>
      <c r="L10" s="25"/>
      <c r="M10" s="25"/>
    </row>
    <row r="11" spans="1:13" ht="15.2" customHeight="1" thickBot="1" x14ac:dyDescent="0.25">
      <c r="A11" s="25"/>
      <c r="B11" s="25"/>
      <c r="C11" s="25"/>
      <c r="D11" s="29"/>
      <c r="E11" s="30" t="s">
        <v>34</v>
      </c>
      <c r="F11" s="31"/>
      <c r="G11" s="32">
        <v>3225</v>
      </c>
      <c r="H11" s="32">
        <v>0.4</v>
      </c>
      <c r="I11" s="32">
        <v>1</v>
      </c>
      <c r="J11" s="34">
        <f>ROUND(G11*H11*I11,3)</f>
        <v>1290</v>
      </c>
      <c r="K11" s="35"/>
      <c r="L11" s="25"/>
      <c r="M11" s="25"/>
    </row>
    <row r="12" spans="1:13" ht="21.4" customHeight="1" thickBot="1" x14ac:dyDescent="0.25">
      <c r="A12" s="25"/>
      <c r="B12" s="25"/>
      <c r="C12" s="25"/>
      <c r="D12" s="29"/>
      <c r="E12" s="5" t="s">
        <v>35</v>
      </c>
      <c r="F12" s="3"/>
      <c r="G12" s="23">
        <v>897.74</v>
      </c>
      <c r="H12" s="23">
        <v>0.4</v>
      </c>
      <c r="I12" s="23">
        <v>1</v>
      </c>
      <c r="J12" s="33">
        <f>ROUND(G12*H12*I12,3)</f>
        <v>359.096</v>
      </c>
      <c r="K12" s="36">
        <f>SUM(J11:J12)</f>
        <v>1649.096</v>
      </c>
      <c r="L12" s="25"/>
      <c r="M12" s="25"/>
    </row>
    <row r="13" spans="1:13" ht="15.4" customHeight="1" thickBot="1" x14ac:dyDescent="0.25">
      <c r="A13" s="10" t="s">
        <v>36</v>
      </c>
      <c r="B13" s="5" t="s">
        <v>37</v>
      </c>
      <c r="C13" s="5" t="s">
        <v>38</v>
      </c>
      <c r="D13" s="82" t="s">
        <v>39</v>
      </c>
      <c r="E13" s="82"/>
      <c r="F13" s="82"/>
      <c r="G13" s="82"/>
      <c r="H13" s="82"/>
      <c r="I13" s="82"/>
      <c r="J13" s="82"/>
      <c r="K13" s="23">
        <f>SUM(K16:K16)</f>
        <v>1</v>
      </c>
      <c r="L13" s="24">
        <f>ROUND(2830.18*(1+M2/100),2)</f>
        <v>2999.99</v>
      </c>
      <c r="M13" s="24">
        <f>ROUND(K13*L13,2)</f>
        <v>2999.99</v>
      </c>
    </row>
    <row r="14" spans="1:13" ht="12.2" customHeight="1" thickBot="1" x14ac:dyDescent="0.25">
      <c r="A14" s="25"/>
      <c r="B14" s="25"/>
      <c r="C14" s="25"/>
      <c r="D14" s="82" t="s">
        <v>40</v>
      </c>
      <c r="E14" s="82"/>
      <c r="F14" s="82"/>
      <c r="G14" s="82"/>
      <c r="H14" s="82"/>
      <c r="I14" s="82"/>
      <c r="J14" s="82"/>
      <c r="K14" s="82"/>
      <c r="L14" s="82"/>
      <c r="M14" s="82"/>
    </row>
    <row r="15" spans="1:13" ht="15.2" customHeight="1" thickBot="1" x14ac:dyDescent="0.25">
      <c r="A15" s="25"/>
      <c r="B15" s="25"/>
      <c r="C15" s="25"/>
      <c r="D15" s="25"/>
      <c r="E15" s="26"/>
      <c r="F15" s="28" t="s">
        <v>41</v>
      </c>
      <c r="G15" s="28" t="s">
        <v>42</v>
      </c>
      <c r="H15" s="28" t="s">
        <v>43</v>
      </c>
      <c r="I15" s="28" t="s">
        <v>44</v>
      </c>
      <c r="J15" s="28" t="s">
        <v>45</v>
      </c>
      <c r="K15" s="28" t="s">
        <v>46</v>
      </c>
      <c r="L15" s="25"/>
      <c r="M15" s="25"/>
    </row>
    <row r="16" spans="1:13" ht="15.2" customHeight="1" thickBot="1" x14ac:dyDescent="0.25">
      <c r="A16" s="25"/>
      <c r="B16" s="25"/>
      <c r="C16" s="25"/>
      <c r="D16" s="29"/>
      <c r="E16" s="30"/>
      <c r="F16" s="31">
        <v>1</v>
      </c>
      <c r="G16" s="32"/>
      <c r="H16" s="32"/>
      <c r="I16" s="32"/>
      <c r="J16" s="34">
        <f>ROUND(F16,3)</f>
        <v>1</v>
      </c>
      <c r="K16" s="37">
        <f>SUM(J16:J16)</f>
        <v>1</v>
      </c>
      <c r="L16" s="25"/>
      <c r="M16" s="25"/>
    </row>
    <row r="17" spans="1:13" ht="15.4" customHeight="1" thickBot="1" x14ac:dyDescent="0.25">
      <c r="A17" s="10" t="s">
        <v>47</v>
      </c>
      <c r="B17" s="5" t="s">
        <v>48</v>
      </c>
      <c r="C17" s="5" t="s">
        <v>49</v>
      </c>
      <c r="D17" s="82" t="s">
        <v>50</v>
      </c>
      <c r="E17" s="82"/>
      <c r="F17" s="82"/>
      <c r="G17" s="82"/>
      <c r="H17" s="82"/>
      <c r="I17" s="82"/>
      <c r="J17" s="82"/>
      <c r="K17" s="23">
        <f>SUM(K20:K20)</f>
        <v>25</v>
      </c>
      <c r="L17" s="24">
        <f>ROUND(424.52*(1+M2/100),2)</f>
        <v>449.99</v>
      </c>
      <c r="M17" s="24">
        <f>ROUND(K17*L17,2)</f>
        <v>11249.75</v>
      </c>
    </row>
    <row r="18" spans="1:13" ht="12.2" customHeight="1" thickBot="1" x14ac:dyDescent="0.25">
      <c r="A18" s="25"/>
      <c r="B18" s="25"/>
      <c r="C18" s="25"/>
      <c r="D18" s="82" t="s">
        <v>51</v>
      </c>
      <c r="E18" s="82"/>
      <c r="F18" s="82"/>
      <c r="G18" s="82"/>
      <c r="H18" s="82"/>
      <c r="I18" s="82"/>
      <c r="J18" s="82"/>
      <c r="K18" s="82"/>
      <c r="L18" s="82"/>
      <c r="M18" s="82"/>
    </row>
    <row r="19" spans="1:13" ht="15.2" customHeight="1" thickBot="1" x14ac:dyDescent="0.25">
      <c r="A19" s="25"/>
      <c r="B19" s="25"/>
      <c r="C19" s="25"/>
      <c r="D19" s="25"/>
      <c r="E19" s="26"/>
      <c r="F19" s="28" t="s">
        <v>52</v>
      </c>
      <c r="G19" s="28" t="s">
        <v>53</v>
      </c>
      <c r="H19" s="28" t="s">
        <v>54</v>
      </c>
      <c r="I19" s="28" t="s">
        <v>55</v>
      </c>
      <c r="J19" s="28" t="s">
        <v>56</v>
      </c>
      <c r="K19" s="28" t="s">
        <v>57</v>
      </c>
      <c r="L19" s="25"/>
      <c r="M19" s="25"/>
    </row>
    <row r="20" spans="1:13" ht="15.2" customHeight="1" thickBot="1" x14ac:dyDescent="0.25">
      <c r="A20" s="25"/>
      <c r="B20" s="25"/>
      <c r="C20" s="25"/>
      <c r="D20" s="29"/>
      <c r="E20" s="30"/>
      <c r="F20" s="31">
        <v>25</v>
      </c>
      <c r="G20" s="32"/>
      <c r="H20" s="32"/>
      <c r="I20" s="32"/>
      <c r="J20" s="34">
        <f>ROUND(F20,3)</f>
        <v>25</v>
      </c>
      <c r="K20" s="37">
        <f>SUM(J20:J20)</f>
        <v>25</v>
      </c>
      <c r="L20" s="25"/>
      <c r="M20" s="25"/>
    </row>
    <row r="21" spans="1:13" ht="15.4" customHeight="1" thickBot="1" x14ac:dyDescent="0.25">
      <c r="A21" s="10" t="s">
        <v>58</v>
      </c>
      <c r="B21" s="5" t="s">
        <v>59</v>
      </c>
      <c r="C21" s="5" t="s">
        <v>60</v>
      </c>
      <c r="D21" s="82" t="s">
        <v>61</v>
      </c>
      <c r="E21" s="82"/>
      <c r="F21" s="82"/>
      <c r="G21" s="82"/>
      <c r="H21" s="82"/>
      <c r="I21" s="82"/>
      <c r="J21" s="82"/>
      <c r="K21" s="23">
        <f>SUM(K24:K24)</f>
        <v>10</v>
      </c>
      <c r="L21" s="24">
        <f>ROUND(1882.08*(1+M2/100),2)</f>
        <v>1995</v>
      </c>
      <c r="M21" s="24">
        <f>ROUND(K21*L21,2)</f>
        <v>19950</v>
      </c>
    </row>
    <row r="22" spans="1:13" ht="12.2" customHeight="1" thickBot="1" x14ac:dyDescent="0.25">
      <c r="A22" s="25"/>
      <c r="B22" s="25"/>
      <c r="C22" s="25"/>
      <c r="D22" s="82" t="s">
        <v>62</v>
      </c>
      <c r="E22" s="82"/>
      <c r="F22" s="82"/>
      <c r="G22" s="82"/>
      <c r="H22" s="82"/>
      <c r="I22" s="82"/>
      <c r="J22" s="82"/>
      <c r="K22" s="82"/>
      <c r="L22" s="82"/>
      <c r="M22" s="82"/>
    </row>
    <row r="23" spans="1:13" ht="15.2" customHeight="1" thickBot="1" x14ac:dyDescent="0.25">
      <c r="A23" s="25"/>
      <c r="B23" s="25"/>
      <c r="C23" s="25"/>
      <c r="D23" s="25"/>
      <c r="E23" s="26"/>
      <c r="F23" s="28" t="s">
        <v>63</v>
      </c>
      <c r="G23" s="28" t="s">
        <v>64</v>
      </c>
      <c r="H23" s="28" t="s">
        <v>65</v>
      </c>
      <c r="I23" s="28" t="s">
        <v>66</v>
      </c>
      <c r="J23" s="28" t="s">
        <v>67</v>
      </c>
      <c r="K23" s="28" t="s">
        <v>68</v>
      </c>
      <c r="L23" s="25"/>
      <c r="M23" s="25"/>
    </row>
    <row r="24" spans="1:13" ht="15.2" customHeight="1" thickBot="1" x14ac:dyDescent="0.25">
      <c r="A24" s="25"/>
      <c r="B24" s="25"/>
      <c r="C24" s="25"/>
      <c r="D24" s="29"/>
      <c r="E24" s="30"/>
      <c r="F24" s="31">
        <v>10</v>
      </c>
      <c r="G24" s="32"/>
      <c r="H24" s="32"/>
      <c r="I24" s="32"/>
      <c r="J24" s="34">
        <f>ROUND(F24,3)</f>
        <v>10</v>
      </c>
      <c r="K24" s="37">
        <f>SUM(J24:J24)</f>
        <v>10</v>
      </c>
      <c r="L24" s="25"/>
      <c r="M24" s="25"/>
    </row>
    <row r="25" spans="1:13" ht="15.4" customHeight="1" thickBot="1" x14ac:dyDescent="0.25">
      <c r="A25" s="10" t="s">
        <v>69</v>
      </c>
      <c r="B25" s="5" t="s">
        <v>70</v>
      </c>
      <c r="C25" s="5" t="s">
        <v>71</v>
      </c>
      <c r="D25" s="82" t="s">
        <v>72</v>
      </c>
      <c r="E25" s="82"/>
      <c r="F25" s="82"/>
      <c r="G25" s="82"/>
      <c r="H25" s="82"/>
      <c r="I25" s="82"/>
      <c r="J25" s="82"/>
      <c r="K25" s="23">
        <f>SUM(K28:K30)</f>
        <v>261.30399999999997</v>
      </c>
      <c r="L25" s="24">
        <f>ROUND(18.87*(1+M2/100),2)</f>
        <v>20</v>
      </c>
      <c r="M25" s="24">
        <f>ROUND(K25*L25,2)</f>
        <v>5226.08</v>
      </c>
    </row>
    <row r="26" spans="1:13" ht="30.6" customHeight="1" thickBot="1" x14ac:dyDescent="0.25">
      <c r="A26" s="25"/>
      <c r="B26" s="25"/>
      <c r="C26" s="25"/>
      <c r="D26" s="82" t="s">
        <v>73</v>
      </c>
      <c r="E26" s="82"/>
      <c r="F26" s="82"/>
      <c r="G26" s="82"/>
      <c r="H26" s="82"/>
      <c r="I26" s="82"/>
      <c r="J26" s="82"/>
      <c r="K26" s="82"/>
      <c r="L26" s="82"/>
      <c r="M26" s="82"/>
    </row>
    <row r="27" spans="1:13" ht="15.2" customHeight="1" thickBot="1" x14ac:dyDescent="0.25">
      <c r="A27" s="25"/>
      <c r="B27" s="25"/>
      <c r="C27" s="25"/>
      <c r="D27" s="25"/>
      <c r="E27" s="26"/>
      <c r="F27" s="28" t="s">
        <v>74</v>
      </c>
      <c r="G27" s="28" t="s">
        <v>75</v>
      </c>
      <c r="H27" s="28" t="s">
        <v>76</v>
      </c>
      <c r="I27" s="28" t="s">
        <v>77</v>
      </c>
      <c r="J27" s="28" t="s">
        <v>78</v>
      </c>
      <c r="K27" s="28" t="s">
        <v>79</v>
      </c>
      <c r="L27" s="25"/>
      <c r="M27" s="25"/>
    </row>
    <row r="28" spans="1:13" ht="39.75" customHeight="1" thickBot="1" x14ac:dyDescent="0.25">
      <c r="A28" s="25"/>
      <c r="B28" s="25"/>
      <c r="C28" s="25"/>
      <c r="D28" s="29"/>
      <c r="E28" s="30" t="s">
        <v>80</v>
      </c>
      <c r="F28" s="31"/>
      <c r="G28" s="32">
        <v>328.26</v>
      </c>
      <c r="H28" s="32">
        <v>0.4</v>
      </c>
      <c r="I28" s="32">
        <v>1</v>
      </c>
      <c r="J28" s="34">
        <f>ROUND(G28*H28*I28,3)</f>
        <v>131.304</v>
      </c>
      <c r="K28" s="35"/>
      <c r="L28" s="25"/>
      <c r="M28" s="25"/>
    </row>
    <row r="29" spans="1:13" ht="30.6" customHeight="1" thickBot="1" x14ac:dyDescent="0.25">
      <c r="A29" s="25"/>
      <c r="B29" s="25"/>
      <c r="C29" s="25"/>
      <c r="D29" s="29"/>
      <c r="E29" s="5" t="s">
        <v>81</v>
      </c>
      <c r="F29" s="3"/>
      <c r="G29" s="23">
        <v>285</v>
      </c>
      <c r="H29" s="23">
        <v>0.4</v>
      </c>
      <c r="I29" s="23">
        <v>1</v>
      </c>
      <c r="J29" s="33">
        <f>ROUND(G29*H29*I29,3)</f>
        <v>114</v>
      </c>
      <c r="K29" s="25"/>
      <c r="L29" s="25"/>
      <c r="M29" s="25"/>
    </row>
    <row r="30" spans="1:13" ht="30.6" customHeight="1" thickBot="1" x14ac:dyDescent="0.25">
      <c r="A30" s="25"/>
      <c r="B30" s="25"/>
      <c r="C30" s="25"/>
      <c r="D30" s="29"/>
      <c r="E30" s="5" t="s">
        <v>82</v>
      </c>
      <c r="F30" s="3">
        <v>2</v>
      </c>
      <c r="G30" s="23">
        <v>20</v>
      </c>
      <c r="H30" s="23">
        <v>0.4</v>
      </c>
      <c r="I30" s="23">
        <v>1</v>
      </c>
      <c r="J30" s="33">
        <f>ROUND(F30*G30*H30*I30,3)</f>
        <v>16</v>
      </c>
      <c r="K30" s="36">
        <f>SUM(J28:J30)</f>
        <v>261.30399999999997</v>
      </c>
      <c r="L30" s="25"/>
      <c r="M30" s="25"/>
    </row>
    <row r="31" spans="1:13" ht="15.4" customHeight="1" thickBot="1" x14ac:dyDescent="0.25">
      <c r="A31" s="10" t="s">
        <v>83</v>
      </c>
      <c r="B31" s="5" t="s">
        <v>84</v>
      </c>
      <c r="C31" s="5" t="s">
        <v>85</v>
      </c>
      <c r="D31" s="82" t="s">
        <v>86</v>
      </c>
      <c r="E31" s="82"/>
      <c r="F31" s="82"/>
      <c r="G31" s="82"/>
      <c r="H31" s="82"/>
      <c r="I31" s="82"/>
      <c r="J31" s="82"/>
      <c r="K31" s="23">
        <f>SUM(K34:K38)</f>
        <v>1146.24</v>
      </c>
      <c r="L31" s="24">
        <f>ROUND(9.42*(1+M2/100),2)</f>
        <v>9.99</v>
      </c>
      <c r="M31" s="24">
        <f>ROUND(K31*L31,2)</f>
        <v>11450.94</v>
      </c>
    </row>
    <row r="32" spans="1:13" ht="86.1" customHeight="1" thickBot="1" x14ac:dyDescent="0.25">
      <c r="A32" s="25"/>
      <c r="B32" s="25"/>
      <c r="C32" s="25"/>
      <c r="D32" s="82" t="s">
        <v>87</v>
      </c>
      <c r="E32" s="82"/>
      <c r="F32" s="82"/>
      <c r="G32" s="82"/>
      <c r="H32" s="82"/>
      <c r="I32" s="82"/>
      <c r="J32" s="82"/>
      <c r="K32" s="82"/>
      <c r="L32" s="82"/>
      <c r="M32" s="82"/>
    </row>
    <row r="33" spans="1:13" ht="15.2" customHeight="1" thickBot="1" x14ac:dyDescent="0.25">
      <c r="A33" s="25"/>
      <c r="B33" s="25"/>
      <c r="C33" s="25"/>
      <c r="D33" s="25"/>
      <c r="E33" s="26"/>
      <c r="F33" s="28" t="s">
        <v>88</v>
      </c>
      <c r="G33" s="28" t="s">
        <v>89</v>
      </c>
      <c r="H33" s="28" t="s">
        <v>90</v>
      </c>
      <c r="I33" s="28" t="s">
        <v>91</v>
      </c>
      <c r="J33" s="28" t="s">
        <v>92</v>
      </c>
      <c r="K33" s="28" t="s">
        <v>93</v>
      </c>
      <c r="L33" s="25"/>
      <c r="M33" s="25"/>
    </row>
    <row r="34" spans="1:13" ht="15.2" customHeight="1" thickBot="1" x14ac:dyDescent="0.25">
      <c r="A34" s="25"/>
      <c r="B34" s="25"/>
      <c r="C34" s="25"/>
      <c r="D34" s="29"/>
      <c r="E34" s="30" t="s">
        <v>94</v>
      </c>
      <c r="F34" s="31"/>
      <c r="G34" s="32">
        <v>3225</v>
      </c>
      <c r="H34" s="32">
        <v>0.4</v>
      </c>
      <c r="I34" s="32">
        <v>0.6</v>
      </c>
      <c r="J34" s="34">
        <f>ROUND(G34*H34*I34,3)</f>
        <v>774</v>
      </c>
      <c r="K34" s="35"/>
      <c r="L34" s="25"/>
      <c r="M34" s="25"/>
    </row>
    <row r="35" spans="1:13" ht="15.2" customHeight="1" thickBot="1" x14ac:dyDescent="0.25">
      <c r="A35" s="25"/>
      <c r="B35" s="25"/>
      <c r="C35" s="25"/>
      <c r="D35" s="29"/>
      <c r="E35" s="5">
        <v>1</v>
      </c>
      <c r="F35" s="3"/>
      <c r="G35" s="23">
        <v>328.26</v>
      </c>
      <c r="H35" s="23">
        <v>0.4</v>
      </c>
      <c r="I35" s="23">
        <v>0.6</v>
      </c>
      <c r="J35" s="33">
        <f>ROUND(G35*H35*I35,3)</f>
        <v>78.781999999999996</v>
      </c>
      <c r="K35" s="25"/>
      <c r="L35" s="25"/>
      <c r="M35" s="25"/>
    </row>
    <row r="36" spans="1:13" ht="30.6" customHeight="1" thickBot="1" x14ac:dyDescent="0.25">
      <c r="A36" s="25"/>
      <c r="B36" s="25"/>
      <c r="C36" s="25"/>
      <c r="D36" s="29"/>
      <c r="E36" s="5" t="s">
        <v>95</v>
      </c>
      <c r="F36" s="3"/>
      <c r="G36" s="23">
        <v>285</v>
      </c>
      <c r="H36" s="23">
        <v>0.4</v>
      </c>
      <c r="I36" s="23">
        <v>0.6</v>
      </c>
      <c r="J36" s="33">
        <f>ROUND(G36*H36*I36,3)</f>
        <v>68.400000000000006</v>
      </c>
      <c r="K36" s="25"/>
      <c r="L36" s="25"/>
      <c r="M36" s="25"/>
    </row>
    <row r="37" spans="1:13" ht="30.6" customHeight="1" thickBot="1" x14ac:dyDescent="0.25">
      <c r="A37" s="25"/>
      <c r="B37" s="25"/>
      <c r="C37" s="25"/>
      <c r="D37" s="29"/>
      <c r="E37" s="5" t="s">
        <v>96</v>
      </c>
      <c r="F37" s="3">
        <v>2</v>
      </c>
      <c r="G37" s="23">
        <v>20</v>
      </c>
      <c r="H37" s="23">
        <v>0.4</v>
      </c>
      <c r="I37" s="23">
        <v>0.6</v>
      </c>
      <c r="J37" s="33">
        <f>ROUND(F37*G37*H37*I37,3)</f>
        <v>9.6</v>
      </c>
      <c r="K37" s="25"/>
      <c r="L37" s="25"/>
      <c r="M37" s="25"/>
    </row>
    <row r="38" spans="1:13" ht="21.4" customHeight="1" thickBot="1" x14ac:dyDescent="0.25">
      <c r="A38" s="25"/>
      <c r="B38" s="25"/>
      <c r="C38" s="25"/>
      <c r="D38" s="29"/>
      <c r="E38" s="5" t="s">
        <v>97</v>
      </c>
      <c r="F38" s="3"/>
      <c r="G38" s="23">
        <v>897.74</v>
      </c>
      <c r="H38" s="23">
        <v>0.4</v>
      </c>
      <c r="I38" s="23">
        <v>0.6</v>
      </c>
      <c r="J38" s="33">
        <f>ROUND(G38*H38*I38,3)</f>
        <v>215.458</v>
      </c>
      <c r="K38" s="36">
        <f>SUM(J34:J38)</f>
        <v>1146.24</v>
      </c>
      <c r="L38" s="25"/>
      <c r="M38" s="25"/>
    </row>
    <row r="39" spans="1:13" ht="15.4" customHeight="1" thickBot="1" x14ac:dyDescent="0.25">
      <c r="A39" s="10" t="s">
        <v>98</v>
      </c>
      <c r="B39" s="5" t="s">
        <v>99</v>
      </c>
      <c r="C39" s="5" t="s">
        <v>100</v>
      </c>
      <c r="D39" s="82" t="s">
        <v>101</v>
      </c>
      <c r="E39" s="82"/>
      <c r="F39" s="82"/>
      <c r="G39" s="82"/>
      <c r="H39" s="82"/>
      <c r="I39" s="82"/>
      <c r="J39" s="82"/>
      <c r="K39" s="23">
        <f>SUM(K42:K47)</f>
        <v>782.76</v>
      </c>
      <c r="L39" s="24">
        <f>ROUND(64.15*(1+M2/100),2)</f>
        <v>68</v>
      </c>
      <c r="M39" s="24">
        <f>ROUND(K39*L39,2)</f>
        <v>53227.68</v>
      </c>
    </row>
    <row r="40" spans="1:13" ht="67.5" customHeight="1" thickBot="1" x14ac:dyDescent="0.25">
      <c r="A40" s="25"/>
      <c r="B40" s="25"/>
      <c r="C40" s="25"/>
      <c r="D40" s="82" t="s">
        <v>102</v>
      </c>
      <c r="E40" s="82"/>
      <c r="F40" s="82"/>
      <c r="G40" s="82"/>
      <c r="H40" s="82"/>
      <c r="I40" s="82"/>
      <c r="J40" s="82"/>
      <c r="K40" s="82"/>
      <c r="L40" s="82"/>
      <c r="M40" s="82"/>
    </row>
    <row r="41" spans="1:13" ht="15.2" customHeight="1" thickBot="1" x14ac:dyDescent="0.25">
      <c r="A41" s="25"/>
      <c r="B41" s="25"/>
      <c r="C41" s="25"/>
      <c r="D41" s="25"/>
      <c r="E41" s="26"/>
      <c r="F41" s="28" t="s">
        <v>103</v>
      </c>
      <c r="G41" s="28" t="s">
        <v>104</v>
      </c>
      <c r="H41" s="28" t="s">
        <v>105</v>
      </c>
      <c r="I41" s="28" t="s">
        <v>106</v>
      </c>
      <c r="J41" s="28" t="s">
        <v>107</v>
      </c>
      <c r="K41" s="28" t="s">
        <v>108</v>
      </c>
      <c r="L41" s="25"/>
      <c r="M41" s="25"/>
    </row>
    <row r="42" spans="1:13" ht="15.2" customHeight="1" thickBot="1" x14ac:dyDescent="0.25">
      <c r="A42" s="25"/>
      <c r="B42" s="25"/>
      <c r="C42" s="25"/>
      <c r="D42" s="29"/>
      <c r="E42" s="30" t="s">
        <v>109</v>
      </c>
      <c r="F42" s="31">
        <v>2.4</v>
      </c>
      <c r="G42" s="32">
        <v>3225</v>
      </c>
      <c r="H42" s="32">
        <v>0.4</v>
      </c>
      <c r="I42" s="32">
        <v>0.12</v>
      </c>
      <c r="J42" s="34">
        <f>ROUND(F42*G42*H42*I42,3)</f>
        <v>371.52</v>
      </c>
      <c r="K42" s="35"/>
      <c r="L42" s="25"/>
      <c r="M42" s="25"/>
    </row>
    <row r="43" spans="1:13" ht="39.75" customHeight="1" thickBot="1" x14ac:dyDescent="0.25">
      <c r="A43" s="25"/>
      <c r="B43" s="25"/>
      <c r="C43" s="25"/>
      <c r="D43" s="29"/>
      <c r="E43" s="5" t="s">
        <v>110</v>
      </c>
      <c r="F43" s="3">
        <v>2.4</v>
      </c>
      <c r="G43" s="23">
        <v>328.26</v>
      </c>
      <c r="H43" s="23">
        <v>0.4</v>
      </c>
      <c r="I43" s="23">
        <v>0.12</v>
      </c>
      <c r="J43" s="33">
        <f>ROUND(F43*G43*H43*I43,3)</f>
        <v>37.816000000000003</v>
      </c>
      <c r="K43" s="25"/>
      <c r="L43" s="25"/>
      <c r="M43" s="25"/>
    </row>
    <row r="44" spans="1:13" ht="30.6" customHeight="1" thickBot="1" x14ac:dyDescent="0.25">
      <c r="A44" s="25"/>
      <c r="B44" s="25"/>
      <c r="C44" s="25"/>
      <c r="D44" s="29"/>
      <c r="E44" s="5" t="s">
        <v>111</v>
      </c>
      <c r="F44" s="3">
        <v>2.4</v>
      </c>
      <c r="G44" s="23">
        <v>285</v>
      </c>
      <c r="H44" s="23">
        <v>0.4</v>
      </c>
      <c r="I44" s="23">
        <v>0.12</v>
      </c>
      <c r="J44" s="33">
        <f>ROUND(F44*G44*H44*I44,3)</f>
        <v>32.832000000000001</v>
      </c>
      <c r="K44" s="25"/>
      <c r="L44" s="25"/>
      <c r="M44" s="25"/>
    </row>
    <row r="45" spans="1:13" ht="30.6" customHeight="1" thickBot="1" x14ac:dyDescent="0.25">
      <c r="A45" s="25"/>
      <c r="B45" s="25"/>
      <c r="C45" s="25"/>
      <c r="D45" s="29"/>
      <c r="E45" s="5" t="s">
        <v>112</v>
      </c>
      <c r="F45" s="3">
        <v>4.8</v>
      </c>
      <c r="G45" s="23">
        <v>20</v>
      </c>
      <c r="H45" s="23">
        <v>0.4</v>
      </c>
      <c r="I45" s="23">
        <v>0.12</v>
      </c>
      <c r="J45" s="33">
        <f>ROUND(F45*G45*H45*I45,3)</f>
        <v>4.6079999999999997</v>
      </c>
      <c r="K45" s="25"/>
      <c r="L45" s="25"/>
      <c r="M45" s="25"/>
    </row>
    <row r="46" spans="1:13" ht="21.4" customHeight="1" thickBot="1" x14ac:dyDescent="0.25">
      <c r="A46" s="25"/>
      <c r="B46" s="25"/>
      <c r="C46" s="25"/>
      <c r="D46" s="29"/>
      <c r="E46" s="5" t="s">
        <v>113</v>
      </c>
      <c r="F46" s="3">
        <v>2.4</v>
      </c>
      <c r="G46" s="23">
        <v>897.4</v>
      </c>
      <c r="H46" s="23">
        <v>1.3</v>
      </c>
      <c r="I46" s="23">
        <v>0.12</v>
      </c>
      <c r="J46" s="33">
        <f>ROUND(F46*G46*H46*I46,3)</f>
        <v>335.98700000000002</v>
      </c>
      <c r="K46" s="25"/>
      <c r="L46" s="25"/>
      <c r="M46" s="25"/>
    </row>
    <row r="47" spans="1:13" ht="15.2" customHeight="1" thickBot="1" x14ac:dyDescent="0.25">
      <c r="A47" s="25"/>
      <c r="B47" s="25"/>
      <c r="C47" s="25"/>
      <c r="D47" s="29"/>
      <c r="E47" s="5"/>
      <c r="F47" s="3"/>
      <c r="G47" s="23"/>
      <c r="H47" s="23"/>
      <c r="I47" s="23">
        <v>-3.0000000000000001E-3</v>
      </c>
      <c r="J47" s="33">
        <f>ROUND(I47,3)</f>
        <v>-3.0000000000000001E-3</v>
      </c>
      <c r="K47" s="36">
        <f>SUM(J42:J47)</f>
        <v>782.76</v>
      </c>
      <c r="L47" s="25"/>
      <c r="M47" s="25"/>
    </row>
    <row r="48" spans="1:13" ht="15.4" customHeight="1" thickBot="1" x14ac:dyDescent="0.25">
      <c r="A48" s="10" t="s">
        <v>114</v>
      </c>
      <c r="B48" s="5" t="s">
        <v>115</v>
      </c>
      <c r="C48" s="5" t="s">
        <v>116</v>
      </c>
      <c r="D48" s="82" t="s">
        <v>117</v>
      </c>
      <c r="E48" s="82"/>
      <c r="F48" s="82"/>
      <c r="G48" s="82"/>
      <c r="H48" s="82"/>
      <c r="I48" s="82"/>
      <c r="J48" s="82"/>
      <c r="K48" s="23">
        <f>SUM(K51:K55)</f>
        <v>19104</v>
      </c>
      <c r="L48" s="24">
        <f>ROUND(0.65*(1+M2/100),2)</f>
        <v>0.69</v>
      </c>
      <c r="M48" s="24">
        <f>ROUND(K48*L48,2)</f>
        <v>13181.76</v>
      </c>
    </row>
    <row r="49" spans="1:13" ht="58.35" customHeight="1" thickBot="1" x14ac:dyDescent="0.25">
      <c r="A49" s="25"/>
      <c r="B49" s="25"/>
      <c r="C49" s="25"/>
      <c r="D49" s="82" t="s">
        <v>118</v>
      </c>
      <c r="E49" s="82"/>
      <c r="F49" s="82"/>
      <c r="G49" s="82"/>
      <c r="H49" s="82"/>
      <c r="I49" s="82"/>
      <c r="J49" s="82"/>
      <c r="K49" s="82"/>
      <c r="L49" s="82"/>
      <c r="M49" s="82"/>
    </row>
    <row r="50" spans="1:13" ht="15.2" customHeight="1" thickBot="1" x14ac:dyDescent="0.25">
      <c r="A50" s="25"/>
      <c r="B50" s="25"/>
      <c r="C50" s="25"/>
      <c r="D50" s="25"/>
      <c r="E50" s="26"/>
      <c r="F50" s="28" t="s">
        <v>119</v>
      </c>
      <c r="G50" s="28" t="s">
        <v>120</v>
      </c>
      <c r="H50" s="28" t="s">
        <v>121</v>
      </c>
      <c r="I50" s="28" t="s">
        <v>122</v>
      </c>
      <c r="J50" s="28" t="s">
        <v>123</v>
      </c>
      <c r="K50" s="28" t="s">
        <v>124</v>
      </c>
      <c r="L50" s="25"/>
      <c r="M50" s="25"/>
    </row>
    <row r="51" spans="1:13" ht="15.2" customHeight="1" thickBot="1" x14ac:dyDescent="0.25">
      <c r="A51" s="25"/>
      <c r="B51" s="25"/>
      <c r="C51" s="25"/>
      <c r="D51" s="29"/>
      <c r="E51" s="30" t="s">
        <v>125</v>
      </c>
      <c r="F51" s="31"/>
      <c r="G51" s="32">
        <v>3225</v>
      </c>
      <c r="H51" s="32">
        <v>0.4</v>
      </c>
      <c r="I51" s="32">
        <v>10</v>
      </c>
      <c r="J51" s="34">
        <f>ROUND(G51*H51*I51,3)</f>
        <v>12900</v>
      </c>
      <c r="K51" s="35"/>
      <c r="L51" s="25"/>
      <c r="M51" s="25"/>
    </row>
    <row r="52" spans="1:13" ht="39.75" customHeight="1" thickBot="1" x14ac:dyDescent="0.25">
      <c r="A52" s="25"/>
      <c r="B52" s="25"/>
      <c r="C52" s="25"/>
      <c r="D52" s="29"/>
      <c r="E52" s="5" t="s">
        <v>126</v>
      </c>
      <c r="F52" s="3"/>
      <c r="G52" s="23">
        <v>328.26</v>
      </c>
      <c r="H52" s="23">
        <v>0.4</v>
      </c>
      <c r="I52" s="23">
        <v>10</v>
      </c>
      <c r="J52" s="33">
        <f>ROUND(G52*H52*I52,3)</f>
        <v>1313.04</v>
      </c>
      <c r="K52" s="25"/>
      <c r="L52" s="25"/>
      <c r="M52" s="25"/>
    </row>
    <row r="53" spans="1:13" ht="30.6" customHeight="1" thickBot="1" x14ac:dyDescent="0.25">
      <c r="A53" s="25"/>
      <c r="B53" s="25"/>
      <c r="C53" s="25"/>
      <c r="D53" s="29"/>
      <c r="E53" s="5" t="s">
        <v>127</v>
      </c>
      <c r="F53" s="3"/>
      <c r="G53" s="23">
        <v>285</v>
      </c>
      <c r="H53" s="23">
        <v>0.4</v>
      </c>
      <c r="I53" s="23">
        <v>10</v>
      </c>
      <c r="J53" s="33">
        <f>ROUND(G53*H53*I53,3)</f>
        <v>1140</v>
      </c>
      <c r="K53" s="25"/>
      <c r="L53" s="25"/>
      <c r="M53" s="25"/>
    </row>
    <row r="54" spans="1:13" ht="30.6" customHeight="1" thickBot="1" x14ac:dyDescent="0.25">
      <c r="A54" s="25"/>
      <c r="B54" s="25"/>
      <c r="C54" s="25"/>
      <c r="D54" s="29"/>
      <c r="E54" s="5" t="s">
        <v>128</v>
      </c>
      <c r="F54" s="3">
        <v>2</v>
      </c>
      <c r="G54" s="23">
        <v>20</v>
      </c>
      <c r="H54" s="23">
        <v>0.4</v>
      </c>
      <c r="I54" s="23">
        <v>10</v>
      </c>
      <c r="J54" s="33">
        <f>ROUND(F54*G54*H54*I54,3)</f>
        <v>160</v>
      </c>
      <c r="K54" s="25"/>
      <c r="L54" s="25"/>
      <c r="M54" s="25"/>
    </row>
    <row r="55" spans="1:13" ht="15.2" customHeight="1" thickBot="1" x14ac:dyDescent="0.25">
      <c r="A55" s="25"/>
      <c r="B55" s="25"/>
      <c r="C55" s="25"/>
      <c r="D55" s="29"/>
      <c r="E55" s="5"/>
      <c r="F55" s="3"/>
      <c r="G55" s="23">
        <v>897.74</v>
      </c>
      <c r="H55" s="23">
        <v>0.4</v>
      </c>
      <c r="I55" s="23">
        <v>10</v>
      </c>
      <c r="J55" s="33">
        <f>ROUND(G55*H55*I55,3)</f>
        <v>3590.96</v>
      </c>
      <c r="K55" s="36">
        <f>SUM(J51:J55)</f>
        <v>19104</v>
      </c>
      <c r="L55" s="25"/>
      <c r="M55" s="25"/>
    </row>
    <row r="56" spans="1:13" ht="15.4" customHeight="1" thickBot="1" x14ac:dyDescent="0.25">
      <c r="A56" s="10" t="s">
        <v>129</v>
      </c>
      <c r="B56" s="5" t="s">
        <v>130</v>
      </c>
      <c r="C56" s="5" t="s">
        <v>131</v>
      </c>
      <c r="D56" s="82" t="s">
        <v>132</v>
      </c>
      <c r="E56" s="82"/>
      <c r="F56" s="82"/>
      <c r="G56" s="82"/>
      <c r="H56" s="82"/>
      <c r="I56" s="82"/>
      <c r="J56" s="82"/>
      <c r="K56" s="23">
        <f>SUM(K59:K63)</f>
        <v>477.6</v>
      </c>
      <c r="L56" s="24">
        <f>ROUND(33.5*(1+M2/100),2)</f>
        <v>35.51</v>
      </c>
      <c r="M56" s="24">
        <f>ROUND(K56*L56,2)</f>
        <v>16959.580000000002</v>
      </c>
    </row>
    <row r="57" spans="1:13" ht="30.6" customHeight="1" thickBot="1" x14ac:dyDescent="0.25">
      <c r="A57" s="25"/>
      <c r="B57" s="25"/>
      <c r="C57" s="25"/>
      <c r="D57" s="82" t="s">
        <v>133</v>
      </c>
      <c r="E57" s="82"/>
      <c r="F57" s="82"/>
      <c r="G57" s="82"/>
      <c r="H57" s="82"/>
      <c r="I57" s="82"/>
      <c r="J57" s="82"/>
      <c r="K57" s="82"/>
      <c r="L57" s="82"/>
      <c r="M57" s="82"/>
    </row>
    <row r="58" spans="1:13" ht="15.2" customHeight="1" thickBot="1" x14ac:dyDescent="0.25">
      <c r="A58" s="25"/>
      <c r="B58" s="25"/>
      <c r="C58" s="25"/>
      <c r="D58" s="25"/>
      <c r="E58" s="26"/>
      <c r="F58" s="28" t="s">
        <v>134</v>
      </c>
      <c r="G58" s="28" t="s">
        <v>135</v>
      </c>
      <c r="H58" s="28" t="s">
        <v>136</v>
      </c>
      <c r="I58" s="28" t="s">
        <v>137</v>
      </c>
      <c r="J58" s="28" t="s">
        <v>138</v>
      </c>
      <c r="K58" s="28" t="s">
        <v>139</v>
      </c>
      <c r="L58" s="25"/>
      <c r="M58" s="25"/>
    </row>
    <row r="59" spans="1:13" ht="15.2" customHeight="1" thickBot="1" x14ac:dyDescent="0.25">
      <c r="A59" s="25"/>
      <c r="B59" s="25"/>
      <c r="C59" s="25"/>
      <c r="D59" s="29"/>
      <c r="E59" s="30" t="s">
        <v>140</v>
      </c>
      <c r="F59" s="31"/>
      <c r="G59" s="32">
        <v>3225</v>
      </c>
      <c r="H59" s="32">
        <v>0.4</v>
      </c>
      <c r="I59" s="32">
        <v>0.25</v>
      </c>
      <c r="J59" s="34">
        <f>ROUND(G59*H59*I59,3)</f>
        <v>322.5</v>
      </c>
      <c r="K59" s="35"/>
      <c r="L59" s="25"/>
      <c r="M59" s="25"/>
    </row>
    <row r="60" spans="1:13" ht="39.75" customHeight="1" thickBot="1" x14ac:dyDescent="0.25">
      <c r="A60" s="25"/>
      <c r="B60" s="25"/>
      <c r="C60" s="25"/>
      <c r="D60" s="29"/>
      <c r="E60" s="5" t="s">
        <v>141</v>
      </c>
      <c r="F60" s="3"/>
      <c r="G60" s="23">
        <v>328.26</v>
      </c>
      <c r="H60" s="23">
        <v>0.4</v>
      </c>
      <c r="I60" s="23">
        <v>0.25</v>
      </c>
      <c r="J60" s="33">
        <f>ROUND(G60*H60*I60,3)</f>
        <v>32.826000000000001</v>
      </c>
      <c r="K60" s="25"/>
      <c r="L60" s="25"/>
      <c r="M60" s="25"/>
    </row>
    <row r="61" spans="1:13" ht="30.6" customHeight="1" thickBot="1" x14ac:dyDescent="0.25">
      <c r="A61" s="25"/>
      <c r="B61" s="25"/>
      <c r="C61" s="25"/>
      <c r="D61" s="29"/>
      <c r="E61" s="5" t="s">
        <v>142</v>
      </c>
      <c r="F61" s="3"/>
      <c r="G61" s="23">
        <v>285</v>
      </c>
      <c r="H61" s="23">
        <v>0.4</v>
      </c>
      <c r="I61" s="23">
        <v>0.25</v>
      </c>
      <c r="J61" s="33">
        <f>ROUND(G61*H61*I61,3)</f>
        <v>28.5</v>
      </c>
      <c r="K61" s="25"/>
      <c r="L61" s="25"/>
      <c r="M61" s="25"/>
    </row>
    <row r="62" spans="1:13" ht="30.6" customHeight="1" thickBot="1" x14ac:dyDescent="0.25">
      <c r="A62" s="25"/>
      <c r="B62" s="25"/>
      <c r="C62" s="25"/>
      <c r="D62" s="29"/>
      <c r="E62" s="5" t="s">
        <v>143</v>
      </c>
      <c r="F62" s="3">
        <v>2</v>
      </c>
      <c r="G62" s="23">
        <v>20</v>
      </c>
      <c r="H62" s="23">
        <v>0.4</v>
      </c>
      <c r="I62" s="23">
        <v>0.25</v>
      </c>
      <c r="J62" s="33">
        <f>ROUND(F62*G62*H62*I62,3)</f>
        <v>4</v>
      </c>
      <c r="K62" s="25"/>
      <c r="L62" s="25"/>
      <c r="M62" s="25"/>
    </row>
    <row r="63" spans="1:13" ht="15.2" customHeight="1" thickBot="1" x14ac:dyDescent="0.25">
      <c r="A63" s="25"/>
      <c r="B63" s="25"/>
      <c r="C63" s="25"/>
      <c r="D63" s="29"/>
      <c r="E63" s="5"/>
      <c r="F63" s="3"/>
      <c r="G63" s="23">
        <v>897.74</v>
      </c>
      <c r="H63" s="23">
        <v>0.4</v>
      </c>
      <c r="I63" s="23">
        <v>0.25</v>
      </c>
      <c r="J63" s="33">
        <f>ROUND(G63*H63*I63,3)</f>
        <v>89.774000000000001</v>
      </c>
      <c r="K63" s="36">
        <f>SUM(J59:J63)</f>
        <v>477.6</v>
      </c>
      <c r="L63" s="25"/>
      <c r="M63" s="25"/>
    </row>
    <row r="64" spans="1:13" ht="15.4" customHeight="1" thickBot="1" x14ac:dyDescent="0.25">
      <c r="A64" s="10" t="s">
        <v>144</v>
      </c>
      <c r="B64" s="5" t="s">
        <v>145</v>
      </c>
      <c r="C64" s="5" t="s">
        <v>146</v>
      </c>
      <c r="D64" s="82" t="s">
        <v>147</v>
      </c>
      <c r="E64" s="82"/>
      <c r="F64" s="82"/>
      <c r="G64" s="82"/>
      <c r="H64" s="82"/>
      <c r="I64" s="82"/>
      <c r="J64" s="82"/>
      <c r="K64" s="23">
        <f>SUM(K67:K71)</f>
        <v>3820.8</v>
      </c>
      <c r="L64" s="24">
        <f>ROUND(0.57*(1+M2/100),2)</f>
        <v>0.6</v>
      </c>
      <c r="M64" s="24">
        <f>ROUND(K64*L64,2)</f>
        <v>2292.48</v>
      </c>
    </row>
    <row r="65" spans="1:13" ht="12.2" customHeight="1" thickBot="1" x14ac:dyDescent="0.25">
      <c r="A65" s="25"/>
      <c r="B65" s="25"/>
      <c r="C65" s="25"/>
      <c r="D65" s="82" t="s">
        <v>148</v>
      </c>
      <c r="E65" s="82"/>
      <c r="F65" s="82"/>
      <c r="G65" s="82"/>
      <c r="H65" s="82"/>
      <c r="I65" s="82"/>
      <c r="J65" s="82"/>
      <c r="K65" s="82"/>
      <c r="L65" s="82"/>
      <c r="M65" s="82"/>
    </row>
    <row r="66" spans="1:13" ht="15.2" customHeight="1" thickBot="1" x14ac:dyDescent="0.25">
      <c r="A66" s="25"/>
      <c r="B66" s="25"/>
      <c r="C66" s="25"/>
      <c r="D66" s="25"/>
      <c r="E66" s="26"/>
      <c r="F66" s="28" t="s">
        <v>149</v>
      </c>
      <c r="G66" s="28" t="s">
        <v>150</v>
      </c>
      <c r="H66" s="28" t="s">
        <v>151</v>
      </c>
      <c r="I66" s="28" t="s">
        <v>152</v>
      </c>
      <c r="J66" s="28" t="s">
        <v>153</v>
      </c>
      <c r="K66" s="28" t="s">
        <v>154</v>
      </c>
      <c r="L66" s="25"/>
      <c r="M66" s="25"/>
    </row>
    <row r="67" spans="1:13" ht="15.2" customHeight="1" thickBot="1" x14ac:dyDescent="0.25">
      <c r="A67" s="25"/>
      <c r="B67" s="25"/>
      <c r="C67" s="25"/>
      <c r="D67" s="29"/>
      <c r="E67" s="30" t="s">
        <v>155</v>
      </c>
      <c r="F67" s="31">
        <v>2</v>
      </c>
      <c r="G67" s="32">
        <v>3225</v>
      </c>
      <c r="H67" s="32">
        <v>0.4</v>
      </c>
      <c r="I67" s="32"/>
      <c r="J67" s="34">
        <f>ROUND(F67*G67*H67,3)</f>
        <v>2580</v>
      </c>
      <c r="K67" s="35"/>
      <c r="L67" s="25"/>
      <c r="M67" s="25"/>
    </row>
    <row r="68" spans="1:13" ht="39.75" customHeight="1" thickBot="1" x14ac:dyDescent="0.25">
      <c r="A68" s="25"/>
      <c r="B68" s="25"/>
      <c r="C68" s="25"/>
      <c r="D68" s="29"/>
      <c r="E68" s="5" t="s">
        <v>156</v>
      </c>
      <c r="F68" s="3">
        <v>2</v>
      </c>
      <c r="G68" s="23">
        <v>328.26</v>
      </c>
      <c r="H68" s="23">
        <v>0.4</v>
      </c>
      <c r="I68" s="23"/>
      <c r="J68" s="33">
        <f>ROUND(F68*G68*H68,3)</f>
        <v>262.608</v>
      </c>
      <c r="K68" s="25"/>
      <c r="L68" s="25"/>
      <c r="M68" s="25"/>
    </row>
    <row r="69" spans="1:13" ht="30.6" customHeight="1" thickBot="1" x14ac:dyDescent="0.25">
      <c r="A69" s="25"/>
      <c r="B69" s="25"/>
      <c r="C69" s="25"/>
      <c r="D69" s="29"/>
      <c r="E69" s="5" t="s">
        <v>157</v>
      </c>
      <c r="F69" s="3">
        <v>2</v>
      </c>
      <c r="G69" s="23">
        <v>285</v>
      </c>
      <c r="H69" s="23">
        <v>0.4</v>
      </c>
      <c r="I69" s="23"/>
      <c r="J69" s="33">
        <f>ROUND(F69*G69*H69,3)</f>
        <v>228</v>
      </c>
      <c r="K69" s="25"/>
      <c r="L69" s="25"/>
      <c r="M69" s="25"/>
    </row>
    <row r="70" spans="1:13" ht="30.6" customHeight="1" thickBot="1" x14ac:dyDescent="0.25">
      <c r="A70" s="25"/>
      <c r="B70" s="25"/>
      <c r="C70" s="25"/>
      <c r="D70" s="29"/>
      <c r="E70" s="5" t="s">
        <v>158</v>
      </c>
      <c r="F70" s="3">
        <v>4</v>
      </c>
      <c r="G70" s="23">
        <v>20</v>
      </c>
      <c r="H70" s="23">
        <v>0.4</v>
      </c>
      <c r="I70" s="23"/>
      <c r="J70" s="33">
        <f>ROUND(F70*G70*H70,3)</f>
        <v>32</v>
      </c>
      <c r="K70" s="25"/>
      <c r="L70" s="25"/>
      <c r="M70" s="25"/>
    </row>
    <row r="71" spans="1:13" ht="15.2" customHeight="1" thickBot="1" x14ac:dyDescent="0.25">
      <c r="A71" s="25"/>
      <c r="B71" s="25"/>
      <c r="C71" s="25"/>
      <c r="D71" s="29"/>
      <c r="E71" s="5"/>
      <c r="F71" s="3">
        <v>2</v>
      </c>
      <c r="G71" s="23">
        <v>897.74</v>
      </c>
      <c r="H71" s="23">
        <v>0.4</v>
      </c>
      <c r="I71" s="23"/>
      <c r="J71" s="33">
        <f>ROUND(F71*G71*H71,3)</f>
        <v>718.19200000000001</v>
      </c>
      <c r="K71" s="36">
        <f>SUM(J67:J71)</f>
        <v>3820.8</v>
      </c>
      <c r="L71" s="25"/>
      <c r="M71" s="25"/>
    </row>
    <row r="72" spans="1:13" ht="15.4" customHeight="1" thickBot="1" x14ac:dyDescent="0.25">
      <c r="A72" s="10" t="s">
        <v>159</v>
      </c>
      <c r="B72" s="5" t="s">
        <v>160</v>
      </c>
      <c r="C72" s="5" t="s">
        <v>161</v>
      </c>
      <c r="D72" s="82" t="s">
        <v>162</v>
      </c>
      <c r="E72" s="82"/>
      <c r="F72" s="82"/>
      <c r="G72" s="82"/>
      <c r="H72" s="82"/>
      <c r="I72" s="82"/>
      <c r="J72" s="82"/>
      <c r="K72" s="23">
        <f>SUM(K75:K79)</f>
        <v>1910.4</v>
      </c>
      <c r="L72" s="24">
        <f>ROUND(0.57*(1+M2/100),2)</f>
        <v>0.6</v>
      </c>
      <c r="M72" s="24">
        <f>ROUND(K72*L72,2)</f>
        <v>1146.24</v>
      </c>
    </row>
    <row r="73" spans="1:13" ht="21.4" customHeight="1" thickBot="1" x14ac:dyDescent="0.25">
      <c r="A73" s="25"/>
      <c r="B73" s="25"/>
      <c r="C73" s="25"/>
      <c r="D73" s="82" t="s">
        <v>163</v>
      </c>
      <c r="E73" s="82"/>
      <c r="F73" s="82"/>
      <c r="G73" s="82"/>
      <c r="H73" s="82"/>
      <c r="I73" s="82"/>
      <c r="J73" s="82"/>
      <c r="K73" s="82"/>
      <c r="L73" s="82"/>
      <c r="M73" s="82"/>
    </row>
    <row r="74" spans="1:13" ht="15.2" customHeight="1" thickBot="1" x14ac:dyDescent="0.25">
      <c r="A74" s="25"/>
      <c r="B74" s="25"/>
      <c r="C74" s="25"/>
      <c r="D74" s="25"/>
      <c r="E74" s="26"/>
      <c r="F74" s="28" t="s">
        <v>164</v>
      </c>
      <c r="G74" s="28" t="s">
        <v>165</v>
      </c>
      <c r="H74" s="28" t="s">
        <v>166</v>
      </c>
      <c r="I74" s="28" t="s">
        <v>167</v>
      </c>
      <c r="J74" s="28" t="s">
        <v>168</v>
      </c>
      <c r="K74" s="28" t="s">
        <v>169</v>
      </c>
      <c r="L74" s="25"/>
      <c r="M74" s="25"/>
    </row>
    <row r="75" spans="1:13" ht="15.2" customHeight="1" thickBot="1" x14ac:dyDescent="0.25">
      <c r="A75" s="25"/>
      <c r="B75" s="25"/>
      <c r="C75" s="25"/>
      <c r="D75" s="29"/>
      <c r="E75" s="30" t="s">
        <v>170</v>
      </c>
      <c r="F75" s="31"/>
      <c r="G75" s="32">
        <v>3225</v>
      </c>
      <c r="H75" s="32">
        <v>0.4</v>
      </c>
      <c r="I75" s="32"/>
      <c r="J75" s="34">
        <f>ROUND(G75*H75,3)</f>
        <v>1290</v>
      </c>
      <c r="K75" s="35"/>
      <c r="L75" s="25"/>
      <c r="M75" s="25"/>
    </row>
    <row r="76" spans="1:13" ht="39.75" customHeight="1" thickBot="1" x14ac:dyDescent="0.25">
      <c r="A76" s="25"/>
      <c r="B76" s="25"/>
      <c r="C76" s="25"/>
      <c r="D76" s="29"/>
      <c r="E76" s="5" t="s">
        <v>171</v>
      </c>
      <c r="F76" s="3"/>
      <c r="G76" s="23">
        <v>328.26</v>
      </c>
      <c r="H76" s="23">
        <v>0.4</v>
      </c>
      <c r="I76" s="23"/>
      <c r="J76" s="33">
        <f>ROUND(G76*H76,3)</f>
        <v>131.304</v>
      </c>
      <c r="K76" s="25"/>
      <c r="L76" s="25"/>
      <c r="M76" s="25"/>
    </row>
    <row r="77" spans="1:13" ht="30.6" customHeight="1" thickBot="1" x14ac:dyDescent="0.25">
      <c r="A77" s="25"/>
      <c r="B77" s="25"/>
      <c r="C77" s="25"/>
      <c r="D77" s="29"/>
      <c r="E77" s="5" t="s">
        <v>172</v>
      </c>
      <c r="F77" s="3"/>
      <c r="G77" s="23">
        <v>285</v>
      </c>
      <c r="H77" s="23">
        <v>0.4</v>
      </c>
      <c r="I77" s="23"/>
      <c r="J77" s="33">
        <f>ROUND(G77*H77,3)</f>
        <v>114</v>
      </c>
      <c r="K77" s="25"/>
      <c r="L77" s="25"/>
      <c r="M77" s="25"/>
    </row>
    <row r="78" spans="1:13" ht="30.6" customHeight="1" thickBot="1" x14ac:dyDescent="0.25">
      <c r="A78" s="25"/>
      <c r="B78" s="25"/>
      <c r="C78" s="25"/>
      <c r="D78" s="29"/>
      <c r="E78" s="5" t="s">
        <v>173</v>
      </c>
      <c r="F78" s="3">
        <v>2</v>
      </c>
      <c r="G78" s="23">
        <v>20</v>
      </c>
      <c r="H78" s="23">
        <v>0.4</v>
      </c>
      <c r="I78" s="23"/>
      <c r="J78" s="33">
        <f>ROUND(F78*G78*H78,3)</f>
        <v>16</v>
      </c>
      <c r="K78" s="25"/>
      <c r="L78" s="25"/>
      <c r="M78" s="25"/>
    </row>
    <row r="79" spans="1:13" ht="15.2" customHeight="1" thickBot="1" x14ac:dyDescent="0.25">
      <c r="A79" s="25"/>
      <c r="B79" s="25"/>
      <c r="C79" s="25"/>
      <c r="D79" s="29"/>
      <c r="E79" s="5"/>
      <c r="F79" s="3"/>
      <c r="G79" s="23">
        <v>897.74</v>
      </c>
      <c r="H79" s="23">
        <v>0.4</v>
      </c>
      <c r="I79" s="23"/>
      <c r="J79" s="33">
        <f>ROUND(G79*H79,3)</f>
        <v>359.096</v>
      </c>
      <c r="K79" s="36">
        <f>SUM(J75:J79)</f>
        <v>1910.4</v>
      </c>
      <c r="L79" s="25"/>
      <c r="M79" s="25"/>
    </row>
    <row r="80" spans="1:13" ht="15.4" customHeight="1" thickBot="1" x14ac:dyDescent="0.25">
      <c r="A80" s="10" t="s">
        <v>174</v>
      </c>
      <c r="B80" s="5" t="s">
        <v>175</v>
      </c>
      <c r="C80" s="5" t="s">
        <v>176</v>
      </c>
      <c r="D80" s="82" t="s">
        <v>177</v>
      </c>
      <c r="E80" s="82"/>
      <c r="F80" s="82"/>
      <c r="G80" s="82"/>
      <c r="H80" s="82"/>
      <c r="I80" s="82"/>
      <c r="J80" s="82"/>
      <c r="K80" s="23">
        <f>SUM(K83:K84)</f>
        <v>145</v>
      </c>
      <c r="L80" s="24">
        <f>ROUND(218.93*(1+M2/100),2)</f>
        <v>232.07</v>
      </c>
      <c r="M80" s="24">
        <f>ROUND(K80*L80,2)</f>
        <v>33650.15</v>
      </c>
    </row>
    <row r="81" spans="1:13" ht="76.900000000000006" customHeight="1" thickBot="1" x14ac:dyDescent="0.25">
      <c r="A81" s="25"/>
      <c r="B81" s="25"/>
      <c r="C81" s="25"/>
      <c r="D81" s="82" t="s">
        <v>178</v>
      </c>
      <c r="E81" s="82"/>
      <c r="F81" s="82"/>
      <c r="G81" s="82"/>
      <c r="H81" s="82"/>
      <c r="I81" s="82"/>
      <c r="J81" s="82"/>
      <c r="K81" s="82"/>
      <c r="L81" s="82"/>
      <c r="M81" s="82"/>
    </row>
    <row r="82" spans="1:13" ht="15.2" customHeight="1" thickBot="1" x14ac:dyDescent="0.25">
      <c r="A82" s="25"/>
      <c r="B82" s="25"/>
      <c r="C82" s="25"/>
      <c r="D82" s="25"/>
      <c r="E82" s="26"/>
      <c r="F82" s="28" t="s">
        <v>179</v>
      </c>
      <c r="G82" s="28" t="s">
        <v>180</v>
      </c>
      <c r="H82" s="28" t="s">
        <v>181</v>
      </c>
      <c r="I82" s="28" t="s">
        <v>182</v>
      </c>
      <c r="J82" s="28" t="s">
        <v>183</v>
      </c>
      <c r="K82" s="28" t="s">
        <v>184</v>
      </c>
      <c r="L82" s="25"/>
      <c r="M82" s="25"/>
    </row>
    <row r="83" spans="1:13" ht="15.2" customHeight="1" thickBot="1" x14ac:dyDescent="0.25">
      <c r="A83" s="25"/>
      <c r="B83" s="25"/>
      <c r="C83" s="25"/>
      <c r="D83" s="29"/>
      <c r="E83" s="30" t="s">
        <v>185</v>
      </c>
      <c r="F83" s="31">
        <v>75</v>
      </c>
      <c r="G83" s="32"/>
      <c r="H83" s="32"/>
      <c r="I83" s="32"/>
      <c r="J83" s="34">
        <f>ROUND(F83,3)</f>
        <v>75</v>
      </c>
      <c r="K83" s="35"/>
      <c r="L83" s="25"/>
      <c r="M83" s="25"/>
    </row>
    <row r="84" spans="1:13" ht="21.4" customHeight="1" thickBot="1" x14ac:dyDescent="0.25">
      <c r="A84" s="25"/>
      <c r="B84" s="25"/>
      <c r="C84" s="25"/>
      <c r="D84" s="29"/>
      <c r="E84" s="5" t="s">
        <v>186</v>
      </c>
      <c r="F84" s="3">
        <v>70</v>
      </c>
      <c r="G84" s="23"/>
      <c r="H84" s="23"/>
      <c r="I84" s="23"/>
      <c r="J84" s="33">
        <f>ROUND(F84,3)</f>
        <v>70</v>
      </c>
      <c r="K84" s="36">
        <f>SUM(J83:J84)</f>
        <v>145</v>
      </c>
      <c r="L84" s="25"/>
      <c r="M84" s="25"/>
    </row>
    <row r="85" spans="1:13" ht="15.4" customHeight="1" thickBot="1" x14ac:dyDescent="0.25">
      <c r="A85" s="10" t="s">
        <v>187</v>
      </c>
      <c r="B85" s="5" t="s">
        <v>188</v>
      </c>
      <c r="C85" s="5" t="s">
        <v>189</v>
      </c>
      <c r="D85" s="82" t="s">
        <v>190</v>
      </c>
      <c r="E85" s="82"/>
      <c r="F85" s="82"/>
      <c r="G85" s="82"/>
      <c r="H85" s="82"/>
      <c r="I85" s="82"/>
      <c r="J85" s="82"/>
      <c r="K85" s="23">
        <f>SUM(K88:K90)</f>
        <v>435</v>
      </c>
      <c r="L85" s="24">
        <f>ROUND(113.21*(1+M2/100),2)</f>
        <v>120</v>
      </c>
      <c r="M85" s="24">
        <f>ROUND(K85*L85,2)</f>
        <v>52200</v>
      </c>
    </row>
    <row r="86" spans="1:13" ht="21.4" customHeight="1" thickBot="1" x14ac:dyDescent="0.25">
      <c r="A86" s="25"/>
      <c r="B86" s="25"/>
      <c r="C86" s="25"/>
      <c r="D86" s="82" t="s">
        <v>191</v>
      </c>
      <c r="E86" s="82"/>
      <c r="F86" s="82"/>
      <c r="G86" s="82"/>
      <c r="H86" s="82"/>
      <c r="I86" s="82"/>
      <c r="J86" s="82"/>
      <c r="K86" s="82"/>
      <c r="L86" s="82"/>
      <c r="M86" s="82"/>
    </row>
    <row r="87" spans="1:13" ht="15.2" customHeight="1" thickBot="1" x14ac:dyDescent="0.25">
      <c r="A87" s="25"/>
      <c r="B87" s="25"/>
      <c r="C87" s="25"/>
      <c r="D87" s="25"/>
      <c r="E87" s="26"/>
      <c r="F87" s="28" t="s">
        <v>192</v>
      </c>
      <c r="G87" s="28" t="s">
        <v>193</v>
      </c>
      <c r="H87" s="28" t="s">
        <v>194</v>
      </c>
      <c r="I87" s="28" t="s">
        <v>195</v>
      </c>
      <c r="J87" s="28" t="s">
        <v>196</v>
      </c>
      <c r="K87" s="28" t="s">
        <v>197</v>
      </c>
      <c r="L87" s="25"/>
      <c r="M87" s="25"/>
    </row>
    <row r="88" spans="1:13" ht="15.2" customHeight="1" thickBot="1" x14ac:dyDescent="0.25">
      <c r="A88" s="25"/>
      <c r="B88" s="25"/>
      <c r="C88" s="25"/>
      <c r="D88" s="29"/>
      <c r="E88" s="30" t="s">
        <v>198</v>
      </c>
      <c r="F88" s="31">
        <v>75</v>
      </c>
      <c r="G88" s="32"/>
      <c r="H88" s="32"/>
      <c r="I88" s="32"/>
      <c r="J88" s="34">
        <f>ROUND(F88,3)</f>
        <v>75</v>
      </c>
      <c r="K88" s="35"/>
      <c r="L88" s="25"/>
      <c r="M88" s="25"/>
    </row>
    <row r="89" spans="1:13" ht="15.2" customHeight="1" thickBot="1" x14ac:dyDescent="0.25">
      <c r="A89" s="25"/>
      <c r="B89" s="25"/>
      <c r="C89" s="25"/>
      <c r="D89" s="29"/>
      <c r="E89" s="5" t="s">
        <v>199</v>
      </c>
      <c r="F89" s="3">
        <v>280</v>
      </c>
      <c r="G89" s="23"/>
      <c r="H89" s="23"/>
      <c r="I89" s="23"/>
      <c r="J89" s="33">
        <f>ROUND(F89,3)</f>
        <v>280</v>
      </c>
      <c r="K89" s="25"/>
      <c r="L89" s="25"/>
      <c r="M89" s="25"/>
    </row>
    <row r="90" spans="1:13" ht="15.2" customHeight="1" thickBot="1" x14ac:dyDescent="0.25">
      <c r="A90" s="25"/>
      <c r="B90" s="25"/>
      <c r="C90" s="25"/>
      <c r="D90" s="29"/>
      <c r="E90" s="5" t="s">
        <v>200</v>
      </c>
      <c r="F90" s="3">
        <v>80</v>
      </c>
      <c r="G90" s="23"/>
      <c r="H90" s="23"/>
      <c r="I90" s="23"/>
      <c r="J90" s="33">
        <f>ROUND(F90,3)</f>
        <v>80</v>
      </c>
      <c r="K90" s="36">
        <f>SUM(J88:J90)</f>
        <v>435</v>
      </c>
      <c r="L90" s="25"/>
      <c r="M90" s="25"/>
    </row>
    <row r="91" spans="1:13" ht="15.4" customHeight="1" thickBot="1" x14ac:dyDescent="0.25">
      <c r="A91" s="38"/>
      <c r="B91" s="38"/>
      <c r="C91" s="38"/>
      <c r="D91" s="39" t="s">
        <v>201</v>
      </c>
      <c r="E91" s="40"/>
      <c r="F91" s="40"/>
      <c r="G91" s="40"/>
      <c r="H91" s="40"/>
      <c r="I91" s="40"/>
      <c r="J91" s="40"/>
      <c r="K91" s="40"/>
      <c r="L91" s="41">
        <f>M8+M13+M17+M21+M25+M31+M39+M48+M56+M64+M72+M80+M85</f>
        <v>240042.10000000003</v>
      </c>
      <c r="M91" s="41">
        <f>ROUND(L91,2)</f>
        <v>240042.1</v>
      </c>
    </row>
    <row r="92" spans="1:13" ht="15.4" customHeight="1" thickBot="1" x14ac:dyDescent="0.25">
      <c r="A92" s="42" t="s">
        <v>202</v>
      </c>
      <c r="B92" s="42" t="s">
        <v>203</v>
      </c>
      <c r="C92" s="43"/>
      <c r="D92" s="83" t="s">
        <v>204</v>
      </c>
      <c r="E92" s="83"/>
      <c r="F92" s="83"/>
      <c r="G92" s="83"/>
      <c r="H92" s="83"/>
      <c r="I92" s="83"/>
      <c r="J92" s="83"/>
      <c r="K92" s="43"/>
      <c r="L92" s="44">
        <f>L119</f>
        <v>93085.709999999992</v>
      </c>
      <c r="M92" s="44">
        <f>ROUND(L92,2)</f>
        <v>93085.71</v>
      </c>
    </row>
    <row r="93" spans="1:13" ht="15.4" customHeight="1" thickBot="1" x14ac:dyDescent="0.25">
      <c r="A93" s="10" t="s">
        <v>205</v>
      </c>
      <c r="B93" s="5" t="s">
        <v>206</v>
      </c>
      <c r="C93" s="5" t="s">
        <v>207</v>
      </c>
      <c r="D93" s="82" t="s">
        <v>208</v>
      </c>
      <c r="E93" s="82"/>
      <c r="F93" s="82"/>
      <c r="G93" s="82"/>
      <c r="H93" s="82"/>
      <c r="I93" s="82"/>
      <c r="J93" s="82"/>
      <c r="K93" s="23">
        <f>SUM(K96:K98)</f>
        <v>4736</v>
      </c>
      <c r="L93" s="24">
        <f>ROUND(16.98*(1+M2/100),2)</f>
        <v>18</v>
      </c>
      <c r="M93" s="24">
        <f>ROUND(K93*L93,2)</f>
        <v>85248</v>
      </c>
    </row>
    <row r="94" spans="1:13" ht="95.25" customHeight="1" thickBot="1" x14ac:dyDescent="0.25">
      <c r="A94" s="25"/>
      <c r="B94" s="25"/>
      <c r="C94" s="25"/>
      <c r="D94" s="82" t="s">
        <v>209</v>
      </c>
      <c r="E94" s="82"/>
      <c r="F94" s="82"/>
      <c r="G94" s="82"/>
      <c r="H94" s="82"/>
      <c r="I94" s="82"/>
      <c r="J94" s="82"/>
      <c r="K94" s="82"/>
      <c r="L94" s="82"/>
      <c r="M94" s="82"/>
    </row>
    <row r="95" spans="1:13" ht="15.2" customHeight="1" thickBot="1" x14ac:dyDescent="0.25">
      <c r="A95" s="25"/>
      <c r="B95" s="25"/>
      <c r="C95" s="25"/>
      <c r="D95" s="25"/>
      <c r="E95" s="26"/>
      <c r="F95" s="28" t="s">
        <v>210</v>
      </c>
      <c r="G95" s="28" t="s">
        <v>211</v>
      </c>
      <c r="H95" s="28" t="s">
        <v>212</v>
      </c>
      <c r="I95" s="28" t="s">
        <v>213</v>
      </c>
      <c r="J95" s="28" t="s">
        <v>214</v>
      </c>
      <c r="K95" s="28" t="s">
        <v>215</v>
      </c>
      <c r="L95" s="25"/>
      <c r="M95" s="25"/>
    </row>
    <row r="96" spans="1:13" ht="15.2" customHeight="1" thickBot="1" x14ac:dyDescent="0.25">
      <c r="A96" s="25"/>
      <c r="B96" s="25"/>
      <c r="C96" s="25"/>
      <c r="D96" s="29"/>
      <c r="E96" s="30" t="s">
        <v>216</v>
      </c>
      <c r="F96" s="31">
        <v>1</v>
      </c>
      <c r="G96" s="32">
        <v>3225</v>
      </c>
      <c r="H96" s="32"/>
      <c r="I96" s="32"/>
      <c r="J96" s="34">
        <f>ROUND(F96*G96,3)</f>
        <v>3225</v>
      </c>
      <c r="K96" s="35"/>
      <c r="L96" s="25"/>
      <c r="M96" s="25"/>
    </row>
    <row r="97" spans="1:13" ht="39.75" customHeight="1" thickBot="1" x14ac:dyDescent="0.25">
      <c r="A97" s="25"/>
      <c r="B97" s="25"/>
      <c r="C97" s="25"/>
      <c r="D97" s="29"/>
      <c r="E97" s="5" t="s">
        <v>217</v>
      </c>
      <c r="F97" s="3">
        <v>2</v>
      </c>
      <c r="G97" s="23">
        <v>328</v>
      </c>
      <c r="H97" s="23"/>
      <c r="I97" s="23"/>
      <c r="J97" s="33">
        <f>ROUND(F97*G97,3)</f>
        <v>656</v>
      </c>
      <c r="K97" s="25"/>
      <c r="L97" s="25"/>
      <c r="M97" s="25"/>
    </row>
    <row r="98" spans="1:13" ht="39.75" customHeight="1" thickBot="1" x14ac:dyDescent="0.25">
      <c r="A98" s="25"/>
      <c r="B98" s="25"/>
      <c r="C98" s="25"/>
      <c r="D98" s="29"/>
      <c r="E98" s="5" t="s">
        <v>218</v>
      </c>
      <c r="F98" s="3">
        <v>3</v>
      </c>
      <c r="G98" s="23">
        <v>285</v>
      </c>
      <c r="H98" s="23"/>
      <c r="I98" s="23"/>
      <c r="J98" s="33">
        <f>ROUND(F98*G98,3)</f>
        <v>855</v>
      </c>
      <c r="K98" s="36">
        <f>SUM(J96:J98)</f>
        <v>4736</v>
      </c>
      <c r="L98" s="25"/>
      <c r="M98" s="25"/>
    </row>
    <row r="99" spans="1:13" ht="15.4" customHeight="1" thickBot="1" x14ac:dyDescent="0.25">
      <c r="A99" s="10" t="s">
        <v>219</v>
      </c>
      <c r="B99" s="5" t="s">
        <v>220</v>
      </c>
      <c r="C99" s="5" t="s">
        <v>221</v>
      </c>
      <c r="D99" s="82" t="s">
        <v>222</v>
      </c>
      <c r="E99" s="82"/>
      <c r="F99" s="82"/>
      <c r="G99" s="82"/>
      <c r="H99" s="82"/>
      <c r="I99" s="82"/>
      <c r="J99" s="82"/>
      <c r="K99" s="23">
        <f>SUM(K102:K102)</f>
        <v>40</v>
      </c>
      <c r="L99" s="24">
        <f>ROUND(23.59*(1+M2/100),2)</f>
        <v>25.01</v>
      </c>
      <c r="M99" s="24">
        <f>ROUND(K99*L99,2)</f>
        <v>1000.4</v>
      </c>
    </row>
    <row r="100" spans="1:13" ht="95.25" customHeight="1" thickBot="1" x14ac:dyDescent="0.25">
      <c r="A100" s="25"/>
      <c r="B100" s="25"/>
      <c r="C100" s="25"/>
      <c r="D100" s="82" t="s">
        <v>223</v>
      </c>
      <c r="E100" s="82"/>
      <c r="F100" s="82"/>
      <c r="G100" s="82"/>
      <c r="H100" s="82"/>
      <c r="I100" s="82"/>
      <c r="J100" s="82"/>
      <c r="K100" s="82"/>
      <c r="L100" s="82"/>
      <c r="M100" s="82"/>
    </row>
    <row r="101" spans="1:13" ht="15.2" customHeight="1" thickBot="1" x14ac:dyDescent="0.25">
      <c r="A101" s="25"/>
      <c r="B101" s="25"/>
      <c r="C101" s="25"/>
      <c r="D101" s="25"/>
      <c r="E101" s="26"/>
      <c r="F101" s="28" t="s">
        <v>224</v>
      </c>
      <c r="G101" s="28" t="s">
        <v>225</v>
      </c>
      <c r="H101" s="28" t="s">
        <v>226</v>
      </c>
      <c r="I101" s="28" t="s">
        <v>227</v>
      </c>
      <c r="J101" s="28" t="s">
        <v>228</v>
      </c>
      <c r="K101" s="28" t="s">
        <v>229</v>
      </c>
      <c r="L101" s="25"/>
      <c r="M101" s="25"/>
    </row>
    <row r="102" spans="1:13" ht="30.6" customHeight="1" thickBot="1" x14ac:dyDescent="0.25">
      <c r="A102" s="25"/>
      <c r="B102" s="25"/>
      <c r="C102" s="25"/>
      <c r="D102" s="29"/>
      <c r="E102" s="30" t="s">
        <v>230</v>
      </c>
      <c r="F102" s="31">
        <v>2</v>
      </c>
      <c r="G102" s="32">
        <v>20</v>
      </c>
      <c r="H102" s="32"/>
      <c r="I102" s="32"/>
      <c r="J102" s="34">
        <f>ROUND(F102*G102,3)</f>
        <v>40</v>
      </c>
      <c r="K102" s="37">
        <f>SUM(J102:J102)</f>
        <v>40</v>
      </c>
      <c r="L102" s="25"/>
      <c r="M102" s="25"/>
    </row>
    <row r="103" spans="1:13" ht="15.4" customHeight="1" thickBot="1" x14ac:dyDescent="0.25">
      <c r="A103" s="10" t="s">
        <v>231</v>
      </c>
      <c r="B103" s="5" t="s">
        <v>232</v>
      </c>
      <c r="C103" s="5" t="s">
        <v>233</v>
      </c>
      <c r="D103" s="82" t="s">
        <v>234</v>
      </c>
      <c r="E103" s="82"/>
      <c r="F103" s="82"/>
      <c r="G103" s="82"/>
      <c r="H103" s="82"/>
      <c r="I103" s="82"/>
      <c r="J103" s="82"/>
      <c r="K103" s="23">
        <f>SUM(K106:K106)</f>
        <v>1</v>
      </c>
      <c r="L103" s="24">
        <f>ROUND(90.57*(1+M2/100),2)</f>
        <v>96</v>
      </c>
      <c r="M103" s="24">
        <f>ROUND(K103*L103,2)</f>
        <v>96</v>
      </c>
    </row>
    <row r="104" spans="1:13" ht="49.15" customHeight="1" thickBot="1" x14ac:dyDescent="0.25">
      <c r="A104" s="25"/>
      <c r="B104" s="25"/>
      <c r="C104" s="25"/>
      <c r="D104" s="82" t="s">
        <v>235</v>
      </c>
      <c r="E104" s="82"/>
      <c r="F104" s="82"/>
      <c r="G104" s="82"/>
      <c r="H104" s="82"/>
      <c r="I104" s="82"/>
      <c r="J104" s="82"/>
      <c r="K104" s="82"/>
      <c r="L104" s="82"/>
      <c r="M104" s="82"/>
    </row>
    <row r="105" spans="1:13" ht="15.2" customHeight="1" thickBot="1" x14ac:dyDescent="0.25">
      <c r="A105" s="25"/>
      <c r="B105" s="25"/>
      <c r="C105" s="25"/>
      <c r="D105" s="25"/>
      <c r="E105" s="26"/>
      <c r="F105" s="28" t="s">
        <v>236</v>
      </c>
      <c r="G105" s="28" t="s">
        <v>237</v>
      </c>
      <c r="H105" s="28" t="s">
        <v>238</v>
      </c>
      <c r="I105" s="28" t="s">
        <v>239</v>
      </c>
      <c r="J105" s="28" t="s">
        <v>240</v>
      </c>
      <c r="K105" s="28" t="s">
        <v>241</v>
      </c>
      <c r="L105" s="25"/>
      <c r="M105" s="25"/>
    </row>
    <row r="106" spans="1:13" ht="15.2" customHeight="1" thickBot="1" x14ac:dyDescent="0.25">
      <c r="A106" s="25"/>
      <c r="B106" s="25"/>
      <c r="C106" s="25"/>
      <c r="D106" s="29"/>
      <c r="E106" s="30" t="s">
        <v>242</v>
      </c>
      <c r="F106" s="31">
        <v>1</v>
      </c>
      <c r="G106" s="32"/>
      <c r="H106" s="32"/>
      <c r="I106" s="32"/>
      <c r="J106" s="34">
        <f>ROUND(F106,3)</f>
        <v>1</v>
      </c>
      <c r="K106" s="37">
        <f>SUM(J106:J106)</f>
        <v>1</v>
      </c>
      <c r="L106" s="25"/>
      <c r="M106" s="25"/>
    </row>
    <row r="107" spans="1:13" ht="15.4" customHeight="1" thickBot="1" x14ac:dyDescent="0.25">
      <c r="A107" s="10" t="s">
        <v>243</v>
      </c>
      <c r="B107" s="5" t="s">
        <v>244</v>
      </c>
      <c r="C107" s="5" t="s">
        <v>245</v>
      </c>
      <c r="D107" s="82" t="s">
        <v>246</v>
      </c>
      <c r="E107" s="82"/>
      <c r="F107" s="82"/>
      <c r="G107" s="82"/>
      <c r="H107" s="82"/>
      <c r="I107" s="82"/>
      <c r="J107" s="82"/>
      <c r="K107" s="23">
        <f>SUM(K110:K110)</f>
        <v>1</v>
      </c>
      <c r="L107" s="24">
        <f>ROUND(132.08*(1+M2/100),2)</f>
        <v>140</v>
      </c>
      <c r="M107" s="24">
        <f>ROUND(K107*L107,2)</f>
        <v>140</v>
      </c>
    </row>
    <row r="108" spans="1:13" ht="49.15" customHeight="1" thickBot="1" x14ac:dyDescent="0.25">
      <c r="A108" s="25"/>
      <c r="B108" s="25"/>
      <c r="C108" s="25"/>
      <c r="D108" s="82" t="s">
        <v>247</v>
      </c>
      <c r="E108" s="82"/>
      <c r="F108" s="82"/>
      <c r="G108" s="82"/>
      <c r="H108" s="82"/>
      <c r="I108" s="82"/>
      <c r="J108" s="82"/>
      <c r="K108" s="82"/>
      <c r="L108" s="82"/>
      <c r="M108" s="82"/>
    </row>
    <row r="109" spans="1:13" ht="15.2" customHeight="1" thickBot="1" x14ac:dyDescent="0.25">
      <c r="A109" s="25"/>
      <c r="B109" s="25"/>
      <c r="C109" s="25"/>
      <c r="D109" s="25"/>
      <c r="E109" s="26"/>
      <c r="F109" s="28" t="s">
        <v>248</v>
      </c>
      <c r="G109" s="28" t="s">
        <v>249</v>
      </c>
      <c r="H109" s="28" t="s">
        <v>250</v>
      </c>
      <c r="I109" s="28" t="s">
        <v>251</v>
      </c>
      <c r="J109" s="28" t="s">
        <v>252</v>
      </c>
      <c r="K109" s="28" t="s">
        <v>253</v>
      </c>
      <c r="L109" s="25"/>
      <c r="M109" s="25"/>
    </row>
    <row r="110" spans="1:13" ht="15.2" customHeight="1" thickBot="1" x14ac:dyDescent="0.25">
      <c r="A110" s="25"/>
      <c r="B110" s="25"/>
      <c r="C110" s="25"/>
      <c r="D110" s="29"/>
      <c r="E110" s="30" t="s">
        <v>254</v>
      </c>
      <c r="F110" s="31">
        <v>1</v>
      </c>
      <c r="G110" s="32"/>
      <c r="H110" s="32"/>
      <c r="I110" s="32"/>
      <c r="J110" s="34">
        <f>ROUND(F110,3)</f>
        <v>1</v>
      </c>
      <c r="K110" s="37">
        <f>SUM(J110:J110)</f>
        <v>1</v>
      </c>
      <c r="L110" s="25"/>
      <c r="M110" s="25"/>
    </row>
    <row r="111" spans="1:13" ht="15.4" customHeight="1" thickBot="1" x14ac:dyDescent="0.25">
      <c r="A111" s="10" t="s">
        <v>255</v>
      </c>
      <c r="B111" s="5" t="s">
        <v>256</v>
      </c>
      <c r="C111" s="5" t="s">
        <v>257</v>
      </c>
      <c r="D111" s="82" t="s">
        <v>258</v>
      </c>
      <c r="E111" s="82"/>
      <c r="F111" s="82"/>
      <c r="G111" s="82"/>
      <c r="H111" s="82"/>
      <c r="I111" s="82"/>
      <c r="J111" s="82"/>
      <c r="K111" s="23">
        <f>SUM(K114:K114)</f>
        <v>72</v>
      </c>
      <c r="L111" s="24">
        <f>ROUND(84.9*(1+M2/100),2)</f>
        <v>89.99</v>
      </c>
      <c r="M111" s="24">
        <f>ROUND(K111*L111,2)</f>
        <v>6479.28</v>
      </c>
    </row>
    <row r="112" spans="1:13" ht="49.15" customHeight="1" thickBot="1" x14ac:dyDescent="0.25">
      <c r="A112" s="25"/>
      <c r="B112" s="25"/>
      <c r="C112" s="25"/>
      <c r="D112" s="82" t="s">
        <v>259</v>
      </c>
      <c r="E112" s="82"/>
      <c r="F112" s="82"/>
      <c r="G112" s="82"/>
      <c r="H112" s="82"/>
      <c r="I112" s="82"/>
      <c r="J112" s="82"/>
      <c r="K112" s="82"/>
      <c r="L112" s="82"/>
      <c r="M112" s="82"/>
    </row>
    <row r="113" spans="1:13" ht="15.2" customHeight="1" thickBot="1" x14ac:dyDescent="0.25">
      <c r="A113" s="25"/>
      <c r="B113" s="25"/>
      <c r="C113" s="25"/>
      <c r="D113" s="25"/>
      <c r="E113" s="26"/>
      <c r="F113" s="28" t="s">
        <v>260</v>
      </c>
      <c r="G113" s="28" t="s">
        <v>261</v>
      </c>
      <c r="H113" s="28" t="s">
        <v>262</v>
      </c>
      <c r="I113" s="28" t="s">
        <v>263</v>
      </c>
      <c r="J113" s="28" t="s">
        <v>264</v>
      </c>
      <c r="K113" s="28" t="s">
        <v>265</v>
      </c>
      <c r="L113" s="25"/>
      <c r="M113" s="25"/>
    </row>
    <row r="114" spans="1:13" ht="15.2" customHeight="1" thickBot="1" x14ac:dyDescent="0.25">
      <c r="A114" s="25"/>
      <c r="B114" s="25"/>
      <c r="C114" s="25"/>
      <c r="D114" s="29"/>
      <c r="E114" s="30" t="s">
        <v>266</v>
      </c>
      <c r="F114" s="31">
        <v>72</v>
      </c>
      <c r="G114" s="32"/>
      <c r="H114" s="32"/>
      <c r="I114" s="32"/>
      <c r="J114" s="34">
        <f>ROUND(F114,3)</f>
        <v>72</v>
      </c>
      <c r="K114" s="37">
        <f>SUM(J114:J114)</f>
        <v>72</v>
      </c>
      <c r="L114" s="25"/>
      <c r="M114" s="25"/>
    </row>
    <row r="115" spans="1:13" ht="15.4" customHeight="1" thickBot="1" x14ac:dyDescent="0.25">
      <c r="A115" s="10" t="s">
        <v>267</v>
      </c>
      <c r="B115" s="5" t="s">
        <v>268</v>
      </c>
      <c r="C115" s="5" t="s">
        <v>269</v>
      </c>
      <c r="D115" s="82" t="s">
        <v>270</v>
      </c>
      <c r="E115" s="82"/>
      <c r="F115" s="82"/>
      <c r="G115" s="82"/>
      <c r="H115" s="82"/>
      <c r="I115" s="82"/>
      <c r="J115" s="82"/>
      <c r="K115" s="23">
        <f>SUM(K118:K118)</f>
        <v>1</v>
      </c>
      <c r="L115" s="24">
        <f>ROUND(115.12*(1+M2/100),2)</f>
        <v>122.03</v>
      </c>
      <c r="M115" s="24">
        <f>ROUND(K115*L115,2)</f>
        <v>122.03</v>
      </c>
    </row>
    <row r="116" spans="1:13" ht="49.15" customHeight="1" thickBot="1" x14ac:dyDescent="0.25">
      <c r="A116" s="25"/>
      <c r="B116" s="25"/>
      <c r="C116" s="25"/>
      <c r="D116" s="82" t="s">
        <v>271</v>
      </c>
      <c r="E116" s="82"/>
      <c r="F116" s="82"/>
      <c r="G116" s="82"/>
      <c r="H116" s="82"/>
      <c r="I116" s="82"/>
      <c r="J116" s="82"/>
      <c r="K116" s="82"/>
      <c r="L116" s="82"/>
      <c r="M116" s="82"/>
    </row>
    <row r="117" spans="1:13" ht="15.2" customHeight="1" thickBot="1" x14ac:dyDescent="0.25">
      <c r="A117" s="25"/>
      <c r="B117" s="25"/>
      <c r="C117" s="25"/>
      <c r="D117" s="25"/>
      <c r="E117" s="26"/>
      <c r="F117" s="28" t="s">
        <v>272</v>
      </c>
      <c r="G117" s="28" t="s">
        <v>273</v>
      </c>
      <c r="H117" s="28" t="s">
        <v>274</v>
      </c>
      <c r="I117" s="28" t="s">
        <v>275</v>
      </c>
      <c r="J117" s="28" t="s">
        <v>276</v>
      </c>
      <c r="K117" s="28" t="s">
        <v>277</v>
      </c>
      <c r="L117" s="25"/>
      <c r="M117" s="25"/>
    </row>
    <row r="118" spans="1:13" ht="15.2" customHeight="1" thickBot="1" x14ac:dyDescent="0.25">
      <c r="A118" s="25"/>
      <c r="B118" s="25"/>
      <c r="C118" s="25"/>
      <c r="D118" s="29"/>
      <c r="E118" s="30" t="s">
        <v>278</v>
      </c>
      <c r="F118" s="31">
        <v>1</v>
      </c>
      <c r="G118" s="32"/>
      <c r="H118" s="32"/>
      <c r="I118" s="32"/>
      <c r="J118" s="34">
        <f>ROUND(F118,3)</f>
        <v>1</v>
      </c>
      <c r="K118" s="37">
        <f>SUM(J118:J118)</f>
        <v>1</v>
      </c>
      <c r="L118" s="25"/>
      <c r="M118" s="25"/>
    </row>
    <row r="119" spans="1:13" ht="15.4" customHeight="1" thickBot="1" x14ac:dyDescent="0.25">
      <c r="A119" s="38"/>
      <c r="B119" s="38"/>
      <c r="C119" s="38"/>
      <c r="D119" s="39" t="s">
        <v>279</v>
      </c>
      <c r="E119" s="40"/>
      <c r="F119" s="40"/>
      <c r="G119" s="40"/>
      <c r="H119" s="40"/>
      <c r="I119" s="40"/>
      <c r="J119" s="40"/>
      <c r="K119" s="40"/>
      <c r="L119" s="41">
        <f>M93+M99+M103+M107+M111+M115</f>
        <v>93085.709999999992</v>
      </c>
      <c r="M119" s="41">
        <f>ROUND(L119,2)</f>
        <v>93085.71</v>
      </c>
    </row>
    <row r="120" spans="1:13" ht="15.4" customHeight="1" thickBot="1" x14ac:dyDescent="0.25">
      <c r="A120" s="45"/>
      <c r="B120" s="45"/>
      <c r="C120" s="45"/>
      <c r="D120" s="46" t="s">
        <v>280</v>
      </c>
      <c r="E120" s="47"/>
      <c r="F120" s="47"/>
      <c r="G120" s="47"/>
      <c r="H120" s="47"/>
      <c r="I120" s="47"/>
      <c r="J120" s="47"/>
      <c r="K120" s="47"/>
      <c r="L120" s="48">
        <f>M91+M119</f>
        <v>333127.81</v>
      </c>
      <c r="M120" s="48">
        <f>ROUND(L120,2)</f>
        <v>333127.81</v>
      </c>
    </row>
    <row r="121" spans="1:13" ht="15.4" customHeight="1" thickBot="1" x14ac:dyDescent="0.25">
      <c r="A121" s="49" t="s">
        <v>281</v>
      </c>
      <c r="B121" s="49" t="s">
        <v>282</v>
      </c>
      <c r="C121" s="50"/>
      <c r="D121" s="84" t="s">
        <v>283</v>
      </c>
      <c r="E121" s="84"/>
      <c r="F121" s="84"/>
      <c r="G121" s="84"/>
      <c r="H121" s="84"/>
      <c r="I121" s="84"/>
      <c r="J121" s="84"/>
      <c r="K121" s="50"/>
      <c r="L121" s="51">
        <f>L275</f>
        <v>183379.66</v>
      </c>
      <c r="M121" s="51">
        <f>ROUND(L121,2)</f>
        <v>183379.66</v>
      </c>
    </row>
    <row r="122" spans="1:13" ht="15.4" customHeight="1" thickBot="1" x14ac:dyDescent="0.25">
      <c r="A122" s="20" t="s">
        <v>284</v>
      </c>
      <c r="B122" s="20" t="s">
        <v>285</v>
      </c>
      <c r="C122" s="21"/>
      <c r="D122" s="81" t="s">
        <v>286</v>
      </c>
      <c r="E122" s="81"/>
      <c r="F122" s="81"/>
      <c r="G122" s="81"/>
      <c r="H122" s="81"/>
      <c r="I122" s="81"/>
      <c r="J122" s="81"/>
      <c r="K122" s="21"/>
      <c r="L122" s="22">
        <f>L143</f>
        <v>61018.25</v>
      </c>
      <c r="M122" s="22">
        <f>ROUND(L122,2)</f>
        <v>61018.25</v>
      </c>
    </row>
    <row r="123" spans="1:13" ht="15.4" customHeight="1" thickBot="1" x14ac:dyDescent="0.25">
      <c r="A123" s="10" t="s">
        <v>287</v>
      </c>
      <c r="B123" s="5" t="s">
        <v>288</v>
      </c>
      <c r="C123" s="5" t="s">
        <v>289</v>
      </c>
      <c r="D123" s="82" t="s">
        <v>290</v>
      </c>
      <c r="E123" s="82"/>
      <c r="F123" s="82"/>
      <c r="G123" s="82"/>
      <c r="H123" s="82"/>
      <c r="I123" s="82"/>
      <c r="J123" s="82"/>
      <c r="K123" s="23">
        <f>SUM(K126:K127)</f>
        <v>475</v>
      </c>
      <c r="L123" s="24">
        <f>ROUND(85.09*(1+M2/100),2)</f>
        <v>90.2</v>
      </c>
      <c r="M123" s="24">
        <f>ROUND(K123*L123,2)</f>
        <v>42845</v>
      </c>
    </row>
    <row r="124" spans="1:13" ht="76.900000000000006" customHeight="1" thickBot="1" x14ac:dyDescent="0.25">
      <c r="A124" s="25"/>
      <c r="B124" s="25"/>
      <c r="C124" s="25"/>
      <c r="D124" s="82" t="s">
        <v>291</v>
      </c>
      <c r="E124" s="82"/>
      <c r="F124" s="82"/>
      <c r="G124" s="82"/>
      <c r="H124" s="82"/>
      <c r="I124" s="82"/>
      <c r="J124" s="82"/>
      <c r="K124" s="82"/>
      <c r="L124" s="82"/>
      <c r="M124" s="82"/>
    </row>
    <row r="125" spans="1:13" ht="15.2" customHeight="1" thickBot="1" x14ac:dyDescent="0.25">
      <c r="A125" s="25"/>
      <c r="B125" s="25"/>
      <c r="C125" s="25"/>
      <c r="D125" s="25"/>
      <c r="E125" s="26"/>
      <c r="F125" s="28" t="s">
        <v>292</v>
      </c>
      <c r="G125" s="28" t="s">
        <v>293</v>
      </c>
      <c r="H125" s="28" t="s">
        <v>294</v>
      </c>
      <c r="I125" s="28" t="s">
        <v>295</v>
      </c>
      <c r="J125" s="28" t="s">
        <v>296</v>
      </c>
      <c r="K125" s="28" t="s">
        <v>297</v>
      </c>
      <c r="L125" s="25"/>
      <c r="M125" s="25"/>
    </row>
    <row r="126" spans="1:13" ht="30.6" customHeight="1" thickBot="1" x14ac:dyDescent="0.25">
      <c r="A126" s="25"/>
      <c r="B126" s="25"/>
      <c r="C126" s="25"/>
      <c r="D126" s="29"/>
      <c r="E126" s="30" t="s">
        <v>298</v>
      </c>
      <c r="F126" s="31">
        <v>1</v>
      </c>
      <c r="G126" s="32">
        <v>325</v>
      </c>
      <c r="H126" s="32"/>
      <c r="I126" s="32"/>
      <c r="J126" s="34">
        <f>ROUND(F126*G126,3)</f>
        <v>325</v>
      </c>
      <c r="K126" s="35"/>
      <c r="L126" s="25"/>
      <c r="M126" s="25"/>
    </row>
    <row r="127" spans="1:13" ht="30.6" customHeight="1" thickBot="1" x14ac:dyDescent="0.25">
      <c r="A127" s="25"/>
      <c r="B127" s="25"/>
      <c r="C127" s="25"/>
      <c r="D127" s="29"/>
      <c r="E127" s="5" t="s">
        <v>299</v>
      </c>
      <c r="F127" s="3">
        <v>6</v>
      </c>
      <c r="G127" s="23">
        <v>25</v>
      </c>
      <c r="H127" s="23"/>
      <c r="I127" s="23"/>
      <c r="J127" s="33">
        <f>ROUND(F127*G127,3)</f>
        <v>150</v>
      </c>
      <c r="K127" s="36">
        <f>SUM(J126:J127)</f>
        <v>475</v>
      </c>
      <c r="L127" s="25"/>
      <c r="M127" s="25"/>
    </row>
    <row r="128" spans="1:13" ht="15.4" customHeight="1" thickBot="1" x14ac:dyDescent="0.25">
      <c r="A128" s="10" t="s">
        <v>300</v>
      </c>
      <c r="B128" s="5" t="s">
        <v>301</v>
      </c>
      <c r="C128" s="5" t="s">
        <v>302</v>
      </c>
      <c r="D128" s="82" t="s">
        <v>303</v>
      </c>
      <c r="E128" s="82"/>
      <c r="F128" s="82"/>
      <c r="G128" s="82"/>
      <c r="H128" s="82"/>
      <c r="I128" s="82"/>
      <c r="J128" s="82"/>
      <c r="K128" s="23">
        <f>SUM(K131:K135)</f>
        <v>145</v>
      </c>
      <c r="L128" s="24">
        <f>ROUND(42.88*(1+M2/100),2)</f>
        <v>45.45</v>
      </c>
      <c r="M128" s="24">
        <f>ROUND(K128*L128,2)</f>
        <v>6590.25</v>
      </c>
    </row>
    <row r="129" spans="1:13" ht="76.900000000000006" customHeight="1" thickBot="1" x14ac:dyDescent="0.25">
      <c r="A129" s="25"/>
      <c r="B129" s="25"/>
      <c r="C129" s="25"/>
      <c r="D129" s="82" t="s">
        <v>304</v>
      </c>
      <c r="E129" s="82"/>
      <c r="F129" s="82"/>
      <c r="G129" s="82"/>
      <c r="H129" s="82"/>
      <c r="I129" s="82"/>
      <c r="J129" s="82"/>
      <c r="K129" s="82"/>
      <c r="L129" s="82"/>
      <c r="M129" s="82"/>
    </row>
    <row r="130" spans="1:13" ht="15.2" customHeight="1" thickBot="1" x14ac:dyDescent="0.25">
      <c r="A130" s="25"/>
      <c r="B130" s="25"/>
      <c r="C130" s="25"/>
      <c r="D130" s="25"/>
      <c r="E130" s="26"/>
      <c r="F130" s="28" t="s">
        <v>305</v>
      </c>
      <c r="G130" s="28" t="s">
        <v>306</v>
      </c>
      <c r="H130" s="28" t="s">
        <v>307</v>
      </c>
      <c r="I130" s="28" t="s">
        <v>308</v>
      </c>
      <c r="J130" s="28" t="s">
        <v>309</v>
      </c>
      <c r="K130" s="28" t="s">
        <v>310</v>
      </c>
      <c r="L130" s="25"/>
      <c r="M130" s="25"/>
    </row>
    <row r="131" spans="1:13" ht="30.6" customHeight="1" thickBot="1" x14ac:dyDescent="0.25">
      <c r="A131" s="25"/>
      <c r="B131" s="25"/>
      <c r="C131" s="25"/>
      <c r="D131" s="29"/>
      <c r="E131" s="30" t="s">
        <v>311</v>
      </c>
      <c r="F131" s="31"/>
      <c r="G131" s="32"/>
      <c r="H131" s="32"/>
      <c r="I131" s="32"/>
      <c r="J131" s="52" t="s">
        <v>312</v>
      </c>
      <c r="K131" s="35"/>
      <c r="L131" s="25"/>
      <c r="M131" s="25"/>
    </row>
    <row r="132" spans="1:13" ht="15.2" customHeight="1" thickBot="1" x14ac:dyDescent="0.25">
      <c r="A132" s="25"/>
      <c r="B132" s="25"/>
      <c r="C132" s="25"/>
      <c r="D132" s="29"/>
      <c r="E132" s="5" t="s">
        <v>313</v>
      </c>
      <c r="F132" s="3">
        <v>3</v>
      </c>
      <c r="G132" s="23">
        <v>5</v>
      </c>
      <c r="H132" s="23"/>
      <c r="I132" s="23"/>
      <c r="J132" s="33">
        <f>ROUND(F132*G132,3)</f>
        <v>15</v>
      </c>
      <c r="K132" s="25"/>
      <c r="L132" s="25"/>
      <c r="M132" s="25"/>
    </row>
    <row r="133" spans="1:13" ht="15.2" customHeight="1" thickBot="1" x14ac:dyDescent="0.25">
      <c r="A133" s="25"/>
      <c r="B133" s="25"/>
      <c r="C133" s="25"/>
      <c r="D133" s="29"/>
      <c r="E133" s="5" t="s">
        <v>314</v>
      </c>
      <c r="F133" s="3">
        <v>24</v>
      </c>
      <c r="G133" s="23">
        <v>5</v>
      </c>
      <c r="H133" s="23"/>
      <c r="I133" s="23"/>
      <c r="J133" s="33">
        <f>ROUND(F133*G133,3)</f>
        <v>120</v>
      </c>
      <c r="K133" s="25"/>
      <c r="L133" s="25"/>
      <c r="M133" s="25"/>
    </row>
    <row r="134" spans="1:13" ht="15.2" customHeight="1" thickBot="1" x14ac:dyDescent="0.25">
      <c r="A134" s="25"/>
      <c r="B134" s="25"/>
      <c r="C134" s="25"/>
      <c r="D134" s="29"/>
      <c r="E134" s="5" t="s">
        <v>315</v>
      </c>
      <c r="F134" s="3">
        <v>1</v>
      </c>
      <c r="G134" s="23">
        <v>5</v>
      </c>
      <c r="H134" s="23"/>
      <c r="I134" s="23"/>
      <c r="J134" s="33">
        <f>ROUND(F134*G134,3)</f>
        <v>5</v>
      </c>
      <c r="K134" s="25"/>
      <c r="L134" s="25"/>
      <c r="M134" s="25"/>
    </row>
    <row r="135" spans="1:13" ht="15.2" customHeight="1" thickBot="1" x14ac:dyDescent="0.25">
      <c r="A135" s="25"/>
      <c r="B135" s="25"/>
      <c r="C135" s="25"/>
      <c r="D135" s="29"/>
      <c r="E135" s="5" t="s">
        <v>316</v>
      </c>
      <c r="F135" s="3">
        <v>1</v>
      </c>
      <c r="G135" s="23">
        <v>5</v>
      </c>
      <c r="H135" s="23"/>
      <c r="I135" s="23"/>
      <c r="J135" s="33">
        <f>ROUND(F135*G135,3)</f>
        <v>5</v>
      </c>
      <c r="K135" s="36">
        <f>SUM(J131:J135)</f>
        <v>145</v>
      </c>
      <c r="L135" s="25"/>
      <c r="M135" s="25"/>
    </row>
    <row r="136" spans="1:13" ht="15.4" customHeight="1" thickBot="1" x14ac:dyDescent="0.25">
      <c r="A136" s="10" t="s">
        <v>317</v>
      </c>
      <c r="B136" s="5" t="s">
        <v>318</v>
      </c>
      <c r="C136" s="5" t="s">
        <v>319</v>
      </c>
      <c r="D136" s="82" t="s">
        <v>320</v>
      </c>
      <c r="E136" s="82"/>
      <c r="F136" s="82"/>
      <c r="G136" s="82"/>
      <c r="H136" s="82"/>
      <c r="I136" s="82"/>
      <c r="J136" s="82"/>
      <c r="K136" s="23">
        <f>SUM(K139:K142)</f>
        <v>165</v>
      </c>
      <c r="L136" s="24">
        <f>ROUND(66.23*(1+M2/100),2)</f>
        <v>70.2</v>
      </c>
      <c r="M136" s="24">
        <f>ROUND(K136*L136,2)</f>
        <v>11583</v>
      </c>
    </row>
    <row r="137" spans="1:13" ht="76.900000000000006" customHeight="1" thickBot="1" x14ac:dyDescent="0.25">
      <c r="A137" s="25"/>
      <c r="B137" s="25"/>
      <c r="C137" s="25"/>
      <c r="D137" s="82" t="s">
        <v>321</v>
      </c>
      <c r="E137" s="82"/>
      <c r="F137" s="82"/>
      <c r="G137" s="82"/>
      <c r="H137" s="82"/>
      <c r="I137" s="82"/>
      <c r="J137" s="82"/>
      <c r="K137" s="82"/>
      <c r="L137" s="82"/>
      <c r="M137" s="82"/>
    </row>
    <row r="138" spans="1:13" ht="15.2" customHeight="1" thickBot="1" x14ac:dyDescent="0.25">
      <c r="A138" s="25"/>
      <c r="B138" s="25"/>
      <c r="C138" s="25"/>
      <c r="D138" s="25"/>
      <c r="E138" s="26"/>
      <c r="F138" s="28" t="s">
        <v>322</v>
      </c>
      <c r="G138" s="28" t="s">
        <v>323</v>
      </c>
      <c r="H138" s="28" t="s">
        <v>324</v>
      </c>
      <c r="I138" s="28" t="s">
        <v>325</v>
      </c>
      <c r="J138" s="28" t="s">
        <v>326</v>
      </c>
      <c r="K138" s="28" t="s">
        <v>327</v>
      </c>
      <c r="L138" s="25"/>
      <c r="M138" s="25"/>
    </row>
    <row r="139" spans="1:13" ht="30.6" customHeight="1" thickBot="1" x14ac:dyDescent="0.25">
      <c r="A139" s="25"/>
      <c r="B139" s="25"/>
      <c r="C139" s="25"/>
      <c r="D139" s="29"/>
      <c r="E139" s="30" t="s">
        <v>328</v>
      </c>
      <c r="F139" s="31"/>
      <c r="G139" s="32"/>
      <c r="H139" s="32"/>
      <c r="I139" s="32"/>
      <c r="J139" s="52" t="s">
        <v>329</v>
      </c>
      <c r="K139" s="35"/>
      <c r="L139" s="25"/>
      <c r="M139" s="25"/>
    </row>
    <row r="140" spans="1:13" ht="15.2" customHeight="1" thickBot="1" x14ac:dyDescent="0.25">
      <c r="A140" s="25"/>
      <c r="B140" s="25"/>
      <c r="C140" s="25"/>
      <c r="D140" s="29"/>
      <c r="E140" s="5" t="s">
        <v>330</v>
      </c>
      <c r="F140" s="3">
        <v>2</v>
      </c>
      <c r="G140" s="23">
        <v>5</v>
      </c>
      <c r="H140" s="23"/>
      <c r="I140" s="23"/>
      <c r="J140" s="33">
        <f>ROUND(F140*G140,3)</f>
        <v>10</v>
      </c>
      <c r="K140" s="25"/>
      <c r="L140" s="25"/>
      <c r="M140" s="25"/>
    </row>
    <row r="141" spans="1:13" ht="15.2" customHeight="1" thickBot="1" x14ac:dyDescent="0.25">
      <c r="A141" s="25"/>
      <c r="B141" s="25"/>
      <c r="C141" s="25"/>
      <c r="D141" s="29"/>
      <c r="E141" s="5" t="s">
        <v>331</v>
      </c>
      <c r="F141" s="3">
        <v>25</v>
      </c>
      <c r="G141" s="23">
        <v>5</v>
      </c>
      <c r="H141" s="23"/>
      <c r="I141" s="23"/>
      <c r="J141" s="33">
        <f>ROUND(F141*G141,3)</f>
        <v>125</v>
      </c>
      <c r="K141" s="25"/>
      <c r="L141" s="25"/>
      <c r="M141" s="25"/>
    </row>
    <row r="142" spans="1:13" ht="15.2" customHeight="1" thickBot="1" x14ac:dyDescent="0.25">
      <c r="A142" s="25"/>
      <c r="B142" s="25"/>
      <c r="C142" s="25"/>
      <c r="D142" s="29"/>
      <c r="E142" s="5" t="s">
        <v>332</v>
      </c>
      <c r="F142" s="3">
        <v>6</v>
      </c>
      <c r="G142" s="23">
        <v>5</v>
      </c>
      <c r="H142" s="23"/>
      <c r="I142" s="23"/>
      <c r="J142" s="33">
        <f>ROUND(F142*G142,3)</f>
        <v>30</v>
      </c>
      <c r="K142" s="36">
        <f>SUM(J139:J142)</f>
        <v>165</v>
      </c>
      <c r="L142" s="25"/>
      <c r="M142" s="25"/>
    </row>
    <row r="143" spans="1:13" ht="15.4" customHeight="1" thickBot="1" x14ac:dyDescent="0.25">
      <c r="A143" s="38"/>
      <c r="B143" s="38"/>
      <c r="C143" s="38"/>
      <c r="D143" s="39" t="s">
        <v>333</v>
      </c>
      <c r="E143" s="40"/>
      <c r="F143" s="40"/>
      <c r="G143" s="40"/>
      <c r="H143" s="40"/>
      <c r="I143" s="40"/>
      <c r="J143" s="40"/>
      <c r="K143" s="40"/>
      <c r="L143" s="41">
        <f>M123+M128+M136</f>
        <v>61018.25</v>
      </c>
      <c r="M143" s="41">
        <f>ROUND(L143,2)</f>
        <v>61018.25</v>
      </c>
    </row>
    <row r="144" spans="1:13" ht="15.4" customHeight="1" thickBot="1" x14ac:dyDescent="0.25">
      <c r="A144" s="42" t="s">
        <v>334</v>
      </c>
      <c r="B144" s="42" t="s">
        <v>335</v>
      </c>
      <c r="C144" s="43"/>
      <c r="D144" s="83" t="s">
        <v>336</v>
      </c>
      <c r="E144" s="83"/>
      <c r="F144" s="83"/>
      <c r="G144" s="83"/>
      <c r="H144" s="83"/>
      <c r="I144" s="83"/>
      <c r="J144" s="83"/>
      <c r="K144" s="43"/>
      <c r="L144" s="44">
        <f>L165</f>
        <v>39296.899999999994</v>
      </c>
      <c r="M144" s="44">
        <f>ROUND(L144,2)</f>
        <v>39296.9</v>
      </c>
    </row>
    <row r="145" spans="1:13" ht="15.4" customHeight="1" thickBot="1" x14ac:dyDescent="0.25">
      <c r="A145" s="10" t="s">
        <v>337</v>
      </c>
      <c r="B145" s="5" t="s">
        <v>338</v>
      </c>
      <c r="C145" s="5" t="s">
        <v>339</v>
      </c>
      <c r="D145" s="82" t="s">
        <v>340</v>
      </c>
      <c r="E145" s="82"/>
      <c r="F145" s="82"/>
      <c r="G145" s="82"/>
      <c r="H145" s="82"/>
      <c r="I145" s="82"/>
      <c r="J145" s="82"/>
      <c r="K145" s="23">
        <f>SUM(K148:K151)</f>
        <v>29</v>
      </c>
      <c r="L145" s="24">
        <f>ROUND(352.14*(1+M2/100),2)</f>
        <v>373.27</v>
      </c>
      <c r="M145" s="24">
        <f>ROUND(K145*L145,2)</f>
        <v>10824.83</v>
      </c>
    </row>
    <row r="146" spans="1:13" ht="58.35" customHeight="1" thickBot="1" x14ac:dyDescent="0.25">
      <c r="A146" s="25"/>
      <c r="B146" s="25"/>
      <c r="C146" s="25"/>
      <c r="D146" s="82" t="s">
        <v>341</v>
      </c>
      <c r="E146" s="82"/>
      <c r="F146" s="82"/>
      <c r="G146" s="82"/>
      <c r="H146" s="82"/>
      <c r="I146" s="82"/>
      <c r="J146" s="82"/>
      <c r="K146" s="82"/>
      <c r="L146" s="82"/>
      <c r="M146" s="82"/>
    </row>
    <row r="147" spans="1:13" ht="15.2" customHeight="1" thickBot="1" x14ac:dyDescent="0.25">
      <c r="A147" s="25"/>
      <c r="B147" s="25"/>
      <c r="C147" s="25"/>
      <c r="D147" s="25"/>
      <c r="E147" s="26"/>
      <c r="F147" s="28" t="s">
        <v>342</v>
      </c>
      <c r="G147" s="28" t="s">
        <v>343</v>
      </c>
      <c r="H147" s="28" t="s">
        <v>344</v>
      </c>
      <c r="I147" s="28" t="s">
        <v>345</v>
      </c>
      <c r="J147" s="28" t="s">
        <v>346</v>
      </c>
      <c r="K147" s="28" t="s">
        <v>347</v>
      </c>
      <c r="L147" s="25"/>
      <c r="M147" s="25"/>
    </row>
    <row r="148" spans="1:13" ht="15.2" customHeight="1" thickBot="1" x14ac:dyDescent="0.25">
      <c r="A148" s="25"/>
      <c r="B148" s="25"/>
      <c r="C148" s="25"/>
      <c r="D148" s="29"/>
      <c r="E148" s="30" t="s">
        <v>348</v>
      </c>
      <c r="F148" s="31">
        <v>3</v>
      </c>
      <c r="G148" s="32"/>
      <c r="H148" s="32"/>
      <c r="I148" s="32"/>
      <c r="J148" s="34">
        <f>ROUND(F148,3)</f>
        <v>3</v>
      </c>
      <c r="K148" s="35"/>
      <c r="L148" s="25"/>
      <c r="M148" s="25"/>
    </row>
    <row r="149" spans="1:13" ht="15.2" customHeight="1" thickBot="1" x14ac:dyDescent="0.25">
      <c r="A149" s="25"/>
      <c r="B149" s="25"/>
      <c r="C149" s="25"/>
      <c r="D149" s="29"/>
      <c r="E149" s="5" t="s">
        <v>349</v>
      </c>
      <c r="F149" s="3">
        <v>24</v>
      </c>
      <c r="G149" s="23"/>
      <c r="H149" s="23"/>
      <c r="I149" s="23"/>
      <c r="J149" s="33">
        <f>ROUND(F149,3)</f>
        <v>24</v>
      </c>
      <c r="K149" s="25"/>
      <c r="L149" s="25"/>
      <c r="M149" s="25"/>
    </row>
    <row r="150" spans="1:13" ht="15.2" customHeight="1" thickBot="1" x14ac:dyDescent="0.25">
      <c r="A150" s="25"/>
      <c r="B150" s="25"/>
      <c r="C150" s="25"/>
      <c r="D150" s="29"/>
      <c r="E150" s="5" t="s">
        <v>350</v>
      </c>
      <c r="F150" s="3">
        <v>1</v>
      </c>
      <c r="G150" s="23"/>
      <c r="H150" s="23"/>
      <c r="I150" s="23"/>
      <c r="J150" s="33">
        <f>ROUND(F150,3)</f>
        <v>1</v>
      </c>
      <c r="K150" s="25"/>
      <c r="L150" s="25"/>
      <c r="M150" s="25"/>
    </row>
    <row r="151" spans="1:13" ht="15.2" customHeight="1" thickBot="1" x14ac:dyDescent="0.25">
      <c r="A151" s="25"/>
      <c r="B151" s="25"/>
      <c r="C151" s="25"/>
      <c r="D151" s="29"/>
      <c r="E151" s="5" t="s">
        <v>351</v>
      </c>
      <c r="F151" s="3">
        <v>1</v>
      </c>
      <c r="G151" s="23"/>
      <c r="H151" s="23"/>
      <c r="I151" s="23"/>
      <c r="J151" s="33">
        <f>ROUND(F151,3)</f>
        <v>1</v>
      </c>
      <c r="K151" s="36">
        <f>SUM(J148:J151)</f>
        <v>29</v>
      </c>
      <c r="L151" s="25"/>
      <c r="M151" s="25"/>
    </row>
    <row r="152" spans="1:13" ht="15.4" customHeight="1" thickBot="1" x14ac:dyDescent="0.25">
      <c r="A152" s="10" t="s">
        <v>352</v>
      </c>
      <c r="B152" s="5" t="s">
        <v>353</v>
      </c>
      <c r="C152" s="5" t="s">
        <v>354</v>
      </c>
      <c r="D152" s="82" t="s">
        <v>355</v>
      </c>
      <c r="E152" s="82"/>
      <c r="F152" s="82"/>
      <c r="G152" s="82"/>
      <c r="H152" s="82"/>
      <c r="I152" s="82"/>
      <c r="J152" s="82"/>
      <c r="K152" s="23">
        <f>SUM(K155:K157)</f>
        <v>33</v>
      </c>
      <c r="L152" s="24">
        <f>ROUND(378.32*(1+M2/100),2)</f>
        <v>401.02</v>
      </c>
      <c r="M152" s="24">
        <f>ROUND(K152*L152,2)</f>
        <v>13233.66</v>
      </c>
    </row>
    <row r="153" spans="1:13" ht="67.5" customHeight="1" thickBot="1" x14ac:dyDescent="0.25">
      <c r="A153" s="25"/>
      <c r="B153" s="25"/>
      <c r="C153" s="25"/>
      <c r="D153" s="82" t="s">
        <v>356</v>
      </c>
      <c r="E153" s="82"/>
      <c r="F153" s="82"/>
      <c r="G153" s="82"/>
      <c r="H153" s="82"/>
      <c r="I153" s="82"/>
      <c r="J153" s="82"/>
      <c r="K153" s="82"/>
      <c r="L153" s="82"/>
      <c r="M153" s="82"/>
    </row>
    <row r="154" spans="1:13" ht="15.2" customHeight="1" thickBot="1" x14ac:dyDescent="0.25">
      <c r="A154" s="25"/>
      <c r="B154" s="25"/>
      <c r="C154" s="25"/>
      <c r="D154" s="25"/>
      <c r="E154" s="26"/>
      <c r="F154" s="28" t="s">
        <v>357</v>
      </c>
      <c r="G154" s="28" t="s">
        <v>358</v>
      </c>
      <c r="H154" s="28" t="s">
        <v>359</v>
      </c>
      <c r="I154" s="28" t="s">
        <v>360</v>
      </c>
      <c r="J154" s="28" t="s">
        <v>361</v>
      </c>
      <c r="K154" s="28" t="s">
        <v>362</v>
      </c>
      <c r="L154" s="25"/>
      <c r="M154" s="25"/>
    </row>
    <row r="155" spans="1:13" ht="15.2" customHeight="1" thickBot="1" x14ac:dyDescent="0.25">
      <c r="A155" s="25"/>
      <c r="B155" s="25"/>
      <c r="C155" s="25"/>
      <c r="D155" s="29"/>
      <c r="E155" s="30" t="s">
        <v>363</v>
      </c>
      <c r="F155" s="31">
        <v>2</v>
      </c>
      <c r="G155" s="32"/>
      <c r="H155" s="32"/>
      <c r="I155" s="32"/>
      <c r="J155" s="34">
        <f>ROUND(F155,3)</f>
        <v>2</v>
      </c>
      <c r="K155" s="35"/>
      <c r="L155" s="25"/>
      <c r="M155" s="25"/>
    </row>
    <row r="156" spans="1:13" ht="15.2" customHeight="1" thickBot="1" x14ac:dyDescent="0.25">
      <c r="A156" s="25"/>
      <c r="B156" s="25"/>
      <c r="C156" s="25"/>
      <c r="D156" s="29"/>
      <c r="E156" s="5" t="s">
        <v>364</v>
      </c>
      <c r="F156" s="3">
        <v>25</v>
      </c>
      <c r="G156" s="23"/>
      <c r="H156" s="23"/>
      <c r="I156" s="23"/>
      <c r="J156" s="33">
        <f>ROUND(F156,3)</f>
        <v>25</v>
      </c>
      <c r="K156" s="25"/>
      <c r="L156" s="25"/>
      <c r="M156" s="25"/>
    </row>
    <row r="157" spans="1:13" ht="15.2" customHeight="1" thickBot="1" x14ac:dyDescent="0.25">
      <c r="A157" s="25"/>
      <c r="B157" s="25"/>
      <c r="C157" s="25"/>
      <c r="D157" s="29"/>
      <c r="E157" s="5" t="s">
        <v>365</v>
      </c>
      <c r="F157" s="3">
        <v>6</v>
      </c>
      <c r="G157" s="23"/>
      <c r="H157" s="23"/>
      <c r="I157" s="23"/>
      <c r="J157" s="33">
        <f>ROUND(F157,3)</f>
        <v>6</v>
      </c>
      <c r="K157" s="36">
        <f>SUM(J155:J157)</f>
        <v>33</v>
      </c>
      <c r="L157" s="25"/>
      <c r="M157" s="25"/>
    </row>
    <row r="158" spans="1:13" ht="15.4" customHeight="1" thickBot="1" x14ac:dyDescent="0.25">
      <c r="A158" s="10" t="s">
        <v>366</v>
      </c>
      <c r="B158" s="5" t="s">
        <v>367</v>
      </c>
      <c r="C158" s="5" t="s">
        <v>368</v>
      </c>
      <c r="D158" s="82" t="s">
        <v>369</v>
      </c>
      <c r="E158" s="82"/>
      <c r="F158" s="82"/>
      <c r="G158" s="82"/>
      <c r="H158" s="82"/>
      <c r="I158" s="82"/>
      <c r="J158" s="82"/>
      <c r="K158" s="23">
        <f>SUM(K161:K164)</f>
        <v>11</v>
      </c>
      <c r="L158" s="24">
        <f>ROUND(1306.9*(1+M2/100),2)</f>
        <v>1385.31</v>
      </c>
      <c r="M158" s="24">
        <f>ROUND(K158*L158,2)</f>
        <v>15238.41</v>
      </c>
    </row>
    <row r="159" spans="1:13" ht="49.15" customHeight="1" thickBot="1" x14ac:dyDescent="0.25">
      <c r="A159" s="25"/>
      <c r="B159" s="25"/>
      <c r="C159" s="25"/>
      <c r="D159" s="82" t="s">
        <v>370</v>
      </c>
      <c r="E159" s="82"/>
      <c r="F159" s="82"/>
      <c r="G159" s="82"/>
      <c r="H159" s="82"/>
      <c r="I159" s="82"/>
      <c r="J159" s="82"/>
      <c r="K159" s="82"/>
      <c r="L159" s="82"/>
      <c r="M159" s="82"/>
    </row>
    <row r="160" spans="1:13" ht="15.2" customHeight="1" thickBot="1" x14ac:dyDescent="0.25">
      <c r="A160" s="25"/>
      <c r="B160" s="25"/>
      <c r="C160" s="25"/>
      <c r="D160" s="25"/>
      <c r="E160" s="26"/>
      <c r="F160" s="28" t="s">
        <v>371</v>
      </c>
      <c r="G160" s="28" t="s">
        <v>372</v>
      </c>
      <c r="H160" s="28" t="s">
        <v>373</v>
      </c>
      <c r="I160" s="28" t="s">
        <v>374</v>
      </c>
      <c r="J160" s="28" t="s">
        <v>375</v>
      </c>
      <c r="K160" s="28" t="s">
        <v>376</v>
      </c>
      <c r="L160" s="25"/>
      <c r="M160" s="25"/>
    </row>
    <row r="161" spans="1:13" ht="15.2" customHeight="1" thickBot="1" x14ac:dyDescent="0.25">
      <c r="A161" s="25"/>
      <c r="B161" s="25"/>
      <c r="C161" s="25"/>
      <c r="D161" s="29"/>
      <c r="E161" s="30" t="s">
        <v>377</v>
      </c>
      <c r="F161" s="31">
        <v>6</v>
      </c>
      <c r="G161" s="32"/>
      <c r="H161" s="32"/>
      <c r="I161" s="32"/>
      <c r="J161" s="34">
        <f>ROUND(F161,3)</f>
        <v>6</v>
      </c>
      <c r="K161" s="35"/>
      <c r="L161" s="25"/>
      <c r="M161" s="25"/>
    </row>
    <row r="162" spans="1:13" ht="15.2" customHeight="1" thickBot="1" x14ac:dyDescent="0.25">
      <c r="A162" s="25"/>
      <c r="B162" s="25"/>
      <c r="C162" s="25"/>
      <c r="D162" s="29"/>
      <c r="E162" s="5" t="s">
        <v>378</v>
      </c>
      <c r="F162" s="3">
        <v>1</v>
      </c>
      <c r="G162" s="23"/>
      <c r="H162" s="23"/>
      <c r="I162" s="23"/>
      <c r="J162" s="33">
        <f>ROUND(F162,3)</f>
        <v>1</v>
      </c>
      <c r="K162" s="25"/>
      <c r="L162" s="25"/>
      <c r="M162" s="25"/>
    </row>
    <row r="163" spans="1:13" ht="15.2" customHeight="1" thickBot="1" x14ac:dyDescent="0.25">
      <c r="A163" s="25"/>
      <c r="B163" s="25"/>
      <c r="C163" s="25"/>
      <c r="D163" s="29"/>
      <c r="E163" s="5" t="s">
        <v>379</v>
      </c>
      <c r="F163" s="3">
        <v>2</v>
      </c>
      <c r="G163" s="23"/>
      <c r="H163" s="23"/>
      <c r="I163" s="23"/>
      <c r="J163" s="33">
        <f>ROUND(F163,3)</f>
        <v>2</v>
      </c>
      <c r="K163" s="25"/>
      <c r="L163" s="25"/>
      <c r="M163" s="25"/>
    </row>
    <row r="164" spans="1:13" ht="15.2" customHeight="1" thickBot="1" x14ac:dyDescent="0.25">
      <c r="A164" s="25"/>
      <c r="B164" s="25"/>
      <c r="C164" s="25"/>
      <c r="D164" s="29"/>
      <c r="E164" s="5" t="s">
        <v>380</v>
      </c>
      <c r="F164" s="3">
        <v>2</v>
      </c>
      <c r="G164" s="23"/>
      <c r="H164" s="23"/>
      <c r="I164" s="23"/>
      <c r="J164" s="33">
        <f>ROUND(F164,3)</f>
        <v>2</v>
      </c>
      <c r="K164" s="36">
        <f>SUM(J161:J164)</f>
        <v>11</v>
      </c>
      <c r="L164" s="25"/>
      <c r="M164" s="25"/>
    </row>
    <row r="165" spans="1:13" ht="15.4" customHeight="1" thickBot="1" x14ac:dyDescent="0.25">
      <c r="A165" s="38"/>
      <c r="B165" s="38"/>
      <c r="C165" s="38"/>
      <c r="D165" s="39" t="s">
        <v>381</v>
      </c>
      <c r="E165" s="40"/>
      <c r="F165" s="40"/>
      <c r="G165" s="40"/>
      <c r="H165" s="40"/>
      <c r="I165" s="40"/>
      <c r="J165" s="40"/>
      <c r="K165" s="40"/>
      <c r="L165" s="41">
        <f>M145+M152+M158</f>
        <v>39296.899999999994</v>
      </c>
      <c r="M165" s="41">
        <f>ROUND(L165,2)</f>
        <v>39296.9</v>
      </c>
    </row>
    <row r="166" spans="1:13" ht="15.4" customHeight="1" thickBot="1" x14ac:dyDescent="0.25">
      <c r="A166" s="42" t="s">
        <v>382</v>
      </c>
      <c r="B166" s="42" t="s">
        <v>383</v>
      </c>
      <c r="C166" s="43"/>
      <c r="D166" s="83" t="s">
        <v>384</v>
      </c>
      <c r="E166" s="83"/>
      <c r="F166" s="83"/>
      <c r="G166" s="83"/>
      <c r="H166" s="83"/>
      <c r="I166" s="83"/>
      <c r="J166" s="83"/>
      <c r="K166" s="43"/>
      <c r="L166" s="44">
        <f>L267</f>
        <v>67712.160000000003</v>
      </c>
      <c r="M166" s="44">
        <f>ROUND(L166,2)</f>
        <v>67712.160000000003</v>
      </c>
    </row>
    <row r="167" spans="1:13" ht="15.4" customHeight="1" thickBot="1" x14ac:dyDescent="0.25">
      <c r="A167" s="53" t="s">
        <v>385</v>
      </c>
      <c r="B167" s="53" t="s">
        <v>386</v>
      </c>
      <c r="C167" s="54"/>
      <c r="D167" s="85" t="s">
        <v>387</v>
      </c>
      <c r="E167" s="85"/>
      <c r="F167" s="85"/>
      <c r="G167" s="85"/>
      <c r="H167" s="85"/>
      <c r="I167" s="85"/>
      <c r="J167" s="85"/>
      <c r="K167" s="54"/>
      <c r="L167" s="55">
        <f>L176</f>
        <v>2047.9199999999998</v>
      </c>
      <c r="M167" s="55">
        <f>ROUND(L167,2)</f>
        <v>2047.92</v>
      </c>
    </row>
    <row r="168" spans="1:13" ht="15.4" customHeight="1" thickBot="1" x14ac:dyDescent="0.25">
      <c r="A168" s="10" t="s">
        <v>388</v>
      </c>
      <c r="B168" s="5" t="s">
        <v>389</v>
      </c>
      <c r="C168" s="5" t="s">
        <v>390</v>
      </c>
      <c r="D168" s="82" t="s">
        <v>391</v>
      </c>
      <c r="E168" s="82"/>
      <c r="F168" s="82"/>
      <c r="G168" s="82"/>
      <c r="H168" s="82"/>
      <c r="I168" s="82"/>
      <c r="J168" s="82"/>
      <c r="K168" s="23">
        <f>SUM(K171:K171)</f>
        <v>6</v>
      </c>
      <c r="L168" s="24">
        <f>ROUND(107.32*(1+M2/100),2)</f>
        <v>113.76</v>
      </c>
      <c r="M168" s="24">
        <f>ROUND(K168*L168,2)</f>
        <v>682.56</v>
      </c>
    </row>
    <row r="169" spans="1:13" ht="21.4" customHeight="1" thickBot="1" x14ac:dyDescent="0.25">
      <c r="A169" s="25"/>
      <c r="B169" s="25"/>
      <c r="C169" s="25"/>
      <c r="D169" s="82" t="s">
        <v>392</v>
      </c>
      <c r="E169" s="82"/>
      <c r="F169" s="82"/>
      <c r="G169" s="82"/>
      <c r="H169" s="82"/>
      <c r="I169" s="82"/>
      <c r="J169" s="82"/>
      <c r="K169" s="82"/>
      <c r="L169" s="82"/>
      <c r="M169" s="82"/>
    </row>
    <row r="170" spans="1:13" ht="15.2" customHeight="1" thickBot="1" x14ac:dyDescent="0.25">
      <c r="A170" s="25"/>
      <c r="B170" s="25"/>
      <c r="C170" s="25"/>
      <c r="D170" s="25"/>
      <c r="E170" s="26"/>
      <c r="F170" s="28" t="s">
        <v>393</v>
      </c>
      <c r="G170" s="28" t="s">
        <v>394</v>
      </c>
      <c r="H170" s="28" t="s">
        <v>395</v>
      </c>
      <c r="I170" s="28" t="s">
        <v>396</v>
      </c>
      <c r="J170" s="28" t="s">
        <v>397</v>
      </c>
      <c r="K170" s="28" t="s">
        <v>398</v>
      </c>
      <c r="L170" s="25"/>
      <c r="M170" s="25"/>
    </row>
    <row r="171" spans="1:13" ht="15.2" customHeight="1" thickBot="1" x14ac:dyDescent="0.25">
      <c r="A171" s="25"/>
      <c r="B171" s="25"/>
      <c r="C171" s="25"/>
      <c r="D171" s="29"/>
      <c r="E171" s="30"/>
      <c r="F171" s="31">
        <v>6</v>
      </c>
      <c r="G171" s="32"/>
      <c r="H171" s="32"/>
      <c r="I171" s="32"/>
      <c r="J171" s="34">
        <f>ROUND(F171,3)</f>
        <v>6</v>
      </c>
      <c r="K171" s="37">
        <f>SUM(J171:J171)</f>
        <v>6</v>
      </c>
      <c r="L171" s="25"/>
      <c r="M171" s="25"/>
    </row>
    <row r="172" spans="1:13" ht="21.4" customHeight="1" thickBot="1" x14ac:dyDescent="0.25">
      <c r="A172" s="10" t="s">
        <v>399</v>
      </c>
      <c r="B172" s="5" t="s">
        <v>400</v>
      </c>
      <c r="C172" s="5" t="s">
        <v>401</v>
      </c>
      <c r="D172" s="82" t="s">
        <v>402</v>
      </c>
      <c r="E172" s="82"/>
      <c r="F172" s="82"/>
      <c r="G172" s="82"/>
      <c r="H172" s="82"/>
      <c r="I172" s="82"/>
      <c r="J172" s="82"/>
      <c r="K172" s="23">
        <f>SUM(K175:K175)</f>
        <v>20.408999999999999</v>
      </c>
      <c r="L172" s="24">
        <f>ROUND(63.11*(1+M2/100),2)</f>
        <v>66.900000000000006</v>
      </c>
      <c r="M172" s="24">
        <f>ROUND(K172*L172,2)</f>
        <v>1365.36</v>
      </c>
    </row>
    <row r="173" spans="1:13" ht="21.4" customHeight="1" thickBot="1" x14ac:dyDescent="0.25">
      <c r="A173" s="25"/>
      <c r="B173" s="25"/>
      <c r="C173" s="25"/>
      <c r="D173" s="82" t="s">
        <v>403</v>
      </c>
      <c r="E173" s="82"/>
      <c r="F173" s="82"/>
      <c r="G173" s="82"/>
      <c r="H173" s="82"/>
      <c r="I173" s="82"/>
      <c r="J173" s="82"/>
      <c r="K173" s="82"/>
      <c r="L173" s="82"/>
      <c r="M173" s="82"/>
    </row>
    <row r="174" spans="1:13" ht="15.2" customHeight="1" thickBot="1" x14ac:dyDescent="0.25">
      <c r="A174" s="25"/>
      <c r="B174" s="25"/>
      <c r="C174" s="25"/>
      <c r="D174" s="25"/>
      <c r="E174" s="26"/>
      <c r="F174" s="28" t="s">
        <v>404</v>
      </c>
      <c r="G174" s="28" t="s">
        <v>405</v>
      </c>
      <c r="H174" s="28" t="s">
        <v>406</v>
      </c>
      <c r="I174" s="28" t="s">
        <v>407</v>
      </c>
      <c r="J174" s="28" t="s">
        <v>408</v>
      </c>
      <c r="K174" s="28" t="s">
        <v>409</v>
      </c>
      <c r="L174" s="25"/>
      <c r="M174" s="25"/>
    </row>
    <row r="175" spans="1:13" ht="15.2" customHeight="1" thickBot="1" x14ac:dyDescent="0.25">
      <c r="A175" s="25"/>
      <c r="B175" s="25"/>
      <c r="C175" s="25"/>
      <c r="D175" s="29"/>
      <c r="E175" s="30"/>
      <c r="F175" s="31">
        <v>20.408999999999999</v>
      </c>
      <c r="G175" s="32"/>
      <c r="H175" s="32"/>
      <c r="I175" s="32"/>
      <c r="J175" s="34">
        <f>ROUND(F175,3)</f>
        <v>20.408999999999999</v>
      </c>
      <c r="K175" s="37">
        <f>SUM(J175:J175)</f>
        <v>20.408999999999999</v>
      </c>
      <c r="L175" s="25"/>
      <c r="M175" s="25"/>
    </row>
    <row r="176" spans="1:13" ht="15.4" customHeight="1" thickBot="1" x14ac:dyDescent="0.25">
      <c r="A176" s="38"/>
      <c r="B176" s="38"/>
      <c r="C176" s="38"/>
      <c r="D176" s="56" t="s">
        <v>410</v>
      </c>
      <c r="E176" s="57"/>
      <c r="F176" s="57"/>
      <c r="G176" s="57"/>
      <c r="H176" s="57"/>
      <c r="I176" s="57"/>
      <c r="J176" s="57"/>
      <c r="K176" s="57"/>
      <c r="L176" s="58">
        <f>M168+M172</f>
        <v>2047.9199999999998</v>
      </c>
      <c r="M176" s="58">
        <f>ROUND(L176,2)</f>
        <v>2047.92</v>
      </c>
    </row>
    <row r="177" spans="1:13" ht="15.4" customHeight="1" thickBot="1" x14ac:dyDescent="0.25">
      <c r="A177" s="59" t="s">
        <v>411</v>
      </c>
      <c r="B177" s="59" t="s">
        <v>412</v>
      </c>
      <c r="C177" s="60"/>
      <c r="D177" s="86" t="s">
        <v>413</v>
      </c>
      <c r="E177" s="86"/>
      <c r="F177" s="86"/>
      <c r="G177" s="86"/>
      <c r="H177" s="86"/>
      <c r="I177" s="86"/>
      <c r="J177" s="86"/>
      <c r="K177" s="60"/>
      <c r="L177" s="61">
        <f>L186</f>
        <v>7204.77</v>
      </c>
      <c r="M177" s="61">
        <f>ROUND(L177,2)</f>
        <v>7204.77</v>
      </c>
    </row>
    <row r="178" spans="1:13" ht="15.4" customHeight="1" thickBot="1" x14ac:dyDescent="0.25">
      <c r="A178" s="10" t="s">
        <v>414</v>
      </c>
      <c r="B178" s="5" t="s">
        <v>415</v>
      </c>
      <c r="C178" s="5" t="s">
        <v>416</v>
      </c>
      <c r="D178" s="82" t="s">
        <v>417</v>
      </c>
      <c r="E178" s="82"/>
      <c r="F178" s="82"/>
      <c r="G178" s="82"/>
      <c r="H178" s="82"/>
      <c r="I178" s="82"/>
      <c r="J178" s="82"/>
      <c r="K178" s="23">
        <f>SUM(K181:K181)</f>
        <v>17</v>
      </c>
      <c r="L178" s="24">
        <f>ROUND(107.32*(1+M2/100),2)</f>
        <v>113.76</v>
      </c>
      <c r="M178" s="24">
        <f>ROUND(K178*L178,2)</f>
        <v>1933.92</v>
      </c>
    </row>
    <row r="179" spans="1:13" ht="21.4" customHeight="1" thickBot="1" x14ac:dyDescent="0.25">
      <c r="A179" s="25"/>
      <c r="B179" s="25"/>
      <c r="C179" s="25"/>
      <c r="D179" s="82" t="s">
        <v>418</v>
      </c>
      <c r="E179" s="82"/>
      <c r="F179" s="82"/>
      <c r="G179" s="82"/>
      <c r="H179" s="82"/>
      <c r="I179" s="82"/>
      <c r="J179" s="82"/>
      <c r="K179" s="82"/>
      <c r="L179" s="82"/>
      <c r="M179" s="82"/>
    </row>
    <row r="180" spans="1:13" ht="15.2" customHeight="1" thickBot="1" x14ac:dyDescent="0.25">
      <c r="A180" s="25"/>
      <c r="B180" s="25"/>
      <c r="C180" s="25"/>
      <c r="D180" s="25"/>
      <c r="E180" s="26"/>
      <c r="F180" s="28" t="s">
        <v>419</v>
      </c>
      <c r="G180" s="28" t="s">
        <v>420</v>
      </c>
      <c r="H180" s="28" t="s">
        <v>421</v>
      </c>
      <c r="I180" s="28" t="s">
        <v>422</v>
      </c>
      <c r="J180" s="28" t="s">
        <v>423</v>
      </c>
      <c r="K180" s="28" t="s">
        <v>424</v>
      </c>
      <c r="L180" s="25"/>
      <c r="M180" s="25"/>
    </row>
    <row r="181" spans="1:13" ht="15.2" customHeight="1" thickBot="1" x14ac:dyDescent="0.25">
      <c r="A181" s="25"/>
      <c r="B181" s="25"/>
      <c r="C181" s="25"/>
      <c r="D181" s="29"/>
      <c r="E181" s="30"/>
      <c r="F181" s="31">
        <v>17</v>
      </c>
      <c r="G181" s="32"/>
      <c r="H181" s="32"/>
      <c r="I181" s="32"/>
      <c r="J181" s="34">
        <f>ROUND(F181,3)</f>
        <v>17</v>
      </c>
      <c r="K181" s="37">
        <f>SUM(J181:J181)</f>
        <v>17</v>
      </c>
      <c r="L181" s="25"/>
      <c r="M181" s="25"/>
    </row>
    <row r="182" spans="1:13" ht="21.4" customHeight="1" thickBot="1" x14ac:dyDescent="0.25">
      <c r="A182" s="10" t="s">
        <v>425</v>
      </c>
      <c r="B182" s="5" t="s">
        <v>426</v>
      </c>
      <c r="C182" s="5" t="s">
        <v>427</v>
      </c>
      <c r="D182" s="82" t="s">
        <v>428</v>
      </c>
      <c r="E182" s="82"/>
      <c r="F182" s="82"/>
      <c r="G182" s="82"/>
      <c r="H182" s="82"/>
      <c r="I182" s="82"/>
      <c r="J182" s="82"/>
      <c r="K182" s="23">
        <f>SUM(K185:K185)</f>
        <v>78.787000000000006</v>
      </c>
      <c r="L182" s="24">
        <f>ROUND(63.11*(1+M2/100),2)</f>
        <v>66.900000000000006</v>
      </c>
      <c r="M182" s="24">
        <f>ROUND(K182*L182,2)</f>
        <v>5270.85</v>
      </c>
    </row>
    <row r="183" spans="1:13" ht="21.4" customHeight="1" thickBot="1" x14ac:dyDescent="0.25">
      <c r="A183" s="25"/>
      <c r="B183" s="25"/>
      <c r="C183" s="25"/>
      <c r="D183" s="82" t="s">
        <v>429</v>
      </c>
      <c r="E183" s="82"/>
      <c r="F183" s="82"/>
      <c r="G183" s="82"/>
      <c r="H183" s="82"/>
      <c r="I183" s="82"/>
      <c r="J183" s="82"/>
      <c r="K183" s="82"/>
      <c r="L183" s="82"/>
      <c r="M183" s="82"/>
    </row>
    <row r="184" spans="1:13" ht="15.2" customHeight="1" thickBot="1" x14ac:dyDescent="0.25">
      <c r="A184" s="25"/>
      <c r="B184" s="25"/>
      <c r="C184" s="25"/>
      <c r="D184" s="25"/>
      <c r="E184" s="26"/>
      <c r="F184" s="28" t="s">
        <v>430</v>
      </c>
      <c r="G184" s="28" t="s">
        <v>431</v>
      </c>
      <c r="H184" s="28" t="s">
        <v>432</v>
      </c>
      <c r="I184" s="28" t="s">
        <v>433</v>
      </c>
      <c r="J184" s="28" t="s">
        <v>434</v>
      </c>
      <c r="K184" s="28" t="s">
        <v>435</v>
      </c>
      <c r="L184" s="25"/>
      <c r="M184" s="25"/>
    </row>
    <row r="185" spans="1:13" ht="15.2" customHeight="1" thickBot="1" x14ac:dyDescent="0.25">
      <c r="A185" s="25"/>
      <c r="B185" s="25"/>
      <c r="C185" s="25"/>
      <c r="D185" s="29"/>
      <c r="E185" s="30"/>
      <c r="F185" s="31">
        <v>78.787000000000006</v>
      </c>
      <c r="G185" s="32"/>
      <c r="H185" s="32"/>
      <c r="I185" s="32"/>
      <c r="J185" s="34">
        <f>ROUND(F185,3)</f>
        <v>78.787000000000006</v>
      </c>
      <c r="K185" s="37">
        <f>SUM(J185:J185)</f>
        <v>78.787000000000006</v>
      </c>
      <c r="L185" s="25"/>
      <c r="M185" s="25"/>
    </row>
    <row r="186" spans="1:13" ht="15.4" customHeight="1" thickBot="1" x14ac:dyDescent="0.25">
      <c r="A186" s="38"/>
      <c r="B186" s="38"/>
      <c r="C186" s="38"/>
      <c r="D186" s="56" t="s">
        <v>436</v>
      </c>
      <c r="E186" s="57"/>
      <c r="F186" s="57"/>
      <c r="G186" s="57"/>
      <c r="H186" s="57"/>
      <c r="I186" s="57"/>
      <c r="J186" s="57"/>
      <c r="K186" s="57"/>
      <c r="L186" s="58">
        <f>M178+M182</f>
        <v>7204.77</v>
      </c>
      <c r="M186" s="58">
        <f>ROUND(L186,2)</f>
        <v>7204.77</v>
      </c>
    </row>
    <row r="187" spans="1:13" ht="15.4" customHeight="1" thickBot="1" x14ac:dyDescent="0.25">
      <c r="A187" s="59" t="s">
        <v>437</v>
      </c>
      <c r="B187" s="59" t="s">
        <v>438</v>
      </c>
      <c r="C187" s="60"/>
      <c r="D187" s="86" t="s">
        <v>439</v>
      </c>
      <c r="E187" s="86"/>
      <c r="F187" s="86"/>
      <c r="G187" s="86"/>
      <c r="H187" s="86"/>
      <c r="I187" s="86"/>
      <c r="J187" s="86"/>
      <c r="K187" s="60"/>
      <c r="L187" s="61">
        <f>L196</f>
        <v>2058.02</v>
      </c>
      <c r="M187" s="61">
        <f>ROUND(L187,2)</f>
        <v>2058.02</v>
      </c>
    </row>
    <row r="188" spans="1:13" ht="15.4" customHeight="1" thickBot="1" x14ac:dyDescent="0.25">
      <c r="A188" s="10" t="s">
        <v>440</v>
      </c>
      <c r="B188" s="5" t="s">
        <v>441</v>
      </c>
      <c r="C188" s="5" t="s">
        <v>442</v>
      </c>
      <c r="D188" s="82" t="s">
        <v>443</v>
      </c>
      <c r="E188" s="82"/>
      <c r="F188" s="82"/>
      <c r="G188" s="82"/>
      <c r="H188" s="82"/>
      <c r="I188" s="82"/>
      <c r="J188" s="82"/>
      <c r="K188" s="23">
        <f>SUM(K191:K191)</f>
        <v>6</v>
      </c>
      <c r="L188" s="24">
        <f>ROUND(107.32*(1+M2/100),2)</f>
        <v>113.76</v>
      </c>
      <c r="M188" s="24">
        <f>ROUND(K188*L188,2)</f>
        <v>682.56</v>
      </c>
    </row>
    <row r="189" spans="1:13" ht="21.4" customHeight="1" thickBot="1" x14ac:dyDescent="0.25">
      <c r="A189" s="25"/>
      <c r="B189" s="25"/>
      <c r="C189" s="25"/>
      <c r="D189" s="82" t="s">
        <v>444</v>
      </c>
      <c r="E189" s="82"/>
      <c r="F189" s="82"/>
      <c r="G189" s="82"/>
      <c r="H189" s="82"/>
      <c r="I189" s="82"/>
      <c r="J189" s="82"/>
      <c r="K189" s="82"/>
      <c r="L189" s="82"/>
      <c r="M189" s="82"/>
    </row>
    <row r="190" spans="1:13" ht="15.2" customHeight="1" thickBot="1" x14ac:dyDescent="0.25">
      <c r="A190" s="25"/>
      <c r="B190" s="25"/>
      <c r="C190" s="25"/>
      <c r="D190" s="25"/>
      <c r="E190" s="26"/>
      <c r="F190" s="28" t="s">
        <v>445</v>
      </c>
      <c r="G190" s="28" t="s">
        <v>446</v>
      </c>
      <c r="H190" s="28" t="s">
        <v>447</v>
      </c>
      <c r="I190" s="28" t="s">
        <v>448</v>
      </c>
      <c r="J190" s="28" t="s">
        <v>449</v>
      </c>
      <c r="K190" s="28" t="s">
        <v>450</v>
      </c>
      <c r="L190" s="25"/>
      <c r="M190" s="25"/>
    </row>
    <row r="191" spans="1:13" ht="15.2" customHeight="1" thickBot="1" x14ac:dyDescent="0.25">
      <c r="A191" s="25"/>
      <c r="B191" s="25"/>
      <c r="C191" s="25"/>
      <c r="D191" s="29"/>
      <c r="E191" s="30"/>
      <c r="F191" s="31">
        <v>6</v>
      </c>
      <c r="G191" s="32"/>
      <c r="H191" s="32"/>
      <c r="I191" s="32"/>
      <c r="J191" s="34">
        <f>ROUND(F191,3)</f>
        <v>6</v>
      </c>
      <c r="K191" s="37">
        <f>SUM(J191:J191)</f>
        <v>6</v>
      </c>
      <c r="L191" s="25"/>
      <c r="M191" s="25"/>
    </row>
    <row r="192" spans="1:13" ht="21.4" customHeight="1" thickBot="1" x14ac:dyDescent="0.25">
      <c r="A192" s="10" t="s">
        <v>451</v>
      </c>
      <c r="B192" s="5" t="s">
        <v>452</v>
      </c>
      <c r="C192" s="5" t="s">
        <v>453</v>
      </c>
      <c r="D192" s="82" t="s">
        <v>454</v>
      </c>
      <c r="E192" s="82"/>
      <c r="F192" s="82"/>
      <c r="G192" s="82"/>
      <c r="H192" s="82"/>
      <c r="I192" s="82"/>
      <c r="J192" s="82"/>
      <c r="K192" s="23">
        <f>SUM(K195:K195)</f>
        <v>20.56</v>
      </c>
      <c r="L192" s="24">
        <f>ROUND(63.11*(1+M2/100),2)</f>
        <v>66.900000000000006</v>
      </c>
      <c r="M192" s="24">
        <f>ROUND(K192*L192,2)</f>
        <v>1375.46</v>
      </c>
    </row>
    <row r="193" spans="1:13" ht="21.4" customHeight="1" thickBot="1" x14ac:dyDescent="0.25">
      <c r="A193" s="25"/>
      <c r="B193" s="25"/>
      <c r="C193" s="25"/>
      <c r="D193" s="82" t="s">
        <v>455</v>
      </c>
      <c r="E193" s="82"/>
      <c r="F193" s="82"/>
      <c r="G193" s="82"/>
      <c r="H193" s="82"/>
      <c r="I193" s="82"/>
      <c r="J193" s="82"/>
      <c r="K193" s="82"/>
      <c r="L193" s="82"/>
      <c r="M193" s="82"/>
    </row>
    <row r="194" spans="1:13" ht="15.2" customHeight="1" thickBot="1" x14ac:dyDescent="0.25">
      <c r="A194" s="25"/>
      <c r="B194" s="25"/>
      <c r="C194" s="25"/>
      <c r="D194" s="25"/>
      <c r="E194" s="26"/>
      <c r="F194" s="28" t="s">
        <v>456</v>
      </c>
      <c r="G194" s="28" t="s">
        <v>457</v>
      </c>
      <c r="H194" s="28" t="s">
        <v>458</v>
      </c>
      <c r="I194" s="28" t="s">
        <v>459</v>
      </c>
      <c r="J194" s="28" t="s">
        <v>460</v>
      </c>
      <c r="K194" s="28" t="s">
        <v>461</v>
      </c>
      <c r="L194" s="25"/>
      <c r="M194" s="25"/>
    </row>
    <row r="195" spans="1:13" ht="15.2" customHeight="1" thickBot="1" x14ac:dyDescent="0.25">
      <c r="A195" s="25"/>
      <c r="B195" s="25"/>
      <c r="C195" s="25"/>
      <c r="D195" s="29"/>
      <c r="E195" s="30"/>
      <c r="F195" s="31">
        <v>20.56</v>
      </c>
      <c r="G195" s="32"/>
      <c r="H195" s="32"/>
      <c r="I195" s="32"/>
      <c r="J195" s="34">
        <f>ROUND(F195,3)</f>
        <v>20.56</v>
      </c>
      <c r="K195" s="37">
        <f>SUM(J195:J195)</f>
        <v>20.56</v>
      </c>
      <c r="L195" s="25"/>
      <c r="M195" s="25"/>
    </row>
    <row r="196" spans="1:13" ht="15.4" customHeight="1" thickBot="1" x14ac:dyDescent="0.25">
      <c r="A196" s="38"/>
      <c r="B196" s="38"/>
      <c r="C196" s="38"/>
      <c r="D196" s="56" t="s">
        <v>462</v>
      </c>
      <c r="E196" s="57"/>
      <c r="F196" s="57"/>
      <c r="G196" s="57"/>
      <c r="H196" s="57"/>
      <c r="I196" s="57"/>
      <c r="J196" s="57"/>
      <c r="K196" s="57"/>
      <c r="L196" s="58">
        <f>M188+M192</f>
        <v>2058.02</v>
      </c>
      <c r="M196" s="58">
        <f>ROUND(L196,2)</f>
        <v>2058.02</v>
      </c>
    </row>
    <row r="197" spans="1:13" ht="15.4" customHeight="1" thickBot="1" x14ac:dyDescent="0.25">
      <c r="A197" s="59" t="s">
        <v>463</v>
      </c>
      <c r="B197" s="59" t="s">
        <v>464</v>
      </c>
      <c r="C197" s="60"/>
      <c r="D197" s="86" t="s">
        <v>465</v>
      </c>
      <c r="E197" s="86"/>
      <c r="F197" s="86"/>
      <c r="G197" s="86"/>
      <c r="H197" s="86"/>
      <c r="I197" s="86"/>
      <c r="J197" s="86"/>
      <c r="K197" s="60"/>
      <c r="L197" s="61">
        <f>L206</f>
        <v>9467.1</v>
      </c>
      <c r="M197" s="61">
        <f>ROUND(L197,2)</f>
        <v>9467.1</v>
      </c>
    </row>
    <row r="198" spans="1:13" ht="15.4" customHeight="1" thickBot="1" x14ac:dyDescent="0.25">
      <c r="A198" s="10" t="s">
        <v>466</v>
      </c>
      <c r="B198" s="5" t="s">
        <v>467</v>
      </c>
      <c r="C198" s="5" t="s">
        <v>468</v>
      </c>
      <c r="D198" s="82" t="s">
        <v>469</v>
      </c>
      <c r="E198" s="82"/>
      <c r="F198" s="82"/>
      <c r="G198" s="82"/>
      <c r="H198" s="82"/>
      <c r="I198" s="82"/>
      <c r="J198" s="82"/>
      <c r="K198" s="23">
        <f>SUM(K201:K201)</f>
        <v>25</v>
      </c>
      <c r="L198" s="24">
        <f>ROUND(107.32*(1+M2/100),2)</f>
        <v>113.76</v>
      </c>
      <c r="M198" s="24">
        <f>ROUND(K198*L198,2)</f>
        <v>2844</v>
      </c>
    </row>
    <row r="199" spans="1:13" ht="21.4" customHeight="1" thickBot="1" x14ac:dyDescent="0.25">
      <c r="A199" s="25"/>
      <c r="B199" s="25"/>
      <c r="C199" s="25"/>
      <c r="D199" s="82" t="s">
        <v>470</v>
      </c>
      <c r="E199" s="82"/>
      <c r="F199" s="82"/>
      <c r="G199" s="82"/>
      <c r="H199" s="82"/>
      <c r="I199" s="82"/>
      <c r="J199" s="82"/>
      <c r="K199" s="82"/>
      <c r="L199" s="82"/>
      <c r="M199" s="82"/>
    </row>
    <row r="200" spans="1:13" ht="15.2" customHeight="1" thickBot="1" x14ac:dyDescent="0.25">
      <c r="A200" s="25"/>
      <c r="B200" s="25"/>
      <c r="C200" s="25"/>
      <c r="D200" s="25"/>
      <c r="E200" s="26"/>
      <c r="F200" s="28" t="s">
        <v>471</v>
      </c>
      <c r="G200" s="28" t="s">
        <v>472</v>
      </c>
      <c r="H200" s="28" t="s">
        <v>473</v>
      </c>
      <c r="I200" s="28" t="s">
        <v>474</v>
      </c>
      <c r="J200" s="28" t="s">
        <v>475</v>
      </c>
      <c r="K200" s="28" t="s">
        <v>476</v>
      </c>
      <c r="L200" s="25"/>
      <c r="M200" s="25"/>
    </row>
    <row r="201" spans="1:13" ht="15.2" customHeight="1" thickBot="1" x14ac:dyDescent="0.25">
      <c r="A201" s="25"/>
      <c r="B201" s="25"/>
      <c r="C201" s="25"/>
      <c r="D201" s="29"/>
      <c r="E201" s="30"/>
      <c r="F201" s="31">
        <v>25</v>
      </c>
      <c r="G201" s="32"/>
      <c r="H201" s="32"/>
      <c r="I201" s="32"/>
      <c r="J201" s="34">
        <f>ROUND(F201,3)</f>
        <v>25</v>
      </c>
      <c r="K201" s="37">
        <f>SUM(J201:J201)</f>
        <v>25</v>
      </c>
      <c r="L201" s="25"/>
      <c r="M201" s="25"/>
    </row>
    <row r="202" spans="1:13" ht="21.4" customHeight="1" thickBot="1" x14ac:dyDescent="0.25">
      <c r="A202" s="10" t="s">
        <v>477</v>
      </c>
      <c r="B202" s="5" t="s">
        <v>478</v>
      </c>
      <c r="C202" s="5" t="s">
        <v>479</v>
      </c>
      <c r="D202" s="82" t="s">
        <v>480</v>
      </c>
      <c r="E202" s="82"/>
      <c r="F202" s="82"/>
      <c r="G202" s="82"/>
      <c r="H202" s="82"/>
      <c r="I202" s="82"/>
      <c r="J202" s="82"/>
      <c r="K202" s="23">
        <f>SUM(K205:K205)</f>
        <v>99</v>
      </c>
      <c r="L202" s="24">
        <f>ROUND(63.11*(1+M2/100),2)</f>
        <v>66.900000000000006</v>
      </c>
      <c r="M202" s="24">
        <f>ROUND(K202*L202,2)</f>
        <v>6623.1</v>
      </c>
    </row>
    <row r="203" spans="1:13" ht="21.4" customHeight="1" thickBot="1" x14ac:dyDescent="0.25">
      <c r="A203" s="25"/>
      <c r="B203" s="25"/>
      <c r="C203" s="25"/>
      <c r="D203" s="82" t="s">
        <v>481</v>
      </c>
      <c r="E203" s="82"/>
      <c r="F203" s="82"/>
      <c r="G203" s="82"/>
      <c r="H203" s="82"/>
      <c r="I203" s="82"/>
      <c r="J203" s="82"/>
      <c r="K203" s="82"/>
      <c r="L203" s="82"/>
      <c r="M203" s="82"/>
    </row>
    <row r="204" spans="1:13" ht="15.2" customHeight="1" thickBot="1" x14ac:dyDescent="0.25">
      <c r="A204" s="25"/>
      <c r="B204" s="25"/>
      <c r="C204" s="25"/>
      <c r="D204" s="25"/>
      <c r="E204" s="26"/>
      <c r="F204" s="28" t="s">
        <v>482</v>
      </c>
      <c r="G204" s="28" t="s">
        <v>483</v>
      </c>
      <c r="H204" s="28" t="s">
        <v>484</v>
      </c>
      <c r="I204" s="28" t="s">
        <v>485</v>
      </c>
      <c r="J204" s="28" t="s">
        <v>486</v>
      </c>
      <c r="K204" s="28" t="s">
        <v>487</v>
      </c>
      <c r="L204" s="25"/>
      <c r="M204" s="25"/>
    </row>
    <row r="205" spans="1:13" ht="15.2" customHeight="1" thickBot="1" x14ac:dyDescent="0.25">
      <c r="A205" s="25"/>
      <c r="B205" s="25"/>
      <c r="C205" s="25"/>
      <c r="D205" s="29"/>
      <c r="E205" s="30"/>
      <c r="F205" s="31">
        <v>99</v>
      </c>
      <c r="G205" s="32"/>
      <c r="H205" s="32"/>
      <c r="I205" s="32"/>
      <c r="J205" s="34">
        <f>ROUND(F205,3)</f>
        <v>99</v>
      </c>
      <c r="K205" s="37">
        <f>SUM(J205:J205)</f>
        <v>99</v>
      </c>
      <c r="L205" s="25"/>
      <c r="M205" s="25"/>
    </row>
    <row r="206" spans="1:13" ht="15.4" customHeight="1" thickBot="1" x14ac:dyDescent="0.25">
      <c r="A206" s="38"/>
      <c r="B206" s="38"/>
      <c r="C206" s="38"/>
      <c r="D206" s="56" t="s">
        <v>488</v>
      </c>
      <c r="E206" s="57"/>
      <c r="F206" s="57"/>
      <c r="G206" s="57"/>
      <c r="H206" s="57"/>
      <c r="I206" s="57"/>
      <c r="J206" s="57"/>
      <c r="K206" s="57"/>
      <c r="L206" s="58">
        <f>M198+M202</f>
        <v>9467.1</v>
      </c>
      <c r="M206" s="58">
        <f>ROUND(L206,2)</f>
        <v>9467.1</v>
      </c>
    </row>
    <row r="207" spans="1:13" ht="15.4" customHeight="1" thickBot="1" x14ac:dyDescent="0.25">
      <c r="A207" s="59" t="s">
        <v>489</v>
      </c>
      <c r="B207" s="59" t="s">
        <v>490</v>
      </c>
      <c r="C207" s="60"/>
      <c r="D207" s="86" t="s">
        <v>491</v>
      </c>
      <c r="E207" s="86"/>
      <c r="F207" s="86"/>
      <c r="G207" s="86"/>
      <c r="H207" s="86"/>
      <c r="I207" s="86"/>
      <c r="J207" s="86"/>
      <c r="K207" s="60"/>
      <c r="L207" s="61">
        <f>L216</f>
        <v>7786.3600000000006</v>
      </c>
      <c r="M207" s="61">
        <f>ROUND(L207,2)</f>
        <v>7786.36</v>
      </c>
    </row>
    <row r="208" spans="1:13" ht="15.4" customHeight="1" thickBot="1" x14ac:dyDescent="0.25">
      <c r="A208" s="10" t="s">
        <v>492</v>
      </c>
      <c r="B208" s="5" t="s">
        <v>493</v>
      </c>
      <c r="C208" s="5" t="s">
        <v>494</v>
      </c>
      <c r="D208" s="82" t="s">
        <v>495</v>
      </c>
      <c r="E208" s="82"/>
      <c r="F208" s="82"/>
      <c r="G208" s="82"/>
      <c r="H208" s="82"/>
      <c r="I208" s="82"/>
      <c r="J208" s="82"/>
      <c r="K208" s="23">
        <f>SUM(K211:K211)</f>
        <v>18</v>
      </c>
      <c r="L208" s="24">
        <f>ROUND(107.32*(1+M2/100),2)</f>
        <v>113.76</v>
      </c>
      <c r="M208" s="24">
        <f>ROUND(K208*L208,2)</f>
        <v>2047.68</v>
      </c>
    </row>
    <row r="209" spans="1:13" ht="21.4" customHeight="1" thickBot="1" x14ac:dyDescent="0.25">
      <c r="A209" s="25"/>
      <c r="B209" s="25"/>
      <c r="C209" s="25"/>
      <c r="D209" s="82" t="s">
        <v>496</v>
      </c>
      <c r="E209" s="82"/>
      <c r="F209" s="82"/>
      <c r="G209" s="82"/>
      <c r="H209" s="82"/>
      <c r="I209" s="82"/>
      <c r="J209" s="82"/>
      <c r="K209" s="82"/>
      <c r="L209" s="82"/>
      <c r="M209" s="82"/>
    </row>
    <row r="210" spans="1:13" ht="15.2" customHeight="1" thickBot="1" x14ac:dyDescent="0.25">
      <c r="A210" s="25"/>
      <c r="B210" s="25"/>
      <c r="C210" s="25"/>
      <c r="D210" s="25"/>
      <c r="E210" s="26"/>
      <c r="F210" s="28" t="s">
        <v>497</v>
      </c>
      <c r="G210" s="28" t="s">
        <v>498</v>
      </c>
      <c r="H210" s="28" t="s">
        <v>499</v>
      </c>
      <c r="I210" s="28" t="s">
        <v>500</v>
      </c>
      <c r="J210" s="28" t="s">
        <v>501</v>
      </c>
      <c r="K210" s="28" t="s">
        <v>502</v>
      </c>
      <c r="L210" s="25"/>
      <c r="M210" s="25"/>
    </row>
    <row r="211" spans="1:13" ht="15.2" customHeight="1" thickBot="1" x14ac:dyDescent="0.25">
      <c r="A211" s="25"/>
      <c r="B211" s="25"/>
      <c r="C211" s="25"/>
      <c r="D211" s="29"/>
      <c r="E211" s="30"/>
      <c r="F211" s="31">
        <v>18</v>
      </c>
      <c r="G211" s="32"/>
      <c r="H211" s="32"/>
      <c r="I211" s="32"/>
      <c r="J211" s="34">
        <f>ROUND(F211,3)</f>
        <v>18</v>
      </c>
      <c r="K211" s="37">
        <f>SUM(J211:J211)</f>
        <v>18</v>
      </c>
      <c r="L211" s="25"/>
      <c r="M211" s="25"/>
    </row>
    <row r="212" spans="1:13" ht="21.4" customHeight="1" thickBot="1" x14ac:dyDescent="0.25">
      <c r="A212" s="10" t="s">
        <v>503</v>
      </c>
      <c r="B212" s="5" t="s">
        <v>504</v>
      </c>
      <c r="C212" s="5" t="s">
        <v>505</v>
      </c>
      <c r="D212" s="82" t="s">
        <v>506</v>
      </c>
      <c r="E212" s="82"/>
      <c r="F212" s="82"/>
      <c r="G212" s="82"/>
      <c r="H212" s="82"/>
      <c r="I212" s="82"/>
      <c r="J212" s="82"/>
      <c r="K212" s="23">
        <f>SUM(K215:K215)</f>
        <v>85.78</v>
      </c>
      <c r="L212" s="24">
        <f>ROUND(63.11*(1+M2/100),2)</f>
        <v>66.900000000000006</v>
      </c>
      <c r="M212" s="24">
        <f>ROUND(K212*L212,2)</f>
        <v>5738.68</v>
      </c>
    </row>
    <row r="213" spans="1:13" ht="21.4" customHeight="1" thickBot="1" x14ac:dyDescent="0.25">
      <c r="A213" s="25"/>
      <c r="B213" s="25"/>
      <c r="C213" s="25"/>
      <c r="D213" s="82" t="s">
        <v>507</v>
      </c>
      <c r="E213" s="82"/>
      <c r="F213" s="82"/>
      <c r="G213" s="82"/>
      <c r="H213" s="82"/>
      <c r="I213" s="82"/>
      <c r="J213" s="82"/>
      <c r="K213" s="82"/>
      <c r="L213" s="82"/>
      <c r="M213" s="82"/>
    </row>
    <row r="214" spans="1:13" ht="15.2" customHeight="1" thickBot="1" x14ac:dyDescent="0.25">
      <c r="A214" s="25"/>
      <c r="B214" s="25"/>
      <c r="C214" s="25"/>
      <c r="D214" s="25"/>
      <c r="E214" s="26"/>
      <c r="F214" s="28" t="s">
        <v>508</v>
      </c>
      <c r="G214" s="28" t="s">
        <v>509</v>
      </c>
      <c r="H214" s="28" t="s">
        <v>510</v>
      </c>
      <c r="I214" s="28" t="s">
        <v>511</v>
      </c>
      <c r="J214" s="28" t="s">
        <v>512</v>
      </c>
      <c r="K214" s="28" t="s">
        <v>513</v>
      </c>
      <c r="L214" s="25"/>
      <c r="M214" s="25"/>
    </row>
    <row r="215" spans="1:13" ht="15.2" customHeight="1" thickBot="1" x14ac:dyDescent="0.25">
      <c r="A215" s="25"/>
      <c r="B215" s="25"/>
      <c r="C215" s="25"/>
      <c r="D215" s="29"/>
      <c r="E215" s="30"/>
      <c r="F215" s="31">
        <v>85.78</v>
      </c>
      <c r="G215" s="32"/>
      <c r="H215" s="32"/>
      <c r="I215" s="32"/>
      <c r="J215" s="34">
        <f>ROUND(F215,3)</f>
        <v>85.78</v>
      </c>
      <c r="K215" s="37">
        <f>SUM(J215:J215)</f>
        <v>85.78</v>
      </c>
      <c r="L215" s="25"/>
      <c r="M215" s="25"/>
    </row>
    <row r="216" spans="1:13" ht="15.4" customHeight="1" thickBot="1" x14ac:dyDescent="0.25">
      <c r="A216" s="38"/>
      <c r="B216" s="38"/>
      <c r="C216" s="38"/>
      <c r="D216" s="56" t="s">
        <v>514</v>
      </c>
      <c r="E216" s="57"/>
      <c r="F216" s="57"/>
      <c r="G216" s="57"/>
      <c r="H216" s="57"/>
      <c r="I216" s="57"/>
      <c r="J216" s="57"/>
      <c r="K216" s="57"/>
      <c r="L216" s="58">
        <f>M208+M212</f>
        <v>7786.3600000000006</v>
      </c>
      <c r="M216" s="58">
        <f>ROUND(L216,2)</f>
        <v>7786.36</v>
      </c>
    </row>
    <row r="217" spans="1:13" ht="15.4" customHeight="1" thickBot="1" x14ac:dyDescent="0.25">
      <c r="A217" s="59" t="s">
        <v>515</v>
      </c>
      <c r="B217" s="59" t="s">
        <v>516</v>
      </c>
      <c r="C217" s="60"/>
      <c r="D217" s="86" t="s">
        <v>517</v>
      </c>
      <c r="E217" s="86"/>
      <c r="F217" s="86"/>
      <c r="G217" s="86"/>
      <c r="H217" s="86"/>
      <c r="I217" s="86"/>
      <c r="J217" s="86"/>
      <c r="K217" s="60"/>
      <c r="L217" s="61">
        <f>L226</f>
        <v>2099.5300000000002</v>
      </c>
      <c r="M217" s="61">
        <f>ROUND(L217,2)</f>
        <v>2099.5300000000002</v>
      </c>
    </row>
    <row r="218" spans="1:13" ht="15.4" customHeight="1" thickBot="1" x14ac:dyDescent="0.25">
      <c r="A218" s="10" t="s">
        <v>518</v>
      </c>
      <c r="B218" s="5" t="s">
        <v>519</v>
      </c>
      <c r="C218" s="5" t="s">
        <v>520</v>
      </c>
      <c r="D218" s="82" t="s">
        <v>521</v>
      </c>
      <c r="E218" s="82"/>
      <c r="F218" s="82"/>
      <c r="G218" s="82"/>
      <c r="H218" s="82"/>
      <c r="I218" s="82"/>
      <c r="J218" s="82"/>
      <c r="K218" s="23">
        <f>SUM(K221:K221)</f>
        <v>7</v>
      </c>
      <c r="L218" s="24">
        <f>ROUND(107.32*(1+M2/100),2)</f>
        <v>113.76</v>
      </c>
      <c r="M218" s="24">
        <f>ROUND(K218*L218,2)</f>
        <v>796.32</v>
      </c>
    </row>
    <row r="219" spans="1:13" ht="21.4" customHeight="1" thickBot="1" x14ac:dyDescent="0.25">
      <c r="A219" s="25"/>
      <c r="B219" s="25"/>
      <c r="C219" s="25"/>
      <c r="D219" s="82" t="s">
        <v>522</v>
      </c>
      <c r="E219" s="82"/>
      <c r="F219" s="82"/>
      <c r="G219" s="82"/>
      <c r="H219" s="82"/>
      <c r="I219" s="82"/>
      <c r="J219" s="82"/>
      <c r="K219" s="82"/>
      <c r="L219" s="82"/>
      <c r="M219" s="82"/>
    </row>
    <row r="220" spans="1:13" ht="15.2" customHeight="1" thickBot="1" x14ac:dyDescent="0.25">
      <c r="A220" s="25"/>
      <c r="B220" s="25"/>
      <c r="C220" s="25"/>
      <c r="D220" s="25"/>
      <c r="E220" s="26"/>
      <c r="F220" s="28" t="s">
        <v>523</v>
      </c>
      <c r="G220" s="28" t="s">
        <v>524</v>
      </c>
      <c r="H220" s="28" t="s">
        <v>525</v>
      </c>
      <c r="I220" s="28" t="s">
        <v>526</v>
      </c>
      <c r="J220" s="28" t="s">
        <v>527</v>
      </c>
      <c r="K220" s="28" t="s">
        <v>528</v>
      </c>
      <c r="L220" s="25"/>
      <c r="M220" s="25"/>
    </row>
    <row r="221" spans="1:13" ht="15.2" customHeight="1" thickBot="1" x14ac:dyDescent="0.25">
      <c r="A221" s="25"/>
      <c r="B221" s="25"/>
      <c r="C221" s="25"/>
      <c r="D221" s="29"/>
      <c r="E221" s="30"/>
      <c r="F221" s="31">
        <v>7</v>
      </c>
      <c r="G221" s="32"/>
      <c r="H221" s="32"/>
      <c r="I221" s="32"/>
      <c r="J221" s="34">
        <f>ROUND(F221,3)</f>
        <v>7</v>
      </c>
      <c r="K221" s="37">
        <f>SUM(J221:J221)</f>
        <v>7</v>
      </c>
      <c r="L221" s="25"/>
      <c r="M221" s="25"/>
    </row>
    <row r="222" spans="1:13" ht="21.4" customHeight="1" thickBot="1" x14ac:dyDescent="0.25">
      <c r="A222" s="10" t="s">
        <v>529</v>
      </c>
      <c r="B222" s="5" t="s">
        <v>530</v>
      </c>
      <c r="C222" s="5" t="s">
        <v>531</v>
      </c>
      <c r="D222" s="82" t="s">
        <v>532</v>
      </c>
      <c r="E222" s="82"/>
      <c r="F222" s="82"/>
      <c r="G222" s="82"/>
      <c r="H222" s="82"/>
      <c r="I222" s="82"/>
      <c r="J222" s="82"/>
      <c r="K222" s="23">
        <f>SUM(K225:K225)</f>
        <v>19.48</v>
      </c>
      <c r="L222" s="24">
        <f>ROUND(63.11*(1+M2/100),2)</f>
        <v>66.900000000000006</v>
      </c>
      <c r="M222" s="24">
        <f>ROUND(K222*L222,2)</f>
        <v>1303.21</v>
      </c>
    </row>
    <row r="223" spans="1:13" ht="21.4" customHeight="1" thickBot="1" x14ac:dyDescent="0.25">
      <c r="A223" s="25"/>
      <c r="B223" s="25"/>
      <c r="C223" s="25"/>
      <c r="D223" s="82" t="s">
        <v>533</v>
      </c>
      <c r="E223" s="82"/>
      <c r="F223" s="82"/>
      <c r="G223" s="82"/>
      <c r="H223" s="82"/>
      <c r="I223" s="82"/>
      <c r="J223" s="82"/>
      <c r="K223" s="82"/>
      <c r="L223" s="82"/>
      <c r="M223" s="82"/>
    </row>
    <row r="224" spans="1:13" ht="15.2" customHeight="1" thickBot="1" x14ac:dyDescent="0.25">
      <c r="A224" s="25"/>
      <c r="B224" s="25"/>
      <c r="C224" s="25"/>
      <c r="D224" s="25"/>
      <c r="E224" s="26"/>
      <c r="F224" s="28" t="s">
        <v>534</v>
      </c>
      <c r="G224" s="28" t="s">
        <v>535</v>
      </c>
      <c r="H224" s="28" t="s">
        <v>536</v>
      </c>
      <c r="I224" s="28" t="s">
        <v>537</v>
      </c>
      <c r="J224" s="28" t="s">
        <v>538</v>
      </c>
      <c r="K224" s="28" t="s">
        <v>539</v>
      </c>
      <c r="L224" s="25"/>
      <c r="M224" s="25"/>
    </row>
    <row r="225" spans="1:13" ht="15.2" customHeight="1" thickBot="1" x14ac:dyDescent="0.25">
      <c r="A225" s="25"/>
      <c r="B225" s="25"/>
      <c r="C225" s="25"/>
      <c r="D225" s="29"/>
      <c r="E225" s="30"/>
      <c r="F225" s="31">
        <v>19.48</v>
      </c>
      <c r="G225" s="32"/>
      <c r="H225" s="32"/>
      <c r="I225" s="32"/>
      <c r="J225" s="34">
        <f>ROUND(F225,3)</f>
        <v>19.48</v>
      </c>
      <c r="K225" s="37">
        <f>SUM(J225:J225)</f>
        <v>19.48</v>
      </c>
      <c r="L225" s="25"/>
      <c r="M225" s="25"/>
    </row>
    <row r="226" spans="1:13" ht="15.4" customHeight="1" thickBot="1" x14ac:dyDescent="0.25">
      <c r="A226" s="38"/>
      <c r="B226" s="38"/>
      <c r="C226" s="38"/>
      <c r="D226" s="56" t="s">
        <v>540</v>
      </c>
      <c r="E226" s="57"/>
      <c r="F226" s="57"/>
      <c r="G226" s="57"/>
      <c r="H226" s="57"/>
      <c r="I226" s="57"/>
      <c r="J226" s="57"/>
      <c r="K226" s="57"/>
      <c r="L226" s="58">
        <f>M218+M222</f>
        <v>2099.5300000000002</v>
      </c>
      <c r="M226" s="58">
        <f>ROUND(L226,2)</f>
        <v>2099.5300000000002</v>
      </c>
    </row>
    <row r="227" spans="1:13" ht="15.4" customHeight="1" thickBot="1" x14ac:dyDescent="0.25">
      <c r="A227" s="59" t="s">
        <v>541</v>
      </c>
      <c r="B227" s="59" t="s">
        <v>542</v>
      </c>
      <c r="C227" s="60"/>
      <c r="D227" s="86" t="s">
        <v>543</v>
      </c>
      <c r="E227" s="86"/>
      <c r="F227" s="86"/>
      <c r="G227" s="86"/>
      <c r="H227" s="86"/>
      <c r="I227" s="86"/>
      <c r="J227" s="86"/>
      <c r="K227" s="60"/>
      <c r="L227" s="61">
        <f>L236</f>
        <v>6174.68</v>
      </c>
      <c r="M227" s="61">
        <f>ROUND(L227,2)</f>
        <v>6174.68</v>
      </c>
    </row>
    <row r="228" spans="1:13" ht="15.4" customHeight="1" thickBot="1" x14ac:dyDescent="0.25">
      <c r="A228" s="10" t="s">
        <v>544</v>
      </c>
      <c r="B228" s="5" t="s">
        <v>545</v>
      </c>
      <c r="C228" s="5" t="s">
        <v>546</v>
      </c>
      <c r="D228" s="82" t="s">
        <v>547</v>
      </c>
      <c r="E228" s="82"/>
      <c r="F228" s="82"/>
      <c r="G228" s="82"/>
      <c r="H228" s="82"/>
      <c r="I228" s="82"/>
      <c r="J228" s="82"/>
      <c r="K228" s="23">
        <f>SUM(K231:K231)</f>
        <v>16</v>
      </c>
      <c r="L228" s="24">
        <f>ROUND(107.32*(1+M2/100),2)</f>
        <v>113.76</v>
      </c>
      <c r="M228" s="24">
        <f>ROUND(K228*L228,2)</f>
        <v>1820.16</v>
      </c>
    </row>
    <row r="229" spans="1:13" ht="21.4" customHeight="1" thickBot="1" x14ac:dyDescent="0.25">
      <c r="A229" s="25"/>
      <c r="B229" s="25"/>
      <c r="C229" s="25"/>
      <c r="D229" s="82" t="s">
        <v>548</v>
      </c>
      <c r="E229" s="82"/>
      <c r="F229" s="82"/>
      <c r="G229" s="82"/>
      <c r="H229" s="82"/>
      <c r="I229" s="82"/>
      <c r="J229" s="82"/>
      <c r="K229" s="82"/>
      <c r="L229" s="82"/>
      <c r="M229" s="82"/>
    </row>
    <row r="230" spans="1:13" ht="15.2" customHeight="1" thickBot="1" x14ac:dyDescent="0.25">
      <c r="A230" s="25"/>
      <c r="B230" s="25"/>
      <c r="C230" s="25"/>
      <c r="D230" s="25"/>
      <c r="E230" s="26"/>
      <c r="F230" s="28" t="s">
        <v>549</v>
      </c>
      <c r="G230" s="28" t="s">
        <v>550</v>
      </c>
      <c r="H230" s="28" t="s">
        <v>551</v>
      </c>
      <c r="I230" s="28" t="s">
        <v>552</v>
      </c>
      <c r="J230" s="28" t="s">
        <v>553</v>
      </c>
      <c r="K230" s="28" t="s">
        <v>554</v>
      </c>
      <c r="L230" s="25"/>
      <c r="M230" s="25"/>
    </row>
    <row r="231" spans="1:13" ht="15.2" customHeight="1" thickBot="1" x14ac:dyDescent="0.25">
      <c r="A231" s="25"/>
      <c r="B231" s="25"/>
      <c r="C231" s="25"/>
      <c r="D231" s="29"/>
      <c r="E231" s="30"/>
      <c r="F231" s="31">
        <v>16</v>
      </c>
      <c r="G231" s="32"/>
      <c r="H231" s="32"/>
      <c r="I231" s="32"/>
      <c r="J231" s="34">
        <f>ROUND(F231,3)</f>
        <v>16</v>
      </c>
      <c r="K231" s="37">
        <f>SUM(J231:J231)</f>
        <v>16</v>
      </c>
      <c r="L231" s="25"/>
      <c r="M231" s="25"/>
    </row>
    <row r="232" spans="1:13" ht="21.4" customHeight="1" thickBot="1" x14ac:dyDescent="0.25">
      <c r="A232" s="10" t="s">
        <v>555</v>
      </c>
      <c r="B232" s="5" t="s">
        <v>556</v>
      </c>
      <c r="C232" s="5" t="s">
        <v>557</v>
      </c>
      <c r="D232" s="82" t="s">
        <v>558</v>
      </c>
      <c r="E232" s="82"/>
      <c r="F232" s="82"/>
      <c r="G232" s="82"/>
      <c r="H232" s="82"/>
      <c r="I232" s="82"/>
      <c r="J232" s="82"/>
      <c r="K232" s="23">
        <f>SUM(K235:K235)</f>
        <v>65.09</v>
      </c>
      <c r="L232" s="24">
        <f>ROUND(63.11*(1+M2/100),2)</f>
        <v>66.900000000000006</v>
      </c>
      <c r="M232" s="24">
        <f>ROUND(K232*L232,2)</f>
        <v>4354.5200000000004</v>
      </c>
    </row>
    <row r="233" spans="1:13" ht="21.4" customHeight="1" thickBot="1" x14ac:dyDescent="0.25">
      <c r="A233" s="25"/>
      <c r="B233" s="25"/>
      <c r="C233" s="25"/>
      <c r="D233" s="82" t="s">
        <v>559</v>
      </c>
      <c r="E233" s="82"/>
      <c r="F233" s="82"/>
      <c r="G233" s="82"/>
      <c r="H233" s="82"/>
      <c r="I233" s="82"/>
      <c r="J233" s="82"/>
      <c r="K233" s="82"/>
      <c r="L233" s="82"/>
      <c r="M233" s="82"/>
    </row>
    <row r="234" spans="1:13" ht="15.2" customHeight="1" thickBot="1" x14ac:dyDescent="0.25">
      <c r="A234" s="25"/>
      <c r="B234" s="25"/>
      <c r="C234" s="25"/>
      <c r="D234" s="25"/>
      <c r="E234" s="26"/>
      <c r="F234" s="28" t="s">
        <v>560</v>
      </c>
      <c r="G234" s="28" t="s">
        <v>561</v>
      </c>
      <c r="H234" s="28" t="s">
        <v>562</v>
      </c>
      <c r="I234" s="28" t="s">
        <v>563</v>
      </c>
      <c r="J234" s="28" t="s">
        <v>564</v>
      </c>
      <c r="K234" s="28" t="s">
        <v>565</v>
      </c>
      <c r="L234" s="25"/>
      <c r="M234" s="25"/>
    </row>
    <row r="235" spans="1:13" ht="15.2" customHeight="1" thickBot="1" x14ac:dyDescent="0.25">
      <c r="A235" s="25"/>
      <c r="B235" s="25"/>
      <c r="C235" s="25"/>
      <c r="D235" s="29"/>
      <c r="E235" s="30"/>
      <c r="F235" s="31">
        <v>65.09</v>
      </c>
      <c r="G235" s="32"/>
      <c r="H235" s="32"/>
      <c r="I235" s="32"/>
      <c r="J235" s="34">
        <f>ROUND(F235,3)</f>
        <v>65.09</v>
      </c>
      <c r="K235" s="37">
        <f>SUM(J235:J235)</f>
        <v>65.09</v>
      </c>
      <c r="L235" s="25"/>
      <c r="M235" s="25"/>
    </row>
    <row r="236" spans="1:13" ht="15.4" customHeight="1" thickBot="1" x14ac:dyDescent="0.25">
      <c r="A236" s="38"/>
      <c r="B236" s="38"/>
      <c r="C236" s="38"/>
      <c r="D236" s="56" t="s">
        <v>566</v>
      </c>
      <c r="E236" s="57"/>
      <c r="F236" s="57"/>
      <c r="G236" s="57"/>
      <c r="H236" s="57"/>
      <c r="I236" s="57"/>
      <c r="J236" s="57"/>
      <c r="K236" s="57"/>
      <c r="L236" s="58">
        <f>M228+M232</f>
        <v>6174.68</v>
      </c>
      <c r="M236" s="58">
        <f>ROUND(L236,2)</f>
        <v>6174.68</v>
      </c>
    </row>
    <row r="237" spans="1:13" ht="15.4" customHeight="1" thickBot="1" x14ac:dyDescent="0.25">
      <c r="A237" s="59" t="s">
        <v>567</v>
      </c>
      <c r="B237" s="59" t="s">
        <v>568</v>
      </c>
      <c r="C237" s="60"/>
      <c r="D237" s="86" t="s">
        <v>569</v>
      </c>
      <c r="E237" s="86"/>
      <c r="F237" s="86"/>
      <c r="G237" s="86"/>
      <c r="H237" s="86"/>
      <c r="I237" s="86"/>
      <c r="J237" s="86"/>
      <c r="K237" s="60"/>
      <c r="L237" s="61">
        <f>L246</f>
        <v>10291.26</v>
      </c>
      <c r="M237" s="61">
        <f>ROUND(L237,2)</f>
        <v>10291.26</v>
      </c>
    </row>
    <row r="238" spans="1:13" ht="15.4" customHeight="1" thickBot="1" x14ac:dyDescent="0.25">
      <c r="A238" s="10" t="s">
        <v>570</v>
      </c>
      <c r="B238" s="5" t="s">
        <v>571</v>
      </c>
      <c r="C238" s="5" t="s">
        <v>572</v>
      </c>
      <c r="D238" s="82" t="s">
        <v>573</v>
      </c>
      <c r="E238" s="82"/>
      <c r="F238" s="82"/>
      <c r="G238" s="82"/>
      <c r="H238" s="82"/>
      <c r="I238" s="82"/>
      <c r="J238" s="82"/>
      <c r="K238" s="23">
        <f>SUM(K241:K241)</f>
        <v>30</v>
      </c>
      <c r="L238" s="24">
        <f>ROUND(107.32*(1+M2/100),2)</f>
        <v>113.76</v>
      </c>
      <c r="M238" s="24">
        <f>ROUND(K238*L238,2)</f>
        <v>3412.8</v>
      </c>
    </row>
    <row r="239" spans="1:13" ht="21.4" customHeight="1" thickBot="1" x14ac:dyDescent="0.25">
      <c r="A239" s="25"/>
      <c r="B239" s="25"/>
      <c r="C239" s="25"/>
      <c r="D239" s="82" t="s">
        <v>574</v>
      </c>
      <c r="E239" s="82"/>
      <c r="F239" s="82"/>
      <c r="G239" s="82"/>
      <c r="H239" s="82"/>
      <c r="I239" s="82"/>
      <c r="J239" s="82"/>
      <c r="K239" s="82"/>
      <c r="L239" s="82"/>
      <c r="M239" s="82"/>
    </row>
    <row r="240" spans="1:13" ht="15.2" customHeight="1" thickBot="1" x14ac:dyDescent="0.25">
      <c r="A240" s="25"/>
      <c r="B240" s="25"/>
      <c r="C240" s="25"/>
      <c r="D240" s="25"/>
      <c r="E240" s="26"/>
      <c r="F240" s="28" t="s">
        <v>575</v>
      </c>
      <c r="G240" s="28" t="s">
        <v>576</v>
      </c>
      <c r="H240" s="28" t="s">
        <v>577</v>
      </c>
      <c r="I240" s="28" t="s">
        <v>578</v>
      </c>
      <c r="J240" s="28" t="s">
        <v>579</v>
      </c>
      <c r="K240" s="28" t="s">
        <v>580</v>
      </c>
      <c r="L240" s="25"/>
      <c r="M240" s="25"/>
    </row>
    <row r="241" spans="1:13" ht="15.2" customHeight="1" thickBot="1" x14ac:dyDescent="0.25">
      <c r="A241" s="25"/>
      <c r="B241" s="25"/>
      <c r="C241" s="25"/>
      <c r="D241" s="29"/>
      <c r="E241" s="30"/>
      <c r="F241" s="31">
        <v>30</v>
      </c>
      <c r="G241" s="32"/>
      <c r="H241" s="32"/>
      <c r="I241" s="32"/>
      <c r="J241" s="34">
        <f>ROUND(F241,3)</f>
        <v>30</v>
      </c>
      <c r="K241" s="37">
        <f>SUM(J241:J241)</f>
        <v>30</v>
      </c>
      <c r="L241" s="25"/>
      <c r="M241" s="25"/>
    </row>
    <row r="242" spans="1:13" ht="21.4" customHeight="1" thickBot="1" x14ac:dyDescent="0.25">
      <c r="A242" s="10" t="s">
        <v>581</v>
      </c>
      <c r="B242" s="5" t="s">
        <v>582</v>
      </c>
      <c r="C242" s="5" t="s">
        <v>583</v>
      </c>
      <c r="D242" s="82" t="s">
        <v>584</v>
      </c>
      <c r="E242" s="82"/>
      <c r="F242" s="82"/>
      <c r="G242" s="82"/>
      <c r="H242" s="82"/>
      <c r="I242" s="82"/>
      <c r="J242" s="82"/>
      <c r="K242" s="23">
        <f>SUM(K245:K245)</f>
        <v>102.81699999999999</v>
      </c>
      <c r="L242" s="24">
        <f>ROUND(63.11*(1+M2/100),2)</f>
        <v>66.900000000000006</v>
      </c>
      <c r="M242" s="24">
        <f>ROUND(K242*L242,2)</f>
        <v>6878.46</v>
      </c>
    </row>
    <row r="243" spans="1:13" ht="21.4" customHeight="1" thickBot="1" x14ac:dyDescent="0.25">
      <c r="A243" s="25"/>
      <c r="B243" s="25"/>
      <c r="C243" s="25"/>
      <c r="D243" s="82" t="s">
        <v>585</v>
      </c>
      <c r="E243" s="82"/>
      <c r="F243" s="82"/>
      <c r="G243" s="82"/>
      <c r="H243" s="82"/>
      <c r="I243" s="82"/>
      <c r="J243" s="82"/>
      <c r="K243" s="82"/>
      <c r="L243" s="82"/>
      <c r="M243" s="82"/>
    </row>
    <row r="244" spans="1:13" ht="15.2" customHeight="1" thickBot="1" x14ac:dyDescent="0.25">
      <c r="A244" s="25"/>
      <c r="B244" s="25"/>
      <c r="C244" s="25"/>
      <c r="D244" s="25"/>
      <c r="E244" s="26"/>
      <c r="F244" s="28" t="s">
        <v>586</v>
      </c>
      <c r="G244" s="28" t="s">
        <v>587</v>
      </c>
      <c r="H244" s="28" t="s">
        <v>588</v>
      </c>
      <c r="I244" s="28" t="s">
        <v>589</v>
      </c>
      <c r="J244" s="28" t="s">
        <v>590</v>
      </c>
      <c r="K244" s="28" t="s">
        <v>591</v>
      </c>
      <c r="L244" s="25"/>
      <c r="M244" s="25"/>
    </row>
    <row r="245" spans="1:13" ht="15.2" customHeight="1" thickBot="1" x14ac:dyDescent="0.25">
      <c r="A245" s="25"/>
      <c r="B245" s="25"/>
      <c r="C245" s="25"/>
      <c r="D245" s="29"/>
      <c r="E245" s="30"/>
      <c r="F245" s="31">
        <v>102.81699999999999</v>
      </c>
      <c r="G245" s="32"/>
      <c r="H245" s="32"/>
      <c r="I245" s="32"/>
      <c r="J245" s="34">
        <f>ROUND(F245,3)</f>
        <v>102.81699999999999</v>
      </c>
      <c r="K245" s="37">
        <f>SUM(J245:J245)</f>
        <v>102.81699999999999</v>
      </c>
      <c r="L245" s="25"/>
      <c r="M245" s="25"/>
    </row>
    <row r="246" spans="1:13" ht="15.4" customHeight="1" thickBot="1" x14ac:dyDescent="0.25">
      <c r="A246" s="38"/>
      <c r="B246" s="38"/>
      <c r="C246" s="38"/>
      <c r="D246" s="56" t="s">
        <v>592</v>
      </c>
      <c r="E246" s="57"/>
      <c r="F246" s="57"/>
      <c r="G246" s="57"/>
      <c r="H246" s="57"/>
      <c r="I246" s="57"/>
      <c r="J246" s="57"/>
      <c r="K246" s="57"/>
      <c r="L246" s="58">
        <f>M238+M242</f>
        <v>10291.26</v>
      </c>
      <c r="M246" s="58">
        <f>ROUND(L246,2)</f>
        <v>10291.26</v>
      </c>
    </row>
    <row r="247" spans="1:13" ht="15.4" customHeight="1" thickBot="1" x14ac:dyDescent="0.25">
      <c r="A247" s="59" t="s">
        <v>593</v>
      </c>
      <c r="B247" s="59" t="s">
        <v>594</v>
      </c>
      <c r="C247" s="60"/>
      <c r="D247" s="86" t="s">
        <v>595</v>
      </c>
      <c r="E247" s="86"/>
      <c r="F247" s="86"/>
      <c r="G247" s="86"/>
      <c r="H247" s="86"/>
      <c r="I247" s="86"/>
      <c r="J247" s="86"/>
      <c r="K247" s="60"/>
      <c r="L247" s="61">
        <f>L256</f>
        <v>10291.26</v>
      </c>
      <c r="M247" s="61">
        <f>ROUND(L247,2)</f>
        <v>10291.26</v>
      </c>
    </row>
    <row r="248" spans="1:13" ht="15.4" customHeight="1" thickBot="1" x14ac:dyDescent="0.25">
      <c r="A248" s="10" t="s">
        <v>596</v>
      </c>
      <c r="B248" s="5" t="s">
        <v>597</v>
      </c>
      <c r="C248" s="5" t="s">
        <v>598</v>
      </c>
      <c r="D248" s="82" t="s">
        <v>599</v>
      </c>
      <c r="E248" s="82"/>
      <c r="F248" s="82"/>
      <c r="G248" s="82"/>
      <c r="H248" s="82"/>
      <c r="I248" s="82"/>
      <c r="J248" s="82"/>
      <c r="K248" s="23">
        <f>SUM(K251:K251)</f>
        <v>30</v>
      </c>
      <c r="L248" s="24">
        <f>ROUND(107.32*(1+M2/100),2)</f>
        <v>113.76</v>
      </c>
      <c r="M248" s="24">
        <f>ROUND(K248*L248,2)</f>
        <v>3412.8</v>
      </c>
    </row>
    <row r="249" spans="1:13" ht="21.4" customHeight="1" thickBot="1" x14ac:dyDescent="0.25">
      <c r="A249" s="25"/>
      <c r="B249" s="25"/>
      <c r="C249" s="25"/>
      <c r="D249" s="82" t="s">
        <v>600</v>
      </c>
      <c r="E249" s="82"/>
      <c r="F249" s="82"/>
      <c r="G249" s="82"/>
      <c r="H249" s="82"/>
      <c r="I249" s="82"/>
      <c r="J249" s="82"/>
      <c r="K249" s="82"/>
      <c r="L249" s="82"/>
      <c r="M249" s="82"/>
    </row>
    <row r="250" spans="1:13" ht="15.2" customHeight="1" thickBot="1" x14ac:dyDescent="0.25">
      <c r="A250" s="25"/>
      <c r="B250" s="25"/>
      <c r="C250" s="25"/>
      <c r="D250" s="25"/>
      <c r="E250" s="26"/>
      <c r="F250" s="28" t="s">
        <v>601</v>
      </c>
      <c r="G250" s="28" t="s">
        <v>602</v>
      </c>
      <c r="H250" s="28" t="s">
        <v>603</v>
      </c>
      <c r="I250" s="28" t="s">
        <v>604</v>
      </c>
      <c r="J250" s="28" t="s">
        <v>605</v>
      </c>
      <c r="K250" s="28" t="s">
        <v>606</v>
      </c>
      <c r="L250" s="25"/>
      <c r="M250" s="25"/>
    </row>
    <row r="251" spans="1:13" ht="15.2" customHeight="1" thickBot="1" x14ac:dyDescent="0.25">
      <c r="A251" s="25"/>
      <c r="B251" s="25"/>
      <c r="C251" s="25"/>
      <c r="D251" s="29"/>
      <c r="E251" s="30"/>
      <c r="F251" s="31">
        <v>30</v>
      </c>
      <c r="G251" s="32"/>
      <c r="H251" s="32"/>
      <c r="I251" s="32"/>
      <c r="J251" s="34">
        <f>ROUND(F251,3)</f>
        <v>30</v>
      </c>
      <c r="K251" s="37">
        <f>SUM(J251:J251)</f>
        <v>30</v>
      </c>
      <c r="L251" s="25"/>
      <c r="M251" s="25"/>
    </row>
    <row r="252" spans="1:13" ht="21.4" customHeight="1" thickBot="1" x14ac:dyDescent="0.25">
      <c r="A252" s="10" t="s">
        <v>607</v>
      </c>
      <c r="B252" s="5" t="s">
        <v>608</v>
      </c>
      <c r="C252" s="5" t="s">
        <v>609</v>
      </c>
      <c r="D252" s="82" t="s">
        <v>610</v>
      </c>
      <c r="E252" s="82"/>
      <c r="F252" s="82"/>
      <c r="G252" s="82"/>
      <c r="H252" s="82"/>
      <c r="I252" s="82"/>
      <c r="J252" s="82"/>
      <c r="K252" s="23">
        <f>SUM(K255:K255)</f>
        <v>102.81699999999999</v>
      </c>
      <c r="L252" s="24">
        <f>ROUND(63.11*(1+M2/100),2)</f>
        <v>66.900000000000006</v>
      </c>
      <c r="M252" s="24">
        <f>ROUND(K252*L252,2)</f>
        <v>6878.46</v>
      </c>
    </row>
    <row r="253" spans="1:13" ht="21.4" customHeight="1" thickBot="1" x14ac:dyDescent="0.25">
      <c r="A253" s="25"/>
      <c r="B253" s="25"/>
      <c r="C253" s="25"/>
      <c r="D253" s="82" t="s">
        <v>611</v>
      </c>
      <c r="E253" s="82"/>
      <c r="F253" s="82"/>
      <c r="G253" s="82"/>
      <c r="H253" s="82"/>
      <c r="I253" s="82"/>
      <c r="J253" s="82"/>
      <c r="K253" s="82"/>
      <c r="L253" s="82"/>
      <c r="M253" s="82"/>
    </row>
    <row r="254" spans="1:13" ht="15.2" customHeight="1" thickBot="1" x14ac:dyDescent="0.25">
      <c r="A254" s="25"/>
      <c r="B254" s="25"/>
      <c r="C254" s="25"/>
      <c r="D254" s="25"/>
      <c r="E254" s="26"/>
      <c r="F254" s="28" t="s">
        <v>612</v>
      </c>
      <c r="G254" s="28" t="s">
        <v>613</v>
      </c>
      <c r="H254" s="28" t="s">
        <v>614</v>
      </c>
      <c r="I254" s="28" t="s">
        <v>615</v>
      </c>
      <c r="J254" s="28" t="s">
        <v>616</v>
      </c>
      <c r="K254" s="28" t="s">
        <v>617</v>
      </c>
      <c r="L254" s="25"/>
      <c r="M254" s="25"/>
    </row>
    <row r="255" spans="1:13" ht="15.2" customHeight="1" thickBot="1" x14ac:dyDescent="0.25">
      <c r="A255" s="25"/>
      <c r="B255" s="25"/>
      <c r="C255" s="25"/>
      <c r="D255" s="29"/>
      <c r="E255" s="30"/>
      <c r="F255" s="31">
        <v>102.81699999999999</v>
      </c>
      <c r="G255" s="32"/>
      <c r="H255" s="32"/>
      <c r="I255" s="32"/>
      <c r="J255" s="34">
        <f>ROUND(F255,3)</f>
        <v>102.81699999999999</v>
      </c>
      <c r="K255" s="37">
        <f>SUM(J255:J255)</f>
        <v>102.81699999999999</v>
      </c>
      <c r="L255" s="25"/>
      <c r="M255" s="25"/>
    </row>
    <row r="256" spans="1:13" ht="15.4" customHeight="1" thickBot="1" x14ac:dyDescent="0.25">
      <c r="A256" s="38"/>
      <c r="B256" s="38"/>
      <c r="C256" s="38"/>
      <c r="D256" s="56" t="s">
        <v>618</v>
      </c>
      <c r="E256" s="57"/>
      <c r="F256" s="57"/>
      <c r="G256" s="57"/>
      <c r="H256" s="57"/>
      <c r="I256" s="57"/>
      <c r="J256" s="57"/>
      <c r="K256" s="57"/>
      <c r="L256" s="58">
        <f>M248+M252</f>
        <v>10291.26</v>
      </c>
      <c r="M256" s="58">
        <f>ROUND(L256,2)</f>
        <v>10291.26</v>
      </c>
    </row>
    <row r="257" spans="1:13" ht="15.4" customHeight="1" thickBot="1" x14ac:dyDescent="0.25">
      <c r="A257" s="59" t="s">
        <v>619</v>
      </c>
      <c r="B257" s="59" t="s">
        <v>620</v>
      </c>
      <c r="C257" s="60"/>
      <c r="D257" s="86" t="s">
        <v>621</v>
      </c>
      <c r="E257" s="86"/>
      <c r="F257" s="86"/>
      <c r="G257" s="86"/>
      <c r="H257" s="86"/>
      <c r="I257" s="86"/>
      <c r="J257" s="86"/>
      <c r="K257" s="60"/>
      <c r="L257" s="61">
        <f>L266</f>
        <v>10291.26</v>
      </c>
      <c r="M257" s="61">
        <f>ROUND(L257,2)</f>
        <v>10291.26</v>
      </c>
    </row>
    <row r="258" spans="1:13" ht="15.4" customHeight="1" thickBot="1" x14ac:dyDescent="0.25">
      <c r="A258" s="10" t="s">
        <v>622</v>
      </c>
      <c r="B258" s="5" t="s">
        <v>623</v>
      </c>
      <c r="C258" s="5" t="s">
        <v>624</v>
      </c>
      <c r="D258" s="82" t="s">
        <v>625</v>
      </c>
      <c r="E258" s="82"/>
      <c r="F258" s="82"/>
      <c r="G258" s="82"/>
      <c r="H258" s="82"/>
      <c r="I258" s="82"/>
      <c r="J258" s="82"/>
      <c r="K258" s="23">
        <f>SUM(K261:K261)</f>
        <v>30</v>
      </c>
      <c r="L258" s="24">
        <f>ROUND(107.32*(1+M2/100),2)</f>
        <v>113.76</v>
      </c>
      <c r="M258" s="24">
        <f>ROUND(K258*L258,2)</f>
        <v>3412.8</v>
      </c>
    </row>
    <row r="259" spans="1:13" ht="21.4" customHeight="1" thickBot="1" x14ac:dyDescent="0.25">
      <c r="A259" s="25"/>
      <c r="B259" s="25"/>
      <c r="C259" s="25"/>
      <c r="D259" s="82" t="s">
        <v>626</v>
      </c>
      <c r="E259" s="82"/>
      <c r="F259" s="82"/>
      <c r="G259" s="82"/>
      <c r="H259" s="82"/>
      <c r="I259" s="82"/>
      <c r="J259" s="82"/>
      <c r="K259" s="82"/>
      <c r="L259" s="82"/>
      <c r="M259" s="82"/>
    </row>
    <row r="260" spans="1:13" ht="15.2" customHeight="1" thickBot="1" x14ac:dyDescent="0.25">
      <c r="A260" s="25"/>
      <c r="B260" s="25"/>
      <c r="C260" s="25"/>
      <c r="D260" s="25"/>
      <c r="E260" s="26"/>
      <c r="F260" s="28" t="s">
        <v>627</v>
      </c>
      <c r="G260" s="28" t="s">
        <v>628</v>
      </c>
      <c r="H260" s="28" t="s">
        <v>629</v>
      </c>
      <c r="I260" s="28" t="s">
        <v>630</v>
      </c>
      <c r="J260" s="28" t="s">
        <v>631</v>
      </c>
      <c r="K260" s="28" t="s">
        <v>632</v>
      </c>
      <c r="L260" s="25"/>
      <c r="M260" s="25"/>
    </row>
    <row r="261" spans="1:13" ht="15.2" customHeight="1" thickBot="1" x14ac:dyDescent="0.25">
      <c r="A261" s="25"/>
      <c r="B261" s="25"/>
      <c r="C261" s="25"/>
      <c r="D261" s="29"/>
      <c r="E261" s="30"/>
      <c r="F261" s="31">
        <v>30</v>
      </c>
      <c r="G261" s="32"/>
      <c r="H261" s="32"/>
      <c r="I261" s="32"/>
      <c r="J261" s="34">
        <f>ROUND(F261,3)</f>
        <v>30</v>
      </c>
      <c r="K261" s="37">
        <f>SUM(J261:J261)</f>
        <v>30</v>
      </c>
      <c r="L261" s="25"/>
      <c r="M261" s="25"/>
    </row>
    <row r="262" spans="1:13" ht="21.4" customHeight="1" thickBot="1" x14ac:dyDescent="0.25">
      <c r="A262" s="10" t="s">
        <v>633</v>
      </c>
      <c r="B262" s="5" t="s">
        <v>634</v>
      </c>
      <c r="C262" s="5" t="s">
        <v>635</v>
      </c>
      <c r="D262" s="82" t="s">
        <v>636</v>
      </c>
      <c r="E262" s="82"/>
      <c r="F262" s="82"/>
      <c r="G262" s="82"/>
      <c r="H262" s="82"/>
      <c r="I262" s="82"/>
      <c r="J262" s="82"/>
      <c r="K262" s="23">
        <f>SUM(K265:K265)</f>
        <v>102.81699999999999</v>
      </c>
      <c r="L262" s="24">
        <f>ROUND(63.11*(1+M2/100),2)</f>
        <v>66.900000000000006</v>
      </c>
      <c r="M262" s="24">
        <f>ROUND(K262*L262,2)</f>
        <v>6878.46</v>
      </c>
    </row>
    <row r="263" spans="1:13" ht="21.4" customHeight="1" thickBot="1" x14ac:dyDescent="0.25">
      <c r="A263" s="25"/>
      <c r="B263" s="25"/>
      <c r="C263" s="25"/>
      <c r="D263" s="82" t="s">
        <v>637</v>
      </c>
      <c r="E263" s="82"/>
      <c r="F263" s="82"/>
      <c r="G263" s="82"/>
      <c r="H263" s="82"/>
      <c r="I263" s="82"/>
      <c r="J263" s="82"/>
      <c r="K263" s="82"/>
      <c r="L263" s="82"/>
      <c r="M263" s="82"/>
    </row>
    <row r="264" spans="1:13" ht="15.2" customHeight="1" thickBot="1" x14ac:dyDescent="0.25">
      <c r="A264" s="25"/>
      <c r="B264" s="25"/>
      <c r="C264" s="25"/>
      <c r="D264" s="25"/>
      <c r="E264" s="26"/>
      <c r="F264" s="28" t="s">
        <v>638</v>
      </c>
      <c r="G264" s="28" t="s">
        <v>639</v>
      </c>
      <c r="H264" s="28" t="s">
        <v>640</v>
      </c>
      <c r="I264" s="28" t="s">
        <v>641</v>
      </c>
      <c r="J264" s="28" t="s">
        <v>642</v>
      </c>
      <c r="K264" s="28" t="s">
        <v>643</v>
      </c>
      <c r="L264" s="25"/>
      <c r="M264" s="25"/>
    </row>
    <row r="265" spans="1:13" ht="15.2" customHeight="1" thickBot="1" x14ac:dyDescent="0.25">
      <c r="A265" s="25"/>
      <c r="B265" s="25"/>
      <c r="C265" s="25"/>
      <c r="D265" s="29"/>
      <c r="E265" s="30"/>
      <c r="F265" s="31">
        <v>102.81699999999999</v>
      </c>
      <c r="G265" s="32"/>
      <c r="H265" s="32"/>
      <c r="I265" s="32"/>
      <c r="J265" s="34">
        <f>ROUND(F265,3)</f>
        <v>102.81699999999999</v>
      </c>
      <c r="K265" s="37">
        <f>SUM(J265:J265)</f>
        <v>102.81699999999999</v>
      </c>
      <c r="L265" s="25"/>
      <c r="M265" s="25"/>
    </row>
    <row r="266" spans="1:13" ht="15.4" customHeight="1" thickBot="1" x14ac:dyDescent="0.25">
      <c r="A266" s="38"/>
      <c r="B266" s="38"/>
      <c r="C266" s="38"/>
      <c r="D266" s="56" t="s">
        <v>644</v>
      </c>
      <c r="E266" s="57"/>
      <c r="F266" s="57"/>
      <c r="G266" s="57"/>
      <c r="H266" s="57"/>
      <c r="I266" s="57"/>
      <c r="J266" s="57"/>
      <c r="K266" s="57"/>
      <c r="L266" s="58">
        <f>M258+M262</f>
        <v>10291.26</v>
      </c>
      <c r="M266" s="58">
        <f>ROUND(L266,2)</f>
        <v>10291.26</v>
      </c>
    </row>
    <row r="267" spans="1:13" ht="15.4" customHeight="1" thickBot="1" x14ac:dyDescent="0.25">
      <c r="A267" s="45"/>
      <c r="B267" s="45"/>
      <c r="C267" s="45"/>
      <c r="D267" s="62" t="s">
        <v>645</v>
      </c>
      <c r="E267" s="63"/>
      <c r="F267" s="63"/>
      <c r="G267" s="63"/>
      <c r="H267" s="63"/>
      <c r="I267" s="63"/>
      <c r="J267" s="63"/>
      <c r="K267" s="63"/>
      <c r="L267" s="64">
        <f>M176+M186+M196+M206+M216+M226+M236+M246+M256+M266</f>
        <v>67712.160000000003</v>
      </c>
      <c r="M267" s="64">
        <f>ROUND(L267,2)</f>
        <v>67712.160000000003</v>
      </c>
    </row>
    <row r="268" spans="1:13" ht="15.4" customHeight="1" thickBot="1" x14ac:dyDescent="0.25">
      <c r="A268" s="42" t="s">
        <v>646</v>
      </c>
      <c r="B268" s="42" t="s">
        <v>647</v>
      </c>
      <c r="C268" s="43"/>
      <c r="D268" s="83" t="s">
        <v>648</v>
      </c>
      <c r="E268" s="83"/>
      <c r="F268" s="83"/>
      <c r="G268" s="83"/>
      <c r="H268" s="83"/>
      <c r="I268" s="83"/>
      <c r="J268" s="83"/>
      <c r="K268" s="43"/>
      <c r="L268" s="44">
        <f>L274</f>
        <v>15352.35</v>
      </c>
      <c r="M268" s="44">
        <f>ROUND(L268,2)</f>
        <v>15352.35</v>
      </c>
    </row>
    <row r="269" spans="1:13" ht="15.4" customHeight="1" thickBot="1" x14ac:dyDescent="0.25">
      <c r="A269" s="10" t="s">
        <v>649</v>
      </c>
      <c r="B269" s="5" t="s">
        <v>650</v>
      </c>
      <c r="C269" s="5" t="s">
        <v>651</v>
      </c>
      <c r="D269" s="82" t="s">
        <v>652</v>
      </c>
      <c r="E269" s="82"/>
      <c r="F269" s="82"/>
      <c r="G269" s="82"/>
      <c r="H269" s="82"/>
      <c r="I269" s="82"/>
      <c r="J269" s="82"/>
      <c r="K269" s="23">
        <f>SUM(K272:K273)</f>
        <v>102.34899999999999</v>
      </c>
      <c r="L269" s="24">
        <f>ROUND(141.51*(1+M2/100),2)</f>
        <v>150</v>
      </c>
      <c r="M269" s="24">
        <f>ROUND(K269*L269,2)</f>
        <v>15352.35</v>
      </c>
    </row>
    <row r="270" spans="1:13" ht="30.6" customHeight="1" thickBot="1" x14ac:dyDescent="0.25">
      <c r="A270" s="25"/>
      <c r="B270" s="25"/>
      <c r="C270" s="25"/>
      <c r="D270" s="82" t="s">
        <v>653</v>
      </c>
      <c r="E270" s="82"/>
      <c r="F270" s="82"/>
      <c r="G270" s="82"/>
      <c r="H270" s="82"/>
      <c r="I270" s="82"/>
      <c r="J270" s="82"/>
      <c r="K270" s="82"/>
      <c r="L270" s="82"/>
      <c r="M270" s="82"/>
    </row>
    <row r="271" spans="1:13" ht="15.2" customHeight="1" thickBot="1" x14ac:dyDescent="0.25">
      <c r="A271" s="25"/>
      <c r="B271" s="25"/>
      <c r="C271" s="25"/>
      <c r="D271" s="25"/>
      <c r="E271" s="26"/>
      <c r="F271" s="28" t="s">
        <v>654</v>
      </c>
      <c r="G271" s="28" t="s">
        <v>655</v>
      </c>
      <c r="H271" s="28" t="s">
        <v>656</v>
      </c>
      <c r="I271" s="28" t="s">
        <v>657</v>
      </c>
      <c r="J271" s="28" t="s">
        <v>658</v>
      </c>
      <c r="K271" s="28" t="s">
        <v>659</v>
      </c>
      <c r="L271" s="25"/>
      <c r="M271" s="25"/>
    </row>
    <row r="272" spans="1:13" ht="15.2" customHeight="1" thickBot="1" x14ac:dyDescent="0.25">
      <c r="A272" s="25"/>
      <c r="B272" s="25"/>
      <c r="C272" s="25"/>
      <c r="D272" s="29"/>
      <c r="E272" s="30" t="s">
        <v>660</v>
      </c>
      <c r="F272" s="31">
        <v>1</v>
      </c>
      <c r="G272" s="32">
        <v>37.348999999999997</v>
      </c>
      <c r="H272" s="32"/>
      <c r="I272" s="32"/>
      <c r="J272" s="34">
        <f>ROUND(F272*G272,3)</f>
        <v>37.348999999999997</v>
      </c>
      <c r="K272" s="35"/>
      <c r="L272" s="25"/>
      <c r="M272" s="25"/>
    </row>
    <row r="273" spans="1:13" ht="21.4" customHeight="1" thickBot="1" x14ac:dyDescent="0.25">
      <c r="A273" s="25"/>
      <c r="B273" s="25"/>
      <c r="C273" s="25"/>
      <c r="D273" s="29"/>
      <c r="E273" s="5" t="s">
        <v>661</v>
      </c>
      <c r="F273" s="3">
        <v>1</v>
      </c>
      <c r="G273" s="23">
        <v>13</v>
      </c>
      <c r="H273" s="23">
        <v>5</v>
      </c>
      <c r="I273" s="23"/>
      <c r="J273" s="33">
        <f>ROUND(F273*G273*H273,3)</f>
        <v>65</v>
      </c>
      <c r="K273" s="36">
        <f>SUM(J272:J273)</f>
        <v>102.34899999999999</v>
      </c>
      <c r="L273" s="25"/>
      <c r="M273" s="25"/>
    </row>
    <row r="274" spans="1:13" ht="15.4" customHeight="1" thickBot="1" x14ac:dyDescent="0.25">
      <c r="A274" s="38"/>
      <c r="B274" s="38"/>
      <c r="C274" s="38"/>
      <c r="D274" s="39" t="s">
        <v>662</v>
      </c>
      <c r="E274" s="40"/>
      <c r="F274" s="40"/>
      <c r="G274" s="40"/>
      <c r="H274" s="40"/>
      <c r="I274" s="40"/>
      <c r="J274" s="40"/>
      <c r="K274" s="40"/>
      <c r="L274" s="41">
        <f>M269</f>
        <v>15352.35</v>
      </c>
      <c r="M274" s="41">
        <f>ROUND(L274,2)</f>
        <v>15352.35</v>
      </c>
    </row>
    <row r="275" spans="1:13" ht="15.4" customHeight="1" thickBot="1" x14ac:dyDescent="0.25">
      <c r="A275" s="45"/>
      <c r="B275" s="45"/>
      <c r="C275" s="45"/>
      <c r="D275" s="46" t="s">
        <v>663</v>
      </c>
      <c r="E275" s="47"/>
      <c r="F275" s="47"/>
      <c r="G275" s="47"/>
      <c r="H275" s="47"/>
      <c r="I275" s="47"/>
      <c r="J275" s="47"/>
      <c r="K275" s="47"/>
      <c r="L275" s="48">
        <f>M143+M165+M267+M274</f>
        <v>183379.66</v>
      </c>
      <c r="M275" s="48">
        <f>ROUND(L275,2)</f>
        <v>183379.66</v>
      </c>
    </row>
    <row r="276" spans="1:13" ht="15.4" customHeight="1" thickBot="1" x14ac:dyDescent="0.25">
      <c r="A276" s="49" t="s">
        <v>664</v>
      </c>
      <c r="B276" s="49" t="s">
        <v>665</v>
      </c>
      <c r="C276" s="50"/>
      <c r="D276" s="84" t="s">
        <v>666</v>
      </c>
      <c r="E276" s="84"/>
      <c r="F276" s="84"/>
      <c r="G276" s="84"/>
      <c r="H276" s="84"/>
      <c r="I276" s="84"/>
      <c r="J276" s="84"/>
      <c r="K276" s="50"/>
      <c r="L276" s="51">
        <f>L309</f>
        <v>109000</v>
      </c>
      <c r="M276" s="51">
        <f>ROUND(L276,2)</f>
        <v>109000</v>
      </c>
    </row>
    <row r="277" spans="1:13" ht="15.4" customHeight="1" thickBot="1" x14ac:dyDescent="0.25">
      <c r="A277" s="10" t="s">
        <v>667</v>
      </c>
      <c r="B277" s="5" t="s">
        <v>668</v>
      </c>
      <c r="C277" s="5" t="s">
        <v>669</v>
      </c>
      <c r="D277" s="82" t="s">
        <v>670</v>
      </c>
      <c r="E277" s="82"/>
      <c r="F277" s="82"/>
      <c r="G277" s="82"/>
      <c r="H277" s="82"/>
      <c r="I277" s="82"/>
      <c r="J277" s="82"/>
      <c r="K277" s="23">
        <f>SUM(K280:K280)</f>
        <v>1</v>
      </c>
      <c r="L277" s="24">
        <f>ROUND(23584.906*(1+M2/100),2)</f>
        <v>25000</v>
      </c>
      <c r="M277" s="24">
        <f>ROUND(K277*L277,2)</f>
        <v>25000</v>
      </c>
    </row>
    <row r="278" spans="1:13" ht="12.2" customHeight="1" thickBot="1" x14ac:dyDescent="0.25">
      <c r="A278" s="25"/>
      <c r="B278" s="25"/>
      <c r="C278" s="25"/>
      <c r="D278" s="82" t="s">
        <v>671</v>
      </c>
      <c r="E278" s="82"/>
      <c r="F278" s="82"/>
      <c r="G278" s="82"/>
      <c r="H278" s="82"/>
      <c r="I278" s="82"/>
      <c r="J278" s="82"/>
      <c r="K278" s="82"/>
      <c r="L278" s="82"/>
      <c r="M278" s="82"/>
    </row>
    <row r="279" spans="1:13" ht="15.2" customHeight="1" thickBot="1" x14ac:dyDescent="0.25">
      <c r="A279" s="25"/>
      <c r="B279" s="25"/>
      <c r="C279" s="25"/>
      <c r="D279" s="25"/>
      <c r="E279" s="26"/>
      <c r="F279" s="28" t="s">
        <v>672</v>
      </c>
      <c r="G279" s="28" t="s">
        <v>673</v>
      </c>
      <c r="H279" s="28" t="s">
        <v>674</v>
      </c>
      <c r="I279" s="28" t="s">
        <v>675</v>
      </c>
      <c r="J279" s="28" t="s">
        <v>676</v>
      </c>
      <c r="K279" s="28" t="s">
        <v>677</v>
      </c>
      <c r="L279" s="25"/>
      <c r="M279" s="25"/>
    </row>
    <row r="280" spans="1:13" ht="15.2" customHeight="1" thickBot="1" x14ac:dyDescent="0.25">
      <c r="A280" s="25"/>
      <c r="B280" s="25"/>
      <c r="C280" s="25"/>
      <c r="D280" s="29"/>
      <c r="E280" s="30"/>
      <c r="F280" s="31">
        <v>1</v>
      </c>
      <c r="G280" s="32"/>
      <c r="H280" s="32"/>
      <c r="I280" s="32"/>
      <c r="J280" s="34">
        <f>ROUND(F280,3)</f>
        <v>1</v>
      </c>
      <c r="K280" s="37">
        <f>SUM(J280:J280)</f>
        <v>1</v>
      </c>
      <c r="L280" s="25"/>
      <c r="M280" s="25"/>
    </row>
    <row r="281" spans="1:13" ht="15.4" customHeight="1" thickBot="1" x14ac:dyDescent="0.25">
      <c r="A281" s="10" t="s">
        <v>678</v>
      </c>
      <c r="B281" s="5" t="s">
        <v>679</v>
      </c>
      <c r="C281" s="5" t="s">
        <v>680</v>
      </c>
      <c r="D281" s="82" t="s">
        <v>681</v>
      </c>
      <c r="E281" s="82"/>
      <c r="F281" s="82"/>
      <c r="G281" s="82"/>
      <c r="H281" s="82"/>
      <c r="I281" s="82"/>
      <c r="J281" s="82"/>
      <c r="K281" s="23">
        <f>SUM(K284:K284)</f>
        <v>1</v>
      </c>
      <c r="L281" s="24">
        <f>ROUND(9433.962*(1+M2/100),2)</f>
        <v>10000</v>
      </c>
      <c r="M281" s="24">
        <f>ROUND(K281*L281,2)</f>
        <v>10000</v>
      </c>
    </row>
    <row r="282" spans="1:13" ht="12.2" customHeight="1" thickBot="1" x14ac:dyDescent="0.25">
      <c r="A282" s="25"/>
      <c r="B282" s="25"/>
      <c r="C282" s="25"/>
      <c r="D282" s="82" t="s">
        <v>682</v>
      </c>
      <c r="E282" s="82"/>
      <c r="F282" s="82"/>
      <c r="G282" s="82"/>
      <c r="H282" s="82"/>
      <c r="I282" s="82"/>
      <c r="J282" s="82"/>
      <c r="K282" s="82"/>
      <c r="L282" s="82"/>
      <c r="M282" s="82"/>
    </row>
    <row r="283" spans="1:13" ht="15.2" customHeight="1" thickBot="1" x14ac:dyDescent="0.25">
      <c r="A283" s="25"/>
      <c r="B283" s="25"/>
      <c r="C283" s="25"/>
      <c r="D283" s="25"/>
      <c r="E283" s="26"/>
      <c r="F283" s="28" t="s">
        <v>683</v>
      </c>
      <c r="G283" s="28" t="s">
        <v>684</v>
      </c>
      <c r="H283" s="28" t="s">
        <v>685</v>
      </c>
      <c r="I283" s="28" t="s">
        <v>686</v>
      </c>
      <c r="J283" s="28" t="s">
        <v>687</v>
      </c>
      <c r="K283" s="28" t="s">
        <v>688</v>
      </c>
      <c r="L283" s="25"/>
      <c r="M283" s="25"/>
    </row>
    <row r="284" spans="1:13" ht="15.2" customHeight="1" thickBot="1" x14ac:dyDescent="0.25">
      <c r="A284" s="25"/>
      <c r="B284" s="25"/>
      <c r="C284" s="25"/>
      <c r="D284" s="29"/>
      <c r="E284" s="30"/>
      <c r="F284" s="31">
        <v>1</v>
      </c>
      <c r="G284" s="32"/>
      <c r="H284" s="32"/>
      <c r="I284" s="32"/>
      <c r="J284" s="34">
        <f>ROUND(F284,3)</f>
        <v>1</v>
      </c>
      <c r="K284" s="37">
        <f>SUM(J284:J284)</f>
        <v>1</v>
      </c>
      <c r="L284" s="25"/>
      <c r="M284" s="25"/>
    </row>
    <row r="285" spans="1:13" ht="15.4" customHeight="1" thickBot="1" x14ac:dyDescent="0.25">
      <c r="A285" s="10" t="s">
        <v>689</v>
      </c>
      <c r="B285" s="5" t="s">
        <v>690</v>
      </c>
      <c r="C285" s="5" t="s">
        <v>691</v>
      </c>
      <c r="D285" s="82" t="s">
        <v>692</v>
      </c>
      <c r="E285" s="82"/>
      <c r="F285" s="82"/>
      <c r="G285" s="82"/>
      <c r="H285" s="82"/>
      <c r="I285" s="82"/>
      <c r="J285" s="82"/>
      <c r="K285" s="23">
        <f>SUM(K288:K288)</f>
        <v>1</v>
      </c>
      <c r="L285" s="24">
        <f>ROUND(18726.415*(1+M2/100),2)</f>
        <v>19850</v>
      </c>
      <c r="M285" s="24">
        <f>ROUND(K285*L285,2)</f>
        <v>19850</v>
      </c>
    </row>
    <row r="286" spans="1:13" ht="12.2" customHeight="1" thickBot="1" x14ac:dyDescent="0.25">
      <c r="A286" s="25"/>
      <c r="B286" s="25"/>
      <c r="C286" s="25"/>
      <c r="D286" s="82" t="s">
        <v>693</v>
      </c>
      <c r="E286" s="82"/>
      <c r="F286" s="82"/>
      <c r="G286" s="82"/>
      <c r="H286" s="82"/>
      <c r="I286" s="82"/>
      <c r="J286" s="82"/>
      <c r="K286" s="82"/>
      <c r="L286" s="82"/>
      <c r="M286" s="82"/>
    </row>
    <row r="287" spans="1:13" ht="15.2" customHeight="1" thickBot="1" x14ac:dyDescent="0.25">
      <c r="A287" s="25"/>
      <c r="B287" s="25"/>
      <c r="C287" s="25"/>
      <c r="D287" s="25"/>
      <c r="E287" s="26"/>
      <c r="F287" s="28" t="s">
        <v>694</v>
      </c>
      <c r="G287" s="28" t="s">
        <v>695</v>
      </c>
      <c r="H287" s="28" t="s">
        <v>696</v>
      </c>
      <c r="I287" s="28" t="s">
        <v>697</v>
      </c>
      <c r="J287" s="28" t="s">
        <v>698</v>
      </c>
      <c r="K287" s="28" t="s">
        <v>699</v>
      </c>
      <c r="L287" s="25"/>
      <c r="M287" s="25"/>
    </row>
    <row r="288" spans="1:13" ht="15.2" customHeight="1" thickBot="1" x14ac:dyDescent="0.25">
      <c r="A288" s="25"/>
      <c r="B288" s="25"/>
      <c r="C288" s="25"/>
      <c r="D288" s="29"/>
      <c r="E288" s="30"/>
      <c r="F288" s="31">
        <v>1</v>
      </c>
      <c r="G288" s="32"/>
      <c r="H288" s="32"/>
      <c r="I288" s="32"/>
      <c r="J288" s="34">
        <f>ROUND(F288,3)</f>
        <v>1</v>
      </c>
      <c r="K288" s="37">
        <f>SUM(J288:J288)</f>
        <v>1</v>
      </c>
      <c r="L288" s="25"/>
      <c r="M288" s="25"/>
    </row>
    <row r="289" spans="1:13" ht="21.4" customHeight="1" thickBot="1" x14ac:dyDescent="0.25">
      <c r="A289" s="10" t="s">
        <v>700</v>
      </c>
      <c r="B289" s="5" t="s">
        <v>701</v>
      </c>
      <c r="C289" s="5" t="s">
        <v>702</v>
      </c>
      <c r="D289" s="82" t="s">
        <v>703</v>
      </c>
      <c r="E289" s="82"/>
      <c r="F289" s="82"/>
      <c r="G289" s="82"/>
      <c r="H289" s="82"/>
      <c r="I289" s="82"/>
      <c r="J289" s="82"/>
      <c r="K289" s="23">
        <f>SUM(K292:K292)</f>
        <v>1</v>
      </c>
      <c r="L289" s="24">
        <f>ROUND(13349.057*(1+M2/100),2)</f>
        <v>14150</v>
      </c>
      <c r="M289" s="24">
        <f>ROUND(K289*L289,2)</f>
        <v>14150</v>
      </c>
    </row>
    <row r="290" spans="1:13" ht="12.2" customHeight="1" thickBot="1" x14ac:dyDescent="0.25">
      <c r="A290" s="25"/>
      <c r="B290" s="25"/>
      <c r="C290" s="25"/>
      <c r="D290" s="82" t="s">
        <v>704</v>
      </c>
      <c r="E290" s="82"/>
      <c r="F290" s="82"/>
      <c r="G290" s="82"/>
      <c r="H290" s="82"/>
      <c r="I290" s="82"/>
      <c r="J290" s="82"/>
      <c r="K290" s="82"/>
      <c r="L290" s="82"/>
      <c r="M290" s="82"/>
    </row>
    <row r="291" spans="1:13" ht="15.2" customHeight="1" thickBot="1" x14ac:dyDescent="0.25">
      <c r="A291" s="25"/>
      <c r="B291" s="25"/>
      <c r="C291" s="25"/>
      <c r="D291" s="25"/>
      <c r="E291" s="26"/>
      <c r="F291" s="28" t="s">
        <v>705</v>
      </c>
      <c r="G291" s="28" t="s">
        <v>706</v>
      </c>
      <c r="H291" s="28" t="s">
        <v>707</v>
      </c>
      <c r="I291" s="28" t="s">
        <v>708</v>
      </c>
      <c r="J291" s="28" t="s">
        <v>709</v>
      </c>
      <c r="K291" s="28" t="s">
        <v>710</v>
      </c>
      <c r="L291" s="25"/>
      <c r="M291" s="25"/>
    </row>
    <row r="292" spans="1:13" ht="15.2" customHeight="1" thickBot="1" x14ac:dyDescent="0.25">
      <c r="A292" s="25"/>
      <c r="B292" s="25"/>
      <c r="C292" s="25"/>
      <c r="D292" s="29"/>
      <c r="E292" s="30"/>
      <c r="F292" s="31">
        <v>1</v>
      </c>
      <c r="G292" s="32"/>
      <c r="H292" s="32"/>
      <c r="I292" s="32"/>
      <c r="J292" s="34">
        <f>ROUND(F292,3)</f>
        <v>1</v>
      </c>
      <c r="K292" s="37">
        <f>SUM(J292:J292)</f>
        <v>1</v>
      </c>
      <c r="L292" s="25"/>
      <c r="M292" s="25"/>
    </row>
    <row r="293" spans="1:13" ht="15.4" customHeight="1" thickBot="1" x14ac:dyDescent="0.25">
      <c r="A293" s="10" t="s">
        <v>711</v>
      </c>
      <c r="B293" s="5" t="s">
        <v>712</v>
      </c>
      <c r="C293" s="5" t="s">
        <v>713</v>
      </c>
      <c r="D293" s="82" t="s">
        <v>714</v>
      </c>
      <c r="E293" s="82"/>
      <c r="F293" s="82"/>
      <c r="G293" s="82"/>
      <c r="H293" s="82"/>
      <c r="I293" s="82"/>
      <c r="J293" s="82"/>
      <c r="K293" s="23">
        <f>SUM(K296:K296)</f>
        <v>1</v>
      </c>
      <c r="L293" s="24">
        <f>ROUND(7075.472*(1+M2/100),2)</f>
        <v>7500</v>
      </c>
      <c r="M293" s="24">
        <f>ROUND(K293*L293,2)</f>
        <v>7500</v>
      </c>
    </row>
    <row r="294" spans="1:13" ht="12.2" customHeight="1" thickBot="1" x14ac:dyDescent="0.25">
      <c r="A294" s="25"/>
      <c r="B294" s="25"/>
      <c r="C294" s="25"/>
      <c r="D294" s="82" t="s">
        <v>715</v>
      </c>
      <c r="E294" s="82"/>
      <c r="F294" s="82"/>
      <c r="G294" s="82"/>
      <c r="H294" s="82"/>
      <c r="I294" s="82"/>
      <c r="J294" s="82"/>
      <c r="K294" s="82"/>
      <c r="L294" s="82"/>
      <c r="M294" s="82"/>
    </row>
    <row r="295" spans="1:13" ht="15.2" customHeight="1" thickBot="1" x14ac:dyDescent="0.25">
      <c r="A295" s="25"/>
      <c r="B295" s="25"/>
      <c r="C295" s="25"/>
      <c r="D295" s="25"/>
      <c r="E295" s="26"/>
      <c r="F295" s="28" t="s">
        <v>716</v>
      </c>
      <c r="G295" s="28" t="s">
        <v>717</v>
      </c>
      <c r="H295" s="28" t="s">
        <v>718</v>
      </c>
      <c r="I295" s="28" t="s">
        <v>719</v>
      </c>
      <c r="J295" s="28" t="s">
        <v>720</v>
      </c>
      <c r="K295" s="28" t="s">
        <v>721</v>
      </c>
      <c r="L295" s="25"/>
      <c r="M295" s="25"/>
    </row>
    <row r="296" spans="1:13" ht="15.2" customHeight="1" thickBot="1" x14ac:dyDescent="0.25">
      <c r="A296" s="25"/>
      <c r="B296" s="25"/>
      <c r="C296" s="25"/>
      <c r="D296" s="29"/>
      <c r="E296" s="30"/>
      <c r="F296" s="31">
        <v>1</v>
      </c>
      <c r="G296" s="32"/>
      <c r="H296" s="32"/>
      <c r="I296" s="32"/>
      <c r="J296" s="34">
        <f>ROUND(F296,3)</f>
        <v>1</v>
      </c>
      <c r="K296" s="37">
        <f>SUM(J296:J296)</f>
        <v>1</v>
      </c>
      <c r="L296" s="25"/>
      <c r="M296" s="25"/>
    </row>
    <row r="297" spans="1:13" ht="15.4" customHeight="1" thickBot="1" x14ac:dyDescent="0.25">
      <c r="A297" s="10" t="s">
        <v>722</v>
      </c>
      <c r="B297" s="5" t="s">
        <v>723</v>
      </c>
      <c r="C297" s="5" t="s">
        <v>724</v>
      </c>
      <c r="D297" s="82" t="s">
        <v>725</v>
      </c>
      <c r="E297" s="82"/>
      <c r="F297" s="82"/>
      <c r="G297" s="82"/>
      <c r="H297" s="82"/>
      <c r="I297" s="82"/>
      <c r="J297" s="82"/>
      <c r="K297" s="23">
        <f>SUM(K300:K300)</f>
        <v>1</v>
      </c>
      <c r="L297" s="24">
        <f>ROUND(23584.906*(1+M2/100),2)</f>
        <v>25000</v>
      </c>
      <c r="M297" s="24">
        <f>ROUND(K297*L297,2)</f>
        <v>25000</v>
      </c>
    </row>
    <row r="298" spans="1:13" ht="12.2" customHeight="1" thickBot="1" x14ac:dyDescent="0.25">
      <c r="A298" s="25"/>
      <c r="B298" s="25"/>
      <c r="C298" s="25"/>
      <c r="D298" s="82" t="s">
        <v>726</v>
      </c>
      <c r="E298" s="82"/>
      <c r="F298" s="82"/>
      <c r="G298" s="82"/>
      <c r="H298" s="82"/>
      <c r="I298" s="82"/>
      <c r="J298" s="82"/>
      <c r="K298" s="82"/>
      <c r="L298" s="82"/>
      <c r="M298" s="82"/>
    </row>
    <row r="299" spans="1:13" ht="15.2" customHeight="1" thickBot="1" x14ac:dyDescent="0.25">
      <c r="A299" s="25"/>
      <c r="B299" s="25"/>
      <c r="C299" s="25"/>
      <c r="D299" s="25"/>
      <c r="E299" s="26"/>
      <c r="F299" s="28" t="s">
        <v>727</v>
      </c>
      <c r="G299" s="28" t="s">
        <v>728</v>
      </c>
      <c r="H299" s="28" t="s">
        <v>729</v>
      </c>
      <c r="I299" s="28" t="s">
        <v>730</v>
      </c>
      <c r="J299" s="28" t="s">
        <v>731</v>
      </c>
      <c r="K299" s="28" t="s">
        <v>732</v>
      </c>
      <c r="L299" s="25"/>
      <c r="M299" s="25"/>
    </row>
    <row r="300" spans="1:13" ht="15.2" customHeight="1" thickBot="1" x14ac:dyDescent="0.25">
      <c r="A300" s="25"/>
      <c r="B300" s="25"/>
      <c r="C300" s="25"/>
      <c r="D300" s="29"/>
      <c r="E300" s="30"/>
      <c r="F300" s="31">
        <v>1</v>
      </c>
      <c r="G300" s="32"/>
      <c r="H300" s="32"/>
      <c r="I300" s="32"/>
      <c r="J300" s="34">
        <f>ROUND(F300,3)</f>
        <v>1</v>
      </c>
      <c r="K300" s="37">
        <f>SUM(J300:J300)</f>
        <v>1</v>
      </c>
      <c r="L300" s="25"/>
      <c r="M300" s="25"/>
    </row>
    <row r="301" spans="1:13" ht="15.4" customHeight="1" thickBot="1" x14ac:dyDescent="0.25">
      <c r="A301" s="10" t="s">
        <v>733</v>
      </c>
      <c r="B301" s="5" t="s">
        <v>734</v>
      </c>
      <c r="C301" s="5" t="s">
        <v>735</v>
      </c>
      <c r="D301" s="82" t="s">
        <v>736</v>
      </c>
      <c r="E301" s="82"/>
      <c r="F301" s="82"/>
      <c r="G301" s="82"/>
      <c r="H301" s="82"/>
      <c r="I301" s="82"/>
      <c r="J301" s="82"/>
      <c r="K301" s="23">
        <f>SUM(K304:K304)</f>
        <v>1</v>
      </c>
      <c r="L301" s="24">
        <f>ROUND(3301.887*(1+M2/100),2)</f>
        <v>3500</v>
      </c>
      <c r="M301" s="24">
        <f>ROUND(K301*L301,2)</f>
        <v>3500</v>
      </c>
    </row>
    <row r="302" spans="1:13" ht="12.2" customHeight="1" thickBot="1" x14ac:dyDescent="0.25">
      <c r="A302" s="25"/>
      <c r="B302" s="25"/>
      <c r="C302" s="25"/>
      <c r="D302" s="82" t="s">
        <v>737</v>
      </c>
      <c r="E302" s="82"/>
      <c r="F302" s="82"/>
      <c r="G302" s="82"/>
      <c r="H302" s="82"/>
      <c r="I302" s="82"/>
      <c r="J302" s="82"/>
      <c r="K302" s="82"/>
      <c r="L302" s="82"/>
      <c r="M302" s="82"/>
    </row>
    <row r="303" spans="1:13" ht="15.2" customHeight="1" thickBot="1" x14ac:dyDescent="0.25">
      <c r="A303" s="25"/>
      <c r="B303" s="25"/>
      <c r="C303" s="25"/>
      <c r="D303" s="25"/>
      <c r="E303" s="26"/>
      <c r="F303" s="28" t="s">
        <v>738</v>
      </c>
      <c r="G303" s="28" t="s">
        <v>739</v>
      </c>
      <c r="H303" s="28" t="s">
        <v>740</v>
      </c>
      <c r="I303" s="28" t="s">
        <v>741</v>
      </c>
      <c r="J303" s="28" t="s">
        <v>742</v>
      </c>
      <c r="K303" s="28" t="s">
        <v>743</v>
      </c>
      <c r="L303" s="25"/>
      <c r="M303" s="25"/>
    </row>
    <row r="304" spans="1:13" ht="15.2" customHeight="1" thickBot="1" x14ac:dyDescent="0.25">
      <c r="A304" s="25"/>
      <c r="B304" s="25"/>
      <c r="C304" s="25"/>
      <c r="D304" s="29"/>
      <c r="E304" s="30"/>
      <c r="F304" s="31">
        <v>1</v>
      </c>
      <c r="G304" s="32"/>
      <c r="H304" s="32"/>
      <c r="I304" s="32"/>
      <c r="J304" s="34">
        <f>ROUND(F304,3)</f>
        <v>1</v>
      </c>
      <c r="K304" s="37">
        <f>SUM(J304:J304)</f>
        <v>1</v>
      </c>
      <c r="L304" s="25"/>
      <c r="M304" s="25"/>
    </row>
    <row r="305" spans="1:13" ht="15.4" customHeight="1" thickBot="1" x14ac:dyDescent="0.25">
      <c r="A305" s="10" t="s">
        <v>744</v>
      </c>
      <c r="B305" s="5" t="s">
        <v>745</v>
      </c>
      <c r="C305" s="5" t="s">
        <v>746</v>
      </c>
      <c r="D305" s="82" t="s">
        <v>747</v>
      </c>
      <c r="E305" s="82"/>
      <c r="F305" s="82"/>
      <c r="G305" s="82"/>
      <c r="H305" s="82"/>
      <c r="I305" s="82"/>
      <c r="J305" s="82"/>
      <c r="K305" s="23">
        <f>SUM(K308:K308)</f>
        <v>1</v>
      </c>
      <c r="L305" s="24">
        <f>ROUND(3773.585*(1+M2/100),2)</f>
        <v>4000</v>
      </c>
      <c r="M305" s="24">
        <f>ROUND(K305*L305,2)</f>
        <v>4000</v>
      </c>
    </row>
    <row r="306" spans="1:13" ht="12.2" customHeight="1" thickBot="1" x14ac:dyDescent="0.25">
      <c r="A306" s="25"/>
      <c r="B306" s="25"/>
      <c r="C306" s="25"/>
      <c r="D306" s="82" t="s">
        <v>748</v>
      </c>
      <c r="E306" s="82"/>
      <c r="F306" s="82"/>
      <c r="G306" s="82"/>
      <c r="H306" s="82"/>
      <c r="I306" s="82"/>
      <c r="J306" s="82"/>
      <c r="K306" s="82"/>
      <c r="L306" s="82"/>
      <c r="M306" s="82"/>
    </row>
    <row r="307" spans="1:13" ht="15.2" customHeight="1" thickBot="1" x14ac:dyDescent="0.25">
      <c r="A307" s="25"/>
      <c r="B307" s="25"/>
      <c r="C307" s="25"/>
      <c r="D307" s="25"/>
      <c r="E307" s="26"/>
      <c r="F307" s="28" t="s">
        <v>749</v>
      </c>
      <c r="G307" s="28" t="s">
        <v>750</v>
      </c>
      <c r="H307" s="28" t="s">
        <v>751</v>
      </c>
      <c r="I307" s="28" t="s">
        <v>752</v>
      </c>
      <c r="J307" s="28" t="s">
        <v>753</v>
      </c>
      <c r="K307" s="28" t="s">
        <v>754</v>
      </c>
      <c r="L307" s="25"/>
      <c r="M307" s="25"/>
    </row>
    <row r="308" spans="1:13" ht="15.2" customHeight="1" thickBot="1" x14ac:dyDescent="0.25">
      <c r="A308" s="25"/>
      <c r="B308" s="25"/>
      <c r="C308" s="25"/>
      <c r="D308" s="29"/>
      <c r="E308" s="30"/>
      <c r="F308" s="31">
        <v>1</v>
      </c>
      <c r="G308" s="32"/>
      <c r="H308" s="32"/>
      <c r="I308" s="32"/>
      <c r="J308" s="34">
        <f>ROUND(F308,3)</f>
        <v>1</v>
      </c>
      <c r="K308" s="37">
        <f>SUM(J308:J308)</f>
        <v>1</v>
      </c>
      <c r="L308" s="25"/>
      <c r="M308" s="25"/>
    </row>
    <row r="309" spans="1:13" ht="15.4" customHeight="1" thickBot="1" x14ac:dyDescent="0.25">
      <c r="A309" s="38"/>
      <c r="B309" s="38"/>
      <c r="C309" s="38"/>
      <c r="D309" s="65" t="s">
        <v>755</v>
      </c>
      <c r="E309" s="66"/>
      <c r="F309" s="66"/>
      <c r="G309" s="66"/>
      <c r="H309" s="66"/>
      <c r="I309" s="66"/>
      <c r="J309" s="66"/>
      <c r="K309" s="66"/>
      <c r="L309" s="67">
        <f>M277+M281+M285+M289+M293+M297+M301+M305</f>
        <v>109000</v>
      </c>
      <c r="M309" s="67">
        <f>ROUND(L309,2)</f>
        <v>109000</v>
      </c>
    </row>
    <row r="310" spans="1:13" ht="15.4" customHeight="1" thickBot="1" x14ac:dyDescent="0.25">
      <c r="A310" s="45"/>
      <c r="B310" s="45"/>
      <c r="C310" s="45"/>
      <c r="D310" s="68" t="s">
        <v>756</v>
      </c>
      <c r="E310" s="69"/>
      <c r="F310" s="69"/>
      <c r="G310" s="69"/>
      <c r="H310" s="69"/>
      <c r="I310" s="69"/>
      <c r="J310" s="69"/>
      <c r="K310" s="69"/>
      <c r="L310" s="70">
        <f>M120+M275+M309</f>
        <v>625507.47</v>
      </c>
      <c r="M310" s="70">
        <f>ROUND(L310,2)</f>
        <v>625507.47</v>
      </c>
    </row>
    <row r="311" spans="1:13" ht="15.4" customHeight="1" thickBot="1" x14ac:dyDescent="0.25">
      <c r="A311" s="71" t="s">
        <v>757</v>
      </c>
      <c r="B311" s="71" t="s">
        <v>758</v>
      </c>
      <c r="C311" s="72"/>
      <c r="D311" s="87" t="s">
        <v>759</v>
      </c>
      <c r="E311" s="87"/>
      <c r="F311" s="87"/>
      <c r="G311" s="87"/>
      <c r="H311" s="87"/>
      <c r="I311" s="87"/>
      <c r="J311" s="87"/>
      <c r="K311" s="72"/>
      <c r="L311" s="73">
        <f>L468</f>
        <v>653305.27</v>
      </c>
      <c r="M311" s="73">
        <f>ROUND(L311,2)</f>
        <v>653305.27</v>
      </c>
    </row>
    <row r="312" spans="1:13" ht="15.4" customHeight="1" thickBot="1" x14ac:dyDescent="0.25">
      <c r="A312" s="17" t="s">
        <v>760</v>
      </c>
      <c r="B312" s="17" t="s">
        <v>761</v>
      </c>
      <c r="C312" s="18"/>
      <c r="D312" s="80" t="s">
        <v>762</v>
      </c>
      <c r="E312" s="80"/>
      <c r="F312" s="80"/>
      <c r="G312" s="80"/>
      <c r="H312" s="80"/>
      <c r="I312" s="80"/>
      <c r="J312" s="80"/>
      <c r="K312" s="18"/>
      <c r="L312" s="19">
        <f>L419</f>
        <v>525068.66</v>
      </c>
      <c r="M312" s="19">
        <f>ROUND(L312,2)</f>
        <v>525068.66</v>
      </c>
    </row>
    <row r="313" spans="1:13" ht="15.4" customHeight="1" thickBot="1" x14ac:dyDescent="0.25">
      <c r="A313" s="20" t="s">
        <v>763</v>
      </c>
      <c r="B313" s="20" t="s">
        <v>764</v>
      </c>
      <c r="C313" s="21"/>
      <c r="D313" s="81" t="s">
        <v>765</v>
      </c>
      <c r="E313" s="81"/>
      <c r="F313" s="81"/>
      <c r="G313" s="81"/>
      <c r="H313" s="81"/>
      <c r="I313" s="81"/>
      <c r="J313" s="81"/>
      <c r="K313" s="21"/>
      <c r="L313" s="22">
        <f>L404</f>
        <v>376095.88</v>
      </c>
      <c r="M313" s="22">
        <f>ROUND(L313,2)</f>
        <v>376095.88</v>
      </c>
    </row>
    <row r="314" spans="1:13" ht="15.4" customHeight="1" thickBot="1" x14ac:dyDescent="0.25">
      <c r="A314" s="10" t="s">
        <v>766</v>
      </c>
      <c r="B314" s="5" t="s">
        <v>767</v>
      </c>
      <c r="C314" s="5" t="s">
        <v>768</v>
      </c>
      <c r="D314" s="82" t="s">
        <v>769</v>
      </c>
      <c r="E314" s="82"/>
      <c r="F314" s="82"/>
      <c r="G314" s="82"/>
      <c r="H314" s="82"/>
      <c r="I314" s="82"/>
      <c r="J314" s="82"/>
      <c r="K314" s="23">
        <f>SUM(K317:K318)</f>
        <v>3580.4</v>
      </c>
      <c r="L314" s="24">
        <f>ROUND(9.44*(1+M2/100),2)</f>
        <v>10.01</v>
      </c>
      <c r="M314" s="24">
        <f>ROUND(K314*L314,2)</f>
        <v>35839.800000000003</v>
      </c>
    </row>
    <row r="315" spans="1:13" ht="67.5" customHeight="1" thickBot="1" x14ac:dyDescent="0.25">
      <c r="A315" s="25"/>
      <c r="B315" s="25"/>
      <c r="C315" s="25"/>
      <c r="D315" s="82" t="s">
        <v>770</v>
      </c>
      <c r="E315" s="82"/>
      <c r="F315" s="82"/>
      <c r="G315" s="82"/>
      <c r="H315" s="82"/>
      <c r="I315" s="82"/>
      <c r="J315" s="82"/>
      <c r="K315" s="82"/>
      <c r="L315" s="82"/>
      <c r="M315" s="82"/>
    </row>
    <row r="316" spans="1:13" ht="15.2" customHeight="1" thickBot="1" x14ac:dyDescent="0.25">
      <c r="A316" s="25"/>
      <c r="B316" s="25"/>
      <c r="C316" s="25"/>
      <c r="D316" s="25"/>
      <c r="E316" s="26"/>
      <c r="F316" s="28" t="s">
        <v>771</v>
      </c>
      <c r="G316" s="28" t="s">
        <v>772</v>
      </c>
      <c r="H316" s="28" t="s">
        <v>773</v>
      </c>
      <c r="I316" s="28" t="s">
        <v>774</v>
      </c>
      <c r="J316" s="28" t="s">
        <v>775</v>
      </c>
      <c r="K316" s="28" t="s">
        <v>776</v>
      </c>
      <c r="L316" s="25"/>
      <c r="M316" s="25"/>
    </row>
    <row r="317" spans="1:13" ht="15.2" customHeight="1" thickBot="1" x14ac:dyDescent="0.25">
      <c r="A317" s="25"/>
      <c r="B317" s="25"/>
      <c r="C317" s="25"/>
      <c r="D317" s="29"/>
      <c r="E317" s="30" t="s">
        <v>777</v>
      </c>
      <c r="F317" s="31"/>
      <c r="G317" s="32">
        <v>6451</v>
      </c>
      <c r="H317" s="32">
        <v>0.4</v>
      </c>
      <c r="I317" s="32">
        <v>1</v>
      </c>
      <c r="J317" s="34">
        <f>ROUND(G317*H317*I317,3)</f>
        <v>2580.4</v>
      </c>
      <c r="K317" s="35"/>
      <c r="L317" s="25"/>
      <c r="M317" s="25"/>
    </row>
    <row r="318" spans="1:13" ht="15.2" customHeight="1" thickBot="1" x14ac:dyDescent="0.25">
      <c r="A318" s="25"/>
      <c r="B318" s="25"/>
      <c r="C318" s="25"/>
      <c r="D318" s="29"/>
      <c r="E318" s="5" t="s">
        <v>778</v>
      </c>
      <c r="F318" s="3"/>
      <c r="G318" s="23">
        <v>2500</v>
      </c>
      <c r="H318" s="23">
        <v>0.4</v>
      </c>
      <c r="I318" s="23">
        <v>1</v>
      </c>
      <c r="J318" s="33">
        <f>ROUND(G318*H318*I318,3)</f>
        <v>1000</v>
      </c>
      <c r="K318" s="36">
        <f>SUM(J317:J318)</f>
        <v>3580.4</v>
      </c>
      <c r="L318" s="25"/>
      <c r="M318" s="25"/>
    </row>
    <row r="319" spans="1:13" ht="15.4" customHeight="1" thickBot="1" x14ac:dyDescent="0.25">
      <c r="A319" s="10" t="s">
        <v>779</v>
      </c>
      <c r="B319" s="5" t="s">
        <v>780</v>
      </c>
      <c r="C319" s="5" t="s">
        <v>781</v>
      </c>
      <c r="D319" s="82" t="s">
        <v>782</v>
      </c>
      <c r="E319" s="82"/>
      <c r="F319" s="82"/>
      <c r="G319" s="82"/>
      <c r="H319" s="82"/>
      <c r="I319" s="82"/>
      <c r="J319" s="82"/>
      <c r="K319" s="23">
        <f>SUM(K322:K322)</f>
        <v>1</v>
      </c>
      <c r="L319" s="24">
        <f>ROUND(2830.18*(1+M2/100),2)</f>
        <v>2999.99</v>
      </c>
      <c r="M319" s="24">
        <f>ROUND(K319*L319,2)</f>
        <v>2999.99</v>
      </c>
    </row>
    <row r="320" spans="1:13" ht="12.2" customHeight="1" thickBot="1" x14ac:dyDescent="0.25">
      <c r="A320" s="25"/>
      <c r="B320" s="25"/>
      <c r="C320" s="25"/>
      <c r="D320" s="82" t="s">
        <v>783</v>
      </c>
      <c r="E320" s="82"/>
      <c r="F320" s="82"/>
      <c r="G320" s="82"/>
      <c r="H320" s="82"/>
      <c r="I320" s="82"/>
      <c r="J320" s="82"/>
      <c r="K320" s="82"/>
      <c r="L320" s="82"/>
      <c r="M320" s="82"/>
    </row>
    <row r="321" spans="1:13" ht="15.2" customHeight="1" thickBot="1" x14ac:dyDescent="0.25">
      <c r="A321" s="25"/>
      <c r="B321" s="25"/>
      <c r="C321" s="25"/>
      <c r="D321" s="25"/>
      <c r="E321" s="26"/>
      <c r="F321" s="28" t="s">
        <v>784</v>
      </c>
      <c r="G321" s="28" t="s">
        <v>785</v>
      </c>
      <c r="H321" s="28" t="s">
        <v>786</v>
      </c>
      <c r="I321" s="28" t="s">
        <v>787</v>
      </c>
      <c r="J321" s="28" t="s">
        <v>788</v>
      </c>
      <c r="K321" s="28" t="s">
        <v>789</v>
      </c>
      <c r="L321" s="25"/>
      <c r="M321" s="25"/>
    </row>
    <row r="322" spans="1:13" ht="15.2" customHeight="1" thickBot="1" x14ac:dyDescent="0.25">
      <c r="A322" s="25"/>
      <c r="B322" s="25"/>
      <c r="C322" s="25"/>
      <c r="D322" s="29"/>
      <c r="E322" s="30"/>
      <c r="F322" s="31">
        <v>1</v>
      </c>
      <c r="G322" s="32"/>
      <c r="H322" s="32"/>
      <c r="I322" s="32"/>
      <c r="J322" s="34">
        <f>ROUND(F322,3)</f>
        <v>1</v>
      </c>
      <c r="K322" s="37">
        <f>SUM(J322:J322)</f>
        <v>1</v>
      </c>
      <c r="L322" s="25"/>
      <c r="M322" s="25"/>
    </row>
    <row r="323" spans="1:13" ht="15.4" customHeight="1" thickBot="1" x14ac:dyDescent="0.25">
      <c r="A323" s="10" t="s">
        <v>790</v>
      </c>
      <c r="B323" s="5" t="s">
        <v>791</v>
      </c>
      <c r="C323" s="5" t="s">
        <v>792</v>
      </c>
      <c r="D323" s="82" t="s">
        <v>793</v>
      </c>
      <c r="E323" s="82"/>
      <c r="F323" s="82"/>
      <c r="G323" s="82"/>
      <c r="H323" s="82"/>
      <c r="I323" s="82"/>
      <c r="J323" s="82"/>
      <c r="K323" s="23">
        <f>SUM(K326:K326)</f>
        <v>25</v>
      </c>
      <c r="L323" s="24">
        <f>ROUND(424.52*(1+M2/100),2)</f>
        <v>449.99</v>
      </c>
      <c r="M323" s="24">
        <f>ROUND(K323*L323,2)</f>
        <v>11249.75</v>
      </c>
    </row>
    <row r="324" spans="1:13" ht="12.2" customHeight="1" thickBot="1" x14ac:dyDescent="0.25">
      <c r="A324" s="25"/>
      <c r="B324" s="25"/>
      <c r="C324" s="25"/>
      <c r="D324" s="82" t="s">
        <v>794</v>
      </c>
      <c r="E324" s="82"/>
      <c r="F324" s="82"/>
      <c r="G324" s="82"/>
      <c r="H324" s="82"/>
      <c r="I324" s="82"/>
      <c r="J324" s="82"/>
      <c r="K324" s="82"/>
      <c r="L324" s="82"/>
      <c r="M324" s="82"/>
    </row>
    <row r="325" spans="1:13" ht="15.2" customHeight="1" thickBot="1" x14ac:dyDescent="0.25">
      <c r="A325" s="25"/>
      <c r="B325" s="25"/>
      <c r="C325" s="25"/>
      <c r="D325" s="25"/>
      <c r="E325" s="26"/>
      <c r="F325" s="28" t="s">
        <v>795</v>
      </c>
      <c r="G325" s="28" t="s">
        <v>796</v>
      </c>
      <c r="H325" s="28" t="s">
        <v>797</v>
      </c>
      <c r="I325" s="28" t="s">
        <v>798</v>
      </c>
      <c r="J325" s="28" t="s">
        <v>799</v>
      </c>
      <c r="K325" s="28" t="s">
        <v>800</v>
      </c>
      <c r="L325" s="25"/>
      <c r="M325" s="25"/>
    </row>
    <row r="326" spans="1:13" ht="15.2" customHeight="1" thickBot="1" x14ac:dyDescent="0.25">
      <c r="A326" s="25"/>
      <c r="B326" s="25"/>
      <c r="C326" s="25"/>
      <c r="D326" s="29"/>
      <c r="E326" s="30"/>
      <c r="F326" s="31">
        <v>25</v>
      </c>
      <c r="G326" s="32"/>
      <c r="H326" s="32"/>
      <c r="I326" s="32"/>
      <c r="J326" s="34">
        <f>ROUND(F326,3)</f>
        <v>25</v>
      </c>
      <c r="K326" s="37">
        <f>SUM(J326:J326)</f>
        <v>25</v>
      </c>
      <c r="L326" s="25"/>
      <c r="M326" s="25"/>
    </row>
    <row r="327" spans="1:13" ht="15.4" customHeight="1" thickBot="1" x14ac:dyDescent="0.25">
      <c r="A327" s="10" t="s">
        <v>801</v>
      </c>
      <c r="B327" s="5" t="s">
        <v>802</v>
      </c>
      <c r="C327" s="5" t="s">
        <v>803</v>
      </c>
      <c r="D327" s="82" t="s">
        <v>804</v>
      </c>
      <c r="E327" s="82"/>
      <c r="F327" s="82"/>
      <c r="G327" s="82"/>
      <c r="H327" s="82"/>
      <c r="I327" s="82"/>
      <c r="J327" s="82"/>
      <c r="K327" s="23">
        <f>SUM(K330:K330)</f>
        <v>10</v>
      </c>
      <c r="L327" s="24">
        <f>ROUND(1882.08*(1+M2/100),2)</f>
        <v>1995</v>
      </c>
      <c r="M327" s="24">
        <f>ROUND(K327*L327,2)</f>
        <v>19950</v>
      </c>
    </row>
    <row r="328" spans="1:13" ht="12.2" customHeight="1" thickBot="1" x14ac:dyDescent="0.25">
      <c r="A328" s="25"/>
      <c r="B328" s="25"/>
      <c r="C328" s="25"/>
      <c r="D328" s="82" t="s">
        <v>805</v>
      </c>
      <c r="E328" s="82"/>
      <c r="F328" s="82"/>
      <c r="G328" s="82"/>
      <c r="H328" s="82"/>
      <c r="I328" s="82"/>
      <c r="J328" s="82"/>
      <c r="K328" s="82"/>
      <c r="L328" s="82"/>
      <c r="M328" s="82"/>
    </row>
    <row r="329" spans="1:13" ht="15.2" customHeight="1" thickBot="1" x14ac:dyDescent="0.25">
      <c r="A329" s="25"/>
      <c r="B329" s="25"/>
      <c r="C329" s="25"/>
      <c r="D329" s="25"/>
      <c r="E329" s="26"/>
      <c r="F329" s="28" t="s">
        <v>806</v>
      </c>
      <c r="G329" s="28" t="s">
        <v>807</v>
      </c>
      <c r="H329" s="28" t="s">
        <v>808</v>
      </c>
      <c r="I329" s="28" t="s">
        <v>809</v>
      </c>
      <c r="J329" s="28" t="s">
        <v>810</v>
      </c>
      <c r="K329" s="28" t="s">
        <v>811</v>
      </c>
      <c r="L329" s="25"/>
      <c r="M329" s="25"/>
    </row>
    <row r="330" spans="1:13" ht="15.2" customHeight="1" thickBot="1" x14ac:dyDescent="0.25">
      <c r="A330" s="25"/>
      <c r="B330" s="25"/>
      <c r="C330" s="25"/>
      <c r="D330" s="29"/>
      <c r="E330" s="30"/>
      <c r="F330" s="31">
        <v>10</v>
      </c>
      <c r="G330" s="32"/>
      <c r="H330" s="32"/>
      <c r="I330" s="32"/>
      <c r="J330" s="34">
        <f>ROUND(F330,3)</f>
        <v>10</v>
      </c>
      <c r="K330" s="37">
        <f>SUM(J330:J330)</f>
        <v>10</v>
      </c>
      <c r="L330" s="25"/>
      <c r="M330" s="25"/>
    </row>
    <row r="331" spans="1:13" ht="15.4" customHeight="1" thickBot="1" x14ac:dyDescent="0.25">
      <c r="A331" s="10" t="s">
        <v>812</v>
      </c>
      <c r="B331" s="5" t="s">
        <v>813</v>
      </c>
      <c r="C331" s="5" t="s">
        <v>814</v>
      </c>
      <c r="D331" s="82" t="s">
        <v>815</v>
      </c>
      <c r="E331" s="82"/>
      <c r="F331" s="82"/>
      <c r="G331" s="82"/>
      <c r="H331" s="82"/>
      <c r="I331" s="82"/>
      <c r="J331" s="82"/>
      <c r="K331" s="23">
        <f>SUM(K334:K337)</f>
        <v>659.6</v>
      </c>
      <c r="L331" s="24">
        <f>ROUND(18.87*(1+M2/100),2)</f>
        <v>20</v>
      </c>
      <c r="M331" s="24">
        <f>ROUND(K331*L331,2)</f>
        <v>13192</v>
      </c>
    </row>
    <row r="332" spans="1:13" ht="30.6" customHeight="1" thickBot="1" x14ac:dyDescent="0.25">
      <c r="A332" s="25"/>
      <c r="B332" s="25"/>
      <c r="C332" s="25"/>
      <c r="D332" s="82" t="s">
        <v>816</v>
      </c>
      <c r="E332" s="82"/>
      <c r="F332" s="82"/>
      <c r="G332" s="82"/>
      <c r="H332" s="82"/>
      <c r="I332" s="82"/>
      <c r="J332" s="82"/>
      <c r="K332" s="82"/>
      <c r="L332" s="82"/>
      <c r="M332" s="82"/>
    </row>
    <row r="333" spans="1:13" ht="15.2" customHeight="1" thickBot="1" x14ac:dyDescent="0.25">
      <c r="A333" s="25"/>
      <c r="B333" s="25"/>
      <c r="C333" s="25"/>
      <c r="D333" s="25"/>
      <c r="E333" s="26"/>
      <c r="F333" s="28" t="s">
        <v>817</v>
      </c>
      <c r="G333" s="28" t="s">
        <v>818</v>
      </c>
      <c r="H333" s="28" t="s">
        <v>819</v>
      </c>
      <c r="I333" s="28" t="s">
        <v>820</v>
      </c>
      <c r="J333" s="28" t="s">
        <v>821</v>
      </c>
      <c r="K333" s="28" t="s">
        <v>822</v>
      </c>
      <c r="L333" s="25"/>
      <c r="M333" s="25"/>
    </row>
    <row r="334" spans="1:13" ht="39.75" customHeight="1" thickBot="1" x14ac:dyDescent="0.25">
      <c r="A334" s="25"/>
      <c r="B334" s="25"/>
      <c r="C334" s="25"/>
      <c r="D334" s="29"/>
      <c r="E334" s="30" t="s">
        <v>823</v>
      </c>
      <c r="F334" s="31"/>
      <c r="G334" s="32">
        <v>1257</v>
      </c>
      <c r="H334" s="32">
        <v>0.4</v>
      </c>
      <c r="I334" s="32">
        <v>1</v>
      </c>
      <c r="J334" s="34">
        <f>ROUND(G334*H334*I334,3)</f>
        <v>502.8</v>
      </c>
      <c r="K334" s="35"/>
      <c r="L334" s="25"/>
      <c r="M334" s="25"/>
    </row>
    <row r="335" spans="1:13" ht="39.75" customHeight="1" thickBot="1" x14ac:dyDescent="0.25">
      <c r="A335" s="25"/>
      <c r="B335" s="25"/>
      <c r="C335" s="25"/>
      <c r="D335" s="29"/>
      <c r="E335" s="5" t="s">
        <v>824</v>
      </c>
      <c r="F335" s="3"/>
      <c r="G335" s="23">
        <v>122</v>
      </c>
      <c r="H335" s="23">
        <v>0.4</v>
      </c>
      <c r="I335" s="23">
        <v>1</v>
      </c>
      <c r="J335" s="33">
        <f>ROUND(G335*H335*I335,3)</f>
        <v>48.8</v>
      </c>
      <c r="K335" s="25"/>
      <c r="L335" s="25"/>
      <c r="M335" s="25"/>
    </row>
    <row r="336" spans="1:13" ht="49.15" customHeight="1" thickBot="1" x14ac:dyDescent="0.25">
      <c r="A336" s="25"/>
      <c r="B336" s="25"/>
      <c r="C336" s="25"/>
      <c r="D336" s="29"/>
      <c r="E336" s="5" t="s">
        <v>825</v>
      </c>
      <c r="F336" s="3"/>
      <c r="G336" s="23">
        <v>222</v>
      </c>
      <c r="H336" s="23">
        <v>0.4</v>
      </c>
      <c r="I336" s="23">
        <v>1</v>
      </c>
      <c r="J336" s="33">
        <f>ROUND(G336*H336*I336,3)</f>
        <v>88.8</v>
      </c>
      <c r="K336" s="25"/>
      <c r="L336" s="25"/>
      <c r="M336" s="25"/>
    </row>
    <row r="337" spans="1:13" ht="39.75" customHeight="1" thickBot="1" x14ac:dyDescent="0.25">
      <c r="A337" s="25"/>
      <c r="B337" s="25"/>
      <c r="C337" s="25"/>
      <c r="D337" s="29"/>
      <c r="E337" s="5" t="s">
        <v>826</v>
      </c>
      <c r="F337" s="3"/>
      <c r="G337" s="23">
        <v>48</v>
      </c>
      <c r="H337" s="23">
        <v>0.4</v>
      </c>
      <c r="I337" s="23">
        <v>1</v>
      </c>
      <c r="J337" s="33">
        <f>ROUND(G337*H337*I337,3)</f>
        <v>19.2</v>
      </c>
      <c r="K337" s="36">
        <f>SUM(J334:J337)</f>
        <v>659.6</v>
      </c>
      <c r="L337" s="25"/>
      <c r="M337" s="25"/>
    </row>
    <row r="338" spans="1:13" ht="15.4" customHeight="1" thickBot="1" x14ac:dyDescent="0.25">
      <c r="A338" s="10" t="s">
        <v>827</v>
      </c>
      <c r="B338" s="5" t="s">
        <v>828</v>
      </c>
      <c r="C338" s="5" t="s">
        <v>829</v>
      </c>
      <c r="D338" s="82" t="s">
        <v>830</v>
      </c>
      <c r="E338" s="82"/>
      <c r="F338" s="82"/>
      <c r="G338" s="82"/>
      <c r="H338" s="82"/>
      <c r="I338" s="82"/>
      <c r="J338" s="82"/>
      <c r="K338" s="23">
        <f>SUM(K341:K346)</f>
        <v>2544</v>
      </c>
      <c r="L338" s="24">
        <f>ROUND(9.42*(1+M2/100),2)</f>
        <v>9.99</v>
      </c>
      <c r="M338" s="24">
        <f>ROUND(K338*L338,2)</f>
        <v>25414.560000000001</v>
      </c>
    </row>
    <row r="339" spans="1:13" ht="86.1" customHeight="1" thickBot="1" x14ac:dyDescent="0.25">
      <c r="A339" s="25"/>
      <c r="B339" s="25"/>
      <c r="C339" s="25"/>
      <c r="D339" s="82" t="s">
        <v>831</v>
      </c>
      <c r="E339" s="82"/>
      <c r="F339" s="82"/>
      <c r="G339" s="82"/>
      <c r="H339" s="82"/>
      <c r="I339" s="82"/>
      <c r="J339" s="82"/>
      <c r="K339" s="82"/>
      <c r="L339" s="82"/>
      <c r="M339" s="82"/>
    </row>
    <row r="340" spans="1:13" ht="15.2" customHeight="1" thickBot="1" x14ac:dyDescent="0.25">
      <c r="A340" s="25"/>
      <c r="B340" s="25"/>
      <c r="C340" s="25"/>
      <c r="D340" s="25"/>
      <c r="E340" s="26"/>
      <c r="F340" s="28" t="s">
        <v>832</v>
      </c>
      <c r="G340" s="28" t="s">
        <v>833</v>
      </c>
      <c r="H340" s="28" t="s">
        <v>834</v>
      </c>
      <c r="I340" s="28" t="s">
        <v>835</v>
      </c>
      <c r="J340" s="28" t="s">
        <v>836</v>
      </c>
      <c r="K340" s="28" t="s">
        <v>837</v>
      </c>
      <c r="L340" s="25"/>
      <c r="M340" s="25"/>
    </row>
    <row r="341" spans="1:13" ht="15.2" customHeight="1" thickBot="1" x14ac:dyDescent="0.25">
      <c r="A341" s="25"/>
      <c r="B341" s="25"/>
      <c r="C341" s="25"/>
      <c r="D341" s="29"/>
      <c r="E341" s="30" t="s">
        <v>838</v>
      </c>
      <c r="F341" s="31"/>
      <c r="G341" s="32">
        <v>6451</v>
      </c>
      <c r="H341" s="32">
        <v>0.4</v>
      </c>
      <c r="I341" s="32">
        <v>0.6</v>
      </c>
      <c r="J341" s="34">
        <f t="shared" ref="J341:J346" si="0">ROUND(G341*H341*I341,3)</f>
        <v>1548.24</v>
      </c>
      <c r="K341" s="35"/>
      <c r="L341" s="25"/>
      <c r="M341" s="25"/>
    </row>
    <row r="342" spans="1:13" ht="39.75" customHeight="1" thickBot="1" x14ac:dyDescent="0.25">
      <c r="A342" s="25"/>
      <c r="B342" s="25"/>
      <c r="C342" s="25"/>
      <c r="D342" s="29"/>
      <c r="E342" s="5" t="s">
        <v>839</v>
      </c>
      <c r="F342" s="3"/>
      <c r="G342" s="23">
        <v>1257</v>
      </c>
      <c r="H342" s="23">
        <v>0.4</v>
      </c>
      <c r="I342" s="23">
        <v>0.6</v>
      </c>
      <c r="J342" s="33">
        <f t="shared" si="0"/>
        <v>301.68</v>
      </c>
      <c r="K342" s="25"/>
      <c r="L342" s="25"/>
      <c r="M342" s="25"/>
    </row>
    <row r="343" spans="1:13" ht="39.75" customHeight="1" thickBot="1" x14ac:dyDescent="0.25">
      <c r="A343" s="25"/>
      <c r="B343" s="25"/>
      <c r="C343" s="25"/>
      <c r="D343" s="29"/>
      <c r="E343" s="5" t="s">
        <v>840</v>
      </c>
      <c r="F343" s="3"/>
      <c r="G343" s="23">
        <v>122</v>
      </c>
      <c r="H343" s="23">
        <v>0.4</v>
      </c>
      <c r="I343" s="23">
        <v>0.6</v>
      </c>
      <c r="J343" s="33">
        <f t="shared" si="0"/>
        <v>29.28</v>
      </c>
      <c r="K343" s="25"/>
      <c r="L343" s="25"/>
      <c r="M343" s="25"/>
    </row>
    <row r="344" spans="1:13" ht="49.15" customHeight="1" thickBot="1" x14ac:dyDescent="0.25">
      <c r="A344" s="25"/>
      <c r="B344" s="25"/>
      <c r="C344" s="25"/>
      <c r="D344" s="29"/>
      <c r="E344" s="5" t="s">
        <v>841</v>
      </c>
      <c r="F344" s="3"/>
      <c r="G344" s="23">
        <v>222</v>
      </c>
      <c r="H344" s="23">
        <v>0.4</v>
      </c>
      <c r="I344" s="23">
        <v>0.6</v>
      </c>
      <c r="J344" s="33">
        <f t="shared" si="0"/>
        <v>53.28</v>
      </c>
      <c r="K344" s="25"/>
      <c r="L344" s="25"/>
      <c r="M344" s="25"/>
    </row>
    <row r="345" spans="1:13" ht="39.75" customHeight="1" thickBot="1" x14ac:dyDescent="0.25">
      <c r="A345" s="25"/>
      <c r="B345" s="25"/>
      <c r="C345" s="25"/>
      <c r="D345" s="29"/>
      <c r="E345" s="5" t="s">
        <v>842</v>
      </c>
      <c r="F345" s="3"/>
      <c r="G345" s="23">
        <v>48</v>
      </c>
      <c r="H345" s="23">
        <v>0.4</v>
      </c>
      <c r="I345" s="23">
        <v>0.6</v>
      </c>
      <c r="J345" s="33">
        <f t="shared" si="0"/>
        <v>11.52</v>
      </c>
      <c r="K345" s="25"/>
      <c r="L345" s="25"/>
      <c r="M345" s="25"/>
    </row>
    <row r="346" spans="1:13" ht="15.2" customHeight="1" thickBot="1" x14ac:dyDescent="0.25">
      <c r="A346" s="25"/>
      <c r="B346" s="25"/>
      <c r="C346" s="25"/>
      <c r="D346" s="29"/>
      <c r="E346" s="5"/>
      <c r="F346" s="3"/>
      <c r="G346" s="23">
        <v>2500</v>
      </c>
      <c r="H346" s="23">
        <v>0.4</v>
      </c>
      <c r="I346" s="23">
        <v>0.6</v>
      </c>
      <c r="J346" s="33">
        <f t="shared" si="0"/>
        <v>600</v>
      </c>
      <c r="K346" s="36">
        <f>SUM(J341:J346)</f>
        <v>2544</v>
      </c>
      <c r="L346" s="25"/>
      <c r="M346" s="25"/>
    </row>
    <row r="347" spans="1:13" ht="15.4" customHeight="1" thickBot="1" x14ac:dyDescent="0.25">
      <c r="A347" s="10" t="s">
        <v>843</v>
      </c>
      <c r="B347" s="5" t="s">
        <v>844</v>
      </c>
      <c r="C347" s="5" t="s">
        <v>845</v>
      </c>
      <c r="D347" s="82" t="s">
        <v>846</v>
      </c>
      <c r="E347" s="82"/>
      <c r="F347" s="82"/>
      <c r="G347" s="82"/>
      <c r="H347" s="82"/>
      <c r="I347" s="82"/>
      <c r="J347" s="82"/>
      <c r="K347" s="23">
        <f>SUM(K350:K356)</f>
        <v>1221.1199999999999</v>
      </c>
      <c r="L347" s="24">
        <f>ROUND(64.15*(1+M2/100),2)</f>
        <v>68</v>
      </c>
      <c r="M347" s="24">
        <f>ROUND(K347*L347,2)</f>
        <v>83036.160000000003</v>
      </c>
    </row>
    <row r="348" spans="1:13" ht="67.5" customHeight="1" thickBot="1" x14ac:dyDescent="0.25">
      <c r="A348" s="25"/>
      <c r="B348" s="25"/>
      <c r="C348" s="25"/>
      <c r="D348" s="82" t="s">
        <v>847</v>
      </c>
      <c r="E348" s="82"/>
      <c r="F348" s="82"/>
      <c r="G348" s="82"/>
      <c r="H348" s="82"/>
      <c r="I348" s="82"/>
      <c r="J348" s="82"/>
      <c r="K348" s="82"/>
      <c r="L348" s="82"/>
      <c r="M348" s="82"/>
    </row>
    <row r="349" spans="1:13" ht="15.2" customHeight="1" thickBot="1" x14ac:dyDescent="0.25">
      <c r="A349" s="25"/>
      <c r="B349" s="25"/>
      <c r="C349" s="25"/>
      <c r="D349" s="25"/>
      <c r="E349" s="26"/>
      <c r="F349" s="28" t="s">
        <v>848</v>
      </c>
      <c r="G349" s="28" t="s">
        <v>849</v>
      </c>
      <c r="H349" s="28" t="s">
        <v>850</v>
      </c>
      <c r="I349" s="28" t="s">
        <v>851</v>
      </c>
      <c r="J349" s="28" t="s">
        <v>852</v>
      </c>
      <c r="K349" s="28" t="s">
        <v>853</v>
      </c>
      <c r="L349" s="25"/>
      <c r="M349" s="25"/>
    </row>
    <row r="350" spans="1:13" ht="15.2" customHeight="1" thickBot="1" x14ac:dyDescent="0.25">
      <c r="A350" s="25"/>
      <c r="B350" s="25"/>
      <c r="C350" s="25"/>
      <c r="D350" s="29"/>
      <c r="E350" s="30" t="s">
        <v>854</v>
      </c>
      <c r="F350" s="31">
        <v>2.4</v>
      </c>
      <c r="G350" s="32">
        <v>6451</v>
      </c>
      <c r="H350" s="32">
        <v>0.4</v>
      </c>
      <c r="I350" s="32">
        <v>0.12</v>
      </c>
      <c r="J350" s="34">
        <f t="shared" ref="J350:J355" si="1">ROUND(F350*G350*H350*I350,3)</f>
        <v>743.15499999999997</v>
      </c>
      <c r="K350" s="35"/>
      <c r="L350" s="25"/>
      <c r="M350" s="25"/>
    </row>
    <row r="351" spans="1:13" ht="39.75" customHeight="1" thickBot="1" x14ac:dyDescent="0.25">
      <c r="A351" s="25"/>
      <c r="B351" s="25"/>
      <c r="C351" s="25"/>
      <c r="D351" s="29"/>
      <c r="E351" s="5" t="s">
        <v>855</v>
      </c>
      <c r="F351" s="3">
        <v>2.4</v>
      </c>
      <c r="G351" s="23">
        <v>1257</v>
      </c>
      <c r="H351" s="23">
        <v>0.4</v>
      </c>
      <c r="I351" s="23">
        <v>0.12</v>
      </c>
      <c r="J351" s="33">
        <f t="shared" si="1"/>
        <v>144.80600000000001</v>
      </c>
      <c r="K351" s="25"/>
      <c r="L351" s="25"/>
      <c r="M351" s="25"/>
    </row>
    <row r="352" spans="1:13" ht="49.15" customHeight="1" thickBot="1" x14ac:dyDescent="0.25">
      <c r="A352" s="25"/>
      <c r="B352" s="25"/>
      <c r="C352" s="25"/>
      <c r="D352" s="29"/>
      <c r="E352" s="5" t="s">
        <v>856</v>
      </c>
      <c r="F352" s="3">
        <v>2.4</v>
      </c>
      <c r="G352" s="23">
        <v>122</v>
      </c>
      <c r="H352" s="23">
        <v>0.4</v>
      </c>
      <c r="I352" s="23">
        <v>0.12</v>
      </c>
      <c r="J352" s="33">
        <f t="shared" si="1"/>
        <v>14.054</v>
      </c>
      <c r="K352" s="25"/>
      <c r="L352" s="25"/>
      <c r="M352" s="25"/>
    </row>
    <row r="353" spans="1:13" ht="49.15" customHeight="1" thickBot="1" x14ac:dyDescent="0.25">
      <c r="A353" s="25"/>
      <c r="B353" s="25"/>
      <c r="C353" s="25"/>
      <c r="D353" s="29"/>
      <c r="E353" s="5" t="s">
        <v>857</v>
      </c>
      <c r="F353" s="3">
        <v>2.4</v>
      </c>
      <c r="G353" s="23">
        <v>222</v>
      </c>
      <c r="H353" s="23">
        <v>0.4</v>
      </c>
      <c r="I353" s="23">
        <v>0.12</v>
      </c>
      <c r="J353" s="33">
        <f t="shared" si="1"/>
        <v>25.574000000000002</v>
      </c>
      <c r="K353" s="25"/>
      <c r="L353" s="25"/>
      <c r="M353" s="25"/>
    </row>
    <row r="354" spans="1:13" ht="39.75" customHeight="1" thickBot="1" x14ac:dyDescent="0.25">
      <c r="A354" s="25"/>
      <c r="B354" s="25"/>
      <c r="C354" s="25"/>
      <c r="D354" s="29"/>
      <c r="E354" s="5" t="s">
        <v>858</v>
      </c>
      <c r="F354" s="3">
        <v>2.4</v>
      </c>
      <c r="G354" s="23">
        <v>48</v>
      </c>
      <c r="H354" s="23">
        <v>0.4</v>
      </c>
      <c r="I354" s="23">
        <v>0.12</v>
      </c>
      <c r="J354" s="33">
        <f t="shared" si="1"/>
        <v>5.53</v>
      </c>
      <c r="K354" s="25"/>
      <c r="L354" s="25"/>
      <c r="M354" s="25"/>
    </row>
    <row r="355" spans="1:13" ht="15.2" customHeight="1" thickBot="1" x14ac:dyDescent="0.25">
      <c r="A355" s="25"/>
      <c r="B355" s="25"/>
      <c r="C355" s="25"/>
      <c r="D355" s="29"/>
      <c r="E355" s="5"/>
      <c r="F355" s="3">
        <v>2.4</v>
      </c>
      <c r="G355" s="23">
        <v>2500</v>
      </c>
      <c r="H355" s="23">
        <v>0.4</v>
      </c>
      <c r="I355" s="23">
        <v>0.12</v>
      </c>
      <c r="J355" s="33">
        <f t="shared" si="1"/>
        <v>288</v>
      </c>
      <c r="K355" s="25"/>
      <c r="L355" s="25"/>
      <c r="M355" s="25"/>
    </row>
    <row r="356" spans="1:13" ht="15.2" customHeight="1" thickBot="1" x14ac:dyDescent="0.25">
      <c r="A356" s="25"/>
      <c r="B356" s="25"/>
      <c r="C356" s="25"/>
      <c r="D356" s="29"/>
      <c r="E356" s="5"/>
      <c r="F356" s="3"/>
      <c r="G356" s="23"/>
      <c r="H356" s="23"/>
      <c r="I356" s="23">
        <v>1E-3</v>
      </c>
      <c r="J356" s="33">
        <f>ROUND(I356,3)</f>
        <v>1E-3</v>
      </c>
      <c r="K356" s="36">
        <f>SUM(J350:J356)</f>
        <v>1221.1199999999999</v>
      </c>
      <c r="L356" s="25"/>
      <c r="M356" s="25"/>
    </row>
    <row r="357" spans="1:13" ht="15.4" customHeight="1" thickBot="1" x14ac:dyDescent="0.25">
      <c r="A357" s="10" t="s">
        <v>859</v>
      </c>
      <c r="B357" s="5" t="s">
        <v>860</v>
      </c>
      <c r="C357" s="5" t="s">
        <v>861</v>
      </c>
      <c r="D357" s="82" t="s">
        <v>862</v>
      </c>
      <c r="E357" s="82"/>
      <c r="F357" s="82"/>
      <c r="G357" s="82"/>
      <c r="H357" s="82"/>
      <c r="I357" s="82"/>
      <c r="J357" s="82"/>
      <c r="K357" s="23">
        <f>SUM(K360:K365)</f>
        <v>42400</v>
      </c>
      <c r="L357" s="24">
        <f>ROUND(0.65*(1+M2/100),2)</f>
        <v>0.69</v>
      </c>
      <c r="M357" s="24">
        <f>ROUND(K357*L357,2)</f>
        <v>29256</v>
      </c>
    </row>
    <row r="358" spans="1:13" ht="58.35" customHeight="1" thickBot="1" x14ac:dyDescent="0.25">
      <c r="A358" s="25"/>
      <c r="B358" s="25"/>
      <c r="C358" s="25"/>
      <c r="D358" s="82" t="s">
        <v>863</v>
      </c>
      <c r="E358" s="82"/>
      <c r="F358" s="82"/>
      <c r="G358" s="82"/>
      <c r="H358" s="82"/>
      <c r="I358" s="82"/>
      <c r="J358" s="82"/>
      <c r="K358" s="82"/>
      <c r="L358" s="82"/>
      <c r="M358" s="82"/>
    </row>
    <row r="359" spans="1:13" ht="15.2" customHeight="1" thickBot="1" x14ac:dyDescent="0.25">
      <c r="A359" s="25"/>
      <c r="B359" s="25"/>
      <c r="C359" s="25"/>
      <c r="D359" s="25"/>
      <c r="E359" s="26"/>
      <c r="F359" s="28" t="s">
        <v>864</v>
      </c>
      <c r="G359" s="28" t="s">
        <v>865</v>
      </c>
      <c r="H359" s="28" t="s">
        <v>866</v>
      </c>
      <c r="I359" s="28" t="s">
        <v>867</v>
      </c>
      <c r="J359" s="28" t="s">
        <v>868</v>
      </c>
      <c r="K359" s="28" t="s">
        <v>869</v>
      </c>
      <c r="L359" s="25"/>
      <c r="M359" s="25"/>
    </row>
    <row r="360" spans="1:13" ht="15.2" customHeight="1" thickBot="1" x14ac:dyDescent="0.25">
      <c r="A360" s="25"/>
      <c r="B360" s="25"/>
      <c r="C360" s="25"/>
      <c r="D360" s="29"/>
      <c r="E360" s="30" t="s">
        <v>870</v>
      </c>
      <c r="F360" s="31"/>
      <c r="G360" s="32">
        <v>6451</v>
      </c>
      <c r="H360" s="32">
        <v>0.4</v>
      </c>
      <c r="I360" s="32">
        <v>10</v>
      </c>
      <c r="J360" s="34">
        <f t="shared" ref="J360:J365" si="2">ROUND(G360*H360*I360,3)</f>
        <v>25804</v>
      </c>
      <c r="K360" s="35"/>
      <c r="L360" s="25"/>
      <c r="M360" s="25"/>
    </row>
    <row r="361" spans="1:13" ht="39.75" customHeight="1" thickBot="1" x14ac:dyDescent="0.25">
      <c r="A361" s="25"/>
      <c r="B361" s="25"/>
      <c r="C361" s="25"/>
      <c r="D361" s="29"/>
      <c r="E361" s="5" t="s">
        <v>871</v>
      </c>
      <c r="F361" s="3"/>
      <c r="G361" s="23">
        <v>1257</v>
      </c>
      <c r="H361" s="23">
        <v>0.4</v>
      </c>
      <c r="I361" s="23">
        <v>10</v>
      </c>
      <c r="J361" s="33">
        <f t="shared" si="2"/>
        <v>5028</v>
      </c>
      <c r="K361" s="25"/>
      <c r="L361" s="25"/>
      <c r="M361" s="25"/>
    </row>
    <row r="362" spans="1:13" ht="39.75" customHeight="1" thickBot="1" x14ac:dyDescent="0.25">
      <c r="A362" s="25"/>
      <c r="B362" s="25"/>
      <c r="C362" s="25"/>
      <c r="D362" s="29"/>
      <c r="E362" s="5" t="s">
        <v>872</v>
      </c>
      <c r="F362" s="3"/>
      <c r="G362" s="23">
        <v>122</v>
      </c>
      <c r="H362" s="23">
        <v>0.4</v>
      </c>
      <c r="I362" s="23">
        <v>10</v>
      </c>
      <c r="J362" s="33">
        <f t="shared" si="2"/>
        <v>488</v>
      </c>
      <c r="K362" s="25"/>
      <c r="L362" s="25"/>
      <c r="M362" s="25"/>
    </row>
    <row r="363" spans="1:13" ht="49.15" customHeight="1" thickBot="1" x14ac:dyDescent="0.25">
      <c r="A363" s="25"/>
      <c r="B363" s="25"/>
      <c r="C363" s="25"/>
      <c r="D363" s="29"/>
      <c r="E363" s="5" t="s">
        <v>873</v>
      </c>
      <c r="F363" s="3"/>
      <c r="G363" s="23">
        <v>222</v>
      </c>
      <c r="H363" s="23">
        <v>0.4</v>
      </c>
      <c r="I363" s="23">
        <v>10</v>
      </c>
      <c r="J363" s="33">
        <f t="shared" si="2"/>
        <v>888</v>
      </c>
      <c r="K363" s="25"/>
      <c r="L363" s="25"/>
      <c r="M363" s="25"/>
    </row>
    <row r="364" spans="1:13" ht="39.75" customHeight="1" thickBot="1" x14ac:dyDescent="0.25">
      <c r="A364" s="25"/>
      <c r="B364" s="25"/>
      <c r="C364" s="25"/>
      <c r="D364" s="29"/>
      <c r="E364" s="5" t="s">
        <v>874</v>
      </c>
      <c r="F364" s="3"/>
      <c r="G364" s="23">
        <v>48</v>
      </c>
      <c r="H364" s="23">
        <v>0.4</v>
      </c>
      <c r="I364" s="23">
        <v>10</v>
      </c>
      <c r="J364" s="33">
        <f t="shared" si="2"/>
        <v>192</v>
      </c>
      <c r="K364" s="25"/>
      <c r="L364" s="25"/>
      <c r="M364" s="25"/>
    </row>
    <row r="365" spans="1:13" ht="15.2" customHeight="1" thickBot="1" x14ac:dyDescent="0.25">
      <c r="A365" s="25"/>
      <c r="B365" s="25"/>
      <c r="C365" s="25"/>
      <c r="D365" s="29"/>
      <c r="E365" s="5"/>
      <c r="F365" s="3"/>
      <c r="G365" s="23">
        <v>2500</v>
      </c>
      <c r="H365" s="23">
        <v>0.4</v>
      </c>
      <c r="I365" s="23">
        <v>10</v>
      </c>
      <c r="J365" s="33">
        <f t="shared" si="2"/>
        <v>10000</v>
      </c>
      <c r="K365" s="36">
        <f>SUM(J360:J365)</f>
        <v>42400</v>
      </c>
      <c r="L365" s="25"/>
      <c r="M365" s="25"/>
    </row>
    <row r="366" spans="1:13" ht="15.4" customHeight="1" thickBot="1" x14ac:dyDescent="0.25">
      <c r="A366" s="10" t="s">
        <v>875</v>
      </c>
      <c r="B366" s="5" t="s">
        <v>876</v>
      </c>
      <c r="C366" s="5" t="s">
        <v>877</v>
      </c>
      <c r="D366" s="82" t="s">
        <v>878</v>
      </c>
      <c r="E366" s="82"/>
      <c r="F366" s="82"/>
      <c r="G366" s="82"/>
      <c r="H366" s="82"/>
      <c r="I366" s="82"/>
      <c r="J366" s="82"/>
      <c r="K366" s="23">
        <f>SUM(K369:K374)</f>
        <v>1060</v>
      </c>
      <c r="L366" s="24">
        <f>ROUND(33.5*(1+M2/100),2)</f>
        <v>35.51</v>
      </c>
      <c r="M366" s="24">
        <f>ROUND(K366*L366,2)</f>
        <v>37640.6</v>
      </c>
    </row>
    <row r="367" spans="1:13" ht="30.6" customHeight="1" thickBot="1" x14ac:dyDescent="0.25">
      <c r="A367" s="25"/>
      <c r="B367" s="25"/>
      <c r="C367" s="25"/>
      <c r="D367" s="82" t="s">
        <v>879</v>
      </c>
      <c r="E367" s="82"/>
      <c r="F367" s="82"/>
      <c r="G367" s="82"/>
      <c r="H367" s="82"/>
      <c r="I367" s="82"/>
      <c r="J367" s="82"/>
      <c r="K367" s="82"/>
      <c r="L367" s="82"/>
      <c r="M367" s="82"/>
    </row>
    <row r="368" spans="1:13" ht="15.2" customHeight="1" thickBot="1" x14ac:dyDescent="0.25">
      <c r="A368" s="25"/>
      <c r="B368" s="25"/>
      <c r="C368" s="25"/>
      <c r="D368" s="25"/>
      <c r="E368" s="26"/>
      <c r="F368" s="28" t="s">
        <v>880</v>
      </c>
      <c r="G368" s="28" t="s">
        <v>881</v>
      </c>
      <c r="H368" s="28" t="s">
        <v>882</v>
      </c>
      <c r="I368" s="28" t="s">
        <v>883</v>
      </c>
      <c r="J368" s="28" t="s">
        <v>884</v>
      </c>
      <c r="K368" s="28" t="s">
        <v>885</v>
      </c>
      <c r="L368" s="25"/>
      <c r="M368" s="25"/>
    </row>
    <row r="369" spans="1:13" ht="15.2" customHeight="1" thickBot="1" x14ac:dyDescent="0.25">
      <c r="A369" s="25"/>
      <c r="B369" s="25"/>
      <c r="C369" s="25"/>
      <c r="D369" s="29"/>
      <c r="E369" s="30" t="s">
        <v>886</v>
      </c>
      <c r="F369" s="31"/>
      <c r="G369" s="32">
        <v>6451</v>
      </c>
      <c r="H369" s="32">
        <v>0.4</v>
      </c>
      <c r="I369" s="32">
        <v>0.25</v>
      </c>
      <c r="J369" s="34">
        <f t="shared" ref="J369:J374" si="3">ROUND(G369*H369*I369,3)</f>
        <v>645.1</v>
      </c>
      <c r="K369" s="35"/>
      <c r="L369" s="25"/>
      <c r="M369" s="25"/>
    </row>
    <row r="370" spans="1:13" ht="39.75" customHeight="1" thickBot="1" x14ac:dyDescent="0.25">
      <c r="A370" s="25"/>
      <c r="B370" s="25"/>
      <c r="C370" s="25"/>
      <c r="D370" s="29"/>
      <c r="E370" s="5" t="s">
        <v>887</v>
      </c>
      <c r="F370" s="3"/>
      <c r="G370" s="23">
        <v>1257</v>
      </c>
      <c r="H370" s="23">
        <v>0.4</v>
      </c>
      <c r="I370" s="23">
        <v>0.25</v>
      </c>
      <c r="J370" s="33">
        <f t="shared" si="3"/>
        <v>125.7</v>
      </c>
      <c r="K370" s="25"/>
      <c r="L370" s="25"/>
      <c r="M370" s="25"/>
    </row>
    <row r="371" spans="1:13" ht="49.15" customHeight="1" thickBot="1" x14ac:dyDescent="0.25">
      <c r="A371" s="25"/>
      <c r="B371" s="25"/>
      <c r="C371" s="25"/>
      <c r="D371" s="29"/>
      <c r="E371" s="5" t="s">
        <v>888</v>
      </c>
      <c r="F371" s="3"/>
      <c r="G371" s="23">
        <v>122</v>
      </c>
      <c r="H371" s="23">
        <v>0.4</v>
      </c>
      <c r="I371" s="23">
        <v>0.25</v>
      </c>
      <c r="J371" s="33">
        <f t="shared" si="3"/>
        <v>12.2</v>
      </c>
      <c r="K371" s="25"/>
      <c r="L371" s="25"/>
      <c r="M371" s="25"/>
    </row>
    <row r="372" spans="1:13" ht="49.15" customHeight="1" thickBot="1" x14ac:dyDescent="0.25">
      <c r="A372" s="25"/>
      <c r="B372" s="25"/>
      <c r="C372" s="25"/>
      <c r="D372" s="29"/>
      <c r="E372" s="5" t="s">
        <v>889</v>
      </c>
      <c r="F372" s="3"/>
      <c r="G372" s="23">
        <v>222</v>
      </c>
      <c r="H372" s="23">
        <v>0.4</v>
      </c>
      <c r="I372" s="23">
        <v>0.25</v>
      </c>
      <c r="J372" s="33">
        <f t="shared" si="3"/>
        <v>22.2</v>
      </c>
      <c r="K372" s="25"/>
      <c r="L372" s="25"/>
      <c r="M372" s="25"/>
    </row>
    <row r="373" spans="1:13" ht="39.75" customHeight="1" thickBot="1" x14ac:dyDescent="0.25">
      <c r="A373" s="25"/>
      <c r="B373" s="25"/>
      <c r="C373" s="25"/>
      <c r="D373" s="29"/>
      <c r="E373" s="5" t="s">
        <v>890</v>
      </c>
      <c r="F373" s="3"/>
      <c r="G373" s="23">
        <v>48</v>
      </c>
      <c r="H373" s="23">
        <v>0.4</v>
      </c>
      <c r="I373" s="23">
        <v>0.25</v>
      </c>
      <c r="J373" s="33">
        <f t="shared" si="3"/>
        <v>4.8</v>
      </c>
      <c r="K373" s="25"/>
      <c r="L373" s="25"/>
      <c r="M373" s="25"/>
    </row>
    <row r="374" spans="1:13" ht="15.2" customHeight="1" thickBot="1" x14ac:dyDescent="0.25">
      <c r="A374" s="25"/>
      <c r="B374" s="25"/>
      <c r="C374" s="25"/>
      <c r="D374" s="29"/>
      <c r="E374" s="5"/>
      <c r="F374" s="3"/>
      <c r="G374" s="23">
        <v>2500</v>
      </c>
      <c r="H374" s="23">
        <v>0.4</v>
      </c>
      <c r="I374" s="23">
        <v>0.25</v>
      </c>
      <c r="J374" s="33">
        <f t="shared" si="3"/>
        <v>250</v>
      </c>
      <c r="K374" s="36">
        <f>SUM(J369:J374)</f>
        <v>1060</v>
      </c>
      <c r="L374" s="25"/>
      <c r="M374" s="25"/>
    </row>
    <row r="375" spans="1:13" ht="15.4" customHeight="1" thickBot="1" x14ac:dyDescent="0.25">
      <c r="A375" s="10" t="s">
        <v>891</v>
      </c>
      <c r="B375" s="5" t="s">
        <v>892</v>
      </c>
      <c r="C375" s="5" t="s">
        <v>893</v>
      </c>
      <c r="D375" s="82" t="s">
        <v>894</v>
      </c>
      <c r="E375" s="82"/>
      <c r="F375" s="82"/>
      <c r="G375" s="82"/>
      <c r="H375" s="82"/>
      <c r="I375" s="82"/>
      <c r="J375" s="82"/>
      <c r="K375" s="23">
        <f>SUM(K378:K383)</f>
        <v>8480</v>
      </c>
      <c r="L375" s="24">
        <f>ROUND(0.57*(1+M2/100),2)</f>
        <v>0.6</v>
      </c>
      <c r="M375" s="24">
        <f>ROUND(K375*L375,2)</f>
        <v>5088</v>
      </c>
    </row>
    <row r="376" spans="1:13" ht="12.2" customHeight="1" thickBot="1" x14ac:dyDescent="0.25">
      <c r="A376" s="25"/>
      <c r="B376" s="25"/>
      <c r="C376" s="25"/>
      <c r="D376" s="82" t="s">
        <v>895</v>
      </c>
      <c r="E376" s="82"/>
      <c r="F376" s="82"/>
      <c r="G376" s="82"/>
      <c r="H376" s="82"/>
      <c r="I376" s="82"/>
      <c r="J376" s="82"/>
      <c r="K376" s="82"/>
      <c r="L376" s="82"/>
      <c r="M376" s="82"/>
    </row>
    <row r="377" spans="1:13" ht="15.2" customHeight="1" thickBot="1" x14ac:dyDescent="0.25">
      <c r="A377" s="25"/>
      <c r="B377" s="25"/>
      <c r="C377" s="25"/>
      <c r="D377" s="25"/>
      <c r="E377" s="26"/>
      <c r="F377" s="28" t="s">
        <v>896</v>
      </c>
      <c r="G377" s="28" t="s">
        <v>897</v>
      </c>
      <c r="H377" s="28" t="s">
        <v>898</v>
      </c>
      <c r="I377" s="28" t="s">
        <v>899</v>
      </c>
      <c r="J377" s="28" t="s">
        <v>900</v>
      </c>
      <c r="K377" s="28" t="s">
        <v>901</v>
      </c>
      <c r="L377" s="25"/>
      <c r="M377" s="25"/>
    </row>
    <row r="378" spans="1:13" ht="15.2" customHeight="1" thickBot="1" x14ac:dyDescent="0.25">
      <c r="A378" s="25"/>
      <c r="B378" s="25"/>
      <c r="C378" s="25"/>
      <c r="D378" s="29"/>
      <c r="E378" s="30" t="s">
        <v>902</v>
      </c>
      <c r="F378" s="31">
        <v>2</v>
      </c>
      <c r="G378" s="32">
        <v>6451</v>
      </c>
      <c r="H378" s="32">
        <v>0.4</v>
      </c>
      <c r="I378" s="32"/>
      <c r="J378" s="34">
        <f t="shared" ref="J378:J383" si="4">ROUND(F378*G378*H378,3)</f>
        <v>5160.8</v>
      </c>
      <c r="K378" s="35"/>
      <c r="L378" s="25"/>
      <c r="M378" s="25"/>
    </row>
    <row r="379" spans="1:13" ht="39.75" customHeight="1" thickBot="1" x14ac:dyDescent="0.25">
      <c r="A379" s="25"/>
      <c r="B379" s="25"/>
      <c r="C379" s="25"/>
      <c r="D379" s="29"/>
      <c r="E379" s="5" t="s">
        <v>903</v>
      </c>
      <c r="F379" s="3">
        <v>2</v>
      </c>
      <c r="G379" s="23">
        <v>1257</v>
      </c>
      <c r="H379" s="23">
        <v>0.4</v>
      </c>
      <c r="I379" s="23"/>
      <c r="J379" s="33">
        <f t="shared" si="4"/>
        <v>1005.6</v>
      </c>
      <c r="K379" s="25"/>
      <c r="L379" s="25"/>
      <c r="M379" s="25"/>
    </row>
    <row r="380" spans="1:13" ht="49.15" customHeight="1" thickBot="1" x14ac:dyDescent="0.25">
      <c r="A380" s="25"/>
      <c r="B380" s="25"/>
      <c r="C380" s="25"/>
      <c r="D380" s="29"/>
      <c r="E380" s="5" t="s">
        <v>904</v>
      </c>
      <c r="F380" s="3">
        <v>2</v>
      </c>
      <c r="G380" s="23">
        <v>122</v>
      </c>
      <c r="H380" s="23">
        <v>0.4</v>
      </c>
      <c r="I380" s="23"/>
      <c r="J380" s="33">
        <f t="shared" si="4"/>
        <v>97.6</v>
      </c>
      <c r="K380" s="25"/>
      <c r="L380" s="25"/>
      <c r="M380" s="25"/>
    </row>
    <row r="381" spans="1:13" ht="49.15" customHeight="1" thickBot="1" x14ac:dyDescent="0.25">
      <c r="A381" s="25"/>
      <c r="B381" s="25"/>
      <c r="C381" s="25"/>
      <c r="D381" s="29"/>
      <c r="E381" s="5" t="s">
        <v>905</v>
      </c>
      <c r="F381" s="3">
        <v>2</v>
      </c>
      <c r="G381" s="23">
        <v>222</v>
      </c>
      <c r="H381" s="23">
        <v>0.4</v>
      </c>
      <c r="I381" s="23"/>
      <c r="J381" s="33">
        <f t="shared" si="4"/>
        <v>177.6</v>
      </c>
      <c r="K381" s="25"/>
      <c r="L381" s="25"/>
      <c r="M381" s="25"/>
    </row>
    <row r="382" spans="1:13" ht="39.75" customHeight="1" thickBot="1" x14ac:dyDescent="0.25">
      <c r="A382" s="25"/>
      <c r="B382" s="25"/>
      <c r="C382" s="25"/>
      <c r="D382" s="29"/>
      <c r="E382" s="5" t="s">
        <v>906</v>
      </c>
      <c r="F382" s="3">
        <v>2</v>
      </c>
      <c r="G382" s="23">
        <v>48</v>
      </c>
      <c r="H382" s="23">
        <v>0.4</v>
      </c>
      <c r="I382" s="23"/>
      <c r="J382" s="33">
        <f t="shared" si="4"/>
        <v>38.4</v>
      </c>
      <c r="K382" s="25"/>
      <c r="L382" s="25"/>
      <c r="M382" s="25"/>
    </row>
    <row r="383" spans="1:13" ht="15.2" customHeight="1" thickBot="1" x14ac:dyDescent="0.25">
      <c r="A383" s="25"/>
      <c r="B383" s="25"/>
      <c r="C383" s="25"/>
      <c r="D383" s="29"/>
      <c r="E383" s="5"/>
      <c r="F383" s="3">
        <v>2</v>
      </c>
      <c r="G383" s="23">
        <v>2500</v>
      </c>
      <c r="H383" s="23">
        <v>0.4</v>
      </c>
      <c r="I383" s="23"/>
      <c r="J383" s="33">
        <f t="shared" si="4"/>
        <v>2000</v>
      </c>
      <c r="K383" s="36">
        <f>SUM(J378:J383)</f>
        <v>8480</v>
      </c>
      <c r="L383" s="25"/>
      <c r="M383" s="25"/>
    </row>
    <row r="384" spans="1:13" ht="15.4" customHeight="1" thickBot="1" x14ac:dyDescent="0.25">
      <c r="A384" s="10" t="s">
        <v>907</v>
      </c>
      <c r="B384" s="5" t="s">
        <v>908</v>
      </c>
      <c r="C384" s="5" t="s">
        <v>909</v>
      </c>
      <c r="D384" s="82" t="s">
        <v>910</v>
      </c>
      <c r="E384" s="82"/>
      <c r="F384" s="82"/>
      <c r="G384" s="82"/>
      <c r="H384" s="82"/>
      <c r="I384" s="82"/>
      <c r="J384" s="82"/>
      <c r="K384" s="23">
        <f>SUM(K387:K392)</f>
        <v>4240</v>
      </c>
      <c r="L384" s="24">
        <f>ROUND(0.57*(1+M2/100),2)</f>
        <v>0.6</v>
      </c>
      <c r="M384" s="24">
        <f>ROUND(K384*L384,2)</f>
        <v>2544</v>
      </c>
    </row>
    <row r="385" spans="1:13" ht="21.4" customHeight="1" thickBot="1" x14ac:dyDescent="0.25">
      <c r="A385" s="25"/>
      <c r="B385" s="25"/>
      <c r="C385" s="25"/>
      <c r="D385" s="82" t="s">
        <v>911</v>
      </c>
      <c r="E385" s="82"/>
      <c r="F385" s="82"/>
      <c r="G385" s="82"/>
      <c r="H385" s="82"/>
      <c r="I385" s="82"/>
      <c r="J385" s="82"/>
      <c r="K385" s="82"/>
      <c r="L385" s="82"/>
      <c r="M385" s="82"/>
    </row>
    <row r="386" spans="1:13" ht="15.2" customHeight="1" thickBot="1" x14ac:dyDescent="0.25">
      <c r="A386" s="25"/>
      <c r="B386" s="25"/>
      <c r="C386" s="25"/>
      <c r="D386" s="25"/>
      <c r="E386" s="26"/>
      <c r="F386" s="28" t="s">
        <v>912</v>
      </c>
      <c r="G386" s="28" t="s">
        <v>913</v>
      </c>
      <c r="H386" s="28" t="s">
        <v>914</v>
      </c>
      <c r="I386" s="28" t="s">
        <v>915</v>
      </c>
      <c r="J386" s="28" t="s">
        <v>916</v>
      </c>
      <c r="K386" s="28" t="s">
        <v>917</v>
      </c>
      <c r="L386" s="25"/>
      <c r="M386" s="25"/>
    </row>
    <row r="387" spans="1:13" ht="15.2" customHeight="1" thickBot="1" x14ac:dyDescent="0.25">
      <c r="A387" s="25"/>
      <c r="B387" s="25"/>
      <c r="C387" s="25"/>
      <c r="D387" s="29"/>
      <c r="E387" s="30" t="s">
        <v>918</v>
      </c>
      <c r="F387" s="31"/>
      <c r="G387" s="32">
        <v>6451</v>
      </c>
      <c r="H387" s="32">
        <v>0.4</v>
      </c>
      <c r="I387" s="32"/>
      <c r="J387" s="34">
        <f t="shared" ref="J387:J392" si="5">ROUND(G387*H387,3)</f>
        <v>2580.4</v>
      </c>
      <c r="K387" s="35"/>
      <c r="L387" s="25"/>
      <c r="M387" s="25"/>
    </row>
    <row r="388" spans="1:13" ht="39.75" customHeight="1" thickBot="1" x14ac:dyDescent="0.25">
      <c r="A388" s="25"/>
      <c r="B388" s="25"/>
      <c r="C388" s="25"/>
      <c r="D388" s="29"/>
      <c r="E388" s="5" t="s">
        <v>919</v>
      </c>
      <c r="F388" s="3"/>
      <c r="G388" s="23">
        <v>1257</v>
      </c>
      <c r="H388" s="23">
        <v>0.4</v>
      </c>
      <c r="I388" s="23"/>
      <c r="J388" s="33">
        <f t="shared" si="5"/>
        <v>502.8</v>
      </c>
      <c r="K388" s="25"/>
      <c r="L388" s="25"/>
      <c r="M388" s="25"/>
    </row>
    <row r="389" spans="1:13" ht="49.15" customHeight="1" thickBot="1" x14ac:dyDescent="0.25">
      <c r="A389" s="25"/>
      <c r="B389" s="25"/>
      <c r="C389" s="25"/>
      <c r="D389" s="29"/>
      <c r="E389" s="5" t="s">
        <v>920</v>
      </c>
      <c r="F389" s="3"/>
      <c r="G389" s="23">
        <v>122</v>
      </c>
      <c r="H389" s="23">
        <v>0.4</v>
      </c>
      <c r="I389" s="23"/>
      <c r="J389" s="33">
        <f t="shared" si="5"/>
        <v>48.8</v>
      </c>
      <c r="K389" s="25"/>
      <c r="L389" s="25"/>
      <c r="M389" s="25"/>
    </row>
    <row r="390" spans="1:13" ht="49.15" customHeight="1" thickBot="1" x14ac:dyDescent="0.25">
      <c r="A390" s="25"/>
      <c r="B390" s="25"/>
      <c r="C390" s="25"/>
      <c r="D390" s="29"/>
      <c r="E390" s="5" t="s">
        <v>921</v>
      </c>
      <c r="F390" s="3"/>
      <c r="G390" s="23">
        <v>222</v>
      </c>
      <c r="H390" s="23">
        <v>0.4</v>
      </c>
      <c r="I390" s="23"/>
      <c r="J390" s="33">
        <f t="shared" si="5"/>
        <v>88.8</v>
      </c>
      <c r="K390" s="25"/>
      <c r="L390" s="25"/>
      <c r="M390" s="25"/>
    </row>
    <row r="391" spans="1:13" ht="39.75" customHeight="1" thickBot="1" x14ac:dyDescent="0.25">
      <c r="A391" s="25"/>
      <c r="B391" s="25"/>
      <c r="C391" s="25"/>
      <c r="D391" s="29"/>
      <c r="E391" s="5" t="s">
        <v>922</v>
      </c>
      <c r="F391" s="3"/>
      <c r="G391" s="23">
        <v>48</v>
      </c>
      <c r="H391" s="23">
        <v>0.4</v>
      </c>
      <c r="I391" s="23"/>
      <c r="J391" s="33">
        <f t="shared" si="5"/>
        <v>19.2</v>
      </c>
      <c r="K391" s="25"/>
      <c r="L391" s="25"/>
      <c r="M391" s="25"/>
    </row>
    <row r="392" spans="1:13" ht="15.2" customHeight="1" thickBot="1" x14ac:dyDescent="0.25">
      <c r="A392" s="25"/>
      <c r="B392" s="25"/>
      <c r="C392" s="25"/>
      <c r="D392" s="29"/>
      <c r="E392" s="5"/>
      <c r="F392" s="3"/>
      <c r="G392" s="23">
        <v>2500</v>
      </c>
      <c r="H392" s="23">
        <v>0.4</v>
      </c>
      <c r="I392" s="23"/>
      <c r="J392" s="33">
        <f t="shared" si="5"/>
        <v>1000</v>
      </c>
      <c r="K392" s="36">
        <f>SUM(J387:J392)</f>
        <v>4240</v>
      </c>
      <c r="L392" s="25"/>
      <c r="M392" s="25"/>
    </row>
    <row r="393" spans="1:13" ht="15.4" customHeight="1" thickBot="1" x14ac:dyDescent="0.25">
      <c r="A393" s="10" t="s">
        <v>923</v>
      </c>
      <c r="B393" s="5" t="s">
        <v>924</v>
      </c>
      <c r="C393" s="5" t="s">
        <v>925</v>
      </c>
      <c r="D393" s="82" t="s">
        <v>926</v>
      </c>
      <c r="E393" s="82"/>
      <c r="F393" s="82"/>
      <c r="G393" s="82"/>
      <c r="H393" s="82"/>
      <c r="I393" s="82"/>
      <c r="J393" s="82"/>
      <c r="K393" s="23">
        <f>SUM(K396:K397)</f>
        <v>186</v>
      </c>
      <c r="L393" s="24">
        <f>ROUND(218.93*(1+M2/100),2)</f>
        <v>232.07</v>
      </c>
      <c r="M393" s="24">
        <f>ROUND(K393*L393,2)</f>
        <v>43165.02</v>
      </c>
    </row>
    <row r="394" spans="1:13" ht="76.900000000000006" customHeight="1" thickBot="1" x14ac:dyDescent="0.25">
      <c r="A394" s="25"/>
      <c r="B394" s="25"/>
      <c r="C394" s="25"/>
      <c r="D394" s="82" t="s">
        <v>927</v>
      </c>
      <c r="E394" s="82"/>
      <c r="F394" s="82"/>
      <c r="G394" s="82"/>
      <c r="H394" s="82"/>
      <c r="I394" s="82"/>
      <c r="J394" s="82"/>
      <c r="K394" s="82"/>
      <c r="L394" s="82"/>
      <c r="M394" s="82"/>
    </row>
    <row r="395" spans="1:13" ht="15.2" customHeight="1" thickBot="1" x14ac:dyDescent="0.25">
      <c r="A395" s="25"/>
      <c r="B395" s="25"/>
      <c r="C395" s="25"/>
      <c r="D395" s="25"/>
      <c r="E395" s="26"/>
      <c r="F395" s="28" t="s">
        <v>928</v>
      </c>
      <c r="G395" s="28" t="s">
        <v>929</v>
      </c>
      <c r="H395" s="28" t="s">
        <v>930</v>
      </c>
      <c r="I395" s="28" t="s">
        <v>931</v>
      </c>
      <c r="J395" s="28" t="s">
        <v>932</v>
      </c>
      <c r="K395" s="28" t="s">
        <v>933</v>
      </c>
      <c r="L395" s="25"/>
      <c r="M395" s="25"/>
    </row>
    <row r="396" spans="1:13" ht="15.2" customHeight="1" thickBot="1" x14ac:dyDescent="0.25">
      <c r="A396" s="25"/>
      <c r="B396" s="25"/>
      <c r="C396" s="25"/>
      <c r="D396" s="29"/>
      <c r="E396" s="30" t="s">
        <v>934</v>
      </c>
      <c r="F396" s="31">
        <v>26</v>
      </c>
      <c r="G396" s="32"/>
      <c r="H396" s="32"/>
      <c r="I396" s="32"/>
      <c r="J396" s="34">
        <f>ROUND(F396,3)</f>
        <v>26</v>
      </c>
      <c r="K396" s="35"/>
      <c r="L396" s="25"/>
      <c r="M396" s="25"/>
    </row>
    <row r="397" spans="1:13" ht="21.4" customHeight="1" thickBot="1" x14ac:dyDescent="0.25">
      <c r="A397" s="25"/>
      <c r="B397" s="25"/>
      <c r="C397" s="25"/>
      <c r="D397" s="29"/>
      <c r="E397" s="5" t="s">
        <v>935</v>
      </c>
      <c r="F397" s="3">
        <v>160</v>
      </c>
      <c r="G397" s="23"/>
      <c r="H397" s="23"/>
      <c r="I397" s="23"/>
      <c r="J397" s="33">
        <f>ROUND(F397,3)</f>
        <v>160</v>
      </c>
      <c r="K397" s="36">
        <f>SUM(J396:J397)</f>
        <v>186</v>
      </c>
      <c r="L397" s="25"/>
      <c r="M397" s="25"/>
    </row>
    <row r="398" spans="1:13" ht="15.4" customHeight="1" thickBot="1" x14ac:dyDescent="0.25">
      <c r="A398" s="10" t="s">
        <v>936</v>
      </c>
      <c r="B398" s="5" t="s">
        <v>937</v>
      </c>
      <c r="C398" s="5" t="s">
        <v>938</v>
      </c>
      <c r="D398" s="82" t="s">
        <v>939</v>
      </c>
      <c r="E398" s="82"/>
      <c r="F398" s="82"/>
      <c r="G398" s="82"/>
      <c r="H398" s="82"/>
      <c r="I398" s="82"/>
      <c r="J398" s="82"/>
      <c r="K398" s="23">
        <f>SUM(K401:K403)</f>
        <v>556</v>
      </c>
      <c r="L398" s="24">
        <f>ROUND(113.21*(1+M2/100),2)</f>
        <v>120</v>
      </c>
      <c r="M398" s="24">
        <f>ROUND(K398*L398,2)</f>
        <v>66720</v>
      </c>
    </row>
    <row r="399" spans="1:13" ht="21.4" customHeight="1" thickBot="1" x14ac:dyDescent="0.25">
      <c r="A399" s="25"/>
      <c r="B399" s="25"/>
      <c r="C399" s="25"/>
      <c r="D399" s="82" t="s">
        <v>940</v>
      </c>
      <c r="E399" s="82"/>
      <c r="F399" s="82"/>
      <c r="G399" s="82"/>
      <c r="H399" s="82"/>
      <c r="I399" s="82"/>
      <c r="J399" s="82"/>
      <c r="K399" s="82"/>
      <c r="L399" s="82"/>
      <c r="M399" s="82"/>
    </row>
    <row r="400" spans="1:13" ht="15.2" customHeight="1" thickBot="1" x14ac:dyDescent="0.25">
      <c r="A400" s="25"/>
      <c r="B400" s="25"/>
      <c r="C400" s="25"/>
      <c r="D400" s="25"/>
      <c r="E400" s="26"/>
      <c r="F400" s="28" t="s">
        <v>941</v>
      </c>
      <c r="G400" s="28" t="s">
        <v>942</v>
      </c>
      <c r="H400" s="28" t="s">
        <v>943</v>
      </c>
      <c r="I400" s="28" t="s">
        <v>944</v>
      </c>
      <c r="J400" s="28" t="s">
        <v>945</v>
      </c>
      <c r="K400" s="28" t="s">
        <v>946</v>
      </c>
      <c r="L400" s="25"/>
      <c r="M400" s="25"/>
    </row>
    <row r="401" spans="1:13" ht="15.2" customHeight="1" thickBot="1" x14ac:dyDescent="0.25">
      <c r="A401" s="25"/>
      <c r="B401" s="25"/>
      <c r="C401" s="25"/>
      <c r="D401" s="29"/>
      <c r="E401" s="30" t="s">
        <v>947</v>
      </c>
      <c r="F401" s="31">
        <v>26</v>
      </c>
      <c r="G401" s="32"/>
      <c r="H401" s="32"/>
      <c r="I401" s="32"/>
      <c r="J401" s="34">
        <f>ROUND(F401,3)</f>
        <v>26</v>
      </c>
      <c r="K401" s="35"/>
      <c r="L401" s="25"/>
      <c r="M401" s="25"/>
    </row>
    <row r="402" spans="1:13" ht="15.2" customHeight="1" thickBot="1" x14ac:dyDescent="0.25">
      <c r="A402" s="25"/>
      <c r="B402" s="25"/>
      <c r="C402" s="25"/>
      <c r="D402" s="29"/>
      <c r="E402" s="5" t="s">
        <v>948</v>
      </c>
      <c r="F402" s="3">
        <v>500</v>
      </c>
      <c r="G402" s="23"/>
      <c r="H402" s="23"/>
      <c r="I402" s="23"/>
      <c r="J402" s="33">
        <f>ROUND(F402,3)</f>
        <v>500</v>
      </c>
      <c r="K402" s="25"/>
      <c r="L402" s="25"/>
      <c r="M402" s="25"/>
    </row>
    <row r="403" spans="1:13" ht="15.2" customHeight="1" thickBot="1" x14ac:dyDescent="0.25">
      <c r="A403" s="25"/>
      <c r="B403" s="25"/>
      <c r="C403" s="25"/>
      <c r="D403" s="29"/>
      <c r="E403" s="5" t="s">
        <v>949</v>
      </c>
      <c r="F403" s="3">
        <v>30</v>
      </c>
      <c r="G403" s="23"/>
      <c r="H403" s="23"/>
      <c r="I403" s="23"/>
      <c r="J403" s="33">
        <f>ROUND(F403,3)</f>
        <v>30</v>
      </c>
      <c r="K403" s="36">
        <f>SUM(J401:J403)</f>
        <v>556</v>
      </c>
      <c r="L403" s="25"/>
      <c r="M403" s="25"/>
    </row>
    <row r="404" spans="1:13" ht="15.4" customHeight="1" thickBot="1" x14ac:dyDescent="0.25">
      <c r="A404" s="38"/>
      <c r="B404" s="38"/>
      <c r="C404" s="38"/>
      <c r="D404" s="39" t="s">
        <v>950</v>
      </c>
      <c r="E404" s="40"/>
      <c r="F404" s="40"/>
      <c r="G404" s="40"/>
      <c r="H404" s="40"/>
      <c r="I404" s="40"/>
      <c r="J404" s="40"/>
      <c r="K404" s="40"/>
      <c r="L404" s="41">
        <f>M314+M319+M323+M327+M331+M338+M347+M357+M366+M375+M384+M393+M398</f>
        <v>376095.88</v>
      </c>
      <c r="M404" s="41">
        <f>ROUND(L404,2)</f>
        <v>376095.88</v>
      </c>
    </row>
    <row r="405" spans="1:13" ht="15.4" customHeight="1" thickBot="1" x14ac:dyDescent="0.25">
      <c r="A405" s="42" t="s">
        <v>951</v>
      </c>
      <c r="B405" s="42" t="s">
        <v>952</v>
      </c>
      <c r="C405" s="43"/>
      <c r="D405" s="83" t="s">
        <v>953</v>
      </c>
      <c r="E405" s="83"/>
      <c r="F405" s="83"/>
      <c r="G405" s="83"/>
      <c r="H405" s="83"/>
      <c r="I405" s="83"/>
      <c r="J405" s="83"/>
      <c r="K405" s="43"/>
      <c r="L405" s="44">
        <f>L418</f>
        <v>148972.78</v>
      </c>
      <c r="M405" s="44">
        <f>ROUND(L405,2)</f>
        <v>148972.78</v>
      </c>
    </row>
    <row r="406" spans="1:13" ht="15.4" customHeight="1" thickBot="1" x14ac:dyDescent="0.25">
      <c r="A406" s="10" t="s">
        <v>954</v>
      </c>
      <c r="B406" s="5" t="s">
        <v>955</v>
      </c>
      <c r="C406" s="5" t="s">
        <v>956</v>
      </c>
      <c r="D406" s="82" t="s">
        <v>957</v>
      </c>
      <c r="E406" s="82"/>
      <c r="F406" s="82"/>
      <c r="G406" s="82"/>
      <c r="H406" s="82"/>
      <c r="I406" s="82"/>
      <c r="J406" s="82"/>
      <c r="K406" s="23">
        <f>SUM(K409:K413)</f>
        <v>8100</v>
      </c>
      <c r="L406" s="24">
        <f>ROUND(16.98*(1+M2/100),2)</f>
        <v>18</v>
      </c>
      <c r="M406" s="24">
        <f>ROUND(K406*L406,2)</f>
        <v>145800</v>
      </c>
    </row>
    <row r="407" spans="1:13" ht="95.25" customHeight="1" thickBot="1" x14ac:dyDescent="0.25">
      <c r="A407" s="25"/>
      <c r="B407" s="25"/>
      <c r="C407" s="25"/>
      <c r="D407" s="82" t="s">
        <v>958</v>
      </c>
      <c r="E407" s="82"/>
      <c r="F407" s="82"/>
      <c r="G407" s="82"/>
      <c r="H407" s="82"/>
      <c r="I407" s="82"/>
      <c r="J407" s="82"/>
      <c r="K407" s="82"/>
      <c r="L407" s="82"/>
      <c r="M407" s="82"/>
    </row>
    <row r="408" spans="1:13" ht="15.2" customHeight="1" thickBot="1" x14ac:dyDescent="0.25">
      <c r="A408" s="25"/>
      <c r="B408" s="25"/>
      <c r="C408" s="25"/>
      <c r="D408" s="25"/>
      <c r="E408" s="26"/>
      <c r="F408" s="28" t="s">
        <v>959</v>
      </c>
      <c r="G408" s="28" t="s">
        <v>960</v>
      </c>
      <c r="H408" s="28" t="s">
        <v>961</v>
      </c>
      <c r="I408" s="28" t="s">
        <v>962</v>
      </c>
      <c r="J408" s="28" t="s">
        <v>963</v>
      </c>
      <c r="K408" s="28" t="s">
        <v>964</v>
      </c>
      <c r="L408" s="25"/>
      <c r="M408" s="25"/>
    </row>
    <row r="409" spans="1:13" ht="15.2" customHeight="1" thickBot="1" x14ac:dyDescent="0.25">
      <c r="A409" s="25"/>
      <c r="B409" s="25"/>
      <c r="C409" s="25"/>
      <c r="D409" s="29"/>
      <c r="E409" s="30" t="s">
        <v>965</v>
      </c>
      <c r="F409" s="31">
        <v>1</v>
      </c>
      <c r="G409" s="32">
        <v>6451</v>
      </c>
      <c r="H409" s="32"/>
      <c r="I409" s="32"/>
      <c r="J409" s="34">
        <f>ROUND(F409*G409,3)</f>
        <v>6451</v>
      </c>
      <c r="K409" s="35"/>
      <c r="L409" s="25"/>
      <c r="M409" s="25"/>
    </row>
    <row r="410" spans="1:13" ht="39.75" customHeight="1" thickBot="1" x14ac:dyDescent="0.25">
      <c r="A410" s="25"/>
      <c r="B410" s="25"/>
      <c r="C410" s="25"/>
      <c r="D410" s="29"/>
      <c r="E410" s="5" t="s">
        <v>966</v>
      </c>
      <c r="F410" s="3">
        <v>1</v>
      </c>
      <c r="G410" s="23">
        <v>1257</v>
      </c>
      <c r="H410" s="23"/>
      <c r="I410" s="23"/>
      <c r="J410" s="33">
        <f>ROUND(F410*G410,3)</f>
        <v>1257</v>
      </c>
      <c r="K410" s="25"/>
      <c r="L410" s="25"/>
      <c r="M410" s="25"/>
    </row>
    <row r="411" spans="1:13" ht="39.75" customHeight="1" thickBot="1" x14ac:dyDescent="0.25">
      <c r="A411" s="25"/>
      <c r="B411" s="25"/>
      <c r="C411" s="25"/>
      <c r="D411" s="29"/>
      <c r="E411" s="5" t="s">
        <v>967</v>
      </c>
      <c r="F411" s="3">
        <v>1</v>
      </c>
      <c r="G411" s="23">
        <v>122</v>
      </c>
      <c r="H411" s="23"/>
      <c r="I411" s="23"/>
      <c r="J411" s="33">
        <f>ROUND(F411*G411,3)</f>
        <v>122</v>
      </c>
      <c r="K411" s="25"/>
      <c r="L411" s="25"/>
      <c r="M411" s="25"/>
    </row>
    <row r="412" spans="1:13" ht="49.15" customHeight="1" thickBot="1" x14ac:dyDescent="0.25">
      <c r="A412" s="25"/>
      <c r="B412" s="25"/>
      <c r="C412" s="25"/>
      <c r="D412" s="29"/>
      <c r="E412" s="5" t="s">
        <v>968</v>
      </c>
      <c r="F412" s="3">
        <v>1</v>
      </c>
      <c r="G412" s="23">
        <v>222</v>
      </c>
      <c r="H412" s="23"/>
      <c r="I412" s="23"/>
      <c r="J412" s="33">
        <f>ROUND(F412*G412,3)</f>
        <v>222</v>
      </c>
      <c r="K412" s="25"/>
      <c r="L412" s="25"/>
      <c r="M412" s="25"/>
    </row>
    <row r="413" spans="1:13" ht="39.75" customHeight="1" thickBot="1" x14ac:dyDescent="0.25">
      <c r="A413" s="25"/>
      <c r="B413" s="25"/>
      <c r="C413" s="25"/>
      <c r="D413" s="29"/>
      <c r="E413" s="5" t="s">
        <v>969</v>
      </c>
      <c r="F413" s="3">
        <v>1</v>
      </c>
      <c r="G413" s="23">
        <v>48</v>
      </c>
      <c r="H413" s="23"/>
      <c r="I413" s="23"/>
      <c r="J413" s="33">
        <f>ROUND(F413*G413,3)</f>
        <v>48</v>
      </c>
      <c r="K413" s="36">
        <f>SUM(J409:J413)</f>
        <v>8100</v>
      </c>
      <c r="L413" s="25"/>
      <c r="M413" s="25"/>
    </row>
    <row r="414" spans="1:13" ht="15.4" customHeight="1" thickBot="1" x14ac:dyDescent="0.25">
      <c r="A414" s="10" t="s">
        <v>970</v>
      </c>
      <c r="B414" s="5" t="s">
        <v>971</v>
      </c>
      <c r="C414" s="5" t="s">
        <v>972</v>
      </c>
      <c r="D414" s="82" t="s">
        <v>973</v>
      </c>
      <c r="E414" s="82"/>
      <c r="F414" s="82"/>
      <c r="G414" s="82"/>
      <c r="H414" s="82"/>
      <c r="I414" s="82"/>
      <c r="J414" s="82"/>
      <c r="K414" s="23">
        <f>SUM(K417:K417)</f>
        <v>26</v>
      </c>
      <c r="L414" s="24">
        <f>ROUND(115.12*(1+M2/100),2)</f>
        <v>122.03</v>
      </c>
      <c r="M414" s="24">
        <f>ROUND(K414*L414,2)</f>
        <v>3172.78</v>
      </c>
    </row>
    <row r="415" spans="1:13" ht="49.15" customHeight="1" thickBot="1" x14ac:dyDescent="0.25">
      <c r="A415" s="25"/>
      <c r="B415" s="25"/>
      <c r="C415" s="25"/>
      <c r="D415" s="82" t="s">
        <v>974</v>
      </c>
      <c r="E415" s="82"/>
      <c r="F415" s="82"/>
      <c r="G415" s="82"/>
      <c r="H415" s="82"/>
      <c r="I415" s="82"/>
      <c r="J415" s="82"/>
      <c r="K415" s="82"/>
      <c r="L415" s="82"/>
      <c r="M415" s="82"/>
    </row>
    <row r="416" spans="1:13" ht="15.2" customHeight="1" thickBot="1" x14ac:dyDescent="0.25">
      <c r="A416" s="25"/>
      <c r="B416" s="25"/>
      <c r="C416" s="25"/>
      <c r="D416" s="25"/>
      <c r="E416" s="26"/>
      <c r="F416" s="28" t="s">
        <v>975</v>
      </c>
      <c r="G416" s="28" t="s">
        <v>976</v>
      </c>
      <c r="H416" s="28" t="s">
        <v>977</v>
      </c>
      <c r="I416" s="28" t="s">
        <v>978</v>
      </c>
      <c r="J416" s="28" t="s">
        <v>979</v>
      </c>
      <c r="K416" s="28" t="s">
        <v>980</v>
      </c>
      <c r="L416" s="25"/>
      <c r="M416" s="25"/>
    </row>
    <row r="417" spans="1:13" ht="15.2" customHeight="1" thickBot="1" x14ac:dyDescent="0.25">
      <c r="A417" s="25"/>
      <c r="B417" s="25"/>
      <c r="C417" s="25"/>
      <c r="D417" s="29"/>
      <c r="E417" s="30" t="s">
        <v>981</v>
      </c>
      <c r="F417" s="31">
        <v>26</v>
      </c>
      <c r="G417" s="32"/>
      <c r="H417" s="32"/>
      <c r="I417" s="32"/>
      <c r="J417" s="34">
        <f>ROUND(F417,3)</f>
        <v>26</v>
      </c>
      <c r="K417" s="37">
        <f>SUM(J417:J417)</f>
        <v>26</v>
      </c>
      <c r="L417" s="25"/>
      <c r="M417" s="25"/>
    </row>
    <row r="418" spans="1:13" ht="15.4" customHeight="1" thickBot="1" x14ac:dyDescent="0.25">
      <c r="A418" s="38"/>
      <c r="B418" s="38"/>
      <c r="C418" s="38"/>
      <c r="D418" s="39" t="s">
        <v>982</v>
      </c>
      <c r="E418" s="40"/>
      <c r="F418" s="40"/>
      <c r="G418" s="40"/>
      <c r="H418" s="40"/>
      <c r="I418" s="40"/>
      <c r="J418" s="40"/>
      <c r="K418" s="40"/>
      <c r="L418" s="41">
        <f>M406+M414</f>
        <v>148972.78</v>
      </c>
      <c r="M418" s="41">
        <f>ROUND(L418,2)</f>
        <v>148972.78</v>
      </c>
    </row>
    <row r="419" spans="1:13" ht="15.4" customHeight="1" thickBot="1" x14ac:dyDescent="0.25">
      <c r="A419" s="45"/>
      <c r="B419" s="45"/>
      <c r="C419" s="45"/>
      <c r="D419" s="46" t="s">
        <v>983</v>
      </c>
      <c r="E419" s="47"/>
      <c r="F419" s="47"/>
      <c r="G419" s="47"/>
      <c r="H419" s="47"/>
      <c r="I419" s="47"/>
      <c r="J419" s="47"/>
      <c r="K419" s="47"/>
      <c r="L419" s="48">
        <f>M404+M418</f>
        <v>525068.66</v>
      </c>
      <c r="M419" s="48">
        <f>ROUND(L419,2)</f>
        <v>525068.66</v>
      </c>
    </row>
    <row r="420" spans="1:13" ht="15.4" customHeight="1" thickBot="1" x14ac:dyDescent="0.25">
      <c r="A420" s="49" t="s">
        <v>984</v>
      </c>
      <c r="B420" s="49" t="s">
        <v>985</v>
      </c>
      <c r="C420" s="50"/>
      <c r="D420" s="84" t="s">
        <v>986</v>
      </c>
      <c r="E420" s="84"/>
      <c r="F420" s="84"/>
      <c r="G420" s="84"/>
      <c r="H420" s="84"/>
      <c r="I420" s="84"/>
      <c r="J420" s="84"/>
      <c r="K420" s="50"/>
      <c r="L420" s="51">
        <f>L433</f>
        <v>19236.61</v>
      </c>
      <c r="M420" s="51">
        <f>ROUND(L420,2)</f>
        <v>19236.61</v>
      </c>
    </row>
    <row r="421" spans="1:13" ht="15.4" customHeight="1" thickBot="1" x14ac:dyDescent="0.25">
      <c r="A421" s="20" t="s">
        <v>987</v>
      </c>
      <c r="B421" s="20" t="s">
        <v>988</v>
      </c>
      <c r="C421" s="21"/>
      <c r="D421" s="81" t="s">
        <v>989</v>
      </c>
      <c r="E421" s="81"/>
      <c r="F421" s="81"/>
      <c r="G421" s="81"/>
      <c r="H421" s="81"/>
      <c r="I421" s="81"/>
      <c r="J421" s="81"/>
      <c r="K421" s="21"/>
      <c r="L421" s="22">
        <f>L432</f>
        <v>19236.61</v>
      </c>
      <c r="M421" s="22">
        <f>ROUND(L421,2)</f>
        <v>19236.61</v>
      </c>
    </row>
    <row r="422" spans="1:13" ht="15.4" customHeight="1" thickBot="1" x14ac:dyDescent="0.25">
      <c r="A422" s="10" t="s">
        <v>990</v>
      </c>
      <c r="B422" s="5" t="s">
        <v>991</v>
      </c>
      <c r="C422" s="5" t="s">
        <v>992</v>
      </c>
      <c r="D422" s="82" t="s">
        <v>993</v>
      </c>
      <c r="E422" s="82"/>
      <c r="F422" s="82"/>
      <c r="G422" s="82"/>
      <c r="H422" s="82"/>
      <c r="I422" s="82"/>
      <c r="J422" s="82"/>
      <c r="K422" s="23">
        <f>SUM(K425:K426)</f>
        <v>7</v>
      </c>
      <c r="L422" s="24">
        <f>ROUND(352.14*(1+M2/100),2)</f>
        <v>373.27</v>
      </c>
      <c r="M422" s="24">
        <f>ROUND(K422*L422,2)</f>
        <v>2612.89</v>
      </c>
    </row>
    <row r="423" spans="1:13" ht="58.35" customHeight="1" thickBot="1" x14ac:dyDescent="0.25">
      <c r="A423" s="25"/>
      <c r="B423" s="25"/>
      <c r="C423" s="25"/>
      <c r="D423" s="82" t="s">
        <v>994</v>
      </c>
      <c r="E423" s="82"/>
      <c r="F423" s="82"/>
      <c r="G423" s="82"/>
      <c r="H423" s="82"/>
      <c r="I423" s="82"/>
      <c r="J423" s="82"/>
      <c r="K423" s="82"/>
      <c r="L423" s="82"/>
      <c r="M423" s="82"/>
    </row>
    <row r="424" spans="1:13" ht="15.2" customHeight="1" thickBot="1" x14ac:dyDescent="0.25">
      <c r="A424" s="25"/>
      <c r="B424" s="25"/>
      <c r="C424" s="25"/>
      <c r="D424" s="25"/>
      <c r="E424" s="26"/>
      <c r="F424" s="28" t="s">
        <v>995</v>
      </c>
      <c r="G424" s="28" t="s">
        <v>996</v>
      </c>
      <c r="H424" s="28" t="s">
        <v>997</v>
      </c>
      <c r="I424" s="28" t="s">
        <v>998</v>
      </c>
      <c r="J424" s="28" t="s">
        <v>999</v>
      </c>
      <c r="K424" s="28" t="s">
        <v>1000</v>
      </c>
      <c r="L424" s="25"/>
      <c r="M424" s="25"/>
    </row>
    <row r="425" spans="1:13" ht="15.2" customHeight="1" thickBot="1" x14ac:dyDescent="0.25">
      <c r="A425" s="25"/>
      <c r="B425" s="25"/>
      <c r="C425" s="25"/>
      <c r="D425" s="29"/>
      <c r="E425" s="30" t="s">
        <v>1001</v>
      </c>
      <c r="F425" s="31">
        <v>1</v>
      </c>
      <c r="G425" s="32">
        <v>1</v>
      </c>
      <c r="H425" s="32">
        <v>1</v>
      </c>
      <c r="I425" s="32">
        <v>1</v>
      </c>
      <c r="J425" s="34">
        <f>ROUND(F425*G425*H425*I425,3)</f>
        <v>1</v>
      </c>
      <c r="K425" s="35"/>
      <c r="L425" s="25"/>
      <c r="M425" s="25"/>
    </row>
    <row r="426" spans="1:13" ht="15.2" customHeight="1" thickBot="1" x14ac:dyDescent="0.25">
      <c r="A426" s="25"/>
      <c r="B426" s="25"/>
      <c r="C426" s="25"/>
      <c r="D426" s="29"/>
      <c r="E426" s="5">
        <v>0</v>
      </c>
      <c r="F426" s="3">
        <v>6</v>
      </c>
      <c r="G426" s="23"/>
      <c r="H426" s="23"/>
      <c r="I426" s="23"/>
      <c r="J426" s="33">
        <f>ROUND(F426,3)</f>
        <v>6</v>
      </c>
      <c r="K426" s="36">
        <f>SUM(J425:J426)</f>
        <v>7</v>
      </c>
      <c r="L426" s="25"/>
      <c r="M426" s="25"/>
    </row>
    <row r="427" spans="1:13" ht="15.4" customHeight="1" thickBot="1" x14ac:dyDescent="0.25">
      <c r="A427" s="10" t="s">
        <v>1002</v>
      </c>
      <c r="B427" s="5" t="s">
        <v>1003</v>
      </c>
      <c r="C427" s="5" t="s">
        <v>1004</v>
      </c>
      <c r="D427" s="82" t="s">
        <v>1005</v>
      </c>
      <c r="E427" s="82"/>
      <c r="F427" s="82"/>
      <c r="G427" s="82"/>
      <c r="H427" s="82"/>
      <c r="I427" s="82"/>
      <c r="J427" s="82"/>
      <c r="K427" s="23">
        <f>SUM(K430:K431)</f>
        <v>12</v>
      </c>
      <c r="L427" s="24">
        <f>ROUND(1306.9*(1+M2/100),2)</f>
        <v>1385.31</v>
      </c>
      <c r="M427" s="24">
        <f>ROUND(K427*L427,2)</f>
        <v>16623.72</v>
      </c>
    </row>
    <row r="428" spans="1:13" ht="49.15" customHeight="1" thickBot="1" x14ac:dyDescent="0.25">
      <c r="A428" s="25"/>
      <c r="B428" s="25"/>
      <c r="C428" s="25"/>
      <c r="D428" s="82" t="s">
        <v>1006</v>
      </c>
      <c r="E428" s="82"/>
      <c r="F428" s="82"/>
      <c r="G428" s="82"/>
      <c r="H428" s="82"/>
      <c r="I428" s="82"/>
      <c r="J428" s="82"/>
      <c r="K428" s="82"/>
      <c r="L428" s="82"/>
      <c r="M428" s="82"/>
    </row>
    <row r="429" spans="1:13" ht="15.2" customHeight="1" thickBot="1" x14ac:dyDescent="0.25">
      <c r="A429" s="25"/>
      <c r="B429" s="25"/>
      <c r="C429" s="25"/>
      <c r="D429" s="25"/>
      <c r="E429" s="26"/>
      <c r="F429" s="28" t="s">
        <v>1007</v>
      </c>
      <c r="G429" s="28" t="s">
        <v>1008</v>
      </c>
      <c r="H429" s="28" t="s">
        <v>1009</v>
      </c>
      <c r="I429" s="28" t="s">
        <v>1010</v>
      </c>
      <c r="J429" s="28" t="s">
        <v>1011</v>
      </c>
      <c r="K429" s="28" t="s">
        <v>1012</v>
      </c>
      <c r="L429" s="25"/>
      <c r="M429" s="25"/>
    </row>
    <row r="430" spans="1:13" ht="15.2" customHeight="1" thickBot="1" x14ac:dyDescent="0.25">
      <c r="A430" s="25"/>
      <c r="B430" s="25"/>
      <c r="C430" s="25"/>
      <c r="D430" s="29"/>
      <c r="E430" s="30" t="s">
        <v>1013</v>
      </c>
      <c r="F430" s="31">
        <v>1</v>
      </c>
      <c r="G430" s="32">
        <v>1</v>
      </c>
      <c r="H430" s="32">
        <v>1</v>
      </c>
      <c r="I430" s="32">
        <v>1</v>
      </c>
      <c r="J430" s="34">
        <f>ROUND(F430*G430*H430*I430,3)</f>
        <v>1</v>
      </c>
      <c r="K430" s="35"/>
      <c r="L430" s="25"/>
      <c r="M430" s="25"/>
    </row>
    <row r="431" spans="1:13" ht="15.2" customHeight="1" thickBot="1" x14ac:dyDescent="0.25">
      <c r="A431" s="25"/>
      <c r="B431" s="25"/>
      <c r="C431" s="25"/>
      <c r="D431" s="29"/>
      <c r="E431" s="5">
        <v>0</v>
      </c>
      <c r="F431" s="3">
        <v>11</v>
      </c>
      <c r="G431" s="23"/>
      <c r="H431" s="23"/>
      <c r="I431" s="23"/>
      <c r="J431" s="33">
        <f>ROUND(F431,3)</f>
        <v>11</v>
      </c>
      <c r="K431" s="36">
        <f>SUM(J430:J431)</f>
        <v>12</v>
      </c>
      <c r="L431" s="25"/>
      <c r="M431" s="25"/>
    </row>
    <row r="432" spans="1:13" ht="15.4" customHeight="1" thickBot="1" x14ac:dyDescent="0.25">
      <c r="A432" s="38"/>
      <c r="B432" s="38"/>
      <c r="C432" s="38"/>
      <c r="D432" s="39" t="s">
        <v>1014</v>
      </c>
      <c r="E432" s="40"/>
      <c r="F432" s="40"/>
      <c r="G432" s="40"/>
      <c r="H432" s="40"/>
      <c r="I432" s="40"/>
      <c r="J432" s="40"/>
      <c r="K432" s="40"/>
      <c r="L432" s="41">
        <f>M422+M427</f>
        <v>19236.61</v>
      </c>
      <c r="M432" s="41">
        <f>ROUND(L432,2)</f>
        <v>19236.61</v>
      </c>
    </row>
    <row r="433" spans="1:13" ht="15.4" customHeight="1" thickBot="1" x14ac:dyDescent="0.25">
      <c r="A433" s="45"/>
      <c r="B433" s="45"/>
      <c r="C433" s="45"/>
      <c r="D433" s="46" t="s">
        <v>1015</v>
      </c>
      <c r="E433" s="47"/>
      <c r="F433" s="47"/>
      <c r="G433" s="47"/>
      <c r="H433" s="47"/>
      <c r="I433" s="47"/>
      <c r="J433" s="47"/>
      <c r="K433" s="47"/>
      <c r="L433" s="48">
        <f>M432</f>
        <v>19236.61</v>
      </c>
      <c r="M433" s="48">
        <f>ROUND(L433,2)</f>
        <v>19236.61</v>
      </c>
    </row>
    <row r="434" spans="1:13" ht="15.4" customHeight="1" thickBot="1" x14ac:dyDescent="0.25">
      <c r="A434" s="49" t="s">
        <v>1016</v>
      </c>
      <c r="B434" s="49" t="s">
        <v>1017</v>
      </c>
      <c r="C434" s="50"/>
      <c r="D434" s="84" t="s">
        <v>1018</v>
      </c>
      <c r="E434" s="84"/>
      <c r="F434" s="84"/>
      <c r="G434" s="84"/>
      <c r="H434" s="84"/>
      <c r="I434" s="84"/>
      <c r="J434" s="84"/>
      <c r="K434" s="50"/>
      <c r="L434" s="51">
        <f>L467</f>
        <v>109000</v>
      </c>
      <c r="M434" s="51">
        <f>ROUND(L434,2)</f>
        <v>109000</v>
      </c>
    </row>
    <row r="435" spans="1:13" ht="15.4" customHeight="1" thickBot="1" x14ac:dyDescent="0.25">
      <c r="A435" s="10" t="s">
        <v>1019</v>
      </c>
      <c r="B435" s="5" t="s">
        <v>1020</v>
      </c>
      <c r="C435" s="5" t="s">
        <v>1021</v>
      </c>
      <c r="D435" s="82" t="s">
        <v>1022</v>
      </c>
      <c r="E435" s="82"/>
      <c r="F435" s="82"/>
      <c r="G435" s="82"/>
      <c r="H435" s="82"/>
      <c r="I435" s="82"/>
      <c r="J435" s="82"/>
      <c r="K435" s="23">
        <f>SUM(K438:K438)</f>
        <v>1</v>
      </c>
      <c r="L435" s="24">
        <f>ROUND(23584.906*(1+M2/100),2)</f>
        <v>25000</v>
      </c>
      <c r="M435" s="24">
        <f>ROUND(K435*L435,2)</f>
        <v>25000</v>
      </c>
    </row>
    <row r="436" spans="1:13" ht="12.2" customHeight="1" thickBot="1" x14ac:dyDescent="0.25">
      <c r="A436" s="25"/>
      <c r="B436" s="25"/>
      <c r="C436" s="25"/>
      <c r="D436" s="82" t="s">
        <v>1023</v>
      </c>
      <c r="E436" s="82"/>
      <c r="F436" s="82"/>
      <c r="G436" s="82"/>
      <c r="H436" s="82"/>
      <c r="I436" s="82"/>
      <c r="J436" s="82"/>
      <c r="K436" s="82"/>
      <c r="L436" s="82"/>
      <c r="M436" s="82"/>
    </row>
    <row r="437" spans="1:13" ht="15.2" customHeight="1" thickBot="1" x14ac:dyDescent="0.25">
      <c r="A437" s="25"/>
      <c r="B437" s="25"/>
      <c r="C437" s="25"/>
      <c r="D437" s="25"/>
      <c r="E437" s="26"/>
      <c r="F437" s="28" t="s">
        <v>1024</v>
      </c>
      <c r="G437" s="28" t="s">
        <v>1025</v>
      </c>
      <c r="H437" s="28" t="s">
        <v>1026</v>
      </c>
      <c r="I437" s="28" t="s">
        <v>1027</v>
      </c>
      <c r="J437" s="28" t="s">
        <v>1028</v>
      </c>
      <c r="K437" s="28" t="s">
        <v>1029</v>
      </c>
      <c r="L437" s="25"/>
      <c r="M437" s="25"/>
    </row>
    <row r="438" spans="1:13" ht="15.2" customHeight="1" thickBot="1" x14ac:dyDescent="0.25">
      <c r="A438" s="25"/>
      <c r="B438" s="25"/>
      <c r="C438" s="25"/>
      <c r="D438" s="29"/>
      <c r="E438" s="30"/>
      <c r="F438" s="31">
        <v>1</v>
      </c>
      <c r="G438" s="32"/>
      <c r="H438" s="32"/>
      <c r="I438" s="32"/>
      <c r="J438" s="34">
        <f>ROUND(F438,3)</f>
        <v>1</v>
      </c>
      <c r="K438" s="37">
        <f>SUM(J438:J438)</f>
        <v>1</v>
      </c>
      <c r="L438" s="25"/>
      <c r="M438" s="25"/>
    </row>
    <row r="439" spans="1:13" ht="21.4" customHeight="1" thickBot="1" x14ac:dyDescent="0.25">
      <c r="A439" s="10" t="s">
        <v>1030</v>
      </c>
      <c r="B439" s="5" t="s">
        <v>1031</v>
      </c>
      <c r="C439" s="5" t="s">
        <v>1032</v>
      </c>
      <c r="D439" s="82" t="s">
        <v>1033</v>
      </c>
      <c r="E439" s="82"/>
      <c r="F439" s="82"/>
      <c r="G439" s="82"/>
      <c r="H439" s="82"/>
      <c r="I439" s="82"/>
      <c r="J439" s="82"/>
      <c r="K439" s="23">
        <f>SUM(K442:K442)</f>
        <v>1</v>
      </c>
      <c r="L439" s="24">
        <f>ROUND(13349.057*(1+M2/100),2)</f>
        <v>14150</v>
      </c>
      <c r="M439" s="24">
        <f>ROUND(K439*L439,2)</f>
        <v>14150</v>
      </c>
    </row>
    <row r="440" spans="1:13" ht="12.2" customHeight="1" thickBot="1" x14ac:dyDescent="0.25">
      <c r="A440" s="25"/>
      <c r="B440" s="25"/>
      <c r="C440" s="25"/>
      <c r="D440" s="82" t="s">
        <v>1034</v>
      </c>
      <c r="E440" s="82"/>
      <c r="F440" s="82"/>
      <c r="G440" s="82"/>
      <c r="H440" s="82"/>
      <c r="I440" s="82"/>
      <c r="J440" s="82"/>
      <c r="K440" s="82"/>
      <c r="L440" s="82"/>
      <c r="M440" s="82"/>
    </row>
    <row r="441" spans="1:13" ht="15.2" customHeight="1" thickBot="1" x14ac:dyDescent="0.25">
      <c r="A441" s="25"/>
      <c r="B441" s="25"/>
      <c r="C441" s="25"/>
      <c r="D441" s="25"/>
      <c r="E441" s="26"/>
      <c r="F441" s="28" t="s">
        <v>1035</v>
      </c>
      <c r="G441" s="28" t="s">
        <v>1036</v>
      </c>
      <c r="H441" s="28" t="s">
        <v>1037</v>
      </c>
      <c r="I441" s="28" t="s">
        <v>1038</v>
      </c>
      <c r="J441" s="28" t="s">
        <v>1039</v>
      </c>
      <c r="K441" s="28" t="s">
        <v>1040</v>
      </c>
      <c r="L441" s="25"/>
      <c r="M441" s="25"/>
    </row>
    <row r="442" spans="1:13" ht="15.2" customHeight="1" thickBot="1" x14ac:dyDescent="0.25">
      <c r="A442" s="25"/>
      <c r="B442" s="25"/>
      <c r="C442" s="25"/>
      <c r="D442" s="29"/>
      <c r="E442" s="30"/>
      <c r="F442" s="31">
        <v>1</v>
      </c>
      <c r="G442" s="32"/>
      <c r="H442" s="32"/>
      <c r="I442" s="32"/>
      <c r="J442" s="34">
        <f>ROUND(F442,3)</f>
        <v>1</v>
      </c>
      <c r="K442" s="37">
        <f>SUM(J442:J442)</f>
        <v>1</v>
      </c>
      <c r="L442" s="25"/>
      <c r="M442" s="25"/>
    </row>
    <row r="443" spans="1:13" ht="15.4" customHeight="1" thickBot="1" x14ac:dyDescent="0.25">
      <c r="A443" s="10" t="s">
        <v>1041</v>
      </c>
      <c r="B443" s="5" t="s">
        <v>1042</v>
      </c>
      <c r="C443" s="5" t="s">
        <v>1043</v>
      </c>
      <c r="D443" s="82" t="s">
        <v>1044</v>
      </c>
      <c r="E443" s="82"/>
      <c r="F443" s="82"/>
      <c r="G443" s="82"/>
      <c r="H443" s="82"/>
      <c r="I443" s="82"/>
      <c r="J443" s="82"/>
      <c r="K443" s="23">
        <f>SUM(K446:K446)</f>
        <v>1</v>
      </c>
      <c r="L443" s="24">
        <f>ROUND(7075.472*(1+M2/100),2)</f>
        <v>7500</v>
      </c>
      <c r="M443" s="24">
        <f>ROUND(K443*L443,2)</f>
        <v>7500</v>
      </c>
    </row>
    <row r="444" spans="1:13" ht="12.2" customHeight="1" thickBot="1" x14ac:dyDescent="0.25">
      <c r="A444" s="25"/>
      <c r="B444" s="25"/>
      <c r="C444" s="25"/>
      <c r="D444" s="82" t="s">
        <v>1045</v>
      </c>
      <c r="E444" s="82"/>
      <c r="F444" s="82"/>
      <c r="G444" s="82"/>
      <c r="H444" s="82"/>
      <c r="I444" s="82"/>
      <c r="J444" s="82"/>
      <c r="K444" s="82"/>
      <c r="L444" s="82"/>
      <c r="M444" s="82"/>
    </row>
    <row r="445" spans="1:13" ht="15.2" customHeight="1" thickBot="1" x14ac:dyDescent="0.25">
      <c r="A445" s="25"/>
      <c r="B445" s="25"/>
      <c r="C445" s="25"/>
      <c r="D445" s="25"/>
      <c r="E445" s="26"/>
      <c r="F445" s="28" t="s">
        <v>1046</v>
      </c>
      <c r="G445" s="28" t="s">
        <v>1047</v>
      </c>
      <c r="H445" s="28" t="s">
        <v>1048</v>
      </c>
      <c r="I445" s="28" t="s">
        <v>1049</v>
      </c>
      <c r="J445" s="28" t="s">
        <v>1050</v>
      </c>
      <c r="K445" s="28" t="s">
        <v>1051</v>
      </c>
      <c r="L445" s="25"/>
      <c r="M445" s="25"/>
    </row>
    <row r="446" spans="1:13" ht="15.2" customHeight="1" thickBot="1" x14ac:dyDescent="0.25">
      <c r="A446" s="25"/>
      <c r="B446" s="25"/>
      <c r="C446" s="25"/>
      <c r="D446" s="29"/>
      <c r="E446" s="30"/>
      <c r="F446" s="31">
        <v>1</v>
      </c>
      <c r="G446" s="32"/>
      <c r="H446" s="32"/>
      <c r="I446" s="32"/>
      <c r="J446" s="34">
        <f>ROUND(F446,3)</f>
        <v>1</v>
      </c>
      <c r="K446" s="37">
        <f>SUM(J446:J446)</f>
        <v>1</v>
      </c>
      <c r="L446" s="25"/>
      <c r="M446" s="25"/>
    </row>
    <row r="447" spans="1:13" ht="15.4" customHeight="1" thickBot="1" x14ac:dyDescent="0.25">
      <c r="A447" s="10" t="s">
        <v>1052</v>
      </c>
      <c r="B447" s="5" t="s">
        <v>1053</v>
      </c>
      <c r="C447" s="5" t="s">
        <v>1054</v>
      </c>
      <c r="D447" s="82" t="s">
        <v>1055</v>
      </c>
      <c r="E447" s="82"/>
      <c r="F447" s="82"/>
      <c r="G447" s="82"/>
      <c r="H447" s="82"/>
      <c r="I447" s="82"/>
      <c r="J447" s="82"/>
      <c r="K447" s="23">
        <f>SUM(K450:K450)</f>
        <v>1</v>
      </c>
      <c r="L447" s="24">
        <f>ROUND(9433.962*(1+M2/100),2)</f>
        <v>10000</v>
      </c>
      <c r="M447" s="24">
        <f>ROUND(K447*L447,2)</f>
        <v>10000</v>
      </c>
    </row>
    <row r="448" spans="1:13" ht="12.2" customHeight="1" thickBot="1" x14ac:dyDescent="0.25">
      <c r="A448" s="25"/>
      <c r="B448" s="25"/>
      <c r="C448" s="25"/>
      <c r="D448" s="82" t="s">
        <v>1056</v>
      </c>
      <c r="E448" s="82"/>
      <c r="F448" s="82"/>
      <c r="G448" s="82"/>
      <c r="H448" s="82"/>
      <c r="I448" s="82"/>
      <c r="J448" s="82"/>
      <c r="K448" s="82"/>
      <c r="L448" s="82"/>
      <c r="M448" s="82"/>
    </row>
    <row r="449" spans="1:13" ht="15.2" customHeight="1" thickBot="1" x14ac:dyDescent="0.25">
      <c r="A449" s="25"/>
      <c r="B449" s="25"/>
      <c r="C449" s="25"/>
      <c r="D449" s="25"/>
      <c r="E449" s="26"/>
      <c r="F449" s="28" t="s">
        <v>1057</v>
      </c>
      <c r="G449" s="28" t="s">
        <v>1058</v>
      </c>
      <c r="H449" s="28" t="s">
        <v>1059</v>
      </c>
      <c r="I449" s="28" t="s">
        <v>1060</v>
      </c>
      <c r="J449" s="28" t="s">
        <v>1061</v>
      </c>
      <c r="K449" s="28" t="s">
        <v>1062</v>
      </c>
      <c r="L449" s="25"/>
      <c r="M449" s="25"/>
    </row>
    <row r="450" spans="1:13" ht="15.2" customHeight="1" thickBot="1" x14ac:dyDescent="0.25">
      <c r="A450" s="25"/>
      <c r="B450" s="25"/>
      <c r="C450" s="25"/>
      <c r="D450" s="29"/>
      <c r="E450" s="30"/>
      <c r="F450" s="31">
        <v>1</v>
      </c>
      <c r="G450" s="32"/>
      <c r="H450" s="32"/>
      <c r="I450" s="32"/>
      <c r="J450" s="34">
        <f>ROUND(F450,3)</f>
        <v>1</v>
      </c>
      <c r="K450" s="37">
        <f>SUM(J450:J450)</f>
        <v>1</v>
      </c>
      <c r="L450" s="25"/>
      <c r="M450" s="25"/>
    </row>
    <row r="451" spans="1:13" ht="15.4" customHeight="1" thickBot="1" x14ac:dyDescent="0.25">
      <c r="A451" s="10" t="s">
        <v>1063</v>
      </c>
      <c r="B451" s="5" t="s">
        <v>1064</v>
      </c>
      <c r="C451" s="5" t="s">
        <v>1065</v>
      </c>
      <c r="D451" s="82" t="s">
        <v>1066</v>
      </c>
      <c r="E451" s="82"/>
      <c r="F451" s="82"/>
      <c r="G451" s="82"/>
      <c r="H451" s="82"/>
      <c r="I451" s="82"/>
      <c r="J451" s="82"/>
      <c r="K451" s="23">
        <f>SUM(K454:K454)</f>
        <v>1</v>
      </c>
      <c r="L451" s="24">
        <f>ROUND(18726.415*(1+M2/100),2)</f>
        <v>19850</v>
      </c>
      <c r="M451" s="24">
        <f>ROUND(K451*L451,2)</f>
        <v>19850</v>
      </c>
    </row>
    <row r="452" spans="1:13" ht="12.2" customHeight="1" thickBot="1" x14ac:dyDescent="0.25">
      <c r="A452" s="25"/>
      <c r="B452" s="25"/>
      <c r="C452" s="25"/>
      <c r="D452" s="82" t="s">
        <v>1067</v>
      </c>
      <c r="E452" s="82"/>
      <c r="F452" s="82"/>
      <c r="G452" s="82"/>
      <c r="H452" s="82"/>
      <c r="I452" s="82"/>
      <c r="J452" s="82"/>
      <c r="K452" s="82"/>
      <c r="L452" s="82"/>
      <c r="M452" s="82"/>
    </row>
    <row r="453" spans="1:13" ht="15.2" customHeight="1" thickBot="1" x14ac:dyDescent="0.25">
      <c r="A453" s="25"/>
      <c r="B453" s="25"/>
      <c r="C453" s="25"/>
      <c r="D453" s="25"/>
      <c r="E453" s="26"/>
      <c r="F453" s="28" t="s">
        <v>1068</v>
      </c>
      <c r="G453" s="28" t="s">
        <v>1069</v>
      </c>
      <c r="H453" s="28" t="s">
        <v>1070</v>
      </c>
      <c r="I453" s="28" t="s">
        <v>1071</v>
      </c>
      <c r="J453" s="28" t="s">
        <v>1072</v>
      </c>
      <c r="K453" s="28" t="s">
        <v>1073</v>
      </c>
      <c r="L453" s="25"/>
      <c r="M453" s="25"/>
    </row>
    <row r="454" spans="1:13" ht="15.2" customHeight="1" thickBot="1" x14ac:dyDescent="0.25">
      <c r="A454" s="25"/>
      <c r="B454" s="25"/>
      <c r="C454" s="25"/>
      <c r="D454" s="29"/>
      <c r="E454" s="30"/>
      <c r="F454" s="31">
        <v>1</v>
      </c>
      <c r="G454" s="32"/>
      <c r="H454" s="32"/>
      <c r="I454" s="32"/>
      <c r="J454" s="34">
        <f>ROUND(F454,3)</f>
        <v>1</v>
      </c>
      <c r="K454" s="37">
        <f>SUM(J454:J454)</f>
        <v>1</v>
      </c>
      <c r="L454" s="25"/>
      <c r="M454" s="25"/>
    </row>
    <row r="455" spans="1:13" ht="15.4" customHeight="1" thickBot="1" x14ac:dyDescent="0.25">
      <c r="A455" s="10" t="s">
        <v>1074</v>
      </c>
      <c r="B455" s="5" t="s">
        <v>1075</v>
      </c>
      <c r="C455" s="5" t="s">
        <v>1076</v>
      </c>
      <c r="D455" s="82" t="s">
        <v>1077</v>
      </c>
      <c r="E455" s="82"/>
      <c r="F455" s="82"/>
      <c r="G455" s="82"/>
      <c r="H455" s="82"/>
      <c r="I455" s="82"/>
      <c r="J455" s="82"/>
      <c r="K455" s="23">
        <f>SUM(K458:K458)</f>
        <v>1</v>
      </c>
      <c r="L455" s="24">
        <f>ROUND(23584.906*(1+M2/100),2)</f>
        <v>25000</v>
      </c>
      <c r="M455" s="24">
        <f>ROUND(K455*L455,2)</f>
        <v>25000</v>
      </c>
    </row>
    <row r="456" spans="1:13" ht="12.2" customHeight="1" thickBot="1" x14ac:dyDescent="0.25">
      <c r="A456" s="25"/>
      <c r="B456" s="25"/>
      <c r="C456" s="25"/>
      <c r="D456" s="82" t="s">
        <v>1078</v>
      </c>
      <c r="E456" s="82"/>
      <c r="F456" s="82"/>
      <c r="G456" s="82"/>
      <c r="H456" s="82"/>
      <c r="I456" s="82"/>
      <c r="J456" s="82"/>
      <c r="K456" s="82"/>
      <c r="L456" s="82"/>
      <c r="M456" s="82"/>
    </row>
    <row r="457" spans="1:13" ht="15.2" customHeight="1" thickBot="1" x14ac:dyDescent="0.25">
      <c r="A457" s="25"/>
      <c r="B457" s="25"/>
      <c r="C457" s="25"/>
      <c r="D457" s="25"/>
      <c r="E457" s="26"/>
      <c r="F457" s="28" t="s">
        <v>1079</v>
      </c>
      <c r="G457" s="28" t="s">
        <v>1080</v>
      </c>
      <c r="H457" s="28" t="s">
        <v>1081</v>
      </c>
      <c r="I457" s="28" t="s">
        <v>1082</v>
      </c>
      <c r="J457" s="28" t="s">
        <v>1083</v>
      </c>
      <c r="K457" s="28" t="s">
        <v>1084</v>
      </c>
      <c r="L457" s="25"/>
      <c r="M457" s="25"/>
    </row>
    <row r="458" spans="1:13" ht="15.2" customHeight="1" thickBot="1" x14ac:dyDescent="0.25">
      <c r="A458" s="25"/>
      <c r="B458" s="25"/>
      <c r="C458" s="25"/>
      <c r="D458" s="29"/>
      <c r="E458" s="30"/>
      <c r="F458" s="31">
        <v>1</v>
      </c>
      <c r="G458" s="32"/>
      <c r="H458" s="32"/>
      <c r="I458" s="32"/>
      <c r="J458" s="34">
        <f>ROUND(F458,3)</f>
        <v>1</v>
      </c>
      <c r="K458" s="37">
        <f>SUM(J458:J458)</f>
        <v>1</v>
      </c>
      <c r="L458" s="25"/>
      <c r="M458" s="25"/>
    </row>
    <row r="459" spans="1:13" ht="15.4" customHeight="1" thickBot="1" x14ac:dyDescent="0.25">
      <c r="A459" s="10" t="s">
        <v>1085</v>
      </c>
      <c r="B459" s="5" t="s">
        <v>1086</v>
      </c>
      <c r="C459" s="5" t="s">
        <v>1087</v>
      </c>
      <c r="D459" s="82" t="s">
        <v>1088</v>
      </c>
      <c r="E459" s="82"/>
      <c r="F459" s="82"/>
      <c r="G459" s="82"/>
      <c r="H459" s="82"/>
      <c r="I459" s="82"/>
      <c r="J459" s="82"/>
      <c r="K459" s="23">
        <f>SUM(K462:K462)</f>
        <v>1</v>
      </c>
      <c r="L459" s="24">
        <f>ROUND(3301.887*(1+M2/100),2)</f>
        <v>3500</v>
      </c>
      <c r="M459" s="24">
        <f>ROUND(K459*L459,2)</f>
        <v>3500</v>
      </c>
    </row>
    <row r="460" spans="1:13" ht="12.2" customHeight="1" thickBot="1" x14ac:dyDescent="0.25">
      <c r="A460" s="25"/>
      <c r="B460" s="25"/>
      <c r="C460" s="25"/>
      <c r="D460" s="82" t="s">
        <v>1089</v>
      </c>
      <c r="E460" s="82"/>
      <c r="F460" s="82"/>
      <c r="G460" s="82"/>
      <c r="H460" s="82"/>
      <c r="I460" s="82"/>
      <c r="J460" s="82"/>
      <c r="K460" s="82"/>
      <c r="L460" s="82"/>
      <c r="M460" s="82"/>
    </row>
    <row r="461" spans="1:13" ht="15.2" customHeight="1" thickBot="1" x14ac:dyDescent="0.25">
      <c r="A461" s="25"/>
      <c r="B461" s="25"/>
      <c r="C461" s="25"/>
      <c r="D461" s="25"/>
      <c r="E461" s="26"/>
      <c r="F461" s="28" t="s">
        <v>1090</v>
      </c>
      <c r="G461" s="28" t="s">
        <v>1091</v>
      </c>
      <c r="H461" s="28" t="s">
        <v>1092</v>
      </c>
      <c r="I461" s="28" t="s">
        <v>1093</v>
      </c>
      <c r="J461" s="28" t="s">
        <v>1094</v>
      </c>
      <c r="K461" s="28" t="s">
        <v>1095</v>
      </c>
      <c r="L461" s="25"/>
      <c r="M461" s="25"/>
    </row>
    <row r="462" spans="1:13" ht="15.2" customHeight="1" thickBot="1" x14ac:dyDescent="0.25">
      <c r="A462" s="25"/>
      <c r="B462" s="25"/>
      <c r="C462" s="25"/>
      <c r="D462" s="29"/>
      <c r="E462" s="30"/>
      <c r="F462" s="31">
        <v>1</v>
      </c>
      <c r="G462" s="32"/>
      <c r="H462" s="32"/>
      <c r="I462" s="32"/>
      <c r="J462" s="34">
        <f>ROUND(F462,3)</f>
        <v>1</v>
      </c>
      <c r="K462" s="37">
        <f>SUM(J462:J462)</f>
        <v>1</v>
      </c>
      <c r="L462" s="25"/>
      <c r="M462" s="25"/>
    </row>
    <row r="463" spans="1:13" ht="15.4" customHeight="1" thickBot="1" x14ac:dyDescent="0.25">
      <c r="A463" s="10" t="s">
        <v>1096</v>
      </c>
      <c r="B463" s="5" t="s">
        <v>1097</v>
      </c>
      <c r="C463" s="5" t="s">
        <v>1098</v>
      </c>
      <c r="D463" s="82" t="s">
        <v>1099</v>
      </c>
      <c r="E463" s="82"/>
      <c r="F463" s="82"/>
      <c r="G463" s="82"/>
      <c r="H463" s="82"/>
      <c r="I463" s="82"/>
      <c r="J463" s="82"/>
      <c r="K463" s="23">
        <f>SUM(K466:K466)</f>
        <v>1</v>
      </c>
      <c r="L463" s="24">
        <f>ROUND(3773.585*(1+M2/100),2)</f>
        <v>4000</v>
      </c>
      <c r="M463" s="24">
        <f>ROUND(K463*L463,2)</f>
        <v>4000</v>
      </c>
    </row>
    <row r="464" spans="1:13" ht="12.2" customHeight="1" thickBot="1" x14ac:dyDescent="0.25">
      <c r="A464" s="25"/>
      <c r="B464" s="25"/>
      <c r="C464" s="25"/>
      <c r="D464" s="82" t="s">
        <v>1100</v>
      </c>
      <c r="E464" s="82"/>
      <c r="F464" s="82"/>
      <c r="G464" s="82"/>
      <c r="H464" s="82"/>
      <c r="I464" s="82"/>
      <c r="J464" s="82"/>
      <c r="K464" s="82"/>
      <c r="L464" s="82"/>
      <c r="M464" s="82"/>
    </row>
    <row r="465" spans="1:13" ht="15.2" customHeight="1" thickBot="1" x14ac:dyDescent="0.25">
      <c r="A465" s="25"/>
      <c r="B465" s="25"/>
      <c r="C465" s="25"/>
      <c r="D465" s="25"/>
      <c r="E465" s="26"/>
      <c r="F465" s="28" t="s">
        <v>1101</v>
      </c>
      <c r="G465" s="28" t="s">
        <v>1102</v>
      </c>
      <c r="H465" s="28" t="s">
        <v>1103</v>
      </c>
      <c r="I465" s="28" t="s">
        <v>1104</v>
      </c>
      <c r="J465" s="28" t="s">
        <v>1105</v>
      </c>
      <c r="K465" s="28" t="s">
        <v>1106</v>
      </c>
      <c r="L465" s="25"/>
      <c r="M465" s="25"/>
    </row>
    <row r="466" spans="1:13" ht="15.2" customHeight="1" thickBot="1" x14ac:dyDescent="0.25">
      <c r="A466" s="25"/>
      <c r="B466" s="25"/>
      <c r="C466" s="25"/>
      <c r="D466" s="29"/>
      <c r="E466" s="30"/>
      <c r="F466" s="31">
        <v>1</v>
      </c>
      <c r="G466" s="32"/>
      <c r="H466" s="32"/>
      <c r="I466" s="32"/>
      <c r="J466" s="34">
        <f>ROUND(F466,3)</f>
        <v>1</v>
      </c>
      <c r="K466" s="37">
        <f>SUM(J466:J466)</f>
        <v>1</v>
      </c>
      <c r="L466" s="25"/>
      <c r="M466" s="25"/>
    </row>
    <row r="467" spans="1:13" ht="15.4" customHeight="1" thickBot="1" x14ac:dyDescent="0.25">
      <c r="A467" s="38"/>
      <c r="B467" s="38"/>
      <c r="C467" s="38"/>
      <c r="D467" s="65" t="s">
        <v>1107</v>
      </c>
      <c r="E467" s="66"/>
      <c r="F467" s="66"/>
      <c r="G467" s="66"/>
      <c r="H467" s="66"/>
      <c r="I467" s="66"/>
      <c r="J467" s="66"/>
      <c r="K467" s="66"/>
      <c r="L467" s="67">
        <f>M435+M439+M443+M447+M451+M455+M459+M463</f>
        <v>109000</v>
      </c>
      <c r="M467" s="67">
        <f>ROUND(L467,2)</f>
        <v>109000</v>
      </c>
    </row>
    <row r="468" spans="1:13" ht="15.4" customHeight="1" thickBot="1" x14ac:dyDescent="0.25">
      <c r="A468" s="45"/>
      <c r="B468" s="45"/>
      <c r="C468" s="45"/>
      <c r="D468" s="68" t="s">
        <v>1108</v>
      </c>
      <c r="E468" s="69"/>
      <c r="F468" s="69"/>
      <c r="G468" s="69"/>
      <c r="H468" s="69"/>
      <c r="I468" s="69"/>
      <c r="J468" s="69"/>
      <c r="K468" s="69"/>
      <c r="L468" s="70">
        <f>M419+M433+M467</f>
        <v>653305.27</v>
      </c>
      <c r="M468" s="70">
        <f>ROUND(L468,2)</f>
        <v>653305.27</v>
      </c>
    </row>
    <row r="469" spans="1:13" ht="15.4" customHeight="1" thickBot="1" x14ac:dyDescent="0.25">
      <c r="A469" s="71" t="s">
        <v>1109</v>
      </c>
      <c r="B469" s="71" t="s">
        <v>1110</v>
      </c>
      <c r="C469" s="72"/>
      <c r="D469" s="87" t="s">
        <v>1111</v>
      </c>
      <c r="E469" s="87"/>
      <c r="F469" s="87"/>
      <c r="G469" s="87"/>
      <c r="H469" s="87"/>
      <c r="I469" s="87"/>
      <c r="J469" s="87"/>
      <c r="K469" s="72"/>
      <c r="L469" s="73">
        <f>L786</f>
        <v>513111.55</v>
      </c>
      <c r="M469" s="73">
        <f>ROUND(L469,2)</f>
        <v>513111.55</v>
      </c>
    </row>
    <row r="470" spans="1:13" ht="15.4" customHeight="1" thickBot="1" x14ac:dyDescent="0.25">
      <c r="A470" s="17" t="s">
        <v>1112</v>
      </c>
      <c r="B470" s="17" t="s">
        <v>1113</v>
      </c>
      <c r="C470" s="18"/>
      <c r="D470" s="80" t="s">
        <v>1114</v>
      </c>
      <c r="E470" s="80"/>
      <c r="F470" s="80"/>
      <c r="G470" s="80"/>
      <c r="H470" s="80"/>
      <c r="I470" s="80"/>
      <c r="J470" s="80"/>
      <c r="K470" s="18"/>
      <c r="L470" s="19">
        <f>L503</f>
        <v>197216.26</v>
      </c>
      <c r="M470" s="19">
        <f>ROUND(L470,2)</f>
        <v>197216.26</v>
      </c>
    </row>
    <row r="471" spans="1:13" ht="15.4" customHeight="1" thickBot="1" x14ac:dyDescent="0.25">
      <c r="A471" s="10" t="s">
        <v>1115</v>
      </c>
      <c r="B471" s="5" t="s">
        <v>1116</v>
      </c>
      <c r="C471" s="5" t="s">
        <v>1117</v>
      </c>
      <c r="D471" s="82" t="s">
        <v>1118</v>
      </c>
      <c r="E471" s="82"/>
      <c r="F471" s="82"/>
      <c r="G471" s="82"/>
      <c r="H471" s="82"/>
      <c r="I471" s="82"/>
      <c r="J471" s="82"/>
      <c r="K471" s="23">
        <f>SUM(K474:K474)</f>
        <v>1</v>
      </c>
      <c r="L471" s="24">
        <f>ROUND(41704.54*(1+M2/100),2)</f>
        <v>44206.81</v>
      </c>
      <c r="M471" s="24">
        <f>ROUND(K471*L471,2)</f>
        <v>44206.81</v>
      </c>
    </row>
    <row r="472" spans="1:13" ht="86.1" customHeight="1" thickBot="1" x14ac:dyDescent="0.25">
      <c r="A472" s="25"/>
      <c r="B472" s="25"/>
      <c r="C472" s="25"/>
      <c r="D472" s="82" t="s">
        <v>1119</v>
      </c>
      <c r="E472" s="82"/>
      <c r="F472" s="82"/>
      <c r="G472" s="82"/>
      <c r="H472" s="82"/>
      <c r="I472" s="82"/>
      <c r="J472" s="82"/>
      <c r="K472" s="82"/>
      <c r="L472" s="82"/>
      <c r="M472" s="82"/>
    </row>
    <row r="473" spans="1:13" ht="15.2" customHeight="1" thickBot="1" x14ac:dyDescent="0.25">
      <c r="A473" s="25"/>
      <c r="B473" s="25"/>
      <c r="C473" s="25"/>
      <c r="D473" s="25"/>
      <c r="E473" s="26"/>
      <c r="F473" s="28" t="s">
        <v>1120</v>
      </c>
      <c r="G473" s="28" t="s">
        <v>1121</v>
      </c>
      <c r="H473" s="28" t="s">
        <v>1122</v>
      </c>
      <c r="I473" s="28" t="s">
        <v>1123</v>
      </c>
      <c r="J473" s="28" t="s">
        <v>1124</v>
      </c>
      <c r="K473" s="28" t="s">
        <v>1125</v>
      </c>
      <c r="L473" s="25"/>
      <c r="M473" s="25"/>
    </row>
    <row r="474" spans="1:13" ht="15.2" customHeight="1" thickBot="1" x14ac:dyDescent="0.25">
      <c r="A474" s="25"/>
      <c r="B474" s="25"/>
      <c r="C474" s="25"/>
      <c r="D474" s="29"/>
      <c r="E474" s="30"/>
      <c r="F474" s="31">
        <v>1</v>
      </c>
      <c r="G474" s="32"/>
      <c r="H474" s="32"/>
      <c r="I474" s="32"/>
      <c r="J474" s="34">
        <f>ROUND(F474,3)</f>
        <v>1</v>
      </c>
      <c r="K474" s="37">
        <f>SUM(J474:J474)</f>
        <v>1</v>
      </c>
      <c r="L474" s="25"/>
      <c r="M474" s="25"/>
    </row>
    <row r="475" spans="1:13" ht="15.4" customHeight="1" thickBot="1" x14ac:dyDescent="0.25">
      <c r="A475" s="10" t="s">
        <v>1126</v>
      </c>
      <c r="B475" s="5" t="s">
        <v>1127</v>
      </c>
      <c r="C475" s="5" t="s">
        <v>1128</v>
      </c>
      <c r="D475" s="82" t="s">
        <v>1129</v>
      </c>
      <c r="E475" s="82"/>
      <c r="F475" s="82"/>
      <c r="G475" s="82"/>
      <c r="H475" s="82"/>
      <c r="I475" s="82"/>
      <c r="J475" s="82"/>
      <c r="K475" s="23">
        <f>SUM(K478:K478)</f>
        <v>1</v>
      </c>
      <c r="L475" s="24">
        <f>ROUND(37735.85*(1+M2/100),2)</f>
        <v>40000</v>
      </c>
      <c r="M475" s="24">
        <f>ROUND(K475*L475,2)</f>
        <v>40000</v>
      </c>
    </row>
    <row r="476" spans="1:13" ht="252.4" customHeight="1" thickBot="1" x14ac:dyDescent="0.25">
      <c r="A476" s="25"/>
      <c r="B476" s="25"/>
      <c r="C476" s="25"/>
      <c r="D476" s="82" t="s">
        <v>1130</v>
      </c>
      <c r="E476" s="82"/>
      <c r="F476" s="82"/>
      <c r="G476" s="82"/>
      <c r="H476" s="82"/>
      <c r="I476" s="82"/>
      <c r="J476" s="82"/>
      <c r="K476" s="82"/>
      <c r="L476" s="82"/>
      <c r="M476" s="82"/>
    </row>
    <row r="477" spans="1:13" ht="15.2" customHeight="1" thickBot="1" x14ac:dyDescent="0.25">
      <c r="A477" s="25"/>
      <c r="B477" s="25"/>
      <c r="C477" s="25"/>
      <c r="D477" s="25"/>
      <c r="E477" s="26"/>
      <c r="F477" s="28" t="s">
        <v>1131</v>
      </c>
      <c r="G477" s="28" t="s">
        <v>1132</v>
      </c>
      <c r="H477" s="28" t="s">
        <v>1133</v>
      </c>
      <c r="I477" s="28" t="s">
        <v>1134</v>
      </c>
      <c r="J477" s="28" t="s">
        <v>1135</v>
      </c>
      <c r="K477" s="28" t="s">
        <v>1136</v>
      </c>
      <c r="L477" s="25"/>
      <c r="M477" s="25"/>
    </row>
    <row r="478" spans="1:13" ht="15.2" customHeight="1" thickBot="1" x14ac:dyDescent="0.25">
      <c r="A478" s="25"/>
      <c r="B478" s="25"/>
      <c r="C478" s="25"/>
      <c r="D478" s="29"/>
      <c r="E478" s="30"/>
      <c r="F478" s="31">
        <v>1</v>
      </c>
      <c r="G478" s="32"/>
      <c r="H478" s="32"/>
      <c r="I478" s="32"/>
      <c r="J478" s="34">
        <f>ROUND(F478,3)</f>
        <v>1</v>
      </c>
      <c r="K478" s="37">
        <f>SUM(J478:J478)</f>
        <v>1</v>
      </c>
      <c r="L478" s="25"/>
      <c r="M478" s="25"/>
    </row>
    <row r="479" spans="1:13" ht="15.4" customHeight="1" thickBot="1" x14ac:dyDescent="0.25">
      <c r="A479" s="10" t="s">
        <v>1137</v>
      </c>
      <c r="B479" s="5" t="s">
        <v>1138</v>
      </c>
      <c r="C479" s="5" t="s">
        <v>1139</v>
      </c>
      <c r="D479" s="82" t="s">
        <v>1140</v>
      </c>
      <c r="E479" s="82"/>
      <c r="F479" s="82"/>
      <c r="G479" s="82"/>
      <c r="H479" s="82"/>
      <c r="I479" s="82"/>
      <c r="J479" s="82"/>
      <c r="K479" s="23">
        <f>SUM(K482:K482)</f>
        <v>25</v>
      </c>
      <c r="L479" s="24">
        <f>ROUND(212.73*(1+M2/100),2)</f>
        <v>225.49</v>
      </c>
      <c r="M479" s="24">
        <f>ROUND(K479*L479,2)</f>
        <v>5637.25</v>
      </c>
    </row>
    <row r="480" spans="1:13" ht="86.1" customHeight="1" thickBot="1" x14ac:dyDescent="0.25">
      <c r="A480" s="25"/>
      <c r="B480" s="25"/>
      <c r="C480" s="25"/>
      <c r="D480" s="82" t="s">
        <v>1141</v>
      </c>
      <c r="E480" s="82"/>
      <c r="F480" s="82"/>
      <c r="G480" s="82"/>
      <c r="H480" s="82"/>
      <c r="I480" s="82"/>
      <c r="J480" s="82"/>
      <c r="K480" s="82"/>
      <c r="L480" s="82"/>
      <c r="M480" s="82"/>
    </row>
    <row r="481" spans="1:13" ht="15.2" customHeight="1" thickBot="1" x14ac:dyDescent="0.25">
      <c r="A481" s="25"/>
      <c r="B481" s="25"/>
      <c r="C481" s="25"/>
      <c r="D481" s="25"/>
      <c r="E481" s="26"/>
      <c r="F481" s="28" t="s">
        <v>1142</v>
      </c>
      <c r="G481" s="28" t="s">
        <v>1143</v>
      </c>
      <c r="H481" s="28" t="s">
        <v>1144</v>
      </c>
      <c r="I481" s="28" t="s">
        <v>1145</v>
      </c>
      <c r="J481" s="28" t="s">
        <v>1146</v>
      </c>
      <c r="K481" s="28" t="s">
        <v>1147</v>
      </c>
      <c r="L481" s="25"/>
      <c r="M481" s="25"/>
    </row>
    <row r="482" spans="1:13" ht="30.6" customHeight="1" thickBot="1" x14ac:dyDescent="0.25">
      <c r="A482" s="25"/>
      <c r="B482" s="25"/>
      <c r="C482" s="25"/>
      <c r="D482" s="29"/>
      <c r="E482" s="30" t="s">
        <v>1148</v>
      </c>
      <c r="F482" s="31">
        <v>1</v>
      </c>
      <c r="G482" s="32">
        <v>25</v>
      </c>
      <c r="H482" s="32"/>
      <c r="I482" s="32"/>
      <c r="J482" s="34">
        <f>ROUND(F482*G482,3)</f>
        <v>25</v>
      </c>
      <c r="K482" s="37">
        <f>SUM(J482:J482)</f>
        <v>25</v>
      </c>
      <c r="L482" s="25"/>
      <c r="M482" s="25"/>
    </row>
    <row r="483" spans="1:13" ht="15.4" customHeight="1" thickBot="1" x14ac:dyDescent="0.25">
      <c r="A483" s="10" t="s">
        <v>1149</v>
      </c>
      <c r="B483" s="5" t="s">
        <v>1150</v>
      </c>
      <c r="C483" s="5" t="s">
        <v>1151</v>
      </c>
      <c r="D483" s="82" t="s">
        <v>1152</v>
      </c>
      <c r="E483" s="82"/>
      <c r="F483" s="82"/>
      <c r="G483" s="82"/>
      <c r="H483" s="82"/>
      <c r="I483" s="82"/>
      <c r="J483" s="82"/>
      <c r="K483" s="23">
        <f>SUM(K486:K486)</f>
        <v>25</v>
      </c>
      <c r="L483" s="24">
        <f>ROUND(137.23*(1+M2/100),2)</f>
        <v>145.46</v>
      </c>
      <c r="M483" s="24">
        <f>ROUND(K483*L483,2)</f>
        <v>3636.5</v>
      </c>
    </row>
    <row r="484" spans="1:13" ht="86.1" customHeight="1" thickBot="1" x14ac:dyDescent="0.25">
      <c r="A484" s="25"/>
      <c r="B484" s="25"/>
      <c r="C484" s="25"/>
      <c r="D484" s="82" t="s">
        <v>1153</v>
      </c>
      <c r="E484" s="82"/>
      <c r="F484" s="82"/>
      <c r="G484" s="82"/>
      <c r="H484" s="82"/>
      <c r="I484" s="82"/>
      <c r="J484" s="82"/>
      <c r="K484" s="82"/>
      <c r="L484" s="82"/>
      <c r="M484" s="82"/>
    </row>
    <row r="485" spans="1:13" ht="15.2" customHeight="1" thickBot="1" x14ac:dyDescent="0.25">
      <c r="A485" s="25"/>
      <c r="B485" s="25"/>
      <c r="C485" s="25"/>
      <c r="D485" s="25"/>
      <c r="E485" s="26"/>
      <c r="F485" s="28" t="s">
        <v>1154</v>
      </c>
      <c r="G485" s="28" t="s">
        <v>1155</v>
      </c>
      <c r="H485" s="28" t="s">
        <v>1156</v>
      </c>
      <c r="I485" s="28" t="s">
        <v>1157</v>
      </c>
      <c r="J485" s="28" t="s">
        <v>1158</v>
      </c>
      <c r="K485" s="28" t="s">
        <v>1159</v>
      </c>
      <c r="L485" s="25"/>
      <c r="M485" s="25"/>
    </row>
    <row r="486" spans="1:13" ht="30.6" customHeight="1" thickBot="1" x14ac:dyDescent="0.25">
      <c r="A486" s="25"/>
      <c r="B486" s="25"/>
      <c r="C486" s="25"/>
      <c r="D486" s="29"/>
      <c r="E486" s="30" t="s">
        <v>1160</v>
      </c>
      <c r="F486" s="31">
        <v>1</v>
      </c>
      <c r="G486" s="32">
        <v>25</v>
      </c>
      <c r="H486" s="32"/>
      <c r="I486" s="32"/>
      <c r="J486" s="34">
        <f>ROUND(F486*G486,3)</f>
        <v>25</v>
      </c>
      <c r="K486" s="37">
        <f>SUM(J486:J486)</f>
        <v>25</v>
      </c>
      <c r="L486" s="25"/>
      <c r="M486" s="25"/>
    </row>
    <row r="487" spans="1:13" ht="15.4" customHeight="1" thickBot="1" x14ac:dyDescent="0.25">
      <c r="A487" s="10" t="s">
        <v>1161</v>
      </c>
      <c r="B487" s="5" t="s">
        <v>1162</v>
      </c>
      <c r="C487" s="5" t="s">
        <v>1163</v>
      </c>
      <c r="D487" s="82" t="s">
        <v>1164</v>
      </c>
      <c r="E487" s="82"/>
      <c r="F487" s="82"/>
      <c r="G487" s="82"/>
      <c r="H487" s="82"/>
      <c r="I487" s="82"/>
      <c r="J487" s="82"/>
      <c r="K487" s="23">
        <f>SUM(K490:K490)</f>
        <v>10</v>
      </c>
      <c r="L487" s="24">
        <f>ROUND(99.85*(1+M2/100),2)</f>
        <v>105.84</v>
      </c>
      <c r="M487" s="24">
        <f>ROUND(K487*L487,2)</f>
        <v>1058.4000000000001</v>
      </c>
    </row>
    <row r="488" spans="1:13" ht="86.1" customHeight="1" thickBot="1" x14ac:dyDescent="0.25">
      <c r="A488" s="25"/>
      <c r="B488" s="25"/>
      <c r="C488" s="25"/>
      <c r="D488" s="82" t="s">
        <v>1165</v>
      </c>
      <c r="E488" s="82"/>
      <c r="F488" s="82"/>
      <c r="G488" s="82"/>
      <c r="H488" s="82"/>
      <c r="I488" s="82"/>
      <c r="J488" s="82"/>
      <c r="K488" s="82"/>
      <c r="L488" s="82"/>
      <c r="M488" s="82"/>
    </row>
    <row r="489" spans="1:13" ht="15.2" customHeight="1" thickBot="1" x14ac:dyDescent="0.25">
      <c r="A489" s="25"/>
      <c r="B489" s="25"/>
      <c r="C489" s="25"/>
      <c r="D489" s="25"/>
      <c r="E489" s="26"/>
      <c r="F489" s="28" t="s">
        <v>1166</v>
      </c>
      <c r="G489" s="28" t="s">
        <v>1167</v>
      </c>
      <c r="H489" s="28" t="s">
        <v>1168</v>
      </c>
      <c r="I489" s="28" t="s">
        <v>1169</v>
      </c>
      <c r="J489" s="28" t="s">
        <v>1170</v>
      </c>
      <c r="K489" s="28" t="s">
        <v>1171</v>
      </c>
      <c r="L489" s="25"/>
      <c r="M489" s="25"/>
    </row>
    <row r="490" spans="1:13" ht="21.4" customHeight="1" thickBot="1" x14ac:dyDescent="0.25">
      <c r="A490" s="25"/>
      <c r="B490" s="25"/>
      <c r="C490" s="25"/>
      <c r="D490" s="29"/>
      <c r="E490" s="30" t="s">
        <v>1172</v>
      </c>
      <c r="F490" s="31">
        <v>1</v>
      </c>
      <c r="G490" s="32">
        <v>10</v>
      </c>
      <c r="H490" s="32"/>
      <c r="I490" s="32"/>
      <c r="J490" s="34">
        <f>ROUND(F490*G490,3)</f>
        <v>10</v>
      </c>
      <c r="K490" s="37">
        <f>SUM(J490:J490)</f>
        <v>10</v>
      </c>
      <c r="L490" s="25"/>
      <c r="M490" s="25"/>
    </row>
    <row r="491" spans="1:13" ht="15.4" customHeight="1" thickBot="1" x14ac:dyDescent="0.25">
      <c r="A491" s="10" t="s">
        <v>1173</v>
      </c>
      <c r="B491" s="5" t="s">
        <v>1174</v>
      </c>
      <c r="C491" s="5" t="s">
        <v>1175</v>
      </c>
      <c r="D491" s="82" t="s">
        <v>1176</v>
      </c>
      <c r="E491" s="82"/>
      <c r="F491" s="82"/>
      <c r="G491" s="82"/>
      <c r="H491" s="82"/>
      <c r="I491" s="82"/>
      <c r="J491" s="82"/>
      <c r="K491" s="23">
        <f>SUM(K494:K494)</f>
        <v>10</v>
      </c>
      <c r="L491" s="24">
        <f>ROUND(87.42*(1+M2/100),2)</f>
        <v>92.67</v>
      </c>
      <c r="M491" s="24">
        <f>ROUND(K491*L491,2)</f>
        <v>926.7</v>
      </c>
    </row>
    <row r="492" spans="1:13" ht="86.1" customHeight="1" thickBot="1" x14ac:dyDescent="0.25">
      <c r="A492" s="25"/>
      <c r="B492" s="25"/>
      <c r="C492" s="25"/>
      <c r="D492" s="82" t="s">
        <v>1177</v>
      </c>
      <c r="E492" s="82"/>
      <c r="F492" s="82"/>
      <c r="G492" s="82"/>
      <c r="H492" s="82"/>
      <c r="I492" s="82"/>
      <c r="J492" s="82"/>
      <c r="K492" s="82"/>
      <c r="L492" s="82"/>
      <c r="M492" s="82"/>
    </row>
    <row r="493" spans="1:13" ht="15.2" customHeight="1" thickBot="1" x14ac:dyDescent="0.25">
      <c r="A493" s="25"/>
      <c r="B493" s="25"/>
      <c r="C493" s="25"/>
      <c r="D493" s="25"/>
      <c r="E493" s="26"/>
      <c r="F493" s="28" t="s">
        <v>1178</v>
      </c>
      <c r="G493" s="28" t="s">
        <v>1179</v>
      </c>
      <c r="H493" s="28" t="s">
        <v>1180</v>
      </c>
      <c r="I493" s="28" t="s">
        <v>1181</v>
      </c>
      <c r="J493" s="28" t="s">
        <v>1182</v>
      </c>
      <c r="K493" s="28" t="s">
        <v>1183</v>
      </c>
      <c r="L493" s="25"/>
      <c r="M493" s="25"/>
    </row>
    <row r="494" spans="1:13" ht="21.4" customHeight="1" thickBot="1" x14ac:dyDescent="0.25">
      <c r="A494" s="25"/>
      <c r="B494" s="25"/>
      <c r="C494" s="25"/>
      <c r="D494" s="29"/>
      <c r="E494" s="30" t="s">
        <v>1184</v>
      </c>
      <c r="F494" s="31">
        <v>1</v>
      </c>
      <c r="G494" s="32">
        <v>10</v>
      </c>
      <c r="H494" s="32"/>
      <c r="I494" s="32"/>
      <c r="J494" s="34">
        <f>ROUND(F494*G494,3)</f>
        <v>10</v>
      </c>
      <c r="K494" s="37">
        <f>SUM(J494:J494)</f>
        <v>10</v>
      </c>
      <c r="L494" s="25"/>
      <c r="M494" s="25"/>
    </row>
    <row r="495" spans="1:13" ht="15.4" customHeight="1" thickBot="1" x14ac:dyDescent="0.25">
      <c r="A495" s="10" t="s">
        <v>1185</v>
      </c>
      <c r="B495" s="5" t="s">
        <v>1186</v>
      </c>
      <c r="C495" s="5" t="s">
        <v>1187</v>
      </c>
      <c r="D495" s="82" t="s">
        <v>1188</v>
      </c>
      <c r="E495" s="82"/>
      <c r="F495" s="82"/>
      <c r="G495" s="82"/>
      <c r="H495" s="82"/>
      <c r="I495" s="82"/>
      <c r="J495" s="82"/>
      <c r="K495" s="23">
        <f>SUM(K498:K498)</f>
        <v>1</v>
      </c>
      <c r="L495" s="24">
        <f>ROUND(14858.49*(1+M2/100),2)</f>
        <v>15750</v>
      </c>
      <c r="M495" s="24">
        <f>ROUND(K495*L495,2)</f>
        <v>15750</v>
      </c>
    </row>
    <row r="496" spans="1:13" ht="21.4" customHeight="1" thickBot="1" x14ac:dyDescent="0.25">
      <c r="A496" s="25"/>
      <c r="B496" s="25"/>
      <c r="C496" s="25"/>
      <c r="D496" s="82" t="s">
        <v>1189</v>
      </c>
      <c r="E496" s="82"/>
      <c r="F496" s="82"/>
      <c r="G496" s="82"/>
      <c r="H496" s="82"/>
      <c r="I496" s="82"/>
      <c r="J496" s="82"/>
      <c r="K496" s="82"/>
      <c r="L496" s="82"/>
      <c r="M496" s="82"/>
    </row>
    <row r="497" spans="1:13" ht="15.2" customHeight="1" thickBot="1" x14ac:dyDescent="0.25">
      <c r="A497" s="25"/>
      <c r="B497" s="25"/>
      <c r="C497" s="25"/>
      <c r="D497" s="25"/>
      <c r="E497" s="26"/>
      <c r="F497" s="28" t="s">
        <v>1190</v>
      </c>
      <c r="G497" s="28" t="s">
        <v>1191</v>
      </c>
      <c r="H497" s="28" t="s">
        <v>1192</v>
      </c>
      <c r="I497" s="28" t="s">
        <v>1193</v>
      </c>
      <c r="J497" s="28" t="s">
        <v>1194</v>
      </c>
      <c r="K497" s="28" t="s">
        <v>1195</v>
      </c>
      <c r="L497" s="25"/>
      <c r="M497" s="25"/>
    </row>
    <row r="498" spans="1:13" ht="15.2" customHeight="1" thickBot="1" x14ac:dyDescent="0.25">
      <c r="A498" s="25"/>
      <c r="B498" s="25"/>
      <c r="C498" s="25"/>
      <c r="D498" s="29"/>
      <c r="E498" s="30"/>
      <c r="F498" s="31">
        <v>1</v>
      </c>
      <c r="G498" s="32"/>
      <c r="H498" s="32"/>
      <c r="I498" s="32"/>
      <c r="J498" s="34">
        <f>ROUND(F498,3)</f>
        <v>1</v>
      </c>
      <c r="K498" s="37">
        <f>SUM(J498:J498)</f>
        <v>1</v>
      </c>
      <c r="L498" s="25"/>
      <c r="M498" s="25"/>
    </row>
    <row r="499" spans="1:13" ht="15.4" customHeight="1" thickBot="1" x14ac:dyDescent="0.25">
      <c r="A499" s="10" t="s">
        <v>1196</v>
      </c>
      <c r="B499" s="5" t="s">
        <v>1197</v>
      </c>
      <c r="C499" s="5" t="s">
        <v>1198</v>
      </c>
      <c r="D499" s="82" t="s">
        <v>1199</v>
      </c>
      <c r="E499" s="82"/>
      <c r="F499" s="82"/>
      <c r="G499" s="82"/>
      <c r="H499" s="82"/>
      <c r="I499" s="82"/>
      <c r="J499" s="82"/>
      <c r="K499" s="23">
        <f>SUM(K502:K502)</f>
        <v>1</v>
      </c>
      <c r="L499" s="24">
        <f>ROUND(81132.64*(1+M2/100),2)</f>
        <v>86000.6</v>
      </c>
      <c r="M499" s="24">
        <f>ROUND(K499*L499,2)</f>
        <v>86000.6</v>
      </c>
    </row>
    <row r="500" spans="1:13" ht="261.60000000000002" customHeight="1" thickBot="1" x14ac:dyDescent="0.25">
      <c r="A500" s="25"/>
      <c r="B500" s="25"/>
      <c r="C500" s="25"/>
      <c r="D500" s="82" t="s">
        <v>1200</v>
      </c>
      <c r="E500" s="82"/>
      <c r="F500" s="82"/>
      <c r="G500" s="82"/>
      <c r="H500" s="82"/>
      <c r="I500" s="82"/>
      <c r="J500" s="82"/>
      <c r="K500" s="82"/>
      <c r="L500" s="82"/>
      <c r="M500" s="82"/>
    </row>
    <row r="501" spans="1:13" ht="15.2" customHeight="1" thickBot="1" x14ac:dyDescent="0.25">
      <c r="A501" s="25"/>
      <c r="B501" s="25"/>
      <c r="C501" s="25"/>
      <c r="D501" s="25"/>
      <c r="E501" s="26"/>
      <c r="F501" s="28" t="s">
        <v>1201</v>
      </c>
      <c r="G501" s="28" t="s">
        <v>1202</v>
      </c>
      <c r="H501" s="28" t="s">
        <v>1203</v>
      </c>
      <c r="I501" s="28" t="s">
        <v>1204</v>
      </c>
      <c r="J501" s="28" t="s">
        <v>1205</v>
      </c>
      <c r="K501" s="28" t="s">
        <v>1206</v>
      </c>
      <c r="L501" s="25"/>
      <c r="M501" s="25"/>
    </row>
    <row r="502" spans="1:13" ht="15.2" customHeight="1" thickBot="1" x14ac:dyDescent="0.25">
      <c r="A502" s="25"/>
      <c r="B502" s="25"/>
      <c r="C502" s="25"/>
      <c r="D502" s="29"/>
      <c r="E502" s="30"/>
      <c r="F502" s="31">
        <v>1</v>
      </c>
      <c r="G502" s="32"/>
      <c r="H502" s="32"/>
      <c r="I502" s="32"/>
      <c r="J502" s="34">
        <f>ROUND(F502,3)</f>
        <v>1</v>
      </c>
      <c r="K502" s="37">
        <f>SUM(J502:J502)</f>
        <v>1</v>
      </c>
      <c r="L502" s="25"/>
      <c r="M502" s="25"/>
    </row>
    <row r="503" spans="1:13" ht="15.4" customHeight="1" thickBot="1" x14ac:dyDescent="0.25">
      <c r="A503" s="38"/>
      <c r="B503" s="38"/>
      <c r="C503" s="38"/>
      <c r="D503" s="65" t="s">
        <v>1207</v>
      </c>
      <c r="E503" s="66"/>
      <c r="F503" s="66"/>
      <c r="G503" s="66"/>
      <c r="H503" s="66"/>
      <c r="I503" s="66"/>
      <c r="J503" s="66"/>
      <c r="K503" s="66"/>
      <c r="L503" s="67">
        <f>M471+M475+M479+M483+M487+M491+M495+M499</f>
        <v>197216.26</v>
      </c>
      <c r="M503" s="67">
        <f>ROUND(L503,2)</f>
        <v>197216.26</v>
      </c>
    </row>
    <row r="504" spans="1:13" ht="15.4" customHeight="1" thickBot="1" x14ac:dyDescent="0.25">
      <c r="A504" s="49" t="s">
        <v>1208</v>
      </c>
      <c r="B504" s="49" t="s">
        <v>1209</v>
      </c>
      <c r="C504" s="50"/>
      <c r="D504" s="84" t="s">
        <v>1210</v>
      </c>
      <c r="E504" s="84"/>
      <c r="F504" s="84"/>
      <c r="G504" s="84"/>
      <c r="H504" s="84"/>
      <c r="I504" s="84"/>
      <c r="J504" s="84"/>
      <c r="K504" s="50"/>
      <c r="L504" s="51">
        <f>L685</f>
        <v>231734.33000000005</v>
      </c>
      <c r="M504" s="51">
        <f>ROUND(L504,2)</f>
        <v>231734.33</v>
      </c>
    </row>
    <row r="505" spans="1:13" ht="15.4" customHeight="1" thickBot="1" x14ac:dyDescent="0.25">
      <c r="A505" s="10" t="s">
        <v>1211</v>
      </c>
      <c r="B505" s="5" t="s">
        <v>1212</v>
      </c>
      <c r="C505" s="5" t="s">
        <v>1213</v>
      </c>
      <c r="D505" s="82" t="s">
        <v>1214</v>
      </c>
      <c r="E505" s="82"/>
      <c r="F505" s="82"/>
      <c r="G505" s="82"/>
      <c r="H505" s="82"/>
      <c r="I505" s="82"/>
      <c r="J505" s="82"/>
      <c r="K505" s="23">
        <f>SUM(K508:K508)</f>
        <v>32</v>
      </c>
      <c r="L505" s="24">
        <f>ROUND(35.17*(1+M2/100),2)</f>
        <v>37.28</v>
      </c>
      <c r="M505" s="24">
        <f>ROUND(K505*L505,2)</f>
        <v>1192.96</v>
      </c>
    </row>
    <row r="506" spans="1:13" ht="49.15" customHeight="1" thickBot="1" x14ac:dyDescent="0.25">
      <c r="A506" s="25"/>
      <c r="B506" s="25"/>
      <c r="C506" s="25"/>
      <c r="D506" s="82" t="s">
        <v>1215</v>
      </c>
      <c r="E506" s="82"/>
      <c r="F506" s="82"/>
      <c r="G506" s="82"/>
      <c r="H506" s="82"/>
      <c r="I506" s="82"/>
      <c r="J506" s="82"/>
      <c r="K506" s="82"/>
      <c r="L506" s="82"/>
      <c r="M506" s="82"/>
    </row>
    <row r="507" spans="1:13" ht="15.2" customHeight="1" thickBot="1" x14ac:dyDescent="0.25">
      <c r="A507" s="25"/>
      <c r="B507" s="25"/>
      <c r="C507" s="25"/>
      <c r="D507" s="25"/>
      <c r="E507" s="26"/>
      <c r="F507" s="28" t="s">
        <v>1216</v>
      </c>
      <c r="G507" s="28" t="s">
        <v>1217</v>
      </c>
      <c r="H507" s="28" t="s">
        <v>1218</v>
      </c>
      <c r="I507" s="28" t="s">
        <v>1219</v>
      </c>
      <c r="J507" s="28" t="s">
        <v>1220</v>
      </c>
      <c r="K507" s="28" t="s">
        <v>1221</v>
      </c>
      <c r="L507" s="25"/>
      <c r="M507" s="25"/>
    </row>
    <row r="508" spans="1:13" ht="15.2" customHeight="1" thickBot="1" x14ac:dyDescent="0.25">
      <c r="A508" s="25"/>
      <c r="B508" s="25"/>
      <c r="C508" s="25"/>
      <c r="D508" s="29"/>
      <c r="E508" s="30"/>
      <c r="F508" s="31">
        <v>32</v>
      </c>
      <c r="G508" s="32"/>
      <c r="H508" s="32"/>
      <c r="I508" s="32"/>
      <c r="J508" s="34">
        <f>ROUND(F508,3)</f>
        <v>32</v>
      </c>
      <c r="K508" s="37">
        <f>SUM(J508:J508)</f>
        <v>32</v>
      </c>
      <c r="L508" s="25"/>
      <c r="M508" s="25"/>
    </row>
    <row r="509" spans="1:13" ht="15.4" customHeight="1" thickBot="1" x14ac:dyDescent="0.25">
      <c r="A509" s="10" t="s">
        <v>1222</v>
      </c>
      <c r="B509" s="5" t="s">
        <v>1223</v>
      </c>
      <c r="C509" s="5" t="s">
        <v>1224</v>
      </c>
      <c r="D509" s="82" t="s">
        <v>1225</v>
      </c>
      <c r="E509" s="82"/>
      <c r="F509" s="82"/>
      <c r="G509" s="82"/>
      <c r="H509" s="82"/>
      <c r="I509" s="82"/>
      <c r="J509" s="82"/>
      <c r="K509" s="23">
        <f>SUM(K512:K512)</f>
        <v>182</v>
      </c>
      <c r="L509" s="24">
        <f>ROUND(42.44*(1+M2/100),2)</f>
        <v>44.99</v>
      </c>
      <c r="M509" s="24">
        <f>ROUND(K509*L509,2)</f>
        <v>8188.18</v>
      </c>
    </row>
    <row r="510" spans="1:13" ht="49.15" customHeight="1" thickBot="1" x14ac:dyDescent="0.25">
      <c r="A510" s="25"/>
      <c r="B510" s="25"/>
      <c r="C510" s="25"/>
      <c r="D510" s="82" t="s">
        <v>1226</v>
      </c>
      <c r="E510" s="82"/>
      <c r="F510" s="82"/>
      <c r="G510" s="82"/>
      <c r="H510" s="82"/>
      <c r="I510" s="82"/>
      <c r="J510" s="82"/>
      <c r="K510" s="82"/>
      <c r="L510" s="82"/>
      <c r="M510" s="82"/>
    </row>
    <row r="511" spans="1:13" ht="15.2" customHeight="1" thickBot="1" x14ac:dyDescent="0.25">
      <c r="A511" s="25"/>
      <c r="B511" s="25"/>
      <c r="C511" s="25"/>
      <c r="D511" s="25"/>
      <c r="E511" s="26"/>
      <c r="F511" s="28" t="s">
        <v>1227</v>
      </c>
      <c r="G511" s="28" t="s">
        <v>1228</v>
      </c>
      <c r="H511" s="28" t="s">
        <v>1229</v>
      </c>
      <c r="I511" s="28" t="s">
        <v>1230</v>
      </c>
      <c r="J511" s="28" t="s">
        <v>1231</v>
      </c>
      <c r="K511" s="28" t="s">
        <v>1232</v>
      </c>
      <c r="L511" s="25"/>
      <c r="M511" s="25"/>
    </row>
    <row r="512" spans="1:13" ht="15.2" customHeight="1" thickBot="1" x14ac:dyDescent="0.25">
      <c r="A512" s="25"/>
      <c r="B512" s="25"/>
      <c r="C512" s="25"/>
      <c r="D512" s="29"/>
      <c r="E512" s="30"/>
      <c r="F512" s="31">
        <v>182</v>
      </c>
      <c r="G512" s="32"/>
      <c r="H512" s="32"/>
      <c r="I512" s="32"/>
      <c r="J512" s="34">
        <f>ROUND(F512,3)</f>
        <v>182</v>
      </c>
      <c r="K512" s="37">
        <f>SUM(J512:J512)</f>
        <v>182</v>
      </c>
      <c r="L512" s="25"/>
      <c r="M512" s="25"/>
    </row>
    <row r="513" spans="1:13" ht="15.4" customHeight="1" thickBot="1" x14ac:dyDescent="0.25">
      <c r="A513" s="10" t="s">
        <v>1233</v>
      </c>
      <c r="B513" s="5" t="s">
        <v>1234</v>
      </c>
      <c r="C513" s="5" t="s">
        <v>1235</v>
      </c>
      <c r="D513" s="82" t="s">
        <v>1236</v>
      </c>
      <c r="E513" s="82"/>
      <c r="F513" s="82"/>
      <c r="G513" s="82"/>
      <c r="H513" s="82"/>
      <c r="I513" s="82"/>
      <c r="J513" s="82"/>
      <c r="K513" s="23">
        <f>SUM(K516:K516)</f>
        <v>71</v>
      </c>
      <c r="L513" s="24">
        <f>ROUND(60.71*(1+M2/100),2)</f>
        <v>64.349999999999994</v>
      </c>
      <c r="M513" s="24">
        <f>ROUND(K513*L513,2)</f>
        <v>4568.8500000000004</v>
      </c>
    </row>
    <row r="514" spans="1:13" ht="39.75" customHeight="1" thickBot="1" x14ac:dyDescent="0.25">
      <c r="A514" s="25"/>
      <c r="B514" s="25"/>
      <c r="C514" s="25"/>
      <c r="D514" s="82" t="s">
        <v>1237</v>
      </c>
      <c r="E514" s="82"/>
      <c r="F514" s="82"/>
      <c r="G514" s="82"/>
      <c r="H514" s="82"/>
      <c r="I514" s="82"/>
      <c r="J514" s="82"/>
      <c r="K514" s="82"/>
      <c r="L514" s="82"/>
      <c r="M514" s="82"/>
    </row>
    <row r="515" spans="1:13" ht="15.2" customHeight="1" thickBot="1" x14ac:dyDescent="0.25">
      <c r="A515" s="25"/>
      <c r="B515" s="25"/>
      <c r="C515" s="25"/>
      <c r="D515" s="25"/>
      <c r="E515" s="26"/>
      <c r="F515" s="28" t="s">
        <v>1238</v>
      </c>
      <c r="G515" s="28" t="s">
        <v>1239</v>
      </c>
      <c r="H515" s="28" t="s">
        <v>1240</v>
      </c>
      <c r="I515" s="28" t="s">
        <v>1241</v>
      </c>
      <c r="J515" s="28" t="s">
        <v>1242</v>
      </c>
      <c r="K515" s="28" t="s">
        <v>1243</v>
      </c>
      <c r="L515" s="25"/>
      <c r="M515" s="25"/>
    </row>
    <row r="516" spans="1:13" ht="15.2" customHeight="1" thickBot="1" x14ac:dyDescent="0.25">
      <c r="A516" s="25"/>
      <c r="B516" s="25"/>
      <c r="C516" s="25"/>
      <c r="D516" s="29"/>
      <c r="E516" s="30" t="s">
        <v>1244</v>
      </c>
      <c r="F516" s="31">
        <v>71</v>
      </c>
      <c r="G516" s="32"/>
      <c r="H516" s="32"/>
      <c r="I516" s="32"/>
      <c r="J516" s="34">
        <f>ROUND(F516,3)</f>
        <v>71</v>
      </c>
      <c r="K516" s="37">
        <f>SUM(J516:J516)</f>
        <v>71</v>
      </c>
      <c r="L516" s="25"/>
      <c r="M516" s="25"/>
    </row>
    <row r="517" spans="1:13" ht="15.4" customHeight="1" thickBot="1" x14ac:dyDescent="0.25">
      <c r="A517" s="10" t="s">
        <v>1245</v>
      </c>
      <c r="B517" s="5" t="s">
        <v>1246</v>
      </c>
      <c r="C517" s="5" t="s">
        <v>1247</v>
      </c>
      <c r="D517" s="82" t="s">
        <v>1248</v>
      </c>
      <c r="E517" s="82"/>
      <c r="F517" s="82"/>
      <c r="G517" s="82"/>
      <c r="H517" s="82"/>
      <c r="I517" s="82"/>
      <c r="J517" s="82"/>
      <c r="K517" s="23">
        <f>SUM(K520:K524)</f>
        <v>26</v>
      </c>
      <c r="L517" s="24">
        <f>ROUND(100.87*(1+M2/100),2)</f>
        <v>106.92</v>
      </c>
      <c r="M517" s="24">
        <f>ROUND(K517*L517,2)</f>
        <v>2779.92</v>
      </c>
    </row>
    <row r="518" spans="1:13" ht="49.15" customHeight="1" thickBot="1" x14ac:dyDescent="0.25">
      <c r="A518" s="25"/>
      <c r="B518" s="25"/>
      <c r="C518" s="25"/>
      <c r="D518" s="82" t="s">
        <v>1249</v>
      </c>
      <c r="E518" s="82"/>
      <c r="F518" s="82"/>
      <c r="G518" s="82"/>
      <c r="H518" s="82"/>
      <c r="I518" s="82"/>
      <c r="J518" s="82"/>
      <c r="K518" s="82"/>
      <c r="L518" s="82"/>
      <c r="M518" s="82"/>
    </row>
    <row r="519" spans="1:13" ht="15.2" customHeight="1" thickBot="1" x14ac:dyDescent="0.25">
      <c r="A519" s="25"/>
      <c r="B519" s="25"/>
      <c r="C519" s="25"/>
      <c r="D519" s="25"/>
      <c r="E519" s="26"/>
      <c r="F519" s="28" t="s">
        <v>1250</v>
      </c>
      <c r="G519" s="28" t="s">
        <v>1251</v>
      </c>
      <c r="H519" s="28" t="s">
        <v>1252</v>
      </c>
      <c r="I519" s="28" t="s">
        <v>1253</v>
      </c>
      <c r="J519" s="28" t="s">
        <v>1254</v>
      </c>
      <c r="K519" s="28" t="s">
        <v>1255</v>
      </c>
      <c r="L519" s="25"/>
      <c r="M519" s="25"/>
    </row>
    <row r="520" spans="1:13" ht="15.2" customHeight="1" thickBot="1" x14ac:dyDescent="0.25">
      <c r="A520" s="25"/>
      <c r="B520" s="25"/>
      <c r="C520" s="25"/>
      <c r="D520" s="29"/>
      <c r="E520" s="30" t="s">
        <v>1256</v>
      </c>
      <c r="F520" s="31">
        <v>2</v>
      </c>
      <c r="G520" s="32"/>
      <c r="H520" s="32"/>
      <c r="I520" s="32"/>
      <c r="J520" s="34">
        <f>ROUND(F520,3)</f>
        <v>2</v>
      </c>
      <c r="K520" s="35"/>
      <c r="L520" s="25"/>
      <c r="M520" s="25"/>
    </row>
    <row r="521" spans="1:13" ht="15.2" customHeight="1" thickBot="1" x14ac:dyDescent="0.25">
      <c r="A521" s="25"/>
      <c r="B521" s="25"/>
      <c r="C521" s="25"/>
      <c r="D521" s="29"/>
      <c r="E521" s="5" t="s">
        <v>1257</v>
      </c>
      <c r="F521" s="3">
        <v>10</v>
      </c>
      <c r="G521" s="23"/>
      <c r="H521" s="23"/>
      <c r="I521" s="23"/>
      <c r="J521" s="33">
        <f>ROUND(F521,3)</f>
        <v>10</v>
      </c>
      <c r="K521" s="25"/>
      <c r="L521" s="25"/>
      <c r="M521" s="25"/>
    </row>
    <row r="522" spans="1:13" ht="15.2" customHeight="1" thickBot="1" x14ac:dyDescent="0.25">
      <c r="A522" s="25"/>
      <c r="B522" s="25"/>
      <c r="C522" s="25"/>
      <c r="D522" s="29"/>
      <c r="E522" s="5" t="s">
        <v>1258</v>
      </c>
      <c r="F522" s="3">
        <v>5</v>
      </c>
      <c r="G522" s="23"/>
      <c r="H522" s="23"/>
      <c r="I522" s="23"/>
      <c r="J522" s="33">
        <f>ROUND(F522,3)</f>
        <v>5</v>
      </c>
      <c r="K522" s="25"/>
      <c r="L522" s="25"/>
      <c r="M522" s="25"/>
    </row>
    <row r="523" spans="1:13" ht="15.2" customHeight="1" thickBot="1" x14ac:dyDescent="0.25">
      <c r="A523" s="25"/>
      <c r="B523" s="25"/>
      <c r="C523" s="25"/>
      <c r="D523" s="29"/>
      <c r="E523" s="5" t="s">
        <v>1259</v>
      </c>
      <c r="F523" s="3">
        <v>1</v>
      </c>
      <c r="G523" s="23"/>
      <c r="H523" s="23"/>
      <c r="I523" s="23"/>
      <c r="J523" s="33">
        <f>ROUND(F523,3)</f>
        <v>1</v>
      </c>
      <c r="K523" s="25"/>
      <c r="L523" s="25"/>
      <c r="M523" s="25"/>
    </row>
    <row r="524" spans="1:13" ht="15.2" customHeight="1" thickBot="1" x14ac:dyDescent="0.25">
      <c r="A524" s="25"/>
      <c r="B524" s="25"/>
      <c r="C524" s="25"/>
      <c r="D524" s="29"/>
      <c r="E524" s="5" t="s">
        <v>1260</v>
      </c>
      <c r="F524" s="3">
        <v>8</v>
      </c>
      <c r="G524" s="23"/>
      <c r="H524" s="23"/>
      <c r="I524" s="23"/>
      <c r="J524" s="33">
        <f>ROUND(F524,3)</f>
        <v>8</v>
      </c>
      <c r="K524" s="36">
        <f>SUM(J520:J524)</f>
        <v>26</v>
      </c>
      <c r="L524" s="25"/>
      <c r="M524" s="25"/>
    </row>
    <row r="525" spans="1:13" ht="15.4" customHeight="1" thickBot="1" x14ac:dyDescent="0.25">
      <c r="A525" s="10" t="s">
        <v>1261</v>
      </c>
      <c r="B525" s="5" t="s">
        <v>1262</v>
      </c>
      <c r="C525" s="5" t="s">
        <v>1263</v>
      </c>
      <c r="D525" s="82" t="s">
        <v>1264</v>
      </c>
      <c r="E525" s="82"/>
      <c r="F525" s="82"/>
      <c r="G525" s="82"/>
      <c r="H525" s="82"/>
      <c r="I525" s="82"/>
      <c r="J525" s="82"/>
      <c r="K525" s="23">
        <f>SUM(K528:K528)</f>
        <v>43</v>
      </c>
      <c r="L525" s="24">
        <f>ROUND(25.33*(1+M2/100),2)</f>
        <v>26.85</v>
      </c>
      <c r="M525" s="24">
        <f>ROUND(K525*L525,2)</f>
        <v>1154.55</v>
      </c>
    </row>
    <row r="526" spans="1:13" ht="49.15" customHeight="1" thickBot="1" x14ac:dyDescent="0.25">
      <c r="A526" s="25"/>
      <c r="B526" s="25"/>
      <c r="C526" s="25"/>
      <c r="D526" s="82" t="s">
        <v>1265</v>
      </c>
      <c r="E526" s="82"/>
      <c r="F526" s="82"/>
      <c r="G526" s="82"/>
      <c r="H526" s="82"/>
      <c r="I526" s="82"/>
      <c r="J526" s="82"/>
      <c r="K526" s="82"/>
      <c r="L526" s="82"/>
      <c r="M526" s="82"/>
    </row>
    <row r="527" spans="1:13" ht="15.2" customHeight="1" thickBot="1" x14ac:dyDescent="0.25">
      <c r="A527" s="25"/>
      <c r="B527" s="25"/>
      <c r="C527" s="25"/>
      <c r="D527" s="25"/>
      <c r="E527" s="26"/>
      <c r="F527" s="28" t="s">
        <v>1266</v>
      </c>
      <c r="G527" s="28" t="s">
        <v>1267</v>
      </c>
      <c r="H527" s="28" t="s">
        <v>1268</v>
      </c>
      <c r="I527" s="28" t="s">
        <v>1269</v>
      </c>
      <c r="J527" s="28" t="s">
        <v>1270</v>
      </c>
      <c r="K527" s="28" t="s">
        <v>1271</v>
      </c>
      <c r="L527" s="25"/>
      <c r="M527" s="25"/>
    </row>
    <row r="528" spans="1:13" ht="15.2" customHeight="1" thickBot="1" x14ac:dyDescent="0.25">
      <c r="A528" s="25"/>
      <c r="B528" s="25"/>
      <c r="C528" s="25"/>
      <c r="D528" s="29"/>
      <c r="E528" s="30"/>
      <c r="F528" s="31">
        <v>43</v>
      </c>
      <c r="G528" s="32"/>
      <c r="H528" s="32"/>
      <c r="I528" s="32"/>
      <c r="J528" s="34">
        <f>ROUND(F528,3)</f>
        <v>43</v>
      </c>
      <c r="K528" s="37">
        <f>SUM(J528:J528)</f>
        <v>43</v>
      </c>
      <c r="L528" s="25"/>
      <c r="M528" s="25"/>
    </row>
    <row r="529" spans="1:13" ht="15.4" customHeight="1" thickBot="1" x14ac:dyDescent="0.25">
      <c r="A529" s="10" t="s">
        <v>1272</v>
      </c>
      <c r="B529" s="5" t="s">
        <v>1273</v>
      </c>
      <c r="C529" s="5" t="s">
        <v>1274</v>
      </c>
      <c r="D529" s="82" t="s">
        <v>1275</v>
      </c>
      <c r="E529" s="82"/>
      <c r="F529" s="82"/>
      <c r="G529" s="82"/>
      <c r="H529" s="82"/>
      <c r="I529" s="82"/>
      <c r="J529" s="82"/>
      <c r="K529" s="23">
        <f>SUM(K532:K532)</f>
        <v>97</v>
      </c>
      <c r="L529" s="24">
        <f>ROUND(32.52*(1+M2/100),2)</f>
        <v>34.47</v>
      </c>
      <c r="M529" s="24">
        <f>ROUND(K529*L529,2)</f>
        <v>3343.59</v>
      </c>
    </row>
    <row r="530" spans="1:13" ht="49.15" customHeight="1" thickBot="1" x14ac:dyDescent="0.25">
      <c r="A530" s="25"/>
      <c r="B530" s="25"/>
      <c r="C530" s="25"/>
      <c r="D530" s="82" t="s">
        <v>1276</v>
      </c>
      <c r="E530" s="82"/>
      <c r="F530" s="82"/>
      <c r="G530" s="82"/>
      <c r="H530" s="82"/>
      <c r="I530" s="82"/>
      <c r="J530" s="82"/>
      <c r="K530" s="82"/>
      <c r="L530" s="82"/>
      <c r="M530" s="82"/>
    </row>
    <row r="531" spans="1:13" ht="15.2" customHeight="1" thickBot="1" x14ac:dyDescent="0.25">
      <c r="A531" s="25"/>
      <c r="B531" s="25"/>
      <c r="C531" s="25"/>
      <c r="D531" s="25"/>
      <c r="E531" s="26"/>
      <c r="F531" s="28" t="s">
        <v>1277</v>
      </c>
      <c r="G531" s="28" t="s">
        <v>1278</v>
      </c>
      <c r="H531" s="28" t="s">
        <v>1279</v>
      </c>
      <c r="I531" s="28" t="s">
        <v>1280</v>
      </c>
      <c r="J531" s="28" t="s">
        <v>1281</v>
      </c>
      <c r="K531" s="28" t="s">
        <v>1282</v>
      </c>
      <c r="L531" s="25"/>
      <c r="M531" s="25"/>
    </row>
    <row r="532" spans="1:13" ht="15.2" customHeight="1" thickBot="1" x14ac:dyDescent="0.25">
      <c r="A532" s="25"/>
      <c r="B532" s="25"/>
      <c r="C532" s="25"/>
      <c r="D532" s="29"/>
      <c r="E532" s="30"/>
      <c r="F532" s="31">
        <v>97</v>
      </c>
      <c r="G532" s="32"/>
      <c r="H532" s="32"/>
      <c r="I532" s="32"/>
      <c r="J532" s="34">
        <f>ROUND(F532,3)</f>
        <v>97</v>
      </c>
      <c r="K532" s="37">
        <f>SUM(J532:J532)</f>
        <v>97</v>
      </c>
      <c r="L532" s="25"/>
      <c r="M532" s="25"/>
    </row>
    <row r="533" spans="1:13" ht="15.4" customHeight="1" thickBot="1" x14ac:dyDescent="0.25">
      <c r="A533" s="10" t="s">
        <v>1283</v>
      </c>
      <c r="B533" s="5" t="s">
        <v>1284</v>
      </c>
      <c r="C533" s="5" t="s">
        <v>1285</v>
      </c>
      <c r="D533" s="82" t="s">
        <v>1286</v>
      </c>
      <c r="E533" s="82"/>
      <c r="F533" s="82"/>
      <c r="G533" s="82"/>
      <c r="H533" s="82"/>
      <c r="I533" s="82"/>
      <c r="J533" s="82"/>
      <c r="K533" s="23">
        <f>SUM(K536:K536)</f>
        <v>121</v>
      </c>
      <c r="L533" s="24">
        <f>ROUND(17.12*(1+M2/100),2)</f>
        <v>18.149999999999999</v>
      </c>
      <c r="M533" s="24">
        <f>ROUND(K533*L533,2)</f>
        <v>2196.15</v>
      </c>
    </row>
    <row r="534" spans="1:13" ht="49.15" customHeight="1" thickBot="1" x14ac:dyDescent="0.25">
      <c r="A534" s="25"/>
      <c r="B534" s="25"/>
      <c r="C534" s="25"/>
      <c r="D534" s="82" t="s">
        <v>1287</v>
      </c>
      <c r="E534" s="82"/>
      <c r="F534" s="82"/>
      <c r="G534" s="82"/>
      <c r="H534" s="82"/>
      <c r="I534" s="82"/>
      <c r="J534" s="82"/>
      <c r="K534" s="82"/>
      <c r="L534" s="82"/>
      <c r="M534" s="82"/>
    </row>
    <row r="535" spans="1:13" ht="15.2" customHeight="1" thickBot="1" x14ac:dyDescent="0.25">
      <c r="A535" s="25"/>
      <c r="B535" s="25"/>
      <c r="C535" s="25"/>
      <c r="D535" s="25"/>
      <c r="E535" s="26"/>
      <c r="F535" s="28" t="s">
        <v>1288</v>
      </c>
      <c r="G535" s="28" t="s">
        <v>1289</v>
      </c>
      <c r="H535" s="28" t="s">
        <v>1290</v>
      </c>
      <c r="I535" s="28" t="s">
        <v>1291</v>
      </c>
      <c r="J535" s="28" t="s">
        <v>1292</v>
      </c>
      <c r="K535" s="28" t="s">
        <v>1293</v>
      </c>
      <c r="L535" s="25"/>
      <c r="M535" s="25"/>
    </row>
    <row r="536" spans="1:13" ht="15.2" customHeight="1" thickBot="1" x14ac:dyDescent="0.25">
      <c r="A536" s="25"/>
      <c r="B536" s="25"/>
      <c r="C536" s="25"/>
      <c r="D536" s="29"/>
      <c r="E536" s="30"/>
      <c r="F536" s="31">
        <v>121</v>
      </c>
      <c r="G536" s="32"/>
      <c r="H536" s="32"/>
      <c r="I536" s="32"/>
      <c r="J536" s="34">
        <f>ROUND(F536,3)</f>
        <v>121</v>
      </c>
      <c r="K536" s="37">
        <f>SUM(J536:J536)</f>
        <v>121</v>
      </c>
      <c r="L536" s="25"/>
      <c r="M536" s="25"/>
    </row>
    <row r="537" spans="1:13" ht="15.4" customHeight="1" thickBot="1" x14ac:dyDescent="0.25">
      <c r="A537" s="10" t="s">
        <v>1294</v>
      </c>
      <c r="B537" s="5" t="s">
        <v>1295</v>
      </c>
      <c r="C537" s="5" t="s">
        <v>1296</v>
      </c>
      <c r="D537" s="82" t="s">
        <v>1297</v>
      </c>
      <c r="E537" s="82"/>
      <c r="F537" s="82"/>
      <c r="G537" s="82"/>
      <c r="H537" s="82"/>
      <c r="I537" s="82"/>
      <c r="J537" s="82"/>
      <c r="K537" s="23">
        <f>SUM(K540:K540)</f>
        <v>19</v>
      </c>
      <c r="L537" s="24">
        <f>ROUND(18.37*(1+M2/100),2)</f>
        <v>19.47</v>
      </c>
      <c r="M537" s="24">
        <f>ROUND(K537*L537,2)</f>
        <v>369.93</v>
      </c>
    </row>
    <row r="538" spans="1:13" ht="49.15" customHeight="1" thickBot="1" x14ac:dyDescent="0.25">
      <c r="A538" s="25"/>
      <c r="B538" s="25"/>
      <c r="C538" s="25"/>
      <c r="D538" s="82" t="s">
        <v>1298</v>
      </c>
      <c r="E538" s="82"/>
      <c r="F538" s="82"/>
      <c r="G538" s="82"/>
      <c r="H538" s="82"/>
      <c r="I538" s="82"/>
      <c r="J538" s="82"/>
      <c r="K538" s="82"/>
      <c r="L538" s="82"/>
      <c r="M538" s="82"/>
    </row>
    <row r="539" spans="1:13" ht="15.2" customHeight="1" thickBot="1" x14ac:dyDescent="0.25">
      <c r="A539" s="25"/>
      <c r="B539" s="25"/>
      <c r="C539" s="25"/>
      <c r="D539" s="25"/>
      <c r="E539" s="26"/>
      <c r="F539" s="28" t="s">
        <v>1299</v>
      </c>
      <c r="G539" s="28" t="s">
        <v>1300</v>
      </c>
      <c r="H539" s="28" t="s">
        <v>1301</v>
      </c>
      <c r="I539" s="28" t="s">
        <v>1302</v>
      </c>
      <c r="J539" s="28" t="s">
        <v>1303</v>
      </c>
      <c r="K539" s="28" t="s">
        <v>1304</v>
      </c>
      <c r="L539" s="25"/>
      <c r="M539" s="25"/>
    </row>
    <row r="540" spans="1:13" ht="15.2" customHeight="1" thickBot="1" x14ac:dyDescent="0.25">
      <c r="A540" s="25"/>
      <c r="B540" s="25"/>
      <c r="C540" s="25"/>
      <c r="D540" s="29"/>
      <c r="E540" s="30" t="s">
        <v>1305</v>
      </c>
      <c r="F540" s="31">
        <v>19</v>
      </c>
      <c r="G540" s="32"/>
      <c r="H540" s="32"/>
      <c r="I540" s="32"/>
      <c r="J540" s="34">
        <f>ROUND(F540,3)</f>
        <v>19</v>
      </c>
      <c r="K540" s="37">
        <f>SUM(J540:J540)</f>
        <v>19</v>
      </c>
      <c r="L540" s="25"/>
      <c r="M540" s="25"/>
    </row>
    <row r="541" spans="1:13" ht="15.4" customHeight="1" thickBot="1" x14ac:dyDescent="0.25">
      <c r="A541" s="10" t="s">
        <v>1306</v>
      </c>
      <c r="B541" s="5" t="s">
        <v>1307</v>
      </c>
      <c r="C541" s="5" t="s">
        <v>1308</v>
      </c>
      <c r="D541" s="82" t="s">
        <v>1309</v>
      </c>
      <c r="E541" s="82"/>
      <c r="F541" s="82"/>
      <c r="G541" s="82"/>
      <c r="H541" s="82"/>
      <c r="I541" s="82"/>
      <c r="J541" s="82"/>
      <c r="K541" s="23">
        <f>SUM(K544:K544)</f>
        <v>115</v>
      </c>
      <c r="L541" s="24">
        <f>ROUND(25.43*(1+M2/100),2)</f>
        <v>26.96</v>
      </c>
      <c r="M541" s="24">
        <f>ROUND(K541*L541,2)</f>
        <v>3100.4</v>
      </c>
    </row>
    <row r="542" spans="1:13" ht="21.4" customHeight="1" thickBot="1" x14ac:dyDescent="0.25">
      <c r="A542" s="25"/>
      <c r="B542" s="25"/>
      <c r="C542" s="25"/>
      <c r="D542" s="82" t="s">
        <v>1310</v>
      </c>
      <c r="E542" s="82"/>
      <c r="F542" s="82"/>
      <c r="G542" s="82"/>
      <c r="H542" s="82"/>
      <c r="I542" s="82"/>
      <c r="J542" s="82"/>
      <c r="K542" s="82"/>
      <c r="L542" s="82"/>
      <c r="M542" s="82"/>
    </row>
    <row r="543" spans="1:13" ht="15.2" customHeight="1" thickBot="1" x14ac:dyDescent="0.25">
      <c r="A543" s="25"/>
      <c r="B543" s="25"/>
      <c r="C543" s="25"/>
      <c r="D543" s="25"/>
      <c r="E543" s="26"/>
      <c r="F543" s="28" t="s">
        <v>1311</v>
      </c>
      <c r="G543" s="28" t="s">
        <v>1312</v>
      </c>
      <c r="H543" s="28" t="s">
        <v>1313</v>
      </c>
      <c r="I543" s="28" t="s">
        <v>1314</v>
      </c>
      <c r="J543" s="28" t="s">
        <v>1315</v>
      </c>
      <c r="K543" s="28" t="s">
        <v>1316</v>
      </c>
      <c r="L543" s="25"/>
      <c r="M543" s="25"/>
    </row>
    <row r="544" spans="1:13" ht="15.2" customHeight="1" thickBot="1" x14ac:dyDescent="0.25">
      <c r="A544" s="25"/>
      <c r="B544" s="25"/>
      <c r="C544" s="25"/>
      <c r="D544" s="29"/>
      <c r="E544" s="30" t="s">
        <v>1317</v>
      </c>
      <c r="F544" s="31">
        <v>115</v>
      </c>
      <c r="G544" s="32"/>
      <c r="H544" s="32"/>
      <c r="I544" s="32"/>
      <c r="J544" s="34">
        <f>ROUND(F544,3)</f>
        <v>115</v>
      </c>
      <c r="K544" s="37">
        <f>SUM(J544:J544)</f>
        <v>115</v>
      </c>
      <c r="L544" s="25"/>
      <c r="M544" s="25"/>
    </row>
    <row r="545" spans="1:13" ht="15.4" customHeight="1" thickBot="1" x14ac:dyDescent="0.25">
      <c r="A545" s="10" t="s">
        <v>1318</v>
      </c>
      <c r="B545" s="5" t="s">
        <v>1319</v>
      </c>
      <c r="C545" s="5" t="s">
        <v>1320</v>
      </c>
      <c r="D545" s="82" t="s">
        <v>1321</v>
      </c>
      <c r="E545" s="82"/>
      <c r="F545" s="82"/>
      <c r="G545" s="82"/>
      <c r="H545" s="82"/>
      <c r="I545" s="82"/>
      <c r="J545" s="82"/>
      <c r="K545" s="23">
        <f>SUM(K548:K548)</f>
        <v>9</v>
      </c>
      <c r="L545" s="24">
        <f>ROUND(137.8*(1+M2/100),2)</f>
        <v>146.07</v>
      </c>
      <c r="M545" s="24">
        <f>ROUND(K545*L545,2)</f>
        <v>1314.63</v>
      </c>
    </row>
    <row r="546" spans="1:13" ht="49.15" customHeight="1" thickBot="1" x14ac:dyDescent="0.25">
      <c r="A546" s="25"/>
      <c r="B546" s="25"/>
      <c r="C546" s="25"/>
      <c r="D546" s="82" t="s">
        <v>1322</v>
      </c>
      <c r="E546" s="82"/>
      <c r="F546" s="82"/>
      <c r="G546" s="82"/>
      <c r="H546" s="82"/>
      <c r="I546" s="82"/>
      <c r="J546" s="82"/>
      <c r="K546" s="82"/>
      <c r="L546" s="82"/>
      <c r="M546" s="82"/>
    </row>
    <row r="547" spans="1:13" ht="15.2" customHeight="1" thickBot="1" x14ac:dyDescent="0.25">
      <c r="A547" s="25"/>
      <c r="B547" s="25"/>
      <c r="C547" s="25"/>
      <c r="D547" s="25"/>
      <c r="E547" s="26"/>
      <c r="F547" s="28" t="s">
        <v>1323</v>
      </c>
      <c r="G547" s="28" t="s">
        <v>1324</v>
      </c>
      <c r="H547" s="28" t="s">
        <v>1325</v>
      </c>
      <c r="I547" s="28" t="s">
        <v>1326</v>
      </c>
      <c r="J547" s="28" t="s">
        <v>1327</v>
      </c>
      <c r="K547" s="28" t="s">
        <v>1328</v>
      </c>
      <c r="L547" s="25"/>
      <c r="M547" s="25"/>
    </row>
    <row r="548" spans="1:13" ht="15.2" customHeight="1" thickBot="1" x14ac:dyDescent="0.25">
      <c r="A548" s="25"/>
      <c r="B548" s="25"/>
      <c r="C548" s="25"/>
      <c r="D548" s="29"/>
      <c r="E548" s="30"/>
      <c r="F548" s="31">
        <v>9</v>
      </c>
      <c r="G548" s="32"/>
      <c r="H548" s="32"/>
      <c r="I548" s="32"/>
      <c r="J548" s="34">
        <f>ROUND(F548,3)</f>
        <v>9</v>
      </c>
      <c r="K548" s="37">
        <f>SUM(J548:J548)</f>
        <v>9</v>
      </c>
      <c r="L548" s="25"/>
      <c r="M548" s="25"/>
    </row>
    <row r="549" spans="1:13" ht="15.4" customHeight="1" thickBot="1" x14ac:dyDescent="0.25">
      <c r="A549" s="10" t="s">
        <v>1329</v>
      </c>
      <c r="B549" s="5" t="s">
        <v>1330</v>
      </c>
      <c r="C549" s="5" t="s">
        <v>1331</v>
      </c>
      <c r="D549" s="82" t="s">
        <v>1332</v>
      </c>
      <c r="E549" s="82"/>
      <c r="F549" s="82"/>
      <c r="G549" s="82"/>
      <c r="H549" s="82"/>
      <c r="I549" s="82"/>
      <c r="J549" s="82"/>
      <c r="K549" s="23">
        <f>SUM(K552:K553)</f>
        <v>2</v>
      </c>
      <c r="L549" s="24">
        <f>ROUND(299.44*(1+M2/100),2)</f>
        <v>317.41000000000003</v>
      </c>
      <c r="M549" s="24">
        <f>ROUND(K549*L549,2)</f>
        <v>634.82000000000005</v>
      </c>
    </row>
    <row r="550" spans="1:13" ht="104.45" customHeight="1" thickBot="1" x14ac:dyDescent="0.25">
      <c r="A550" s="25"/>
      <c r="B550" s="25"/>
      <c r="C550" s="25"/>
      <c r="D550" s="82" t="s">
        <v>1333</v>
      </c>
      <c r="E550" s="82"/>
      <c r="F550" s="82"/>
      <c r="G550" s="82"/>
      <c r="H550" s="82"/>
      <c r="I550" s="82"/>
      <c r="J550" s="82"/>
      <c r="K550" s="82"/>
      <c r="L550" s="82"/>
      <c r="M550" s="82"/>
    </row>
    <row r="551" spans="1:13" ht="15.2" customHeight="1" thickBot="1" x14ac:dyDescent="0.25">
      <c r="A551" s="25"/>
      <c r="B551" s="25"/>
      <c r="C551" s="25"/>
      <c r="D551" s="25"/>
      <c r="E551" s="26"/>
      <c r="F551" s="28" t="s">
        <v>1334</v>
      </c>
      <c r="G551" s="28" t="s">
        <v>1335</v>
      </c>
      <c r="H551" s="28" t="s">
        <v>1336</v>
      </c>
      <c r="I551" s="28" t="s">
        <v>1337</v>
      </c>
      <c r="J551" s="28" t="s">
        <v>1338</v>
      </c>
      <c r="K551" s="28" t="s">
        <v>1339</v>
      </c>
      <c r="L551" s="25"/>
      <c r="M551" s="25"/>
    </row>
    <row r="552" spans="1:13" ht="15.2" customHeight="1" thickBot="1" x14ac:dyDescent="0.25">
      <c r="A552" s="25"/>
      <c r="B552" s="25"/>
      <c r="C552" s="25"/>
      <c r="D552" s="29"/>
      <c r="E552" s="30" t="s">
        <v>1340</v>
      </c>
      <c r="F552" s="31">
        <v>1</v>
      </c>
      <c r="G552" s="32"/>
      <c r="H552" s="32"/>
      <c r="I552" s="32"/>
      <c r="J552" s="34">
        <f>ROUND(F552,3)</f>
        <v>1</v>
      </c>
      <c r="K552" s="35"/>
      <c r="L552" s="25"/>
      <c r="M552" s="25"/>
    </row>
    <row r="553" spans="1:13" ht="15.2" customHeight="1" thickBot="1" x14ac:dyDescent="0.25">
      <c r="A553" s="25"/>
      <c r="B553" s="25"/>
      <c r="C553" s="25"/>
      <c r="D553" s="29"/>
      <c r="E553" s="5" t="s">
        <v>1341</v>
      </c>
      <c r="F553" s="3">
        <v>1</v>
      </c>
      <c r="G553" s="23"/>
      <c r="H553" s="23"/>
      <c r="I553" s="23"/>
      <c r="J553" s="33">
        <f>ROUND(F553,3)</f>
        <v>1</v>
      </c>
      <c r="K553" s="36">
        <f>SUM(J552:J553)</f>
        <v>2</v>
      </c>
      <c r="L553" s="25"/>
      <c r="M553" s="25"/>
    </row>
    <row r="554" spans="1:13" ht="15.4" customHeight="1" thickBot="1" x14ac:dyDescent="0.25">
      <c r="A554" s="10" t="s">
        <v>1342</v>
      </c>
      <c r="B554" s="5" t="s">
        <v>1343</v>
      </c>
      <c r="C554" s="5" t="s">
        <v>1344</v>
      </c>
      <c r="D554" s="82" t="s">
        <v>1345</v>
      </c>
      <c r="E554" s="82"/>
      <c r="F554" s="82"/>
      <c r="G554" s="82"/>
      <c r="H554" s="82"/>
      <c r="I554" s="82"/>
      <c r="J554" s="82"/>
      <c r="K554" s="23">
        <f>SUM(K557:K557)</f>
        <v>2</v>
      </c>
      <c r="L554" s="24">
        <f>ROUND(322.39*(1+M2/100),2)</f>
        <v>341.73</v>
      </c>
      <c r="M554" s="24">
        <f>ROUND(K554*L554,2)</f>
        <v>683.46</v>
      </c>
    </row>
    <row r="555" spans="1:13" ht="104.45" customHeight="1" thickBot="1" x14ac:dyDescent="0.25">
      <c r="A555" s="25"/>
      <c r="B555" s="25"/>
      <c r="C555" s="25"/>
      <c r="D555" s="82" t="s">
        <v>1346</v>
      </c>
      <c r="E555" s="82"/>
      <c r="F555" s="82"/>
      <c r="G555" s="82"/>
      <c r="H555" s="82"/>
      <c r="I555" s="82"/>
      <c r="J555" s="82"/>
      <c r="K555" s="82"/>
      <c r="L555" s="82"/>
      <c r="M555" s="82"/>
    </row>
    <row r="556" spans="1:13" ht="15.2" customHeight="1" thickBot="1" x14ac:dyDescent="0.25">
      <c r="A556" s="25"/>
      <c r="B556" s="25"/>
      <c r="C556" s="25"/>
      <c r="D556" s="25"/>
      <c r="E556" s="26"/>
      <c r="F556" s="28" t="s">
        <v>1347</v>
      </c>
      <c r="G556" s="28" t="s">
        <v>1348</v>
      </c>
      <c r="H556" s="28" t="s">
        <v>1349</v>
      </c>
      <c r="I556" s="28" t="s">
        <v>1350</v>
      </c>
      <c r="J556" s="28" t="s">
        <v>1351</v>
      </c>
      <c r="K556" s="28" t="s">
        <v>1352</v>
      </c>
      <c r="L556" s="25"/>
      <c r="M556" s="25"/>
    </row>
    <row r="557" spans="1:13" ht="15.2" customHeight="1" thickBot="1" x14ac:dyDescent="0.25">
      <c r="A557" s="25"/>
      <c r="B557" s="25"/>
      <c r="C557" s="25"/>
      <c r="D557" s="29"/>
      <c r="E557" s="30"/>
      <c r="F557" s="31">
        <v>2</v>
      </c>
      <c r="G557" s="32"/>
      <c r="H557" s="32"/>
      <c r="I557" s="32"/>
      <c r="J557" s="34">
        <f>ROUND(F557,3)</f>
        <v>2</v>
      </c>
      <c r="K557" s="37">
        <f>SUM(J557:J557)</f>
        <v>2</v>
      </c>
      <c r="L557" s="25"/>
      <c r="M557" s="25"/>
    </row>
    <row r="558" spans="1:13" ht="15.4" customHeight="1" thickBot="1" x14ac:dyDescent="0.25">
      <c r="A558" s="10" t="s">
        <v>1353</v>
      </c>
      <c r="B558" s="5" t="s">
        <v>1354</v>
      </c>
      <c r="C558" s="5" t="s">
        <v>1355</v>
      </c>
      <c r="D558" s="82" t="s">
        <v>1356</v>
      </c>
      <c r="E558" s="82"/>
      <c r="F558" s="82"/>
      <c r="G558" s="82"/>
      <c r="H558" s="82"/>
      <c r="I558" s="82"/>
      <c r="J558" s="82"/>
      <c r="K558" s="23">
        <f>SUM(K561:K561)</f>
        <v>1</v>
      </c>
      <c r="L558" s="24">
        <f>ROUND(690.93*(1+M2/100),2)</f>
        <v>732.39</v>
      </c>
      <c r="M558" s="24">
        <f>ROUND(K558*L558,2)</f>
        <v>732.39</v>
      </c>
    </row>
    <row r="559" spans="1:13" ht="21.4" customHeight="1" thickBot="1" x14ac:dyDescent="0.25">
      <c r="A559" s="25"/>
      <c r="B559" s="25"/>
      <c r="C559" s="25"/>
      <c r="D559" s="82" t="s">
        <v>1357</v>
      </c>
      <c r="E559" s="82"/>
      <c r="F559" s="82"/>
      <c r="G559" s="82"/>
      <c r="H559" s="82"/>
      <c r="I559" s="82"/>
      <c r="J559" s="82"/>
      <c r="K559" s="82"/>
      <c r="L559" s="82"/>
      <c r="M559" s="82"/>
    </row>
    <row r="560" spans="1:13" ht="15.2" customHeight="1" thickBot="1" x14ac:dyDescent="0.25">
      <c r="A560" s="25"/>
      <c r="B560" s="25"/>
      <c r="C560" s="25"/>
      <c r="D560" s="25"/>
      <c r="E560" s="26"/>
      <c r="F560" s="28" t="s">
        <v>1358</v>
      </c>
      <c r="G560" s="28" t="s">
        <v>1359</v>
      </c>
      <c r="H560" s="28" t="s">
        <v>1360</v>
      </c>
      <c r="I560" s="28" t="s">
        <v>1361</v>
      </c>
      <c r="J560" s="28" t="s">
        <v>1362</v>
      </c>
      <c r="K560" s="28" t="s">
        <v>1363</v>
      </c>
      <c r="L560" s="25"/>
      <c r="M560" s="25"/>
    </row>
    <row r="561" spans="1:13" ht="15.2" customHeight="1" thickBot="1" x14ac:dyDescent="0.25">
      <c r="A561" s="25"/>
      <c r="B561" s="25"/>
      <c r="C561" s="25"/>
      <c r="D561" s="29"/>
      <c r="E561" s="30" t="s">
        <v>1364</v>
      </c>
      <c r="F561" s="31">
        <v>1</v>
      </c>
      <c r="G561" s="32"/>
      <c r="H561" s="32"/>
      <c r="I561" s="32"/>
      <c r="J561" s="34">
        <f>ROUND(F561,3)</f>
        <v>1</v>
      </c>
      <c r="K561" s="37">
        <f>SUM(J561:J561)</f>
        <v>1</v>
      </c>
      <c r="L561" s="25"/>
      <c r="M561" s="25"/>
    </row>
    <row r="562" spans="1:13" ht="15.4" customHeight="1" thickBot="1" x14ac:dyDescent="0.25">
      <c r="A562" s="10" t="s">
        <v>1365</v>
      </c>
      <c r="B562" s="5" t="s">
        <v>1366</v>
      </c>
      <c r="C562" s="5" t="s">
        <v>1367</v>
      </c>
      <c r="D562" s="82" t="s">
        <v>1368</v>
      </c>
      <c r="E562" s="82"/>
      <c r="F562" s="82"/>
      <c r="G562" s="82"/>
      <c r="H562" s="82"/>
      <c r="I562" s="82"/>
      <c r="J562" s="82"/>
      <c r="K562" s="23">
        <f>SUM(K565:K569)</f>
        <v>5</v>
      </c>
      <c r="L562" s="24">
        <f>ROUND(600.86*(1+M2/100),2)</f>
        <v>636.91</v>
      </c>
      <c r="M562" s="24">
        <f>ROUND(K562*L562,2)</f>
        <v>3184.55</v>
      </c>
    </row>
    <row r="563" spans="1:13" ht="12.2" customHeight="1" thickBot="1" x14ac:dyDescent="0.25">
      <c r="A563" s="25"/>
      <c r="B563" s="25"/>
      <c r="C563" s="25"/>
      <c r="D563" s="82" t="s">
        <v>1369</v>
      </c>
      <c r="E563" s="82"/>
      <c r="F563" s="82"/>
      <c r="G563" s="82"/>
      <c r="H563" s="82"/>
      <c r="I563" s="82"/>
      <c r="J563" s="82"/>
      <c r="K563" s="82"/>
      <c r="L563" s="82"/>
      <c r="M563" s="82"/>
    </row>
    <row r="564" spans="1:13" ht="15.2" customHeight="1" thickBot="1" x14ac:dyDescent="0.25">
      <c r="A564" s="25"/>
      <c r="B564" s="25"/>
      <c r="C564" s="25"/>
      <c r="D564" s="25"/>
      <c r="E564" s="26"/>
      <c r="F564" s="28" t="s">
        <v>1370</v>
      </c>
      <c r="G564" s="28" t="s">
        <v>1371</v>
      </c>
      <c r="H564" s="28" t="s">
        <v>1372</v>
      </c>
      <c r="I564" s="28" t="s">
        <v>1373</v>
      </c>
      <c r="J564" s="28" t="s">
        <v>1374</v>
      </c>
      <c r="K564" s="28" t="s">
        <v>1375</v>
      </c>
      <c r="L564" s="25"/>
      <c r="M564" s="25"/>
    </row>
    <row r="565" spans="1:13" ht="15.2" customHeight="1" thickBot="1" x14ac:dyDescent="0.25">
      <c r="A565" s="25"/>
      <c r="B565" s="25"/>
      <c r="C565" s="25"/>
      <c r="D565" s="29"/>
      <c r="E565" s="30" t="s">
        <v>1376</v>
      </c>
      <c r="F565" s="31">
        <v>1</v>
      </c>
      <c r="G565" s="32"/>
      <c r="H565" s="32"/>
      <c r="I565" s="32"/>
      <c r="J565" s="34">
        <f>ROUND(F565,3)</f>
        <v>1</v>
      </c>
      <c r="K565" s="35"/>
      <c r="L565" s="25"/>
      <c r="M565" s="25"/>
    </row>
    <row r="566" spans="1:13" ht="15.2" customHeight="1" thickBot="1" x14ac:dyDescent="0.25">
      <c r="A566" s="25"/>
      <c r="B566" s="25"/>
      <c r="C566" s="25"/>
      <c r="D566" s="29"/>
      <c r="E566" s="5" t="s">
        <v>1377</v>
      </c>
      <c r="F566" s="3">
        <v>1</v>
      </c>
      <c r="G566" s="23"/>
      <c r="H566" s="23"/>
      <c r="I566" s="23"/>
      <c r="J566" s="33">
        <f>ROUND(F566,3)</f>
        <v>1</v>
      </c>
      <c r="K566" s="25"/>
      <c r="L566" s="25"/>
      <c r="M566" s="25"/>
    </row>
    <row r="567" spans="1:13" ht="15.2" customHeight="1" thickBot="1" x14ac:dyDescent="0.25">
      <c r="A567" s="25"/>
      <c r="B567" s="25"/>
      <c r="C567" s="25"/>
      <c r="D567" s="29"/>
      <c r="E567" s="5" t="s">
        <v>1378</v>
      </c>
      <c r="F567" s="3">
        <v>1</v>
      </c>
      <c r="G567" s="23"/>
      <c r="H567" s="23"/>
      <c r="I567" s="23"/>
      <c r="J567" s="33">
        <f>ROUND(F567,3)</f>
        <v>1</v>
      </c>
      <c r="K567" s="25"/>
      <c r="L567" s="25"/>
      <c r="M567" s="25"/>
    </row>
    <row r="568" spans="1:13" ht="15.2" customHeight="1" thickBot="1" x14ac:dyDescent="0.25">
      <c r="A568" s="25"/>
      <c r="B568" s="25"/>
      <c r="C568" s="25"/>
      <c r="D568" s="29"/>
      <c r="E568" s="5" t="s">
        <v>1379</v>
      </c>
      <c r="F568" s="3">
        <v>1</v>
      </c>
      <c r="G568" s="23"/>
      <c r="H568" s="23"/>
      <c r="I568" s="23"/>
      <c r="J568" s="33">
        <f>ROUND(F568,3)</f>
        <v>1</v>
      </c>
      <c r="K568" s="25"/>
      <c r="L568" s="25"/>
      <c r="M568" s="25"/>
    </row>
    <row r="569" spans="1:13" ht="15.2" customHeight="1" thickBot="1" x14ac:dyDescent="0.25">
      <c r="A569" s="25"/>
      <c r="B569" s="25"/>
      <c r="C569" s="25"/>
      <c r="D569" s="29"/>
      <c r="E569" s="5" t="s">
        <v>1380</v>
      </c>
      <c r="F569" s="3">
        <v>1</v>
      </c>
      <c r="G569" s="23"/>
      <c r="H569" s="23"/>
      <c r="I569" s="23"/>
      <c r="J569" s="33">
        <f>ROUND(F569,3)</f>
        <v>1</v>
      </c>
      <c r="K569" s="36">
        <f>SUM(J565:J569)</f>
        <v>5</v>
      </c>
      <c r="L569" s="25"/>
      <c r="M569" s="25"/>
    </row>
    <row r="570" spans="1:13" ht="15.4" customHeight="1" thickBot="1" x14ac:dyDescent="0.25">
      <c r="A570" s="10" t="s">
        <v>1381</v>
      </c>
      <c r="B570" s="5" t="s">
        <v>1382</v>
      </c>
      <c r="C570" s="5" t="s">
        <v>1383</v>
      </c>
      <c r="D570" s="82" t="s">
        <v>1384</v>
      </c>
      <c r="E570" s="82"/>
      <c r="F570" s="82"/>
      <c r="G570" s="82"/>
      <c r="H570" s="82"/>
      <c r="I570" s="82"/>
      <c r="J570" s="82"/>
      <c r="K570" s="23">
        <f>SUM(K573:K573)</f>
        <v>6</v>
      </c>
      <c r="L570" s="24">
        <f>ROUND(365.13*(1+M2/100),2)</f>
        <v>387.04</v>
      </c>
      <c r="M570" s="24">
        <f>ROUND(K570*L570,2)</f>
        <v>2322.2399999999998</v>
      </c>
    </row>
    <row r="571" spans="1:13" ht="12.2" customHeight="1" thickBot="1" x14ac:dyDescent="0.25">
      <c r="A571" s="25"/>
      <c r="B571" s="25"/>
      <c r="C571" s="25"/>
      <c r="D571" s="82" t="s">
        <v>1385</v>
      </c>
      <c r="E571" s="82"/>
      <c r="F571" s="82"/>
      <c r="G571" s="82"/>
      <c r="H571" s="82"/>
      <c r="I571" s="82"/>
      <c r="J571" s="82"/>
      <c r="K571" s="82"/>
      <c r="L571" s="82"/>
      <c r="M571" s="82"/>
    </row>
    <row r="572" spans="1:13" ht="15.2" customHeight="1" thickBot="1" x14ac:dyDescent="0.25">
      <c r="A572" s="25"/>
      <c r="B572" s="25"/>
      <c r="C572" s="25"/>
      <c r="D572" s="25"/>
      <c r="E572" s="26"/>
      <c r="F572" s="28" t="s">
        <v>1386</v>
      </c>
      <c r="G572" s="28" t="s">
        <v>1387</v>
      </c>
      <c r="H572" s="28" t="s">
        <v>1388</v>
      </c>
      <c r="I572" s="28" t="s">
        <v>1389</v>
      </c>
      <c r="J572" s="28" t="s">
        <v>1390</v>
      </c>
      <c r="K572" s="28" t="s">
        <v>1391</v>
      </c>
      <c r="L572" s="25"/>
      <c r="M572" s="25"/>
    </row>
    <row r="573" spans="1:13" ht="15.2" customHeight="1" thickBot="1" x14ac:dyDescent="0.25">
      <c r="A573" s="25"/>
      <c r="B573" s="25"/>
      <c r="C573" s="25"/>
      <c r="D573" s="29"/>
      <c r="E573" s="30"/>
      <c r="F573" s="31">
        <v>6</v>
      </c>
      <c r="G573" s="32"/>
      <c r="H573" s="32"/>
      <c r="I573" s="32"/>
      <c r="J573" s="34">
        <f>ROUND(F573,3)</f>
        <v>6</v>
      </c>
      <c r="K573" s="37">
        <f>SUM(J573:J573)</f>
        <v>6</v>
      </c>
      <c r="L573" s="25"/>
      <c r="M573" s="25"/>
    </row>
    <row r="574" spans="1:13" ht="21.4" customHeight="1" thickBot="1" x14ac:dyDescent="0.25">
      <c r="A574" s="10" t="s">
        <v>1392</v>
      </c>
      <c r="B574" s="5" t="s">
        <v>1393</v>
      </c>
      <c r="C574" s="5" t="s">
        <v>1394</v>
      </c>
      <c r="D574" s="82" t="s">
        <v>1395</v>
      </c>
      <c r="E574" s="82"/>
      <c r="F574" s="82"/>
      <c r="G574" s="82"/>
      <c r="H574" s="82"/>
      <c r="I574" s="82"/>
      <c r="J574" s="82"/>
      <c r="K574" s="23">
        <f>SUM(K577:K579)</f>
        <v>3</v>
      </c>
      <c r="L574" s="24">
        <f>ROUND(3376.99*(1+M2/100),2)</f>
        <v>3579.61</v>
      </c>
      <c r="M574" s="24">
        <f>ROUND(K574*L574,2)</f>
        <v>10738.83</v>
      </c>
    </row>
    <row r="575" spans="1:13" ht="86.1" customHeight="1" thickBot="1" x14ac:dyDescent="0.25">
      <c r="A575" s="25"/>
      <c r="B575" s="25"/>
      <c r="C575" s="25"/>
      <c r="D575" s="82" t="s">
        <v>1396</v>
      </c>
      <c r="E575" s="82"/>
      <c r="F575" s="82"/>
      <c r="G575" s="82"/>
      <c r="H575" s="82"/>
      <c r="I575" s="82"/>
      <c r="J575" s="82"/>
      <c r="K575" s="82"/>
      <c r="L575" s="82"/>
      <c r="M575" s="82"/>
    </row>
    <row r="576" spans="1:13" ht="15.2" customHeight="1" thickBot="1" x14ac:dyDescent="0.25">
      <c r="A576" s="25"/>
      <c r="B576" s="25"/>
      <c r="C576" s="25"/>
      <c r="D576" s="25"/>
      <c r="E576" s="26"/>
      <c r="F576" s="28" t="s">
        <v>1397</v>
      </c>
      <c r="G576" s="28" t="s">
        <v>1398</v>
      </c>
      <c r="H576" s="28" t="s">
        <v>1399</v>
      </c>
      <c r="I576" s="28" t="s">
        <v>1400</v>
      </c>
      <c r="J576" s="28" t="s">
        <v>1401</v>
      </c>
      <c r="K576" s="28" t="s">
        <v>1402</v>
      </c>
      <c r="L576" s="25"/>
      <c r="M576" s="25"/>
    </row>
    <row r="577" spans="1:13" ht="15.2" customHeight="1" thickBot="1" x14ac:dyDescent="0.25">
      <c r="A577" s="25"/>
      <c r="B577" s="25"/>
      <c r="C577" s="25"/>
      <c r="D577" s="29"/>
      <c r="E577" s="30" t="s">
        <v>1403</v>
      </c>
      <c r="F577" s="31">
        <v>1</v>
      </c>
      <c r="G577" s="32"/>
      <c r="H577" s="32"/>
      <c r="I577" s="32"/>
      <c r="J577" s="34">
        <f>ROUND(F577,3)</f>
        <v>1</v>
      </c>
      <c r="K577" s="35"/>
      <c r="L577" s="25"/>
      <c r="M577" s="25"/>
    </row>
    <row r="578" spans="1:13" ht="15.2" customHeight="1" thickBot="1" x14ac:dyDescent="0.25">
      <c r="A578" s="25"/>
      <c r="B578" s="25"/>
      <c r="C578" s="25"/>
      <c r="D578" s="29"/>
      <c r="E578" s="5" t="s">
        <v>1404</v>
      </c>
      <c r="F578" s="3">
        <v>1</v>
      </c>
      <c r="G578" s="23"/>
      <c r="H578" s="23"/>
      <c r="I578" s="23"/>
      <c r="J578" s="33">
        <f>ROUND(F578,3)</f>
        <v>1</v>
      </c>
      <c r="K578" s="25"/>
      <c r="L578" s="25"/>
      <c r="M578" s="25"/>
    </row>
    <row r="579" spans="1:13" ht="15.2" customHeight="1" thickBot="1" x14ac:dyDescent="0.25">
      <c r="A579" s="25"/>
      <c r="B579" s="25"/>
      <c r="C579" s="25"/>
      <c r="D579" s="29"/>
      <c r="E579" s="5" t="s">
        <v>1405</v>
      </c>
      <c r="F579" s="3">
        <v>1</v>
      </c>
      <c r="G579" s="23"/>
      <c r="H579" s="23"/>
      <c r="I579" s="23"/>
      <c r="J579" s="33">
        <f>ROUND(F579,3)</f>
        <v>1</v>
      </c>
      <c r="K579" s="36">
        <f>SUM(J577:J579)</f>
        <v>3</v>
      </c>
      <c r="L579" s="25"/>
      <c r="M579" s="25"/>
    </row>
    <row r="580" spans="1:13" ht="15.4" customHeight="1" thickBot="1" x14ac:dyDescent="0.25">
      <c r="A580" s="10" t="s">
        <v>1406</v>
      </c>
      <c r="B580" s="5" t="s">
        <v>1407</v>
      </c>
      <c r="C580" s="5" t="s">
        <v>1408</v>
      </c>
      <c r="D580" s="82" t="s">
        <v>1409</v>
      </c>
      <c r="E580" s="82"/>
      <c r="F580" s="82"/>
      <c r="G580" s="82"/>
      <c r="H580" s="82"/>
      <c r="I580" s="82"/>
      <c r="J580" s="82"/>
      <c r="K580" s="23">
        <f>SUM(K583:K583)</f>
        <v>5</v>
      </c>
      <c r="L580" s="24">
        <f>ROUND(472.03*(1+M2/100),2)</f>
        <v>500.35</v>
      </c>
      <c r="M580" s="24">
        <f>ROUND(K580*L580,2)</f>
        <v>2501.75</v>
      </c>
    </row>
    <row r="581" spans="1:13" ht="21.4" customHeight="1" thickBot="1" x14ac:dyDescent="0.25">
      <c r="A581" s="25"/>
      <c r="B581" s="25"/>
      <c r="C581" s="25"/>
      <c r="D581" s="82" t="s">
        <v>1410</v>
      </c>
      <c r="E581" s="82"/>
      <c r="F581" s="82"/>
      <c r="G581" s="82"/>
      <c r="H581" s="82"/>
      <c r="I581" s="82"/>
      <c r="J581" s="82"/>
      <c r="K581" s="82"/>
      <c r="L581" s="82"/>
      <c r="M581" s="82"/>
    </row>
    <row r="582" spans="1:13" ht="15.2" customHeight="1" thickBot="1" x14ac:dyDescent="0.25">
      <c r="A582" s="25"/>
      <c r="B582" s="25"/>
      <c r="C582" s="25"/>
      <c r="D582" s="25"/>
      <c r="E582" s="26"/>
      <c r="F582" s="28" t="s">
        <v>1411</v>
      </c>
      <c r="G582" s="28" t="s">
        <v>1412</v>
      </c>
      <c r="H582" s="28" t="s">
        <v>1413</v>
      </c>
      <c r="I582" s="28" t="s">
        <v>1414</v>
      </c>
      <c r="J582" s="28" t="s">
        <v>1415</v>
      </c>
      <c r="K582" s="28" t="s">
        <v>1416</v>
      </c>
      <c r="L582" s="25"/>
      <c r="M582" s="25"/>
    </row>
    <row r="583" spans="1:13" ht="15.2" customHeight="1" thickBot="1" x14ac:dyDescent="0.25">
      <c r="A583" s="25"/>
      <c r="B583" s="25"/>
      <c r="C583" s="25"/>
      <c r="D583" s="29"/>
      <c r="E583" s="30">
        <v>0</v>
      </c>
      <c r="F583" s="31">
        <v>5</v>
      </c>
      <c r="G583" s="32"/>
      <c r="H583" s="32"/>
      <c r="I583" s="32"/>
      <c r="J583" s="34">
        <f>ROUND(F583,3)</f>
        <v>5</v>
      </c>
      <c r="K583" s="37">
        <f>SUM(J583:J583)</f>
        <v>5</v>
      </c>
      <c r="L583" s="25"/>
      <c r="M583" s="25"/>
    </row>
    <row r="584" spans="1:13" ht="21.4" customHeight="1" thickBot="1" x14ac:dyDescent="0.25">
      <c r="A584" s="10" t="s">
        <v>1417</v>
      </c>
      <c r="B584" s="5" t="s">
        <v>1418</v>
      </c>
      <c r="C584" s="5" t="s">
        <v>1419</v>
      </c>
      <c r="D584" s="82" t="s">
        <v>1420</v>
      </c>
      <c r="E584" s="82"/>
      <c r="F584" s="82"/>
      <c r="G584" s="82"/>
      <c r="H584" s="82"/>
      <c r="I584" s="82"/>
      <c r="J584" s="82"/>
      <c r="K584" s="23">
        <f>SUM(K587:K587)</f>
        <v>3</v>
      </c>
      <c r="L584" s="24">
        <f>ROUND(843.42*(1+M2/100),2)</f>
        <v>894.03</v>
      </c>
      <c r="M584" s="24">
        <f>ROUND(K584*L584,2)</f>
        <v>2682.09</v>
      </c>
    </row>
    <row r="585" spans="1:13" ht="21.4" customHeight="1" thickBot="1" x14ac:dyDescent="0.25">
      <c r="A585" s="25"/>
      <c r="B585" s="25"/>
      <c r="C585" s="25"/>
      <c r="D585" s="82" t="s">
        <v>1421</v>
      </c>
      <c r="E585" s="82"/>
      <c r="F585" s="82"/>
      <c r="G585" s="82"/>
      <c r="H585" s="82"/>
      <c r="I585" s="82"/>
      <c r="J585" s="82"/>
      <c r="K585" s="82"/>
      <c r="L585" s="82"/>
      <c r="M585" s="82"/>
    </row>
    <row r="586" spans="1:13" ht="15.2" customHeight="1" thickBot="1" x14ac:dyDescent="0.25">
      <c r="A586" s="25"/>
      <c r="B586" s="25"/>
      <c r="C586" s="25"/>
      <c r="D586" s="25"/>
      <c r="E586" s="26"/>
      <c r="F586" s="28" t="s">
        <v>1422</v>
      </c>
      <c r="G586" s="28" t="s">
        <v>1423</v>
      </c>
      <c r="H586" s="28" t="s">
        <v>1424</v>
      </c>
      <c r="I586" s="28" t="s">
        <v>1425</v>
      </c>
      <c r="J586" s="28" t="s">
        <v>1426</v>
      </c>
      <c r="K586" s="28" t="s">
        <v>1427</v>
      </c>
      <c r="L586" s="25"/>
      <c r="M586" s="25"/>
    </row>
    <row r="587" spans="1:13" ht="15.2" customHeight="1" thickBot="1" x14ac:dyDescent="0.25">
      <c r="A587" s="25"/>
      <c r="B587" s="25"/>
      <c r="C587" s="25"/>
      <c r="D587" s="29"/>
      <c r="E587" s="30">
        <v>0</v>
      </c>
      <c r="F587" s="31">
        <v>3</v>
      </c>
      <c r="G587" s="32"/>
      <c r="H587" s="32"/>
      <c r="I587" s="32"/>
      <c r="J587" s="34">
        <f>ROUND(F587,3)</f>
        <v>3</v>
      </c>
      <c r="K587" s="37">
        <f>SUM(J587:J587)</f>
        <v>3</v>
      </c>
      <c r="L587" s="25"/>
      <c r="M587" s="25"/>
    </row>
    <row r="588" spans="1:13" ht="15.4" customHeight="1" thickBot="1" x14ac:dyDescent="0.25">
      <c r="A588" s="10" t="s">
        <v>1428</v>
      </c>
      <c r="B588" s="5" t="s">
        <v>1429</v>
      </c>
      <c r="C588" s="5" t="s">
        <v>1430</v>
      </c>
      <c r="D588" s="82" t="s">
        <v>1431</v>
      </c>
      <c r="E588" s="82"/>
      <c r="F588" s="82"/>
      <c r="G588" s="82"/>
      <c r="H588" s="82"/>
      <c r="I588" s="82"/>
      <c r="J588" s="82"/>
      <c r="K588" s="23">
        <f>SUM(K591:K591)</f>
        <v>2</v>
      </c>
      <c r="L588" s="24">
        <f>ROUND(324.76*(1+M2/100),2)</f>
        <v>344.25</v>
      </c>
      <c r="M588" s="24">
        <f>ROUND(K588*L588,2)</f>
        <v>688.5</v>
      </c>
    </row>
    <row r="589" spans="1:13" ht="21.4" customHeight="1" thickBot="1" x14ac:dyDescent="0.25">
      <c r="A589" s="25"/>
      <c r="B589" s="25"/>
      <c r="C589" s="25"/>
      <c r="D589" s="82" t="s">
        <v>1432</v>
      </c>
      <c r="E589" s="82"/>
      <c r="F589" s="82"/>
      <c r="G589" s="82"/>
      <c r="H589" s="82"/>
      <c r="I589" s="82"/>
      <c r="J589" s="82"/>
      <c r="K589" s="82"/>
      <c r="L589" s="82"/>
      <c r="M589" s="82"/>
    </row>
    <row r="590" spans="1:13" ht="15.2" customHeight="1" thickBot="1" x14ac:dyDescent="0.25">
      <c r="A590" s="25"/>
      <c r="B590" s="25"/>
      <c r="C590" s="25"/>
      <c r="D590" s="25"/>
      <c r="E590" s="26"/>
      <c r="F590" s="28" t="s">
        <v>1433</v>
      </c>
      <c r="G590" s="28" t="s">
        <v>1434</v>
      </c>
      <c r="H590" s="28" t="s">
        <v>1435</v>
      </c>
      <c r="I590" s="28" t="s">
        <v>1436</v>
      </c>
      <c r="J590" s="28" t="s">
        <v>1437</v>
      </c>
      <c r="K590" s="28" t="s">
        <v>1438</v>
      </c>
      <c r="L590" s="25"/>
      <c r="M590" s="25"/>
    </row>
    <row r="591" spans="1:13" ht="15.2" customHeight="1" thickBot="1" x14ac:dyDescent="0.25">
      <c r="A591" s="25"/>
      <c r="B591" s="25"/>
      <c r="C591" s="25"/>
      <c r="D591" s="29"/>
      <c r="E591" s="30">
        <v>0</v>
      </c>
      <c r="F591" s="31">
        <v>2</v>
      </c>
      <c r="G591" s="32"/>
      <c r="H591" s="32"/>
      <c r="I591" s="32"/>
      <c r="J591" s="34">
        <f>ROUND(F591,3)</f>
        <v>2</v>
      </c>
      <c r="K591" s="37">
        <f>SUM(J591:J591)</f>
        <v>2</v>
      </c>
      <c r="L591" s="25"/>
      <c r="M591" s="25"/>
    </row>
    <row r="592" spans="1:13" ht="15.4" customHeight="1" thickBot="1" x14ac:dyDescent="0.25">
      <c r="A592" s="10" t="s">
        <v>1439</v>
      </c>
      <c r="B592" s="5" t="s">
        <v>1440</v>
      </c>
      <c r="C592" s="5" t="s">
        <v>1441</v>
      </c>
      <c r="D592" s="82" t="s">
        <v>1442</v>
      </c>
      <c r="E592" s="82"/>
      <c r="F592" s="82"/>
      <c r="G592" s="82"/>
      <c r="H592" s="82"/>
      <c r="I592" s="82"/>
      <c r="J592" s="82"/>
      <c r="K592" s="23">
        <f>SUM(K595:K595)</f>
        <v>6</v>
      </c>
      <c r="L592" s="24">
        <f>ROUND(92.14*(1+M2/100),2)</f>
        <v>97.67</v>
      </c>
      <c r="M592" s="24">
        <f>ROUND(K592*L592,2)</f>
        <v>586.02</v>
      </c>
    </row>
    <row r="593" spans="1:13" ht="67.5" customHeight="1" thickBot="1" x14ac:dyDescent="0.25">
      <c r="A593" s="25"/>
      <c r="B593" s="25"/>
      <c r="C593" s="25"/>
      <c r="D593" s="82" t="s">
        <v>1443</v>
      </c>
      <c r="E593" s="82"/>
      <c r="F593" s="82"/>
      <c r="G593" s="82"/>
      <c r="H593" s="82"/>
      <c r="I593" s="82"/>
      <c r="J593" s="82"/>
      <c r="K593" s="82"/>
      <c r="L593" s="82"/>
      <c r="M593" s="82"/>
    </row>
    <row r="594" spans="1:13" ht="15.2" customHeight="1" thickBot="1" x14ac:dyDescent="0.25">
      <c r="A594" s="25"/>
      <c r="B594" s="25"/>
      <c r="C594" s="25"/>
      <c r="D594" s="25"/>
      <c r="E594" s="26"/>
      <c r="F594" s="28" t="s">
        <v>1444</v>
      </c>
      <c r="G594" s="28" t="s">
        <v>1445</v>
      </c>
      <c r="H594" s="28" t="s">
        <v>1446</v>
      </c>
      <c r="I594" s="28" t="s">
        <v>1447</v>
      </c>
      <c r="J594" s="28" t="s">
        <v>1448</v>
      </c>
      <c r="K594" s="28" t="s">
        <v>1449</v>
      </c>
      <c r="L594" s="25"/>
      <c r="M594" s="25"/>
    </row>
    <row r="595" spans="1:13" ht="15.2" customHeight="1" thickBot="1" x14ac:dyDescent="0.25">
      <c r="A595" s="25"/>
      <c r="B595" s="25"/>
      <c r="C595" s="25"/>
      <c r="D595" s="29"/>
      <c r="E595" s="30">
        <v>0</v>
      </c>
      <c r="F595" s="31">
        <v>6</v>
      </c>
      <c r="G595" s="32"/>
      <c r="H595" s="32"/>
      <c r="I595" s="32"/>
      <c r="J595" s="34">
        <f>ROUND(F595,3)</f>
        <v>6</v>
      </c>
      <c r="K595" s="37">
        <f>SUM(J595:J595)</f>
        <v>6</v>
      </c>
      <c r="L595" s="25"/>
      <c r="M595" s="25"/>
    </row>
    <row r="596" spans="1:13" ht="15.4" customHeight="1" thickBot="1" x14ac:dyDescent="0.25">
      <c r="A596" s="10" t="s">
        <v>1450</v>
      </c>
      <c r="B596" s="5" t="s">
        <v>1451</v>
      </c>
      <c r="C596" s="5" t="s">
        <v>1452</v>
      </c>
      <c r="D596" s="82" t="s">
        <v>1453</v>
      </c>
      <c r="E596" s="82"/>
      <c r="F596" s="82"/>
      <c r="G596" s="82"/>
      <c r="H596" s="82"/>
      <c r="I596" s="82"/>
      <c r="J596" s="82"/>
      <c r="K596" s="23">
        <f>SUM(K599:K599)</f>
        <v>1</v>
      </c>
      <c r="L596" s="24">
        <f>ROUND(76.73*(1+M2/100),2)</f>
        <v>81.33</v>
      </c>
      <c r="M596" s="24">
        <f>ROUND(K596*L596,2)</f>
        <v>81.33</v>
      </c>
    </row>
    <row r="597" spans="1:13" ht="67.5" customHeight="1" thickBot="1" x14ac:dyDescent="0.25">
      <c r="A597" s="25"/>
      <c r="B597" s="25"/>
      <c r="C597" s="25"/>
      <c r="D597" s="82" t="s">
        <v>1454</v>
      </c>
      <c r="E597" s="82"/>
      <c r="F597" s="82"/>
      <c r="G597" s="82"/>
      <c r="H597" s="82"/>
      <c r="I597" s="82"/>
      <c r="J597" s="82"/>
      <c r="K597" s="82"/>
      <c r="L597" s="82"/>
      <c r="M597" s="82"/>
    </row>
    <row r="598" spans="1:13" ht="15.2" customHeight="1" thickBot="1" x14ac:dyDescent="0.25">
      <c r="A598" s="25"/>
      <c r="B598" s="25"/>
      <c r="C598" s="25"/>
      <c r="D598" s="25"/>
      <c r="E598" s="26"/>
      <c r="F598" s="28" t="s">
        <v>1455</v>
      </c>
      <c r="G598" s="28" t="s">
        <v>1456</v>
      </c>
      <c r="H598" s="28" t="s">
        <v>1457</v>
      </c>
      <c r="I598" s="28" t="s">
        <v>1458</v>
      </c>
      <c r="J598" s="28" t="s">
        <v>1459</v>
      </c>
      <c r="K598" s="28" t="s">
        <v>1460</v>
      </c>
      <c r="L598" s="25"/>
      <c r="M598" s="25"/>
    </row>
    <row r="599" spans="1:13" ht="15.2" customHeight="1" thickBot="1" x14ac:dyDescent="0.25">
      <c r="A599" s="25"/>
      <c r="B599" s="25"/>
      <c r="C599" s="25"/>
      <c r="D599" s="29"/>
      <c r="E599" s="30">
        <v>0</v>
      </c>
      <c r="F599" s="31">
        <v>1</v>
      </c>
      <c r="G599" s="32"/>
      <c r="H599" s="32"/>
      <c r="I599" s="32"/>
      <c r="J599" s="34">
        <f>ROUND(F599,3)</f>
        <v>1</v>
      </c>
      <c r="K599" s="37">
        <f>SUM(J599:J599)</f>
        <v>1</v>
      </c>
      <c r="L599" s="25"/>
      <c r="M599" s="25"/>
    </row>
    <row r="600" spans="1:13" ht="15.4" customHeight="1" thickBot="1" x14ac:dyDescent="0.25">
      <c r="A600" s="10" t="s">
        <v>1461</v>
      </c>
      <c r="B600" s="5" t="s">
        <v>1462</v>
      </c>
      <c r="C600" s="5" t="s">
        <v>1463</v>
      </c>
      <c r="D600" s="82" t="s">
        <v>1464</v>
      </c>
      <c r="E600" s="82"/>
      <c r="F600" s="82"/>
      <c r="G600" s="82"/>
      <c r="H600" s="82"/>
      <c r="I600" s="82"/>
      <c r="J600" s="82"/>
      <c r="K600" s="23">
        <f>SUM(K603:K612)</f>
        <v>4495</v>
      </c>
      <c r="L600" s="24">
        <f>ROUND(1.92*(1+M2/100),2)</f>
        <v>2.04</v>
      </c>
      <c r="M600" s="24">
        <f>ROUND(K600*L600,2)</f>
        <v>9169.7999999999993</v>
      </c>
    </row>
    <row r="601" spans="1:13" ht="30.6" customHeight="1" thickBot="1" x14ac:dyDescent="0.25">
      <c r="A601" s="25"/>
      <c r="B601" s="25"/>
      <c r="C601" s="25"/>
      <c r="D601" s="82" t="s">
        <v>1465</v>
      </c>
      <c r="E601" s="82"/>
      <c r="F601" s="82"/>
      <c r="G601" s="82"/>
      <c r="H601" s="82"/>
      <c r="I601" s="82"/>
      <c r="J601" s="82"/>
      <c r="K601" s="82"/>
      <c r="L601" s="82"/>
      <c r="M601" s="82"/>
    </row>
    <row r="602" spans="1:13" ht="15.2" customHeight="1" thickBot="1" x14ac:dyDescent="0.25">
      <c r="A602" s="25"/>
      <c r="B602" s="25"/>
      <c r="C602" s="25"/>
      <c r="D602" s="25"/>
      <c r="E602" s="26"/>
      <c r="F602" s="28" t="s">
        <v>1466</v>
      </c>
      <c r="G602" s="28" t="s">
        <v>1467</v>
      </c>
      <c r="H602" s="28" t="s">
        <v>1468</v>
      </c>
      <c r="I602" s="28" t="s">
        <v>1469</v>
      </c>
      <c r="J602" s="28" t="s">
        <v>1470</v>
      </c>
      <c r="K602" s="28" t="s">
        <v>1471</v>
      </c>
      <c r="L602" s="25"/>
      <c r="M602" s="25"/>
    </row>
    <row r="603" spans="1:13" ht="15.2" customHeight="1" thickBot="1" x14ac:dyDescent="0.25">
      <c r="A603" s="25"/>
      <c r="B603" s="25"/>
      <c r="C603" s="25"/>
      <c r="D603" s="29"/>
      <c r="E603" s="30" t="s">
        <v>1472</v>
      </c>
      <c r="F603" s="31">
        <v>125</v>
      </c>
      <c r="G603" s="32"/>
      <c r="H603" s="32"/>
      <c r="I603" s="32"/>
      <c r="J603" s="34">
        <f t="shared" ref="J603:J612" si="6">ROUND(F603,3)</f>
        <v>125</v>
      </c>
      <c r="K603" s="35"/>
      <c r="L603" s="25"/>
      <c r="M603" s="25"/>
    </row>
    <row r="604" spans="1:13" ht="15.2" customHeight="1" thickBot="1" x14ac:dyDescent="0.25">
      <c r="A604" s="25"/>
      <c r="B604" s="25"/>
      <c r="C604" s="25"/>
      <c r="D604" s="29"/>
      <c r="E604" s="5" t="s">
        <v>1473</v>
      </c>
      <c r="F604" s="3">
        <v>220</v>
      </c>
      <c r="G604" s="23"/>
      <c r="H604" s="23"/>
      <c r="I604" s="23"/>
      <c r="J604" s="33">
        <f t="shared" si="6"/>
        <v>220</v>
      </c>
      <c r="K604" s="25"/>
      <c r="L604" s="25"/>
      <c r="M604" s="25"/>
    </row>
    <row r="605" spans="1:13" ht="15.2" customHeight="1" thickBot="1" x14ac:dyDescent="0.25">
      <c r="A605" s="25"/>
      <c r="B605" s="25"/>
      <c r="C605" s="25"/>
      <c r="D605" s="29"/>
      <c r="E605" s="5" t="s">
        <v>1474</v>
      </c>
      <c r="F605" s="3">
        <v>180</v>
      </c>
      <c r="G605" s="23"/>
      <c r="H605" s="23"/>
      <c r="I605" s="23"/>
      <c r="J605" s="33">
        <f t="shared" si="6"/>
        <v>180</v>
      </c>
      <c r="K605" s="25"/>
      <c r="L605" s="25"/>
      <c r="M605" s="25"/>
    </row>
    <row r="606" spans="1:13" ht="15.2" customHeight="1" thickBot="1" x14ac:dyDescent="0.25">
      <c r="A606" s="25"/>
      <c r="B606" s="25"/>
      <c r="C606" s="25"/>
      <c r="D606" s="29"/>
      <c r="E606" s="5" t="s">
        <v>1475</v>
      </c>
      <c r="F606" s="3">
        <v>650</v>
      </c>
      <c r="G606" s="23"/>
      <c r="H606" s="23"/>
      <c r="I606" s="23"/>
      <c r="J606" s="33">
        <f t="shared" si="6"/>
        <v>650</v>
      </c>
      <c r="K606" s="25"/>
      <c r="L606" s="25"/>
      <c r="M606" s="25"/>
    </row>
    <row r="607" spans="1:13" ht="15.2" customHeight="1" thickBot="1" x14ac:dyDescent="0.25">
      <c r="A607" s="25"/>
      <c r="B607" s="25"/>
      <c r="C607" s="25"/>
      <c r="D607" s="29"/>
      <c r="E607" s="5" t="s">
        <v>1476</v>
      </c>
      <c r="F607" s="3">
        <v>600</v>
      </c>
      <c r="G607" s="23"/>
      <c r="H607" s="23"/>
      <c r="I607" s="23"/>
      <c r="J607" s="33">
        <f t="shared" si="6"/>
        <v>600</v>
      </c>
      <c r="K607" s="25"/>
      <c r="L607" s="25"/>
      <c r="M607" s="25"/>
    </row>
    <row r="608" spans="1:13" ht="15.2" customHeight="1" thickBot="1" x14ac:dyDescent="0.25">
      <c r="A608" s="25"/>
      <c r="B608" s="25"/>
      <c r="C608" s="25"/>
      <c r="D608" s="29"/>
      <c r="E608" s="5" t="s">
        <v>1477</v>
      </c>
      <c r="F608" s="3">
        <v>280</v>
      </c>
      <c r="G608" s="23"/>
      <c r="H608" s="23"/>
      <c r="I608" s="23"/>
      <c r="J608" s="33">
        <f t="shared" si="6"/>
        <v>280</v>
      </c>
      <c r="K608" s="25"/>
      <c r="L608" s="25"/>
      <c r="M608" s="25"/>
    </row>
    <row r="609" spans="1:13" ht="15.2" customHeight="1" thickBot="1" x14ac:dyDescent="0.25">
      <c r="A609" s="25"/>
      <c r="B609" s="25"/>
      <c r="C609" s="25"/>
      <c r="D609" s="29"/>
      <c r="E609" s="5" t="s">
        <v>1478</v>
      </c>
      <c r="F609" s="3">
        <v>220</v>
      </c>
      <c r="G609" s="23"/>
      <c r="H609" s="23"/>
      <c r="I609" s="23"/>
      <c r="J609" s="33">
        <f t="shared" si="6"/>
        <v>220</v>
      </c>
      <c r="K609" s="25"/>
      <c r="L609" s="25"/>
      <c r="M609" s="25"/>
    </row>
    <row r="610" spans="1:13" ht="15.2" customHeight="1" thickBot="1" x14ac:dyDescent="0.25">
      <c r="A610" s="25"/>
      <c r="B610" s="25"/>
      <c r="C610" s="25"/>
      <c r="D610" s="29"/>
      <c r="E610" s="5" t="s">
        <v>1479</v>
      </c>
      <c r="F610" s="3">
        <v>720</v>
      </c>
      <c r="G610" s="23"/>
      <c r="H610" s="23"/>
      <c r="I610" s="23"/>
      <c r="J610" s="33">
        <f t="shared" si="6"/>
        <v>720</v>
      </c>
      <c r="K610" s="25"/>
      <c r="L610" s="25"/>
      <c r="M610" s="25"/>
    </row>
    <row r="611" spans="1:13" ht="15.2" customHeight="1" thickBot="1" x14ac:dyDescent="0.25">
      <c r="A611" s="25"/>
      <c r="B611" s="25"/>
      <c r="C611" s="25"/>
      <c r="D611" s="29"/>
      <c r="E611" s="5" t="s">
        <v>1480</v>
      </c>
      <c r="F611" s="3">
        <v>650</v>
      </c>
      <c r="G611" s="23"/>
      <c r="H611" s="23"/>
      <c r="I611" s="23"/>
      <c r="J611" s="33">
        <f t="shared" si="6"/>
        <v>650</v>
      </c>
      <c r="K611" s="25"/>
      <c r="L611" s="25"/>
      <c r="M611" s="25"/>
    </row>
    <row r="612" spans="1:13" ht="15.2" customHeight="1" thickBot="1" x14ac:dyDescent="0.25">
      <c r="A612" s="25"/>
      <c r="B612" s="25"/>
      <c r="C612" s="25"/>
      <c r="D612" s="29"/>
      <c r="E612" s="5" t="s">
        <v>1481</v>
      </c>
      <c r="F612" s="3">
        <v>850</v>
      </c>
      <c r="G612" s="23"/>
      <c r="H612" s="23"/>
      <c r="I612" s="23"/>
      <c r="J612" s="33">
        <f t="shared" si="6"/>
        <v>850</v>
      </c>
      <c r="K612" s="36">
        <f>SUM(J603:J612)</f>
        <v>4495</v>
      </c>
      <c r="L612" s="25"/>
      <c r="M612" s="25"/>
    </row>
    <row r="613" spans="1:13" ht="15.4" customHeight="1" thickBot="1" x14ac:dyDescent="0.25">
      <c r="A613" s="10" t="s">
        <v>1482</v>
      </c>
      <c r="B613" s="5" t="s">
        <v>1483</v>
      </c>
      <c r="C613" s="5" t="s">
        <v>1484</v>
      </c>
      <c r="D613" s="82" t="s">
        <v>1485</v>
      </c>
      <c r="E613" s="82"/>
      <c r="F613" s="82"/>
      <c r="G613" s="82"/>
      <c r="H613" s="82"/>
      <c r="I613" s="82"/>
      <c r="J613" s="82"/>
      <c r="K613" s="23">
        <f>SUM(K616:K617)</f>
        <v>430</v>
      </c>
      <c r="L613" s="24">
        <f>ROUND(59.65*(1+M2/100),2)</f>
        <v>63.23</v>
      </c>
      <c r="M613" s="24">
        <f>ROUND(K613*L613,2)</f>
        <v>27188.9</v>
      </c>
    </row>
    <row r="614" spans="1:13" ht="58.35" customHeight="1" thickBot="1" x14ac:dyDescent="0.25">
      <c r="A614" s="25"/>
      <c r="B614" s="25"/>
      <c r="C614" s="25"/>
      <c r="D614" s="82" t="s">
        <v>1486</v>
      </c>
      <c r="E614" s="82"/>
      <c r="F614" s="82"/>
      <c r="G614" s="82"/>
      <c r="H614" s="82"/>
      <c r="I614" s="82"/>
      <c r="J614" s="82"/>
      <c r="K614" s="82"/>
      <c r="L614" s="82"/>
      <c r="M614" s="82"/>
    </row>
    <row r="615" spans="1:13" ht="15.2" customHeight="1" thickBot="1" x14ac:dyDescent="0.25">
      <c r="A615" s="25"/>
      <c r="B615" s="25"/>
      <c r="C615" s="25"/>
      <c r="D615" s="25"/>
      <c r="E615" s="26"/>
      <c r="F615" s="28" t="s">
        <v>1487</v>
      </c>
      <c r="G615" s="28" t="s">
        <v>1488</v>
      </c>
      <c r="H615" s="28" t="s">
        <v>1489</v>
      </c>
      <c r="I615" s="28" t="s">
        <v>1490</v>
      </c>
      <c r="J615" s="28" t="s">
        <v>1491</v>
      </c>
      <c r="K615" s="28" t="s">
        <v>1492</v>
      </c>
      <c r="L615" s="25"/>
      <c r="M615" s="25"/>
    </row>
    <row r="616" spans="1:13" ht="15.2" customHeight="1" thickBot="1" x14ac:dyDescent="0.25">
      <c r="A616" s="25"/>
      <c r="B616" s="25"/>
      <c r="C616" s="25"/>
      <c r="D616" s="29"/>
      <c r="E616" s="30"/>
      <c r="F616" s="31">
        <v>430</v>
      </c>
      <c r="G616" s="32"/>
      <c r="H616" s="32"/>
      <c r="I616" s="32"/>
      <c r="J616" s="34">
        <f>ROUND(F616,3)</f>
        <v>430</v>
      </c>
      <c r="K616" s="35"/>
      <c r="L616" s="25"/>
      <c r="M616" s="25"/>
    </row>
    <row r="617" spans="1:13" ht="15.2" customHeight="1" thickBot="1" x14ac:dyDescent="0.25">
      <c r="A617" s="25"/>
      <c r="B617" s="25"/>
      <c r="C617" s="25"/>
      <c r="D617" s="29"/>
      <c r="E617" s="5"/>
      <c r="F617" s="3"/>
      <c r="G617" s="23"/>
      <c r="H617" s="23"/>
      <c r="I617" s="23"/>
      <c r="J617" s="27" t="s">
        <v>1493</v>
      </c>
      <c r="K617" s="36">
        <f>SUM(J616:J617)</f>
        <v>430</v>
      </c>
      <c r="L617" s="25"/>
      <c r="M617" s="25"/>
    </row>
    <row r="618" spans="1:13" ht="15.4" customHeight="1" thickBot="1" x14ac:dyDescent="0.25">
      <c r="A618" s="10" t="s">
        <v>1494</v>
      </c>
      <c r="B618" s="5" t="s">
        <v>1495</v>
      </c>
      <c r="C618" s="5" t="s">
        <v>1496</v>
      </c>
      <c r="D618" s="82" t="s">
        <v>1497</v>
      </c>
      <c r="E618" s="82"/>
      <c r="F618" s="82"/>
      <c r="G618" s="82"/>
      <c r="H618" s="82"/>
      <c r="I618" s="82"/>
      <c r="J618" s="82"/>
      <c r="K618" s="23">
        <f>SUM(K621:K621)</f>
        <v>231</v>
      </c>
      <c r="L618" s="24">
        <f>ROUND(54.65*(1+M2/100),2)</f>
        <v>57.93</v>
      </c>
      <c r="M618" s="24">
        <f>ROUND(K618*L618,2)</f>
        <v>13381.83</v>
      </c>
    </row>
    <row r="619" spans="1:13" ht="58.35" customHeight="1" thickBot="1" x14ac:dyDescent="0.25">
      <c r="A619" s="25"/>
      <c r="B619" s="25"/>
      <c r="C619" s="25"/>
      <c r="D619" s="82" t="s">
        <v>1498</v>
      </c>
      <c r="E619" s="82"/>
      <c r="F619" s="82"/>
      <c r="G619" s="82"/>
      <c r="H619" s="82"/>
      <c r="I619" s="82"/>
      <c r="J619" s="82"/>
      <c r="K619" s="82"/>
      <c r="L619" s="82"/>
      <c r="M619" s="82"/>
    </row>
    <row r="620" spans="1:13" ht="15.2" customHeight="1" thickBot="1" x14ac:dyDescent="0.25">
      <c r="A620" s="25"/>
      <c r="B620" s="25"/>
      <c r="C620" s="25"/>
      <c r="D620" s="25"/>
      <c r="E620" s="26"/>
      <c r="F620" s="28" t="s">
        <v>1499</v>
      </c>
      <c r="G620" s="28" t="s">
        <v>1500</v>
      </c>
      <c r="H620" s="28" t="s">
        <v>1501</v>
      </c>
      <c r="I620" s="28" t="s">
        <v>1502</v>
      </c>
      <c r="J620" s="28" t="s">
        <v>1503</v>
      </c>
      <c r="K620" s="28" t="s">
        <v>1504</v>
      </c>
      <c r="L620" s="25"/>
      <c r="M620" s="25"/>
    </row>
    <row r="621" spans="1:13" ht="15.2" customHeight="1" thickBot="1" x14ac:dyDescent="0.25">
      <c r="A621" s="25"/>
      <c r="B621" s="25"/>
      <c r="C621" s="25"/>
      <c r="D621" s="29"/>
      <c r="E621" s="30"/>
      <c r="F621" s="31">
        <v>231</v>
      </c>
      <c r="G621" s="32"/>
      <c r="H621" s="32"/>
      <c r="I621" s="32"/>
      <c r="J621" s="34">
        <f>ROUND(F621,3)</f>
        <v>231</v>
      </c>
      <c r="K621" s="37">
        <f>SUM(J621:J621)</f>
        <v>231</v>
      </c>
      <c r="L621" s="25"/>
      <c r="M621" s="25"/>
    </row>
    <row r="622" spans="1:13" ht="15.4" customHeight="1" thickBot="1" x14ac:dyDescent="0.25">
      <c r="A622" s="10" t="s">
        <v>1505</v>
      </c>
      <c r="B622" s="5" t="s">
        <v>1506</v>
      </c>
      <c r="C622" s="5" t="s">
        <v>1507</v>
      </c>
      <c r="D622" s="82" t="s">
        <v>1508</v>
      </c>
      <c r="E622" s="82"/>
      <c r="F622" s="82"/>
      <c r="G622" s="82"/>
      <c r="H622" s="82"/>
      <c r="I622" s="82"/>
      <c r="J622" s="82"/>
      <c r="K622" s="23">
        <f>SUM(K625:K625)</f>
        <v>532</v>
      </c>
      <c r="L622" s="24">
        <f>ROUND(17.12*(1+M2/100),2)</f>
        <v>18.149999999999999</v>
      </c>
      <c r="M622" s="24">
        <f>ROUND(K622*L622,2)</f>
        <v>9655.7999999999993</v>
      </c>
    </row>
    <row r="623" spans="1:13" ht="49.15" customHeight="1" thickBot="1" x14ac:dyDescent="0.25">
      <c r="A623" s="25"/>
      <c r="B623" s="25"/>
      <c r="C623" s="25"/>
      <c r="D623" s="82" t="s">
        <v>1509</v>
      </c>
      <c r="E623" s="82"/>
      <c r="F623" s="82"/>
      <c r="G623" s="82"/>
      <c r="H623" s="82"/>
      <c r="I623" s="82"/>
      <c r="J623" s="82"/>
      <c r="K623" s="82"/>
      <c r="L623" s="82"/>
      <c r="M623" s="82"/>
    </row>
    <row r="624" spans="1:13" ht="15.2" customHeight="1" thickBot="1" x14ac:dyDescent="0.25">
      <c r="A624" s="25"/>
      <c r="B624" s="25"/>
      <c r="C624" s="25"/>
      <c r="D624" s="25"/>
      <c r="E624" s="26"/>
      <c r="F624" s="28" t="s">
        <v>1510</v>
      </c>
      <c r="G624" s="28" t="s">
        <v>1511</v>
      </c>
      <c r="H624" s="28" t="s">
        <v>1512</v>
      </c>
      <c r="I624" s="28" t="s">
        <v>1513</v>
      </c>
      <c r="J624" s="28" t="s">
        <v>1514</v>
      </c>
      <c r="K624" s="28" t="s">
        <v>1515</v>
      </c>
      <c r="L624" s="25"/>
      <c r="M624" s="25"/>
    </row>
    <row r="625" spans="1:13" ht="15.2" customHeight="1" thickBot="1" x14ac:dyDescent="0.25">
      <c r="A625" s="25"/>
      <c r="B625" s="25"/>
      <c r="C625" s="25"/>
      <c r="D625" s="29"/>
      <c r="E625" s="30">
        <v>0</v>
      </c>
      <c r="F625" s="31">
        <v>532</v>
      </c>
      <c r="G625" s="32"/>
      <c r="H625" s="32"/>
      <c r="I625" s="32"/>
      <c r="J625" s="34">
        <f>ROUND(F625,3)</f>
        <v>532</v>
      </c>
      <c r="K625" s="37">
        <f>SUM(J625:J625)</f>
        <v>532</v>
      </c>
      <c r="L625" s="25"/>
      <c r="M625" s="25"/>
    </row>
    <row r="626" spans="1:13" ht="15.4" customHeight="1" thickBot="1" x14ac:dyDescent="0.25">
      <c r="A626" s="10" t="s">
        <v>1516</v>
      </c>
      <c r="B626" s="5" t="s">
        <v>1517</v>
      </c>
      <c r="C626" s="5" t="s">
        <v>1518</v>
      </c>
      <c r="D626" s="82" t="s">
        <v>1519</v>
      </c>
      <c r="E626" s="82"/>
      <c r="F626" s="82"/>
      <c r="G626" s="82"/>
      <c r="H626" s="82"/>
      <c r="I626" s="82"/>
      <c r="J626" s="82"/>
      <c r="K626" s="23">
        <f>SUM(K629:K629)</f>
        <v>138</v>
      </c>
      <c r="L626" s="24">
        <f>ROUND(18.37*(1+M2/100),2)</f>
        <v>19.47</v>
      </c>
      <c r="M626" s="24">
        <f>ROUND(K626*L626,2)</f>
        <v>2686.86</v>
      </c>
    </row>
    <row r="627" spans="1:13" ht="49.15" customHeight="1" thickBot="1" x14ac:dyDescent="0.25">
      <c r="A627" s="25"/>
      <c r="B627" s="25"/>
      <c r="C627" s="25"/>
      <c r="D627" s="82" t="s">
        <v>1520</v>
      </c>
      <c r="E627" s="82"/>
      <c r="F627" s="82"/>
      <c r="G627" s="82"/>
      <c r="H627" s="82"/>
      <c r="I627" s="82"/>
      <c r="J627" s="82"/>
      <c r="K627" s="82"/>
      <c r="L627" s="82"/>
      <c r="M627" s="82"/>
    </row>
    <row r="628" spans="1:13" ht="15.2" customHeight="1" thickBot="1" x14ac:dyDescent="0.25">
      <c r="A628" s="25"/>
      <c r="B628" s="25"/>
      <c r="C628" s="25"/>
      <c r="D628" s="25"/>
      <c r="E628" s="26"/>
      <c r="F628" s="28" t="s">
        <v>1521</v>
      </c>
      <c r="G628" s="28" t="s">
        <v>1522</v>
      </c>
      <c r="H628" s="28" t="s">
        <v>1523</v>
      </c>
      <c r="I628" s="28" t="s">
        <v>1524</v>
      </c>
      <c r="J628" s="28" t="s">
        <v>1525</v>
      </c>
      <c r="K628" s="28" t="s">
        <v>1526</v>
      </c>
      <c r="L628" s="25"/>
      <c r="M628" s="25"/>
    </row>
    <row r="629" spans="1:13" ht="15.2" customHeight="1" thickBot="1" x14ac:dyDescent="0.25">
      <c r="A629" s="25"/>
      <c r="B629" s="25"/>
      <c r="C629" s="25"/>
      <c r="D629" s="29"/>
      <c r="E629" s="30">
        <v>0</v>
      </c>
      <c r="F629" s="31">
        <v>138</v>
      </c>
      <c r="G629" s="32"/>
      <c r="H629" s="32"/>
      <c r="I629" s="32"/>
      <c r="J629" s="34">
        <f>ROUND(F629,3)</f>
        <v>138</v>
      </c>
      <c r="K629" s="37">
        <f>SUM(J629:J629)</f>
        <v>138</v>
      </c>
      <c r="L629" s="25"/>
      <c r="M629" s="25"/>
    </row>
    <row r="630" spans="1:13" ht="15.4" customHeight="1" thickBot="1" x14ac:dyDescent="0.25">
      <c r="A630" s="10" t="s">
        <v>1527</v>
      </c>
      <c r="B630" s="5" t="s">
        <v>1528</v>
      </c>
      <c r="C630" s="5" t="s">
        <v>1529</v>
      </c>
      <c r="D630" s="82" t="s">
        <v>1530</v>
      </c>
      <c r="E630" s="82"/>
      <c r="F630" s="82"/>
      <c r="G630" s="82"/>
      <c r="H630" s="82"/>
      <c r="I630" s="82"/>
      <c r="J630" s="82"/>
      <c r="K630" s="23">
        <f>SUM(K633:K634)</f>
        <v>145</v>
      </c>
      <c r="L630" s="24">
        <f>ROUND(80.47*(1+M2/100),2)</f>
        <v>85.3</v>
      </c>
      <c r="M630" s="24">
        <f>ROUND(K630*L630,2)</f>
        <v>12368.5</v>
      </c>
    </row>
    <row r="631" spans="1:13" ht="49.15" customHeight="1" thickBot="1" x14ac:dyDescent="0.25">
      <c r="A631" s="25"/>
      <c r="B631" s="25"/>
      <c r="C631" s="25"/>
      <c r="D631" s="82" t="s">
        <v>1531</v>
      </c>
      <c r="E631" s="82"/>
      <c r="F631" s="82"/>
      <c r="G631" s="82"/>
      <c r="H631" s="82"/>
      <c r="I631" s="82"/>
      <c r="J631" s="82"/>
      <c r="K631" s="82"/>
      <c r="L631" s="82"/>
      <c r="M631" s="82"/>
    </row>
    <row r="632" spans="1:13" ht="15.2" customHeight="1" thickBot="1" x14ac:dyDescent="0.25">
      <c r="A632" s="25"/>
      <c r="B632" s="25"/>
      <c r="C632" s="25"/>
      <c r="D632" s="25"/>
      <c r="E632" s="26"/>
      <c r="F632" s="28" t="s">
        <v>1532</v>
      </c>
      <c r="G632" s="28" t="s">
        <v>1533</v>
      </c>
      <c r="H632" s="28" t="s">
        <v>1534</v>
      </c>
      <c r="I632" s="28" t="s">
        <v>1535</v>
      </c>
      <c r="J632" s="28" t="s">
        <v>1536</v>
      </c>
      <c r="K632" s="28" t="s">
        <v>1537</v>
      </c>
      <c r="L632" s="25"/>
      <c r="M632" s="25"/>
    </row>
    <row r="633" spans="1:13" ht="15.2" customHeight="1" thickBot="1" x14ac:dyDescent="0.25">
      <c r="A633" s="25"/>
      <c r="B633" s="25"/>
      <c r="C633" s="25"/>
      <c r="D633" s="29"/>
      <c r="E633" s="30"/>
      <c r="F633" s="31">
        <v>145</v>
      </c>
      <c r="G633" s="32"/>
      <c r="H633" s="32"/>
      <c r="I633" s="32"/>
      <c r="J633" s="34">
        <f>ROUND(F633,3)</f>
        <v>145</v>
      </c>
      <c r="K633" s="35"/>
      <c r="L633" s="25"/>
      <c r="M633" s="25"/>
    </row>
    <row r="634" spans="1:13" ht="15.2" customHeight="1" thickBot="1" x14ac:dyDescent="0.25">
      <c r="A634" s="25"/>
      <c r="B634" s="25"/>
      <c r="C634" s="25"/>
      <c r="D634" s="29"/>
      <c r="E634" s="5"/>
      <c r="F634" s="3"/>
      <c r="G634" s="23"/>
      <c r="H634" s="23"/>
      <c r="I634" s="23"/>
      <c r="J634" s="27" t="s">
        <v>1538</v>
      </c>
      <c r="K634" s="36">
        <f>SUM(J633:J634)</f>
        <v>145</v>
      </c>
      <c r="L634" s="25"/>
      <c r="M634" s="25"/>
    </row>
    <row r="635" spans="1:13" ht="15.4" customHeight="1" thickBot="1" x14ac:dyDescent="0.25">
      <c r="A635" s="10" t="s">
        <v>1539</v>
      </c>
      <c r="B635" s="5" t="s">
        <v>1540</v>
      </c>
      <c r="C635" s="5" t="s">
        <v>1541</v>
      </c>
      <c r="D635" s="82" t="s">
        <v>1542</v>
      </c>
      <c r="E635" s="82"/>
      <c r="F635" s="82"/>
      <c r="G635" s="82"/>
      <c r="H635" s="82"/>
      <c r="I635" s="82"/>
      <c r="J635" s="82"/>
      <c r="K635" s="23">
        <f>SUM(K638:K645)</f>
        <v>8</v>
      </c>
      <c r="L635" s="24">
        <f>ROUND(5849.057*(1+M2/100),2)</f>
        <v>6200</v>
      </c>
      <c r="M635" s="24">
        <f>ROUND(K635*L635,2)</f>
        <v>49600</v>
      </c>
    </row>
    <row r="636" spans="1:13" ht="58.35" customHeight="1" thickBot="1" x14ac:dyDescent="0.25">
      <c r="A636" s="25"/>
      <c r="B636" s="25"/>
      <c r="C636" s="25"/>
      <c r="D636" s="82" t="s">
        <v>1543</v>
      </c>
      <c r="E636" s="82"/>
      <c r="F636" s="82"/>
      <c r="G636" s="82"/>
      <c r="H636" s="82"/>
      <c r="I636" s="82"/>
      <c r="J636" s="82"/>
      <c r="K636" s="82"/>
      <c r="L636" s="82"/>
      <c r="M636" s="82"/>
    </row>
    <row r="637" spans="1:13" ht="15.2" customHeight="1" thickBot="1" x14ac:dyDescent="0.25">
      <c r="A637" s="25"/>
      <c r="B637" s="25"/>
      <c r="C637" s="25"/>
      <c r="D637" s="25"/>
      <c r="E637" s="26"/>
      <c r="F637" s="28" t="s">
        <v>1544</v>
      </c>
      <c r="G637" s="28" t="s">
        <v>1545</v>
      </c>
      <c r="H637" s="28" t="s">
        <v>1546</v>
      </c>
      <c r="I637" s="28" t="s">
        <v>1547</v>
      </c>
      <c r="J637" s="28" t="s">
        <v>1548</v>
      </c>
      <c r="K637" s="28" t="s">
        <v>1549</v>
      </c>
      <c r="L637" s="25"/>
      <c r="M637" s="25"/>
    </row>
    <row r="638" spans="1:13" ht="15.2" customHeight="1" thickBot="1" x14ac:dyDescent="0.25">
      <c r="A638" s="25"/>
      <c r="B638" s="25"/>
      <c r="C638" s="25"/>
      <c r="D638" s="29"/>
      <c r="E638" s="30" t="s">
        <v>1550</v>
      </c>
      <c r="F638" s="31">
        <v>1</v>
      </c>
      <c r="G638" s="32"/>
      <c r="H638" s="32"/>
      <c r="I638" s="32"/>
      <c r="J638" s="34">
        <f t="shared" ref="J638:J645" si="7">ROUND(F638,3)</f>
        <v>1</v>
      </c>
      <c r="K638" s="35"/>
      <c r="L638" s="25"/>
      <c r="M638" s="25"/>
    </row>
    <row r="639" spans="1:13" ht="15.2" customHeight="1" thickBot="1" x14ac:dyDescent="0.25">
      <c r="A639" s="25"/>
      <c r="B639" s="25"/>
      <c r="C639" s="25"/>
      <c r="D639" s="29"/>
      <c r="E639" s="5" t="s">
        <v>1551</v>
      </c>
      <c r="F639" s="3">
        <v>1</v>
      </c>
      <c r="G639" s="23"/>
      <c r="H639" s="23"/>
      <c r="I639" s="23"/>
      <c r="J639" s="33">
        <f t="shared" si="7"/>
        <v>1</v>
      </c>
      <c r="K639" s="25"/>
      <c r="L639" s="25"/>
      <c r="M639" s="25"/>
    </row>
    <row r="640" spans="1:13" ht="15.2" customHeight="1" thickBot="1" x14ac:dyDescent="0.25">
      <c r="A640" s="25"/>
      <c r="B640" s="25"/>
      <c r="C640" s="25"/>
      <c r="D640" s="29"/>
      <c r="E640" s="5" t="s">
        <v>1552</v>
      </c>
      <c r="F640" s="3">
        <v>1</v>
      </c>
      <c r="G640" s="23"/>
      <c r="H640" s="23"/>
      <c r="I640" s="23"/>
      <c r="J640" s="33">
        <f t="shared" si="7"/>
        <v>1</v>
      </c>
      <c r="K640" s="25"/>
      <c r="L640" s="25"/>
      <c r="M640" s="25"/>
    </row>
    <row r="641" spans="1:13" ht="15.2" customHeight="1" thickBot="1" x14ac:dyDescent="0.25">
      <c r="A641" s="25"/>
      <c r="B641" s="25"/>
      <c r="C641" s="25"/>
      <c r="D641" s="29"/>
      <c r="E641" s="5" t="s">
        <v>1553</v>
      </c>
      <c r="F641" s="3">
        <v>1</v>
      </c>
      <c r="G641" s="23"/>
      <c r="H641" s="23"/>
      <c r="I641" s="23"/>
      <c r="J641" s="33">
        <f t="shared" si="7"/>
        <v>1</v>
      </c>
      <c r="K641" s="25"/>
      <c r="L641" s="25"/>
      <c r="M641" s="25"/>
    </row>
    <row r="642" spans="1:13" ht="15.2" customHeight="1" thickBot="1" x14ac:dyDescent="0.25">
      <c r="A642" s="25"/>
      <c r="B642" s="25"/>
      <c r="C642" s="25"/>
      <c r="D642" s="29"/>
      <c r="E642" s="5" t="s">
        <v>1554</v>
      </c>
      <c r="F642" s="3">
        <v>1</v>
      </c>
      <c r="G642" s="23"/>
      <c r="H642" s="23"/>
      <c r="I642" s="23"/>
      <c r="J642" s="33">
        <f t="shared" si="7"/>
        <v>1</v>
      </c>
      <c r="K642" s="25"/>
      <c r="L642" s="25"/>
      <c r="M642" s="25"/>
    </row>
    <row r="643" spans="1:13" ht="15.2" customHeight="1" thickBot="1" x14ac:dyDescent="0.25">
      <c r="A643" s="25"/>
      <c r="B643" s="25"/>
      <c r="C643" s="25"/>
      <c r="D643" s="29"/>
      <c r="E643" s="5" t="s">
        <v>1555</v>
      </c>
      <c r="F643" s="3">
        <v>1</v>
      </c>
      <c r="G643" s="23"/>
      <c r="H643" s="23"/>
      <c r="I643" s="23"/>
      <c r="J643" s="33">
        <f t="shared" si="7"/>
        <v>1</v>
      </c>
      <c r="K643" s="25"/>
      <c r="L643" s="25"/>
      <c r="M643" s="25"/>
    </row>
    <row r="644" spans="1:13" ht="15.2" customHeight="1" thickBot="1" x14ac:dyDescent="0.25">
      <c r="A644" s="25"/>
      <c r="B644" s="25"/>
      <c r="C644" s="25"/>
      <c r="D644" s="29"/>
      <c r="E644" s="5" t="s">
        <v>1556</v>
      </c>
      <c r="F644" s="3">
        <v>1</v>
      </c>
      <c r="G644" s="23"/>
      <c r="H644" s="23"/>
      <c r="I644" s="23"/>
      <c r="J644" s="33">
        <f t="shared" si="7"/>
        <v>1</v>
      </c>
      <c r="K644" s="25"/>
      <c r="L644" s="25"/>
      <c r="M644" s="25"/>
    </row>
    <row r="645" spans="1:13" ht="15.2" customHeight="1" thickBot="1" x14ac:dyDescent="0.25">
      <c r="A645" s="25"/>
      <c r="B645" s="25"/>
      <c r="C645" s="25"/>
      <c r="D645" s="29"/>
      <c r="E645" s="5" t="s">
        <v>1557</v>
      </c>
      <c r="F645" s="3">
        <v>1</v>
      </c>
      <c r="G645" s="23"/>
      <c r="H645" s="23"/>
      <c r="I645" s="23"/>
      <c r="J645" s="33">
        <f t="shared" si="7"/>
        <v>1</v>
      </c>
      <c r="K645" s="36">
        <f>SUM(J638:J645)</f>
        <v>8</v>
      </c>
      <c r="L645" s="25"/>
      <c r="M645" s="25"/>
    </row>
    <row r="646" spans="1:13" ht="15.4" customHeight="1" thickBot="1" x14ac:dyDescent="0.25">
      <c r="A646" s="10" t="s">
        <v>1558</v>
      </c>
      <c r="B646" s="5" t="s">
        <v>1559</v>
      </c>
      <c r="C646" s="5" t="s">
        <v>1560</v>
      </c>
      <c r="D646" s="82" t="s">
        <v>1561</v>
      </c>
      <c r="E646" s="82"/>
      <c r="F646" s="82"/>
      <c r="G646" s="82"/>
      <c r="H646" s="82"/>
      <c r="I646" s="82"/>
      <c r="J646" s="82"/>
      <c r="K646" s="23">
        <f>SUM(K649:K650)</f>
        <v>47</v>
      </c>
      <c r="L646" s="24">
        <f>ROUND(162.98*(1+M2/100),2)</f>
        <v>172.76</v>
      </c>
      <c r="M646" s="24">
        <f>ROUND(K646*L646,2)</f>
        <v>8119.72</v>
      </c>
    </row>
    <row r="647" spans="1:13" ht="58.35" customHeight="1" thickBot="1" x14ac:dyDescent="0.25">
      <c r="A647" s="25"/>
      <c r="B647" s="25"/>
      <c r="C647" s="25"/>
      <c r="D647" s="82" t="s">
        <v>1562</v>
      </c>
      <c r="E647" s="82"/>
      <c r="F647" s="82"/>
      <c r="G647" s="82"/>
      <c r="H647" s="82"/>
      <c r="I647" s="82"/>
      <c r="J647" s="82"/>
      <c r="K647" s="82"/>
      <c r="L647" s="82"/>
      <c r="M647" s="82"/>
    </row>
    <row r="648" spans="1:13" ht="15.2" customHeight="1" thickBot="1" x14ac:dyDescent="0.25">
      <c r="A648" s="25"/>
      <c r="B648" s="25"/>
      <c r="C648" s="25"/>
      <c r="D648" s="25"/>
      <c r="E648" s="26"/>
      <c r="F648" s="28" t="s">
        <v>1563</v>
      </c>
      <c r="G648" s="28" t="s">
        <v>1564</v>
      </c>
      <c r="H648" s="28" t="s">
        <v>1565</v>
      </c>
      <c r="I648" s="28" t="s">
        <v>1566</v>
      </c>
      <c r="J648" s="28" t="s">
        <v>1567</v>
      </c>
      <c r="K648" s="28" t="s">
        <v>1568</v>
      </c>
      <c r="L648" s="25"/>
      <c r="M648" s="25"/>
    </row>
    <row r="649" spans="1:13" ht="15.2" customHeight="1" thickBot="1" x14ac:dyDescent="0.25">
      <c r="A649" s="25"/>
      <c r="B649" s="25"/>
      <c r="C649" s="25"/>
      <c r="D649" s="29"/>
      <c r="E649" s="30"/>
      <c r="F649" s="31">
        <v>47</v>
      </c>
      <c r="G649" s="32"/>
      <c r="H649" s="32"/>
      <c r="I649" s="32"/>
      <c r="J649" s="34">
        <f>ROUND(F649,3)</f>
        <v>47</v>
      </c>
      <c r="K649" s="35"/>
      <c r="L649" s="25"/>
      <c r="M649" s="25"/>
    </row>
    <row r="650" spans="1:13" ht="15.2" customHeight="1" thickBot="1" x14ac:dyDescent="0.25">
      <c r="A650" s="25"/>
      <c r="B650" s="25"/>
      <c r="C650" s="25"/>
      <c r="D650" s="29"/>
      <c r="E650" s="5"/>
      <c r="F650" s="3"/>
      <c r="G650" s="23"/>
      <c r="H650" s="23"/>
      <c r="I650" s="23"/>
      <c r="J650" s="27" t="s">
        <v>1569</v>
      </c>
      <c r="K650" s="36">
        <f>SUM(J649:J650)</f>
        <v>47</v>
      </c>
      <c r="L650" s="25"/>
      <c r="M650" s="25"/>
    </row>
    <row r="651" spans="1:13" ht="15.4" customHeight="1" thickBot="1" x14ac:dyDescent="0.25">
      <c r="A651" s="10" t="s">
        <v>1570</v>
      </c>
      <c r="B651" s="5" t="s">
        <v>1571</v>
      </c>
      <c r="C651" s="5" t="s">
        <v>1572</v>
      </c>
      <c r="D651" s="82" t="s">
        <v>1573</v>
      </c>
      <c r="E651" s="82"/>
      <c r="F651" s="82"/>
      <c r="G651" s="82"/>
      <c r="H651" s="82"/>
      <c r="I651" s="82"/>
      <c r="J651" s="82"/>
      <c r="K651" s="23">
        <f>SUM(K654:K655)</f>
        <v>50</v>
      </c>
      <c r="L651" s="24">
        <f>ROUND(41.7*(1+M2/100),2)</f>
        <v>44.2</v>
      </c>
      <c r="M651" s="24">
        <f>ROUND(K651*L651,2)</f>
        <v>2210</v>
      </c>
    </row>
    <row r="652" spans="1:13" ht="12.2" customHeight="1" thickBot="1" x14ac:dyDescent="0.25">
      <c r="A652" s="25"/>
      <c r="B652" s="25"/>
      <c r="C652" s="25"/>
      <c r="D652" s="82" t="s">
        <v>1574</v>
      </c>
      <c r="E652" s="82"/>
      <c r="F652" s="82"/>
      <c r="G652" s="82"/>
      <c r="H652" s="82"/>
      <c r="I652" s="82"/>
      <c r="J652" s="82"/>
      <c r="K652" s="82"/>
      <c r="L652" s="82"/>
      <c r="M652" s="82"/>
    </row>
    <row r="653" spans="1:13" ht="15.2" customHeight="1" thickBot="1" x14ac:dyDescent="0.25">
      <c r="A653" s="25"/>
      <c r="B653" s="25"/>
      <c r="C653" s="25"/>
      <c r="D653" s="25"/>
      <c r="E653" s="26"/>
      <c r="F653" s="28" t="s">
        <v>1575</v>
      </c>
      <c r="G653" s="28" t="s">
        <v>1576</v>
      </c>
      <c r="H653" s="28" t="s">
        <v>1577</v>
      </c>
      <c r="I653" s="28" t="s">
        <v>1578</v>
      </c>
      <c r="J653" s="28" t="s">
        <v>1579</v>
      </c>
      <c r="K653" s="28" t="s">
        <v>1580</v>
      </c>
      <c r="L653" s="25"/>
      <c r="M653" s="25"/>
    </row>
    <row r="654" spans="1:13" ht="15.2" customHeight="1" thickBot="1" x14ac:dyDescent="0.25">
      <c r="A654" s="25"/>
      <c r="B654" s="25"/>
      <c r="C654" s="25"/>
      <c r="D654" s="29"/>
      <c r="E654" s="30" t="s">
        <v>1581</v>
      </c>
      <c r="F654" s="31">
        <v>25</v>
      </c>
      <c r="G654" s="32"/>
      <c r="H654" s="32"/>
      <c r="I654" s="32"/>
      <c r="J654" s="34">
        <f>ROUND(F654,3)</f>
        <v>25</v>
      </c>
      <c r="K654" s="35"/>
      <c r="L654" s="25"/>
      <c r="M654" s="25"/>
    </row>
    <row r="655" spans="1:13" ht="15.2" customHeight="1" thickBot="1" x14ac:dyDescent="0.25">
      <c r="A655" s="25"/>
      <c r="B655" s="25"/>
      <c r="C655" s="25"/>
      <c r="D655" s="29"/>
      <c r="E655" s="5" t="s">
        <v>1582</v>
      </c>
      <c r="F655" s="3">
        <v>25</v>
      </c>
      <c r="G655" s="23"/>
      <c r="H655" s="23"/>
      <c r="I655" s="23"/>
      <c r="J655" s="33">
        <f>ROUND(F655,3)</f>
        <v>25</v>
      </c>
      <c r="K655" s="36">
        <f>SUM(J654:J655)</f>
        <v>50</v>
      </c>
      <c r="L655" s="25"/>
      <c r="M655" s="25"/>
    </row>
    <row r="656" spans="1:13" ht="15.4" customHeight="1" thickBot="1" x14ac:dyDescent="0.25">
      <c r="A656" s="10" t="s">
        <v>1583</v>
      </c>
      <c r="B656" s="5" t="s">
        <v>1584</v>
      </c>
      <c r="C656" s="5" t="s">
        <v>1585</v>
      </c>
      <c r="D656" s="82" t="s">
        <v>1586</v>
      </c>
      <c r="E656" s="82"/>
      <c r="F656" s="82"/>
      <c r="G656" s="82"/>
      <c r="H656" s="82"/>
      <c r="I656" s="82"/>
      <c r="J656" s="82"/>
      <c r="K656" s="23">
        <f>SUM(K659:K660)</f>
        <v>2</v>
      </c>
      <c r="L656" s="24">
        <f>ROUND(2309.87*(1+M2/100),2)</f>
        <v>2448.46</v>
      </c>
      <c r="M656" s="24">
        <f>ROUND(K656*L656,2)</f>
        <v>4896.92</v>
      </c>
    </row>
    <row r="657" spans="1:13" ht="123" customHeight="1" thickBot="1" x14ac:dyDescent="0.25">
      <c r="A657" s="25"/>
      <c r="B657" s="25"/>
      <c r="C657" s="25"/>
      <c r="D657" s="82" t="s">
        <v>1587</v>
      </c>
      <c r="E657" s="82"/>
      <c r="F657" s="82"/>
      <c r="G657" s="82"/>
      <c r="H657" s="82"/>
      <c r="I657" s="82"/>
      <c r="J657" s="82"/>
      <c r="K657" s="82"/>
      <c r="L657" s="82"/>
      <c r="M657" s="82"/>
    </row>
    <row r="658" spans="1:13" ht="15.2" customHeight="1" thickBot="1" x14ac:dyDescent="0.25">
      <c r="A658" s="25"/>
      <c r="B658" s="25"/>
      <c r="C658" s="25"/>
      <c r="D658" s="25"/>
      <c r="E658" s="26"/>
      <c r="F658" s="28" t="s">
        <v>1588</v>
      </c>
      <c r="G658" s="28" t="s">
        <v>1589</v>
      </c>
      <c r="H658" s="28" t="s">
        <v>1590</v>
      </c>
      <c r="I658" s="28" t="s">
        <v>1591</v>
      </c>
      <c r="J658" s="28" t="s">
        <v>1592</v>
      </c>
      <c r="K658" s="28" t="s">
        <v>1593</v>
      </c>
      <c r="L658" s="25"/>
      <c r="M658" s="25"/>
    </row>
    <row r="659" spans="1:13" ht="15.2" customHeight="1" thickBot="1" x14ac:dyDescent="0.25">
      <c r="A659" s="25"/>
      <c r="B659" s="25"/>
      <c r="C659" s="25"/>
      <c r="D659" s="29"/>
      <c r="E659" s="30" t="s">
        <v>1594</v>
      </c>
      <c r="F659" s="31">
        <v>1</v>
      </c>
      <c r="G659" s="32"/>
      <c r="H659" s="32"/>
      <c r="I659" s="32"/>
      <c r="J659" s="34">
        <f>ROUND(F659,3)</f>
        <v>1</v>
      </c>
      <c r="K659" s="35"/>
      <c r="L659" s="25"/>
      <c r="M659" s="25"/>
    </row>
    <row r="660" spans="1:13" ht="15.2" customHeight="1" thickBot="1" x14ac:dyDescent="0.25">
      <c r="A660" s="25"/>
      <c r="B660" s="25"/>
      <c r="C660" s="25"/>
      <c r="D660" s="29"/>
      <c r="E660" s="5" t="s">
        <v>1595</v>
      </c>
      <c r="F660" s="3">
        <v>1</v>
      </c>
      <c r="G660" s="23"/>
      <c r="H660" s="23"/>
      <c r="I660" s="23"/>
      <c r="J660" s="33">
        <f>ROUND(F660,3)</f>
        <v>1</v>
      </c>
      <c r="K660" s="36">
        <f>SUM(J659:J660)</f>
        <v>2</v>
      </c>
      <c r="L660" s="25"/>
      <c r="M660" s="25"/>
    </row>
    <row r="661" spans="1:13" ht="15.4" customHeight="1" thickBot="1" x14ac:dyDescent="0.25">
      <c r="A661" s="10" t="s">
        <v>1596</v>
      </c>
      <c r="B661" s="5" t="s">
        <v>1597</v>
      </c>
      <c r="C661" s="5" t="s">
        <v>1598</v>
      </c>
      <c r="D661" s="82" t="s">
        <v>1599</v>
      </c>
      <c r="E661" s="82"/>
      <c r="F661" s="82"/>
      <c r="G661" s="82"/>
      <c r="H661" s="82"/>
      <c r="I661" s="82"/>
      <c r="J661" s="82"/>
      <c r="K661" s="23">
        <f>SUM(K664:K666)</f>
        <v>4</v>
      </c>
      <c r="L661" s="24">
        <f>ROUND(149.32*(1+M2/100),2)</f>
        <v>158.28</v>
      </c>
      <c r="M661" s="24">
        <f>ROUND(K661*L661,2)</f>
        <v>633.12</v>
      </c>
    </row>
    <row r="662" spans="1:13" ht="58.35" customHeight="1" thickBot="1" x14ac:dyDescent="0.25">
      <c r="A662" s="25"/>
      <c r="B662" s="25"/>
      <c r="C662" s="25"/>
      <c r="D662" s="82" t="s">
        <v>1600</v>
      </c>
      <c r="E662" s="82"/>
      <c r="F662" s="82"/>
      <c r="G662" s="82"/>
      <c r="H662" s="82"/>
      <c r="I662" s="82"/>
      <c r="J662" s="82"/>
      <c r="K662" s="82"/>
      <c r="L662" s="82"/>
      <c r="M662" s="82"/>
    </row>
    <row r="663" spans="1:13" ht="15.2" customHeight="1" thickBot="1" x14ac:dyDescent="0.25">
      <c r="A663" s="25"/>
      <c r="B663" s="25"/>
      <c r="C663" s="25"/>
      <c r="D663" s="25"/>
      <c r="E663" s="26"/>
      <c r="F663" s="28" t="s">
        <v>1601</v>
      </c>
      <c r="G663" s="28" t="s">
        <v>1602</v>
      </c>
      <c r="H663" s="28" t="s">
        <v>1603</v>
      </c>
      <c r="I663" s="28" t="s">
        <v>1604</v>
      </c>
      <c r="J663" s="28" t="s">
        <v>1605</v>
      </c>
      <c r="K663" s="28" t="s">
        <v>1606</v>
      </c>
      <c r="L663" s="25"/>
      <c r="M663" s="25"/>
    </row>
    <row r="664" spans="1:13" ht="15.2" customHeight="1" thickBot="1" x14ac:dyDescent="0.25">
      <c r="A664" s="25"/>
      <c r="B664" s="25"/>
      <c r="C664" s="25"/>
      <c r="D664" s="29"/>
      <c r="E664" s="30" t="s">
        <v>1607</v>
      </c>
      <c r="F664" s="31">
        <v>1</v>
      </c>
      <c r="G664" s="32"/>
      <c r="H664" s="32"/>
      <c r="I664" s="32"/>
      <c r="J664" s="34">
        <f>ROUND(F664,3)</f>
        <v>1</v>
      </c>
      <c r="K664" s="35"/>
      <c r="L664" s="25"/>
      <c r="M664" s="25"/>
    </row>
    <row r="665" spans="1:13" ht="15.2" customHeight="1" thickBot="1" x14ac:dyDescent="0.25">
      <c r="A665" s="25"/>
      <c r="B665" s="25"/>
      <c r="C665" s="25"/>
      <c r="D665" s="29"/>
      <c r="E665" s="5" t="s">
        <v>1608</v>
      </c>
      <c r="F665" s="3">
        <v>2</v>
      </c>
      <c r="G665" s="23"/>
      <c r="H665" s="23"/>
      <c r="I665" s="23"/>
      <c r="J665" s="33">
        <f>ROUND(F665,3)</f>
        <v>2</v>
      </c>
      <c r="K665" s="25"/>
      <c r="L665" s="25"/>
      <c r="M665" s="25"/>
    </row>
    <row r="666" spans="1:13" ht="15.2" customHeight="1" thickBot="1" x14ac:dyDescent="0.25">
      <c r="A666" s="25"/>
      <c r="B666" s="25"/>
      <c r="C666" s="25"/>
      <c r="D666" s="29"/>
      <c r="E666" s="5" t="s">
        <v>1609</v>
      </c>
      <c r="F666" s="3">
        <v>1</v>
      </c>
      <c r="G666" s="23"/>
      <c r="H666" s="23"/>
      <c r="I666" s="23"/>
      <c r="J666" s="33">
        <f>ROUND(F666,3)</f>
        <v>1</v>
      </c>
      <c r="K666" s="36">
        <f>SUM(J664:J666)</f>
        <v>4</v>
      </c>
      <c r="L666" s="25"/>
      <c r="M666" s="25"/>
    </row>
    <row r="667" spans="1:13" ht="15.4" customHeight="1" thickBot="1" x14ac:dyDescent="0.25">
      <c r="A667" s="10" t="s">
        <v>1610</v>
      </c>
      <c r="B667" s="5" t="s">
        <v>1611</v>
      </c>
      <c r="C667" s="5" t="s">
        <v>1612</v>
      </c>
      <c r="D667" s="82" t="s">
        <v>1613</v>
      </c>
      <c r="E667" s="82"/>
      <c r="F667" s="82"/>
      <c r="G667" s="82"/>
      <c r="H667" s="82"/>
      <c r="I667" s="82"/>
      <c r="J667" s="82"/>
      <c r="K667" s="23">
        <f>SUM(K670:K672)</f>
        <v>4</v>
      </c>
      <c r="L667" s="24">
        <f>ROUND(39.83*(1+M2/100),2)</f>
        <v>42.22</v>
      </c>
      <c r="M667" s="24">
        <f>ROUND(K667*L667,2)</f>
        <v>168.88</v>
      </c>
    </row>
    <row r="668" spans="1:13" ht="39.75" customHeight="1" thickBot="1" x14ac:dyDescent="0.25">
      <c r="A668" s="25"/>
      <c r="B668" s="25"/>
      <c r="C668" s="25"/>
      <c r="D668" s="82" t="s">
        <v>1614</v>
      </c>
      <c r="E668" s="82"/>
      <c r="F668" s="82"/>
      <c r="G668" s="82"/>
      <c r="H668" s="82"/>
      <c r="I668" s="82"/>
      <c r="J668" s="82"/>
      <c r="K668" s="82"/>
      <c r="L668" s="82"/>
      <c r="M668" s="82"/>
    </row>
    <row r="669" spans="1:13" ht="15.2" customHeight="1" thickBot="1" x14ac:dyDescent="0.25">
      <c r="A669" s="25"/>
      <c r="B669" s="25"/>
      <c r="C669" s="25"/>
      <c r="D669" s="25"/>
      <c r="E669" s="26"/>
      <c r="F669" s="28" t="s">
        <v>1615</v>
      </c>
      <c r="G669" s="28" t="s">
        <v>1616</v>
      </c>
      <c r="H669" s="28" t="s">
        <v>1617</v>
      </c>
      <c r="I669" s="28" t="s">
        <v>1618</v>
      </c>
      <c r="J669" s="28" t="s">
        <v>1619</v>
      </c>
      <c r="K669" s="28" t="s">
        <v>1620</v>
      </c>
      <c r="L669" s="25"/>
      <c r="M669" s="25"/>
    </row>
    <row r="670" spans="1:13" ht="15.2" customHeight="1" thickBot="1" x14ac:dyDescent="0.25">
      <c r="A670" s="25"/>
      <c r="B670" s="25"/>
      <c r="C670" s="25"/>
      <c r="D670" s="29"/>
      <c r="E670" s="30" t="s">
        <v>1621</v>
      </c>
      <c r="F670" s="31">
        <v>1</v>
      </c>
      <c r="G670" s="32"/>
      <c r="H670" s="32"/>
      <c r="I670" s="32"/>
      <c r="J670" s="34">
        <f>ROUND(F670,3)</f>
        <v>1</v>
      </c>
      <c r="K670" s="35"/>
      <c r="L670" s="25"/>
      <c r="M670" s="25"/>
    </row>
    <row r="671" spans="1:13" ht="15.2" customHeight="1" thickBot="1" x14ac:dyDescent="0.25">
      <c r="A671" s="25"/>
      <c r="B671" s="25"/>
      <c r="C671" s="25"/>
      <c r="D671" s="29"/>
      <c r="E671" s="5" t="s">
        <v>1622</v>
      </c>
      <c r="F671" s="3">
        <v>2</v>
      </c>
      <c r="G671" s="23"/>
      <c r="H671" s="23"/>
      <c r="I671" s="23"/>
      <c r="J671" s="33">
        <f>ROUND(F671,3)</f>
        <v>2</v>
      </c>
      <c r="K671" s="25"/>
      <c r="L671" s="25"/>
      <c r="M671" s="25"/>
    </row>
    <row r="672" spans="1:13" ht="15.2" customHeight="1" thickBot="1" x14ac:dyDescent="0.25">
      <c r="A672" s="25"/>
      <c r="B672" s="25"/>
      <c r="C672" s="25"/>
      <c r="D672" s="29"/>
      <c r="E672" s="5" t="s">
        <v>1623</v>
      </c>
      <c r="F672" s="3">
        <v>1</v>
      </c>
      <c r="G672" s="23"/>
      <c r="H672" s="23"/>
      <c r="I672" s="23"/>
      <c r="J672" s="33">
        <f>ROUND(F672,3)</f>
        <v>1</v>
      </c>
      <c r="K672" s="36">
        <f>SUM(J670:J672)</f>
        <v>4</v>
      </c>
      <c r="L672" s="25"/>
      <c r="M672" s="25"/>
    </row>
    <row r="673" spans="1:13" ht="15.4" customHeight="1" thickBot="1" x14ac:dyDescent="0.25">
      <c r="A673" s="10" t="s">
        <v>1624</v>
      </c>
      <c r="B673" s="5" t="s">
        <v>1625</v>
      </c>
      <c r="C673" s="5" t="s">
        <v>1626</v>
      </c>
      <c r="D673" s="82" t="s">
        <v>1627</v>
      </c>
      <c r="E673" s="82"/>
      <c r="F673" s="82"/>
      <c r="G673" s="82"/>
      <c r="H673" s="82"/>
      <c r="I673" s="82"/>
      <c r="J673" s="82"/>
      <c r="K673" s="23">
        <f>SUM(K676:K676)</f>
        <v>265</v>
      </c>
      <c r="L673" s="24">
        <f>ROUND(41.7*(1+M2/100),2)</f>
        <v>44.2</v>
      </c>
      <c r="M673" s="24">
        <f>ROUND(K673*L673,2)</f>
        <v>11713</v>
      </c>
    </row>
    <row r="674" spans="1:13" ht="12.2" customHeight="1" thickBot="1" x14ac:dyDescent="0.25">
      <c r="A674" s="25"/>
      <c r="B674" s="25"/>
      <c r="C674" s="25"/>
      <c r="D674" s="82" t="s">
        <v>1628</v>
      </c>
      <c r="E674" s="82"/>
      <c r="F674" s="82"/>
      <c r="G674" s="82"/>
      <c r="H674" s="82"/>
      <c r="I674" s="82"/>
      <c r="J674" s="82"/>
      <c r="K674" s="82"/>
      <c r="L674" s="82"/>
      <c r="M674" s="82"/>
    </row>
    <row r="675" spans="1:13" ht="15.2" customHeight="1" thickBot="1" x14ac:dyDescent="0.25">
      <c r="A675" s="25"/>
      <c r="B675" s="25"/>
      <c r="C675" s="25"/>
      <c r="D675" s="25"/>
      <c r="E675" s="26"/>
      <c r="F675" s="28" t="s">
        <v>1629</v>
      </c>
      <c r="G675" s="28" t="s">
        <v>1630</v>
      </c>
      <c r="H675" s="28" t="s">
        <v>1631</v>
      </c>
      <c r="I675" s="28" t="s">
        <v>1632</v>
      </c>
      <c r="J675" s="28" t="s">
        <v>1633</v>
      </c>
      <c r="K675" s="28" t="s">
        <v>1634</v>
      </c>
      <c r="L675" s="25"/>
      <c r="M675" s="25"/>
    </row>
    <row r="676" spans="1:13" ht="21.4" customHeight="1" thickBot="1" x14ac:dyDescent="0.25">
      <c r="A676" s="25"/>
      <c r="B676" s="25"/>
      <c r="C676" s="25"/>
      <c r="D676" s="29"/>
      <c r="E676" s="30" t="s">
        <v>1635</v>
      </c>
      <c r="F676" s="31">
        <v>265</v>
      </c>
      <c r="G676" s="32"/>
      <c r="H676" s="32"/>
      <c r="I676" s="32"/>
      <c r="J676" s="34">
        <f>ROUND(F676,3)</f>
        <v>265</v>
      </c>
      <c r="K676" s="37">
        <f>SUM(J676:J676)</f>
        <v>265</v>
      </c>
      <c r="L676" s="25"/>
      <c r="M676" s="25"/>
    </row>
    <row r="677" spans="1:13" ht="15.4" customHeight="1" thickBot="1" x14ac:dyDescent="0.25">
      <c r="A677" s="10" t="s">
        <v>1636</v>
      </c>
      <c r="B677" s="5" t="s">
        <v>1637</v>
      </c>
      <c r="C677" s="5" t="s">
        <v>1638</v>
      </c>
      <c r="D677" s="82" t="s">
        <v>1639</v>
      </c>
      <c r="E677" s="82"/>
      <c r="F677" s="82"/>
      <c r="G677" s="82"/>
      <c r="H677" s="82"/>
      <c r="I677" s="82"/>
      <c r="J677" s="82"/>
      <c r="K677" s="23">
        <f>SUM(K680:K680)</f>
        <v>3</v>
      </c>
      <c r="L677" s="24">
        <f>ROUND(7304.17*(1+M2/100),2)</f>
        <v>7742.42</v>
      </c>
      <c r="M677" s="24">
        <f>ROUND(K677*L677,2)</f>
        <v>23227.26</v>
      </c>
    </row>
    <row r="678" spans="1:13" ht="141.4" customHeight="1" thickBot="1" x14ac:dyDescent="0.25">
      <c r="A678" s="25"/>
      <c r="B678" s="25"/>
      <c r="C678" s="25"/>
      <c r="D678" s="82" t="s">
        <v>1640</v>
      </c>
      <c r="E678" s="82"/>
      <c r="F678" s="82"/>
      <c r="G678" s="82"/>
      <c r="H678" s="82"/>
      <c r="I678" s="82"/>
      <c r="J678" s="82"/>
      <c r="K678" s="82"/>
      <c r="L678" s="82"/>
      <c r="M678" s="82"/>
    </row>
    <row r="679" spans="1:13" ht="15.2" customHeight="1" thickBot="1" x14ac:dyDescent="0.25">
      <c r="A679" s="25"/>
      <c r="B679" s="25"/>
      <c r="C679" s="25"/>
      <c r="D679" s="25"/>
      <c r="E679" s="26"/>
      <c r="F679" s="28" t="s">
        <v>1641</v>
      </c>
      <c r="G679" s="28" t="s">
        <v>1642</v>
      </c>
      <c r="H679" s="28" t="s">
        <v>1643</v>
      </c>
      <c r="I679" s="28" t="s">
        <v>1644</v>
      </c>
      <c r="J679" s="28" t="s">
        <v>1645</v>
      </c>
      <c r="K679" s="28" t="s">
        <v>1646</v>
      </c>
      <c r="L679" s="25"/>
      <c r="M679" s="25"/>
    </row>
    <row r="680" spans="1:13" ht="15.2" customHeight="1" thickBot="1" x14ac:dyDescent="0.25">
      <c r="A680" s="25"/>
      <c r="B680" s="25"/>
      <c r="C680" s="25"/>
      <c r="D680" s="29"/>
      <c r="E680" s="30" t="s">
        <v>1647</v>
      </c>
      <c r="F680" s="31">
        <v>3</v>
      </c>
      <c r="G680" s="32"/>
      <c r="H680" s="32"/>
      <c r="I680" s="32"/>
      <c r="J680" s="34">
        <f>ROUND(F680,3)</f>
        <v>3</v>
      </c>
      <c r="K680" s="37">
        <f>SUM(J680:J680)</f>
        <v>3</v>
      </c>
      <c r="L680" s="25"/>
      <c r="M680" s="25"/>
    </row>
    <row r="681" spans="1:13" ht="15.4" customHeight="1" thickBot="1" x14ac:dyDescent="0.25">
      <c r="A681" s="10" t="s">
        <v>1648</v>
      </c>
      <c r="B681" s="5" t="s">
        <v>1649</v>
      </c>
      <c r="C681" s="5" t="s">
        <v>1650</v>
      </c>
      <c r="D681" s="82" t="s">
        <v>1651</v>
      </c>
      <c r="E681" s="82"/>
      <c r="F681" s="82"/>
      <c r="G681" s="82"/>
      <c r="H681" s="82"/>
      <c r="I681" s="82"/>
      <c r="J681" s="82"/>
      <c r="K681" s="23">
        <f>SUM(K684:K684)</f>
        <v>83</v>
      </c>
      <c r="L681" s="24">
        <f>ROUND(41.7*(1+M2/100),2)</f>
        <v>44.2</v>
      </c>
      <c r="M681" s="24">
        <f>ROUND(K681*L681,2)</f>
        <v>3668.6</v>
      </c>
    </row>
    <row r="682" spans="1:13" ht="12.2" customHeight="1" thickBot="1" x14ac:dyDescent="0.25">
      <c r="A682" s="25"/>
      <c r="B682" s="25"/>
      <c r="C682" s="25"/>
      <c r="D682" s="82" t="s">
        <v>1652</v>
      </c>
      <c r="E682" s="82"/>
      <c r="F682" s="82"/>
      <c r="G682" s="82"/>
      <c r="H682" s="82"/>
      <c r="I682" s="82"/>
      <c r="J682" s="82"/>
      <c r="K682" s="82"/>
      <c r="L682" s="82"/>
      <c r="M682" s="82"/>
    </row>
    <row r="683" spans="1:13" ht="15.2" customHeight="1" thickBot="1" x14ac:dyDescent="0.25">
      <c r="A683" s="25"/>
      <c r="B683" s="25"/>
      <c r="C683" s="25"/>
      <c r="D683" s="25"/>
      <c r="E683" s="26"/>
      <c r="F683" s="28" t="s">
        <v>1653</v>
      </c>
      <c r="G683" s="28" t="s">
        <v>1654</v>
      </c>
      <c r="H683" s="28" t="s">
        <v>1655</v>
      </c>
      <c r="I683" s="28" t="s">
        <v>1656</v>
      </c>
      <c r="J683" s="28" t="s">
        <v>1657</v>
      </c>
      <c r="K683" s="28" t="s">
        <v>1658</v>
      </c>
      <c r="L683" s="25"/>
      <c r="M683" s="25"/>
    </row>
    <row r="684" spans="1:13" ht="21.4" customHeight="1" thickBot="1" x14ac:dyDescent="0.25">
      <c r="A684" s="25"/>
      <c r="B684" s="25"/>
      <c r="C684" s="25"/>
      <c r="D684" s="29"/>
      <c r="E684" s="30" t="s">
        <v>1659</v>
      </c>
      <c r="F684" s="31">
        <v>83</v>
      </c>
      <c r="G684" s="32"/>
      <c r="H684" s="32"/>
      <c r="I684" s="32"/>
      <c r="J684" s="34">
        <f>ROUND(F684,3)</f>
        <v>83</v>
      </c>
      <c r="K684" s="37">
        <f>SUM(J684:J684)</f>
        <v>83</v>
      </c>
      <c r="L684" s="25"/>
      <c r="M684" s="25"/>
    </row>
    <row r="685" spans="1:13" ht="15.4" customHeight="1" thickBot="1" x14ac:dyDescent="0.25">
      <c r="A685" s="38"/>
      <c r="B685" s="38"/>
      <c r="C685" s="38"/>
      <c r="D685" s="65" t="s">
        <v>1660</v>
      </c>
      <c r="E685" s="66"/>
      <c r="F685" s="66"/>
      <c r="G685" s="66"/>
      <c r="H685" s="66"/>
      <c r="I685" s="66"/>
      <c r="J685" s="66"/>
      <c r="K685" s="66"/>
      <c r="L685" s="67">
        <f>M505+M509+M513+M517+M525+M529+M533+M537+M541+M545+M549+M554+M558+M562+M570+M574+M580+M584+M588+M592+M596+M600+M613+M618+M622+M626+M630+M635+M646+M651+M656+M661+M667+M673+M677+M681</f>
        <v>231734.33000000005</v>
      </c>
      <c r="M685" s="67">
        <f>ROUND(L685,2)</f>
        <v>231734.33</v>
      </c>
    </row>
    <row r="686" spans="1:13" ht="15.4" customHeight="1" thickBot="1" x14ac:dyDescent="0.25">
      <c r="A686" s="49" t="s">
        <v>1661</v>
      </c>
      <c r="B686" s="49" t="s">
        <v>1662</v>
      </c>
      <c r="C686" s="50"/>
      <c r="D686" s="84" t="s">
        <v>1663</v>
      </c>
      <c r="E686" s="84"/>
      <c r="F686" s="84"/>
      <c r="G686" s="84"/>
      <c r="H686" s="84"/>
      <c r="I686" s="84"/>
      <c r="J686" s="84"/>
      <c r="K686" s="50"/>
      <c r="L686" s="51">
        <f>L751</f>
        <v>12660.96</v>
      </c>
      <c r="M686" s="51">
        <f>ROUND(L686,2)</f>
        <v>12660.96</v>
      </c>
    </row>
    <row r="687" spans="1:13" ht="15.4" customHeight="1" thickBot="1" x14ac:dyDescent="0.25">
      <c r="A687" s="10" t="s">
        <v>1664</v>
      </c>
      <c r="B687" s="5" t="s">
        <v>1665</v>
      </c>
      <c r="C687" s="5" t="s">
        <v>1666</v>
      </c>
      <c r="D687" s="82" t="s">
        <v>1667</v>
      </c>
      <c r="E687" s="82"/>
      <c r="F687" s="82"/>
      <c r="G687" s="82"/>
      <c r="H687" s="82"/>
      <c r="I687" s="82"/>
      <c r="J687" s="82"/>
      <c r="K687" s="23">
        <f>SUM(K690:K691)</f>
        <v>8</v>
      </c>
      <c r="L687" s="24">
        <f>ROUND(42.44*(1+M2/100),2)</f>
        <v>44.99</v>
      </c>
      <c r="M687" s="24">
        <f>ROUND(K687*L687,2)</f>
        <v>359.92</v>
      </c>
    </row>
    <row r="688" spans="1:13" ht="49.15" customHeight="1" thickBot="1" x14ac:dyDescent="0.25">
      <c r="A688" s="25"/>
      <c r="B688" s="25"/>
      <c r="C688" s="25"/>
      <c r="D688" s="82" t="s">
        <v>1668</v>
      </c>
      <c r="E688" s="82"/>
      <c r="F688" s="82"/>
      <c r="G688" s="82"/>
      <c r="H688" s="82"/>
      <c r="I688" s="82"/>
      <c r="J688" s="82"/>
      <c r="K688" s="82"/>
      <c r="L688" s="82"/>
      <c r="M688" s="82"/>
    </row>
    <row r="689" spans="1:13" ht="15.2" customHeight="1" thickBot="1" x14ac:dyDescent="0.25">
      <c r="A689" s="25"/>
      <c r="B689" s="25"/>
      <c r="C689" s="25"/>
      <c r="D689" s="25"/>
      <c r="E689" s="26"/>
      <c r="F689" s="28" t="s">
        <v>1669</v>
      </c>
      <c r="G689" s="28" t="s">
        <v>1670</v>
      </c>
      <c r="H689" s="28" t="s">
        <v>1671</v>
      </c>
      <c r="I689" s="28" t="s">
        <v>1672</v>
      </c>
      <c r="J689" s="28" t="s">
        <v>1673</v>
      </c>
      <c r="K689" s="28" t="s">
        <v>1674</v>
      </c>
      <c r="L689" s="25"/>
      <c r="M689" s="25"/>
    </row>
    <row r="690" spans="1:13" ht="15.2" customHeight="1" thickBot="1" x14ac:dyDescent="0.25">
      <c r="A690" s="25"/>
      <c r="B690" s="25"/>
      <c r="C690" s="25"/>
      <c r="D690" s="29"/>
      <c r="E690" s="30" t="s">
        <v>1675</v>
      </c>
      <c r="F690" s="31">
        <v>3</v>
      </c>
      <c r="G690" s="32"/>
      <c r="H690" s="32"/>
      <c r="I690" s="32"/>
      <c r="J690" s="34">
        <f>ROUND(F690,3)</f>
        <v>3</v>
      </c>
      <c r="K690" s="35"/>
      <c r="L690" s="25"/>
      <c r="M690" s="25"/>
    </row>
    <row r="691" spans="1:13" ht="15.2" customHeight="1" thickBot="1" x14ac:dyDescent="0.25">
      <c r="A691" s="25"/>
      <c r="B691" s="25"/>
      <c r="C691" s="25"/>
      <c r="D691" s="29"/>
      <c r="E691" s="5" t="s">
        <v>1676</v>
      </c>
      <c r="F691" s="3">
        <v>5</v>
      </c>
      <c r="G691" s="23"/>
      <c r="H691" s="23"/>
      <c r="I691" s="23"/>
      <c r="J691" s="33">
        <f>ROUND(F691,3)</f>
        <v>5</v>
      </c>
      <c r="K691" s="36">
        <f>SUM(J690:J691)</f>
        <v>8</v>
      </c>
      <c r="L691" s="25"/>
      <c r="M691" s="25"/>
    </row>
    <row r="692" spans="1:13" ht="15.4" customHeight="1" thickBot="1" x14ac:dyDescent="0.25">
      <c r="A692" s="10" t="s">
        <v>1677</v>
      </c>
      <c r="B692" s="5" t="s">
        <v>1678</v>
      </c>
      <c r="C692" s="5" t="s">
        <v>1679</v>
      </c>
      <c r="D692" s="82" t="s">
        <v>1680</v>
      </c>
      <c r="E692" s="82"/>
      <c r="F692" s="82"/>
      <c r="G692" s="82"/>
      <c r="H692" s="82"/>
      <c r="I692" s="82"/>
      <c r="J692" s="82"/>
      <c r="K692" s="23">
        <f>SUM(K695:K695)</f>
        <v>4</v>
      </c>
      <c r="L692" s="24">
        <f>ROUND(100.87*(1+M2/100),2)</f>
        <v>106.92</v>
      </c>
      <c r="M692" s="24">
        <f>ROUND(K692*L692,2)</f>
        <v>427.68</v>
      </c>
    </row>
    <row r="693" spans="1:13" ht="49.15" customHeight="1" thickBot="1" x14ac:dyDescent="0.25">
      <c r="A693" s="25"/>
      <c r="B693" s="25"/>
      <c r="C693" s="25"/>
      <c r="D693" s="82" t="s">
        <v>1681</v>
      </c>
      <c r="E693" s="82"/>
      <c r="F693" s="82"/>
      <c r="G693" s="82"/>
      <c r="H693" s="82"/>
      <c r="I693" s="82"/>
      <c r="J693" s="82"/>
      <c r="K693" s="82"/>
      <c r="L693" s="82"/>
      <c r="M693" s="82"/>
    </row>
    <row r="694" spans="1:13" ht="15.2" customHeight="1" thickBot="1" x14ac:dyDescent="0.25">
      <c r="A694" s="25"/>
      <c r="B694" s="25"/>
      <c r="C694" s="25"/>
      <c r="D694" s="25"/>
      <c r="E694" s="26"/>
      <c r="F694" s="28" t="s">
        <v>1682</v>
      </c>
      <c r="G694" s="28" t="s">
        <v>1683</v>
      </c>
      <c r="H694" s="28" t="s">
        <v>1684</v>
      </c>
      <c r="I694" s="28" t="s">
        <v>1685</v>
      </c>
      <c r="J694" s="28" t="s">
        <v>1686</v>
      </c>
      <c r="K694" s="28" t="s">
        <v>1687</v>
      </c>
      <c r="L694" s="25"/>
      <c r="M694" s="25"/>
    </row>
    <row r="695" spans="1:13" ht="15.2" customHeight="1" thickBot="1" x14ac:dyDescent="0.25">
      <c r="A695" s="25"/>
      <c r="B695" s="25"/>
      <c r="C695" s="25"/>
      <c r="D695" s="29"/>
      <c r="E695" s="30"/>
      <c r="F695" s="31">
        <v>4</v>
      </c>
      <c r="G695" s="32"/>
      <c r="H695" s="32"/>
      <c r="I695" s="32"/>
      <c r="J695" s="34">
        <f>ROUND(F695,3)</f>
        <v>4</v>
      </c>
      <c r="K695" s="37">
        <f>SUM(J695:J695)</f>
        <v>4</v>
      </c>
      <c r="L695" s="25"/>
      <c r="M695" s="25"/>
    </row>
    <row r="696" spans="1:13" ht="15.4" customHeight="1" thickBot="1" x14ac:dyDescent="0.25">
      <c r="A696" s="10" t="s">
        <v>1688</v>
      </c>
      <c r="B696" s="5" t="s">
        <v>1689</v>
      </c>
      <c r="C696" s="5" t="s">
        <v>1690</v>
      </c>
      <c r="D696" s="82" t="s">
        <v>1691</v>
      </c>
      <c r="E696" s="82"/>
      <c r="F696" s="82"/>
      <c r="G696" s="82"/>
      <c r="H696" s="82"/>
      <c r="I696" s="82"/>
      <c r="J696" s="82"/>
      <c r="K696" s="23">
        <f>SUM(K699:K699)</f>
        <v>1</v>
      </c>
      <c r="L696" s="24">
        <f>ROUND(25.33*(1+M2/100),2)</f>
        <v>26.85</v>
      </c>
      <c r="M696" s="24">
        <f>ROUND(K696*L696,2)</f>
        <v>26.85</v>
      </c>
    </row>
    <row r="697" spans="1:13" ht="49.15" customHeight="1" thickBot="1" x14ac:dyDescent="0.25">
      <c r="A697" s="25"/>
      <c r="B697" s="25"/>
      <c r="C697" s="25"/>
      <c r="D697" s="82" t="s">
        <v>1692</v>
      </c>
      <c r="E697" s="82"/>
      <c r="F697" s="82"/>
      <c r="G697" s="82"/>
      <c r="H697" s="82"/>
      <c r="I697" s="82"/>
      <c r="J697" s="82"/>
      <c r="K697" s="82"/>
      <c r="L697" s="82"/>
      <c r="M697" s="82"/>
    </row>
    <row r="698" spans="1:13" ht="15.2" customHeight="1" thickBot="1" x14ac:dyDescent="0.25">
      <c r="A698" s="25"/>
      <c r="B698" s="25"/>
      <c r="C698" s="25"/>
      <c r="D698" s="25"/>
      <c r="E698" s="26"/>
      <c r="F698" s="28" t="s">
        <v>1693</v>
      </c>
      <c r="G698" s="28" t="s">
        <v>1694</v>
      </c>
      <c r="H698" s="28" t="s">
        <v>1695</v>
      </c>
      <c r="I698" s="28" t="s">
        <v>1696</v>
      </c>
      <c r="J698" s="28" t="s">
        <v>1697</v>
      </c>
      <c r="K698" s="28" t="s">
        <v>1698</v>
      </c>
      <c r="L698" s="25"/>
      <c r="M698" s="25"/>
    </row>
    <row r="699" spans="1:13" ht="15.2" customHeight="1" thickBot="1" x14ac:dyDescent="0.25">
      <c r="A699" s="25"/>
      <c r="B699" s="25"/>
      <c r="C699" s="25"/>
      <c r="D699" s="29"/>
      <c r="E699" s="30" t="s">
        <v>1699</v>
      </c>
      <c r="F699" s="31">
        <v>1</v>
      </c>
      <c r="G699" s="32">
        <v>1</v>
      </c>
      <c r="H699" s="32">
        <v>1</v>
      </c>
      <c r="I699" s="32">
        <v>1</v>
      </c>
      <c r="J699" s="34">
        <f>ROUND(F699*G699*H699*I699,3)</f>
        <v>1</v>
      </c>
      <c r="K699" s="37">
        <f>SUM(J699:J699)</f>
        <v>1</v>
      </c>
      <c r="L699" s="25"/>
      <c r="M699" s="25"/>
    </row>
    <row r="700" spans="1:13" ht="15.4" customHeight="1" thickBot="1" x14ac:dyDescent="0.25">
      <c r="A700" s="10" t="s">
        <v>1700</v>
      </c>
      <c r="B700" s="5" t="s">
        <v>1701</v>
      </c>
      <c r="C700" s="5" t="s">
        <v>1702</v>
      </c>
      <c r="D700" s="82" t="s">
        <v>1703</v>
      </c>
      <c r="E700" s="82"/>
      <c r="F700" s="82"/>
      <c r="G700" s="82"/>
      <c r="H700" s="82"/>
      <c r="I700" s="82"/>
      <c r="J700" s="82"/>
      <c r="K700" s="23">
        <f>SUM(K703:K703)</f>
        <v>22</v>
      </c>
      <c r="L700" s="24">
        <f>ROUND(32.52*(1+M2/100),2)</f>
        <v>34.47</v>
      </c>
      <c r="M700" s="24">
        <f>ROUND(K700*L700,2)</f>
        <v>758.34</v>
      </c>
    </row>
    <row r="701" spans="1:13" ht="49.15" customHeight="1" thickBot="1" x14ac:dyDescent="0.25">
      <c r="A701" s="25"/>
      <c r="B701" s="25"/>
      <c r="C701" s="25"/>
      <c r="D701" s="82" t="s">
        <v>1704</v>
      </c>
      <c r="E701" s="82"/>
      <c r="F701" s="82"/>
      <c r="G701" s="82"/>
      <c r="H701" s="82"/>
      <c r="I701" s="82"/>
      <c r="J701" s="82"/>
      <c r="K701" s="82"/>
      <c r="L701" s="82"/>
      <c r="M701" s="82"/>
    </row>
    <row r="702" spans="1:13" ht="15.2" customHeight="1" thickBot="1" x14ac:dyDescent="0.25">
      <c r="A702" s="25"/>
      <c r="B702" s="25"/>
      <c r="C702" s="25"/>
      <c r="D702" s="25"/>
      <c r="E702" s="26"/>
      <c r="F702" s="28" t="s">
        <v>1705</v>
      </c>
      <c r="G702" s="28" t="s">
        <v>1706</v>
      </c>
      <c r="H702" s="28" t="s">
        <v>1707</v>
      </c>
      <c r="I702" s="28" t="s">
        <v>1708</v>
      </c>
      <c r="J702" s="28" t="s">
        <v>1709</v>
      </c>
      <c r="K702" s="28" t="s">
        <v>1710</v>
      </c>
      <c r="L702" s="25"/>
      <c r="M702" s="25"/>
    </row>
    <row r="703" spans="1:13" ht="15.2" customHeight="1" thickBot="1" x14ac:dyDescent="0.25">
      <c r="A703" s="25"/>
      <c r="B703" s="25"/>
      <c r="C703" s="25"/>
      <c r="D703" s="29"/>
      <c r="E703" s="30"/>
      <c r="F703" s="31">
        <v>22</v>
      </c>
      <c r="G703" s="32"/>
      <c r="H703" s="32"/>
      <c r="I703" s="32"/>
      <c r="J703" s="34">
        <f>ROUND(F703,3)</f>
        <v>22</v>
      </c>
      <c r="K703" s="37">
        <f>SUM(J703:J703)</f>
        <v>22</v>
      </c>
      <c r="L703" s="25"/>
      <c r="M703" s="25"/>
    </row>
    <row r="704" spans="1:13" ht="15.4" customHeight="1" thickBot="1" x14ac:dyDescent="0.25">
      <c r="A704" s="10" t="s">
        <v>1711</v>
      </c>
      <c r="B704" s="5" t="s">
        <v>1712</v>
      </c>
      <c r="C704" s="5" t="s">
        <v>1713</v>
      </c>
      <c r="D704" s="82" t="s">
        <v>1714</v>
      </c>
      <c r="E704" s="82"/>
      <c r="F704" s="82"/>
      <c r="G704" s="82"/>
      <c r="H704" s="82"/>
      <c r="I704" s="82"/>
      <c r="J704" s="82"/>
      <c r="K704" s="23">
        <f>SUM(K707:K708)</f>
        <v>9</v>
      </c>
      <c r="L704" s="24">
        <f>ROUND(137.8*(1+M2/100),2)</f>
        <v>146.07</v>
      </c>
      <c r="M704" s="24">
        <f>ROUND(K704*L704,2)</f>
        <v>1314.63</v>
      </c>
    </row>
    <row r="705" spans="1:13" ht="49.15" customHeight="1" thickBot="1" x14ac:dyDescent="0.25">
      <c r="A705" s="25"/>
      <c r="B705" s="25"/>
      <c r="C705" s="25"/>
      <c r="D705" s="82" t="s">
        <v>1715</v>
      </c>
      <c r="E705" s="82"/>
      <c r="F705" s="82"/>
      <c r="G705" s="82"/>
      <c r="H705" s="82"/>
      <c r="I705" s="82"/>
      <c r="J705" s="82"/>
      <c r="K705" s="82"/>
      <c r="L705" s="82"/>
      <c r="M705" s="82"/>
    </row>
    <row r="706" spans="1:13" ht="15.2" customHeight="1" thickBot="1" x14ac:dyDescent="0.25">
      <c r="A706" s="25"/>
      <c r="B706" s="25"/>
      <c r="C706" s="25"/>
      <c r="D706" s="25"/>
      <c r="E706" s="26"/>
      <c r="F706" s="28" t="s">
        <v>1716</v>
      </c>
      <c r="G706" s="28" t="s">
        <v>1717</v>
      </c>
      <c r="H706" s="28" t="s">
        <v>1718</v>
      </c>
      <c r="I706" s="28" t="s">
        <v>1719</v>
      </c>
      <c r="J706" s="28" t="s">
        <v>1720</v>
      </c>
      <c r="K706" s="28" t="s">
        <v>1721</v>
      </c>
      <c r="L706" s="25"/>
      <c r="M706" s="25"/>
    </row>
    <row r="707" spans="1:13" ht="15.2" customHeight="1" thickBot="1" x14ac:dyDescent="0.25">
      <c r="A707" s="25"/>
      <c r="B707" s="25"/>
      <c r="C707" s="25"/>
      <c r="D707" s="29"/>
      <c r="E707" s="30" t="s">
        <v>1722</v>
      </c>
      <c r="F707" s="31">
        <v>4</v>
      </c>
      <c r="G707" s="32"/>
      <c r="H707" s="32"/>
      <c r="I707" s="32"/>
      <c r="J707" s="34">
        <f>ROUND(F707,3)</f>
        <v>4</v>
      </c>
      <c r="K707" s="35"/>
      <c r="L707" s="25"/>
      <c r="M707" s="25"/>
    </row>
    <row r="708" spans="1:13" ht="15.2" customHeight="1" thickBot="1" x14ac:dyDescent="0.25">
      <c r="A708" s="25"/>
      <c r="B708" s="25"/>
      <c r="C708" s="25"/>
      <c r="D708" s="29"/>
      <c r="E708" s="5" t="s">
        <v>1723</v>
      </c>
      <c r="F708" s="3">
        <v>5</v>
      </c>
      <c r="G708" s="23"/>
      <c r="H708" s="23"/>
      <c r="I708" s="23"/>
      <c r="J708" s="33">
        <f>ROUND(F708,3)</f>
        <v>5</v>
      </c>
      <c r="K708" s="36">
        <f>SUM(J707:J708)</f>
        <v>9</v>
      </c>
      <c r="L708" s="25"/>
      <c r="M708" s="25"/>
    </row>
    <row r="709" spans="1:13" ht="15.4" customHeight="1" thickBot="1" x14ac:dyDescent="0.25">
      <c r="A709" s="10" t="s">
        <v>1724</v>
      </c>
      <c r="B709" s="5" t="s">
        <v>1725</v>
      </c>
      <c r="C709" s="5" t="s">
        <v>1726</v>
      </c>
      <c r="D709" s="82" t="s">
        <v>1727</v>
      </c>
      <c r="E709" s="82"/>
      <c r="F709" s="82"/>
      <c r="G709" s="82"/>
      <c r="H709" s="82"/>
      <c r="I709" s="82"/>
      <c r="J709" s="82"/>
      <c r="K709" s="23">
        <f>SUM(K712:K712)</f>
        <v>1</v>
      </c>
      <c r="L709" s="24">
        <f>ROUND(299.44*(1+M2/100),2)</f>
        <v>317.41000000000003</v>
      </c>
      <c r="M709" s="24">
        <f>ROUND(K709*L709,2)</f>
        <v>317.41000000000003</v>
      </c>
    </row>
    <row r="710" spans="1:13" ht="104.45" customHeight="1" thickBot="1" x14ac:dyDescent="0.25">
      <c r="A710" s="25"/>
      <c r="B710" s="25"/>
      <c r="C710" s="25"/>
      <c r="D710" s="82" t="s">
        <v>1728</v>
      </c>
      <c r="E710" s="82"/>
      <c r="F710" s="82"/>
      <c r="G710" s="82"/>
      <c r="H710" s="82"/>
      <c r="I710" s="82"/>
      <c r="J710" s="82"/>
      <c r="K710" s="82"/>
      <c r="L710" s="82"/>
      <c r="M710" s="82"/>
    </row>
    <row r="711" spans="1:13" ht="15.2" customHeight="1" thickBot="1" x14ac:dyDescent="0.25">
      <c r="A711" s="25"/>
      <c r="B711" s="25"/>
      <c r="C711" s="25"/>
      <c r="D711" s="25"/>
      <c r="E711" s="26"/>
      <c r="F711" s="28" t="s">
        <v>1729</v>
      </c>
      <c r="G711" s="28" t="s">
        <v>1730</v>
      </c>
      <c r="H711" s="28" t="s">
        <v>1731</v>
      </c>
      <c r="I711" s="28" t="s">
        <v>1732</v>
      </c>
      <c r="J711" s="28" t="s">
        <v>1733</v>
      </c>
      <c r="K711" s="28" t="s">
        <v>1734</v>
      </c>
      <c r="L711" s="25"/>
      <c r="M711" s="25"/>
    </row>
    <row r="712" spans="1:13" ht="15.2" customHeight="1" thickBot="1" x14ac:dyDescent="0.25">
      <c r="A712" s="25"/>
      <c r="B712" s="25"/>
      <c r="C712" s="25"/>
      <c r="D712" s="29"/>
      <c r="E712" s="30" t="s">
        <v>1735</v>
      </c>
      <c r="F712" s="31">
        <v>1</v>
      </c>
      <c r="G712" s="32"/>
      <c r="H712" s="32"/>
      <c r="I712" s="32"/>
      <c r="J712" s="34">
        <f>ROUND(F712,3)</f>
        <v>1</v>
      </c>
      <c r="K712" s="37">
        <f>SUM(J712:J712)</f>
        <v>1</v>
      </c>
      <c r="L712" s="25"/>
      <c r="M712" s="25"/>
    </row>
    <row r="713" spans="1:13" ht="15.4" customHeight="1" thickBot="1" x14ac:dyDescent="0.25">
      <c r="A713" s="10" t="s">
        <v>1736</v>
      </c>
      <c r="B713" s="5" t="s">
        <v>1737</v>
      </c>
      <c r="C713" s="5" t="s">
        <v>1738</v>
      </c>
      <c r="D713" s="82" t="s">
        <v>1739</v>
      </c>
      <c r="E713" s="82"/>
      <c r="F713" s="82"/>
      <c r="G713" s="82"/>
      <c r="H713" s="82"/>
      <c r="I713" s="82"/>
      <c r="J713" s="82"/>
      <c r="K713" s="23">
        <f>SUM(K716:K716)</f>
        <v>1</v>
      </c>
      <c r="L713" s="24">
        <f>ROUND(322.39*(1+M2/100),2)</f>
        <v>341.73</v>
      </c>
      <c r="M713" s="24">
        <f>ROUND(K713*L713,2)</f>
        <v>341.73</v>
      </c>
    </row>
    <row r="714" spans="1:13" ht="104.45" customHeight="1" thickBot="1" x14ac:dyDescent="0.25">
      <c r="A714" s="25"/>
      <c r="B714" s="25"/>
      <c r="C714" s="25"/>
      <c r="D714" s="82" t="s">
        <v>1740</v>
      </c>
      <c r="E714" s="82"/>
      <c r="F714" s="82"/>
      <c r="G714" s="82"/>
      <c r="H714" s="82"/>
      <c r="I714" s="82"/>
      <c r="J714" s="82"/>
      <c r="K714" s="82"/>
      <c r="L714" s="82"/>
      <c r="M714" s="82"/>
    </row>
    <row r="715" spans="1:13" ht="15.2" customHeight="1" thickBot="1" x14ac:dyDescent="0.25">
      <c r="A715" s="25"/>
      <c r="B715" s="25"/>
      <c r="C715" s="25"/>
      <c r="D715" s="25"/>
      <c r="E715" s="26"/>
      <c r="F715" s="28" t="s">
        <v>1741</v>
      </c>
      <c r="G715" s="28" t="s">
        <v>1742</v>
      </c>
      <c r="H715" s="28" t="s">
        <v>1743</v>
      </c>
      <c r="I715" s="28" t="s">
        <v>1744</v>
      </c>
      <c r="J715" s="28" t="s">
        <v>1745</v>
      </c>
      <c r="K715" s="28" t="s">
        <v>1746</v>
      </c>
      <c r="L715" s="25"/>
      <c r="M715" s="25"/>
    </row>
    <row r="716" spans="1:13" ht="15.2" customHeight="1" thickBot="1" x14ac:dyDescent="0.25">
      <c r="A716" s="25"/>
      <c r="B716" s="25"/>
      <c r="C716" s="25"/>
      <c r="D716" s="29"/>
      <c r="E716" s="30" t="s">
        <v>1747</v>
      </c>
      <c r="F716" s="31">
        <v>1</v>
      </c>
      <c r="G716" s="32"/>
      <c r="H716" s="32"/>
      <c r="I716" s="32"/>
      <c r="J716" s="34">
        <f>ROUND(F716,3)</f>
        <v>1</v>
      </c>
      <c r="K716" s="37">
        <f>SUM(J716:J716)</f>
        <v>1</v>
      </c>
      <c r="L716" s="25"/>
      <c r="M716" s="25"/>
    </row>
    <row r="717" spans="1:13" ht="15.4" customHeight="1" thickBot="1" x14ac:dyDescent="0.25">
      <c r="A717" s="10" t="s">
        <v>1748</v>
      </c>
      <c r="B717" s="5" t="s">
        <v>1749</v>
      </c>
      <c r="C717" s="5" t="s">
        <v>1750</v>
      </c>
      <c r="D717" s="82" t="s">
        <v>1751</v>
      </c>
      <c r="E717" s="82"/>
      <c r="F717" s="82"/>
      <c r="G717" s="82"/>
      <c r="H717" s="82"/>
      <c r="I717" s="82"/>
      <c r="J717" s="82"/>
      <c r="K717" s="23">
        <f>SUM(K720:K720)</f>
        <v>1</v>
      </c>
      <c r="L717" s="24">
        <f>ROUND(690.93*(1+M2/100),2)</f>
        <v>732.39</v>
      </c>
      <c r="M717" s="24">
        <f>ROUND(K717*L717,2)</f>
        <v>732.39</v>
      </c>
    </row>
    <row r="718" spans="1:13" ht="21.4" customHeight="1" thickBot="1" x14ac:dyDescent="0.25">
      <c r="A718" s="25"/>
      <c r="B718" s="25"/>
      <c r="C718" s="25"/>
      <c r="D718" s="82" t="s">
        <v>1752</v>
      </c>
      <c r="E718" s="82"/>
      <c r="F718" s="82"/>
      <c r="G718" s="82"/>
      <c r="H718" s="82"/>
      <c r="I718" s="82"/>
      <c r="J718" s="82"/>
      <c r="K718" s="82"/>
      <c r="L718" s="82"/>
      <c r="M718" s="82"/>
    </row>
    <row r="719" spans="1:13" ht="15.2" customHeight="1" thickBot="1" x14ac:dyDescent="0.25">
      <c r="A719" s="25"/>
      <c r="B719" s="25"/>
      <c r="C719" s="25"/>
      <c r="D719" s="25"/>
      <c r="E719" s="26"/>
      <c r="F719" s="28" t="s">
        <v>1753</v>
      </c>
      <c r="G719" s="28" t="s">
        <v>1754</v>
      </c>
      <c r="H719" s="28" t="s">
        <v>1755</v>
      </c>
      <c r="I719" s="28" t="s">
        <v>1756</v>
      </c>
      <c r="J719" s="28" t="s">
        <v>1757</v>
      </c>
      <c r="K719" s="28" t="s">
        <v>1758</v>
      </c>
      <c r="L719" s="25"/>
      <c r="M719" s="25"/>
    </row>
    <row r="720" spans="1:13" ht="15.2" customHeight="1" thickBot="1" x14ac:dyDescent="0.25">
      <c r="A720" s="25"/>
      <c r="B720" s="25"/>
      <c r="C720" s="25"/>
      <c r="D720" s="29"/>
      <c r="E720" s="30">
        <v>0</v>
      </c>
      <c r="F720" s="31">
        <v>1</v>
      </c>
      <c r="G720" s="32"/>
      <c r="H720" s="32"/>
      <c r="I720" s="32"/>
      <c r="J720" s="34">
        <f>ROUND(F720,3)</f>
        <v>1</v>
      </c>
      <c r="K720" s="37">
        <f>SUM(J720:J720)</f>
        <v>1</v>
      </c>
      <c r="L720" s="25"/>
      <c r="M720" s="25"/>
    </row>
    <row r="721" spans="1:13" ht="15.4" customHeight="1" thickBot="1" x14ac:dyDescent="0.25">
      <c r="A721" s="10" t="s">
        <v>1759</v>
      </c>
      <c r="B721" s="5" t="s">
        <v>1760</v>
      </c>
      <c r="C721" s="5" t="s">
        <v>1761</v>
      </c>
      <c r="D721" s="82" t="s">
        <v>1762</v>
      </c>
      <c r="E721" s="82"/>
      <c r="F721" s="82"/>
      <c r="G721" s="82"/>
      <c r="H721" s="82"/>
      <c r="I721" s="82"/>
      <c r="J721" s="82"/>
      <c r="K721" s="23">
        <f>SUM(K724:K725)</f>
        <v>1</v>
      </c>
      <c r="L721" s="24">
        <f>ROUND(600.86*(1+M2/100),2)</f>
        <v>636.91</v>
      </c>
      <c r="M721" s="24">
        <f>ROUND(K721*L721,2)</f>
        <v>636.91</v>
      </c>
    </row>
    <row r="722" spans="1:13" ht="12.2" customHeight="1" thickBot="1" x14ac:dyDescent="0.25">
      <c r="A722" s="25"/>
      <c r="B722" s="25"/>
      <c r="C722" s="25"/>
      <c r="D722" s="82" t="s">
        <v>1763</v>
      </c>
      <c r="E722" s="82"/>
      <c r="F722" s="82"/>
      <c r="G722" s="82"/>
      <c r="H722" s="82"/>
      <c r="I722" s="82"/>
      <c r="J722" s="82"/>
      <c r="K722" s="82"/>
      <c r="L722" s="82"/>
      <c r="M722" s="82"/>
    </row>
    <row r="723" spans="1:13" ht="15.2" customHeight="1" thickBot="1" x14ac:dyDescent="0.25">
      <c r="A723" s="25"/>
      <c r="B723" s="25"/>
      <c r="C723" s="25"/>
      <c r="D723" s="25"/>
      <c r="E723" s="26"/>
      <c r="F723" s="28" t="s">
        <v>1764</v>
      </c>
      <c r="G723" s="28" t="s">
        <v>1765</v>
      </c>
      <c r="H723" s="28" t="s">
        <v>1766</v>
      </c>
      <c r="I723" s="28" t="s">
        <v>1767</v>
      </c>
      <c r="J723" s="28" t="s">
        <v>1768</v>
      </c>
      <c r="K723" s="28" t="s">
        <v>1769</v>
      </c>
      <c r="L723" s="25"/>
      <c r="M723" s="25"/>
    </row>
    <row r="724" spans="1:13" ht="15.2" customHeight="1" thickBot="1" x14ac:dyDescent="0.25">
      <c r="A724" s="25"/>
      <c r="B724" s="25"/>
      <c r="C724" s="25"/>
      <c r="D724" s="29"/>
      <c r="E724" s="30"/>
      <c r="F724" s="31">
        <v>1</v>
      </c>
      <c r="G724" s="32"/>
      <c r="H724" s="32"/>
      <c r="I724" s="32"/>
      <c r="J724" s="34">
        <f>ROUND(F724,3)</f>
        <v>1</v>
      </c>
      <c r="K724" s="35"/>
      <c r="L724" s="25"/>
      <c r="M724" s="25"/>
    </row>
    <row r="725" spans="1:13" ht="15.2" customHeight="1" thickBot="1" x14ac:dyDescent="0.25">
      <c r="A725" s="25"/>
      <c r="B725" s="25"/>
      <c r="C725" s="25"/>
      <c r="D725" s="29"/>
      <c r="E725" s="5"/>
      <c r="F725" s="3"/>
      <c r="G725" s="23"/>
      <c r="H725" s="23"/>
      <c r="I725" s="23"/>
      <c r="J725" s="27" t="s">
        <v>1770</v>
      </c>
      <c r="K725" s="36">
        <f>SUM(J724:J725)</f>
        <v>1</v>
      </c>
      <c r="L725" s="25"/>
      <c r="M725" s="25"/>
    </row>
    <row r="726" spans="1:13" ht="15.4" customHeight="1" thickBot="1" x14ac:dyDescent="0.25">
      <c r="A726" s="10" t="s">
        <v>1771</v>
      </c>
      <c r="B726" s="5" t="s">
        <v>1772</v>
      </c>
      <c r="C726" s="5" t="s">
        <v>1773</v>
      </c>
      <c r="D726" s="82" t="s">
        <v>1774</v>
      </c>
      <c r="E726" s="82"/>
      <c r="F726" s="82"/>
      <c r="G726" s="82"/>
      <c r="H726" s="82"/>
      <c r="I726" s="82"/>
      <c r="J726" s="82"/>
      <c r="K726" s="23">
        <f>SUM(K729:K729)</f>
        <v>2</v>
      </c>
      <c r="L726" s="24">
        <f>ROUND(365.13*(1+M2/100),2)</f>
        <v>387.04</v>
      </c>
      <c r="M726" s="24">
        <f>ROUND(K726*L726,2)</f>
        <v>774.08</v>
      </c>
    </row>
    <row r="727" spans="1:13" ht="12.2" customHeight="1" thickBot="1" x14ac:dyDescent="0.25">
      <c r="A727" s="25"/>
      <c r="B727" s="25"/>
      <c r="C727" s="25"/>
      <c r="D727" s="82" t="s">
        <v>1775</v>
      </c>
      <c r="E727" s="82"/>
      <c r="F727" s="82"/>
      <c r="G727" s="82"/>
      <c r="H727" s="82"/>
      <c r="I727" s="82"/>
      <c r="J727" s="82"/>
      <c r="K727" s="82"/>
      <c r="L727" s="82"/>
      <c r="M727" s="82"/>
    </row>
    <row r="728" spans="1:13" ht="15.2" customHeight="1" thickBot="1" x14ac:dyDescent="0.25">
      <c r="A728" s="25"/>
      <c r="B728" s="25"/>
      <c r="C728" s="25"/>
      <c r="D728" s="25"/>
      <c r="E728" s="26"/>
      <c r="F728" s="28" t="s">
        <v>1776</v>
      </c>
      <c r="G728" s="28" t="s">
        <v>1777</v>
      </c>
      <c r="H728" s="28" t="s">
        <v>1778</v>
      </c>
      <c r="I728" s="28" t="s">
        <v>1779</v>
      </c>
      <c r="J728" s="28" t="s">
        <v>1780</v>
      </c>
      <c r="K728" s="28" t="s">
        <v>1781</v>
      </c>
      <c r="L728" s="25"/>
      <c r="M728" s="25"/>
    </row>
    <row r="729" spans="1:13" ht="15.2" customHeight="1" thickBot="1" x14ac:dyDescent="0.25">
      <c r="A729" s="25"/>
      <c r="B729" s="25"/>
      <c r="C729" s="25"/>
      <c r="D729" s="29"/>
      <c r="E729" s="30"/>
      <c r="F729" s="31">
        <v>2</v>
      </c>
      <c r="G729" s="32"/>
      <c r="H729" s="32"/>
      <c r="I729" s="32"/>
      <c r="J729" s="34">
        <f>ROUND(F729,3)</f>
        <v>2</v>
      </c>
      <c r="K729" s="37">
        <f>SUM(J729:J729)</f>
        <v>2</v>
      </c>
      <c r="L729" s="25"/>
      <c r="M729" s="25"/>
    </row>
    <row r="730" spans="1:13" ht="15.4" customHeight="1" thickBot="1" x14ac:dyDescent="0.25">
      <c r="A730" s="10" t="s">
        <v>1782</v>
      </c>
      <c r="B730" s="5" t="s">
        <v>1783</v>
      </c>
      <c r="C730" s="5" t="s">
        <v>1784</v>
      </c>
      <c r="D730" s="82" t="s">
        <v>1785</v>
      </c>
      <c r="E730" s="82"/>
      <c r="F730" s="82"/>
      <c r="G730" s="82"/>
      <c r="H730" s="82"/>
      <c r="I730" s="82"/>
      <c r="J730" s="82"/>
      <c r="K730" s="23">
        <f>SUM(K733:K733)</f>
        <v>100</v>
      </c>
      <c r="L730" s="24">
        <f>ROUND(1.92*(1+M2/100),2)</f>
        <v>2.04</v>
      </c>
      <c r="M730" s="24">
        <f>ROUND(K730*L730,2)</f>
        <v>204</v>
      </c>
    </row>
    <row r="731" spans="1:13" ht="30.6" customHeight="1" thickBot="1" x14ac:dyDescent="0.25">
      <c r="A731" s="25"/>
      <c r="B731" s="25"/>
      <c r="C731" s="25"/>
      <c r="D731" s="82" t="s">
        <v>1786</v>
      </c>
      <c r="E731" s="82"/>
      <c r="F731" s="82"/>
      <c r="G731" s="82"/>
      <c r="H731" s="82"/>
      <c r="I731" s="82"/>
      <c r="J731" s="82"/>
      <c r="K731" s="82"/>
      <c r="L731" s="82"/>
      <c r="M731" s="82"/>
    </row>
    <row r="732" spans="1:13" ht="15.2" customHeight="1" thickBot="1" x14ac:dyDescent="0.25">
      <c r="A732" s="25"/>
      <c r="B732" s="25"/>
      <c r="C732" s="25"/>
      <c r="D732" s="25"/>
      <c r="E732" s="26"/>
      <c r="F732" s="28" t="s">
        <v>1787</v>
      </c>
      <c r="G732" s="28" t="s">
        <v>1788</v>
      </c>
      <c r="H732" s="28" t="s">
        <v>1789</v>
      </c>
      <c r="I732" s="28" t="s">
        <v>1790</v>
      </c>
      <c r="J732" s="28" t="s">
        <v>1791</v>
      </c>
      <c r="K732" s="28" t="s">
        <v>1792</v>
      </c>
      <c r="L732" s="25"/>
      <c r="M732" s="25"/>
    </row>
    <row r="733" spans="1:13" ht="15.2" customHeight="1" thickBot="1" x14ac:dyDescent="0.25">
      <c r="A733" s="25"/>
      <c r="B733" s="25"/>
      <c r="C733" s="25"/>
      <c r="D733" s="29"/>
      <c r="E733" s="30"/>
      <c r="F733" s="31">
        <v>100</v>
      </c>
      <c r="G733" s="32"/>
      <c r="H733" s="32"/>
      <c r="I733" s="32"/>
      <c r="J733" s="34">
        <f>ROUND(F733,3)</f>
        <v>100</v>
      </c>
      <c r="K733" s="37">
        <f>SUM(J733:J733)</f>
        <v>100</v>
      </c>
      <c r="L733" s="25"/>
      <c r="M733" s="25"/>
    </row>
    <row r="734" spans="1:13" ht="15.4" customHeight="1" thickBot="1" x14ac:dyDescent="0.25">
      <c r="A734" s="10" t="s">
        <v>1793</v>
      </c>
      <c r="B734" s="5" t="s">
        <v>1794</v>
      </c>
      <c r="C734" s="5" t="s">
        <v>1795</v>
      </c>
      <c r="D734" s="82" t="s">
        <v>1796</v>
      </c>
      <c r="E734" s="82"/>
      <c r="F734" s="82"/>
      <c r="G734" s="82"/>
      <c r="H734" s="82"/>
      <c r="I734" s="82"/>
      <c r="J734" s="82"/>
      <c r="K734" s="23">
        <f>SUM(K737:K737)</f>
        <v>15</v>
      </c>
      <c r="L734" s="24">
        <f>ROUND(17.12*(1+M2/100),2)</f>
        <v>18.149999999999999</v>
      </c>
      <c r="M734" s="24">
        <f>ROUND(K734*L734,2)</f>
        <v>272.25</v>
      </c>
    </row>
    <row r="735" spans="1:13" ht="49.15" customHeight="1" thickBot="1" x14ac:dyDescent="0.25">
      <c r="A735" s="25"/>
      <c r="B735" s="25"/>
      <c r="C735" s="25"/>
      <c r="D735" s="82" t="s">
        <v>1797</v>
      </c>
      <c r="E735" s="82"/>
      <c r="F735" s="82"/>
      <c r="G735" s="82"/>
      <c r="H735" s="82"/>
      <c r="I735" s="82"/>
      <c r="J735" s="82"/>
      <c r="K735" s="82"/>
      <c r="L735" s="82"/>
      <c r="M735" s="82"/>
    </row>
    <row r="736" spans="1:13" ht="15.2" customHeight="1" thickBot="1" x14ac:dyDescent="0.25">
      <c r="A736" s="25"/>
      <c r="B736" s="25"/>
      <c r="C736" s="25"/>
      <c r="D736" s="25"/>
      <c r="E736" s="26"/>
      <c r="F736" s="28" t="s">
        <v>1798</v>
      </c>
      <c r="G736" s="28" t="s">
        <v>1799</v>
      </c>
      <c r="H736" s="28" t="s">
        <v>1800</v>
      </c>
      <c r="I736" s="28" t="s">
        <v>1801</v>
      </c>
      <c r="J736" s="28" t="s">
        <v>1802</v>
      </c>
      <c r="K736" s="28" t="s">
        <v>1803</v>
      </c>
      <c r="L736" s="25"/>
      <c r="M736" s="25"/>
    </row>
    <row r="737" spans="1:13" ht="15.2" customHeight="1" thickBot="1" x14ac:dyDescent="0.25">
      <c r="A737" s="25"/>
      <c r="B737" s="25"/>
      <c r="C737" s="25"/>
      <c r="D737" s="29"/>
      <c r="E737" s="30">
        <v>0</v>
      </c>
      <c r="F737" s="31">
        <v>15</v>
      </c>
      <c r="G737" s="32"/>
      <c r="H737" s="32"/>
      <c r="I737" s="32"/>
      <c r="J737" s="34">
        <f>ROUND(F737,3)</f>
        <v>15</v>
      </c>
      <c r="K737" s="37">
        <f>SUM(J737:J737)</f>
        <v>15</v>
      </c>
      <c r="L737" s="25"/>
      <c r="M737" s="25"/>
    </row>
    <row r="738" spans="1:13" ht="15.4" customHeight="1" thickBot="1" x14ac:dyDescent="0.25">
      <c r="A738" s="10" t="s">
        <v>1804</v>
      </c>
      <c r="B738" s="5" t="s">
        <v>1805</v>
      </c>
      <c r="C738" s="5" t="s">
        <v>1806</v>
      </c>
      <c r="D738" s="82" t="s">
        <v>1807</v>
      </c>
      <c r="E738" s="82"/>
      <c r="F738" s="82"/>
      <c r="G738" s="82"/>
      <c r="H738" s="82"/>
      <c r="I738" s="82"/>
      <c r="J738" s="82"/>
      <c r="K738" s="23">
        <f>SUM(K741:K741)</f>
        <v>7</v>
      </c>
      <c r="L738" s="24">
        <f>ROUND(18.37*(1+M2/100),2)</f>
        <v>19.47</v>
      </c>
      <c r="M738" s="24">
        <f>ROUND(K738*L738,2)</f>
        <v>136.29</v>
      </c>
    </row>
    <row r="739" spans="1:13" ht="49.15" customHeight="1" thickBot="1" x14ac:dyDescent="0.25">
      <c r="A739" s="25"/>
      <c r="B739" s="25"/>
      <c r="C739" s="25"/>
      <c r="D739" s="82" t="s">
        <v>1808</v>
      </c>
      <c r="E739" s="82"/>
      <c r="F739" s="82"/>
      <c r="G739" s="82"/>
      <c r="H739" s="82"/>
      <c r="I739" s="82"/>
      <c r="J739" s="82"/>
      <c r="K739" s="82"/>
      <c r="L739" s="82"/>
      <c r="M739" s="82"/>
    </row>
    <row r="740" spans="1:13" ht="15.2" customHeight="1" thickBot="1" x14ac:dyDescent="0.25">
      <c r="A740" s="25"/>
      <c r="B740" s="25"/>
      <c r="C740" s="25"/>
      <c r="D740" s="25"/>
      <c r="E740" s="26"/>
      <c r="F740" s="28" t="s">
        <v>1809</v>
      </c>
      <c r="G740" s="28" t="s">
        <v>1810</v>
      </c>
      <c r="H740" s="28" t="s">
        <v>1811</v>
      </c>
      <c r="I740" s="28" t="s">
        <v>1812</v>
      </c>
      <c r="J740" s="28" t="s">
        <v>1813</v>
      </c>
      <c r="K740" s="28" t="s">
        <v>1814</v>
      </c>
      <c r="L740" s="25"/>
      <c r="M740" s="25"/>
    </row>
    <row r="741" spans="1:13" ht="15.2" customHeight="1" thickBot="1" x14ac:dyDescent="0.25">
      <c r="A741" s="25"/>
      <c r="B741" s="25"/>
      <c r="C741" s="25"/>
      <c r="D741" s="29"/>
      <c r="E741" s="30">
        <v>0</v>
      </c>
      <c r="F741" s="31">
        <v>7</v>
      </c>
      <c r="G741" s="32"/>
      <c r="H741" s="32"/>
      <c r="I741" s="32"/>
      <c r="J741" s="34">
        <f>ROUND(F741,3)</f>
        <v>7</v>
      </c>
      <c r="K741" s="37">
        <f>SUM(J741:J741)</f>
        <v>7</v>
      </c>
      <c r="L741" s="25"/>
      <c r="M741" s="25"/>
    </row>
    <row r="742" spans="1:13" ht="15.4" customHeight="1" thickBot="1" x14ac:dyDescent="0.25">
      <c r="A742" s="10" t="s">
        <v>1815</v>
      </c>
      <c r="B742" s="5" t="s">
        <v>1816</v>
      </c>
      <c r="C742" s="5" t="s">
        <v>1817</v>
      </c>
      <c r="D742" s="82" t="s">
        <v>1818</v>
      </c>
      <c r="E742" s="82"/>
      <c r="F742" s="82"/>
      <c r="G742" s="82"/>
      <c r="H742" s="82"/>
      <c r="I742" s="82"/>
      <c r="J742" s="82"/>
      <c r="K742" s="23">
        <f>SUM(K745:K745)</f>
        <v>13</v>
      </c>
      <c r="L742" s="24">
        <f>ROUND(35.17*(1+M2/100),2)</f>
        <v>37.28</v>
      </c>
      <c r="M742" s="24">
        <f>ROUND(K742*L742,2)</f>
        <v>484.64</v>
      </c>
    </row>
    <row r="743" spans="1:13" ht="49.15" customHeight="1" thickBot="1" x14ac:dyDescent="0.25">
      <c r="A743" s="25"/>
      <c r="B743" s="25"/>
      <c r="C743" s="25"/>
      <c r="D743" s="82" t="s">
        <v>1819</v>
      </c>
      <c r="E743" s="82"/>
      <c r="F743" s="82"/>
      <c r="G743" s="82"/>
      <c r="H743" s="82"/>
      <c r="I743" s="82"/>
      <c r="J743" s="82"/>
      <c r="K743" s="82"/>
      <c r="L743" s="82"/>
      <c r="M743" s="82"/>
    </row>
    <row r="744" spans="1:13" ht="15.2" customHeight="1" thickBot="1" x14ac:dyDescent="0.25">
      <c r="A744" s="25"/>
      <c r="B744" s="25"/>
      <c r="C744" s="25"/>
      <c r="D744" s="25"/>
      <c r="E744" s="26"/>
      <c r="F744" s="28" t="s">
        <v>1820</v>
      </c>
      <c r="G744" s="28" t="s">
        <v>1821</v>
      </c>
      <c r="H744" s="28" t="s">
        <v>1822</v>
      </c>
      <c r="I744" s="28" t="s">
        <v>1823</v>
      </c>
      <c r="J744" s="28" t="s">
        <v>1824</v>
      </c>
      <c r="K744" s="28" t="s">
        <v>1825</v>
      </c>
      <c r="L744" s="25"/>
      <c r="M744" s="25"/>
    </row>
    <row r="745" spans="1:13" ht="15.2" customHeight="1" thickBot="1" x14ac:dyDescent="0.25">
      <c r="A745" s="25"/>
      <c r="B745" s="25"/>
      <c r="C745" s="25"/>
      <c r="D745" s="29"/>
      <c r="E745" s="30"/>
      <c r="F745" s="31">
        <v>13</v>
      </c>
      <c r="G745" s="32"/>
      <c r="H745" s="32"/>
      <c r="I745" s="32"/>
      <c r="J745" s="34">
        <f>ROUND(F745,3)</f>
        <v>13</v>
      </c>
      <c r="K745" s="37">
        <f>SUM(J745:J745)</f>
        <v>13</v>
      </c>
      <c r="L745" s="25"/>
      <c r="M745" s="25"/>
    </row>
    <row r="746" spans="1:13" ht="15.4" customHeight="1" thickBot="1" x14ac:dyDescent="0.25">
      <c r="A746" s="10" t="s">
        <v>1826</v>
      </c>
      <c r="B746" s="5" t="s">
        <v>1827</v>
      </c>
      <c r="C746" s="5" t="s">
        <v>1828</v>
      </c>
      <c r="D746" s="82" t="s">
        <v>1829</v>
      </c>
      <c r="E746" s="82"/>
      <c r="F746" s="82"/>
      <c r="G746" s="82"/>
      <c r="H746" s="82"/>
      <c r="I746" s="82"/>
      <c r="J746" s="82"/>
      <c r="K746" s="23">
        <f>SUM(K749:K750)</f>
        <v>34</v>
      </c>
      <c r="L746" s="24">
        <f>ROUND(162.98*(1+M2/100),2)</f>
        <v>172.76</v>
      </c>
      <c r="M746" s="24">
        <f>ROUND(K746*L746,2)</f>
        <v>5873.84</v>
      </c>
    </row>
    <row r="747" spans="1:13" ht="58.35" customHeight="1" thickBot="1" x14ac:dyDescent="0.25">
      <c r="A747" s="25"/>
      <c r="B747" s="25"/>
      <c r="C747" s="25"/>
      <c r="D747" s="82" t="s">
        <v>1830</v>
      </c>
      <c r="E747" s="82"/>
      <c r="F747" s="82"/>
      <c r="G747" s="82"/>
      <c r="H747" s="82"/>
      <c r="I747" s="82"/>
      <c r="J747" s="82"/>
      <c r="K747" s="82"/>
      <c r="L747" s="82"/>
      <c r="M747" s="82"/>
    </row>
    <row r="748" spans="1:13" ht="15.2" customHeight="1" thickBot="1" x14ac:dyDescent="0.25">
      <c r="A748" s="25"/>
      <c r="B748" s="25"/>
      <c r="C748" s="25"/>
      <c r="D748" s="25"/>
      <c r="E748" s="26"/>
      <c r="F748" s="28" t="s">
        <v>1831</v>
      </c>
      <c r="G748" s="28" t="s">
        <v>1832</v>
      </c>
      <c r="H748" s="28" t="s">
        <v>1833</v>
      </c>
      <c r="I748" s="28" t="s">
        <v>1834</v>
      </c>
      <c r="J748" s="28" t="s">
        <v>1835</v>
      </c>
      <c r="K748" s="28" t="s">
        <v>1836</v>
      </c>
      <c r="L748" s="25"/>
      <c r="M748" s="25"/>
    </row>
    <row r="749" spans="1:13" ht="15.2" customHeight="1" thickBot="1" x14ac:dyDescent="0.25">
      <c r="A749" s="25"/>
      <c r="B749" s="25"/>
      <c r="C749" s="25"/>
      <c r="D749" s="29"/>
      <c r="E749" s="30"/>
      <c r="F749" s="31">
        <v>34</v>
      </c>
      <c r="G749" s="32"/>
      <c r="H749" s="32"/>
      <c r="I749" s="32"/>
      <c r="J749" s="34">
        <f>ROUND(F749,3)</f>
        <v>34</v>
      </c>
      <c r="K749" s="35"/>
      <c r="L749" s="25"/>
      <c r="M749" s="25"/>
    </row>
    <row r="750" spans="1:13" ht="15.2" customHeight="1" thickBot="1" x14ac:dyDescent="0.25">
      <c r="A750" s="25"/>
      <c r="B750" s="25"/>
      <c r="C750" s="25"/>
      <c r="D750" s="29"/>
      <c r="E750" s="5"/>
      <c r="F750" s="3"/>
      <c r="G750" s="23"/>
      <c r="H750" s="23"/>
      <c r="I750" s="23"/>
      <c r="J750" s="27" t="s">
        <v>1837</v>
      </c>
      <c r="K750" s="36">
        <f>SUM(J749:J750)</f>
        <v>34</v>
      </c>
      <c r="L750" s="25"/>
      <c r="M750" s="25"/>
    </row>
    <row r="751" spans="1:13" ht="15.4" customHeight="1" thickBot="1" x14ac:dyDescent="0.25">
      <c r="A751" s="38"/>
      <c r="B751" s="38"/>
      <c r="C751" s="38"/>
      <c r="D751" s="65" t="s">
        <v>1838</v>
      </c>
      <c r="E751" s="66"/>
      <c r="F751" s="66"/>
      <c r="G751" s="66"/>
      <c r="H751" s="66"/>
      <c r="I751" s="66"/>
      <c r="J751" s="66"/>
      <c r="K751" s="66"/>
      <c r="L751" s="67">
        <f>M687+M692+M696+M700+M704+M709+M713+M717+M721+M726+M730+M734+M738+M742+M746</f>
        <v>12660.96</v>
      </c>
      <c r="M751" s="67">
        <f>ROUND(L751,2)</f>
        <v>12660.96</v>
      </c>
    </row>
    <row r="752" spans="1:13" ht="15.4" customHeight="1" thickBot="1" x14ac:dyDescent="0.25">
      <c r="A752" s="49" t="s">
        <v>1839</v>
      </c>
      <c r="B752" s="49" t="s">
        <v>1840</v>
      </c>
      <c r="C752" s="50"/>
      <c r="D752" s="84" t="s">
        <v>1841</v>
      </c>
      <c r="E752" s="84"/>
      <c r="F752" s="84"/>
      <c r="G752" s="84"/>
      <c r="H752" s="84"/>
      <c r="I752" s="84"/>
      <c r="J752" s="84"/>
      <c r="K752" s="50"/>
      <c r="L752" s="51">
        <f>L785</f>
        <v>71500</v>
      </c>
      <c r="M752" s="51">
        <f>ROUND(L752,2)</f>
        <v>71500</v>
      </c>
    </row>
    <row r="753" spans="1:13" ht="15.4" customHeight="1" thickBot="1" x14ac:dyDescent="0.25">
      <c r="A753" s="10" t="s">
        <v>1842</v>
      </c>
      <c r="B753" s="5" t="s">
        <v>1843</v>
      </c>
      <c r="C753" s="5" t="s">
        <v>1844</v>
      </c>
      <c r="D753" s="82" t="s">
        <v>1845</v>
      </c>
      <c r="E753" s="82"/>
      <c r="F753" s="82"/>
      <c r="G753" s="82"/>
      <c r="H753" s="82"/>
      <c r="I753" s="82"/>
      <c r="J753" s="82"/>
      <c r="K753" s="23">
        <f>SUM(K756:K756)</f>
        <v>1</v>
      </c>
      <c r="L753" s="24">
        <f>ROUND(14150.943*(1+M2/100),2)</f>
        <v>15000</v>
      </c>
      <c r="M753" s="24">
        <f>ROUND(K753*L753,2)</f>
        <v>15000</v>
      </c>
    </row>
    <row r="754" spans="1:13" ht="12.2" customHeight="1" thickBot="1" x14ac:dyDescent="0.25">
      <c r="A754" s="25"/>
      <c r="B754" s="25"/>
      <c r="C754" s="25"/>
      <c r="D754" s="82" t="s">
        <v>1846</v>
      </c>
      <c r="E754" s="82"/>
      <c r="F754" s="82"/>
      <c r="G754" s="82"/>
      <c r="H754" s="82"/>
      <c r="I754" s="82"/>
      <c r="J754" s="82"/>
      <c r="K754" s="82"/>
      <c r="L754" s="82"/>
      <c r="M754" s="82"/>
    </row>
    <row r="755" spans="1:13" ht="15.2" customHeight="1" thickBot="1" x14ac:dyDescent="0.25">
      <c r="A755" s="25"/>
      <c r="B755" s="25"/>
      <c r="C755" s="25"/>
      <c r="D755" s="25"/>
      <c r="E755" s="26"/>
      <c r="F755" s="28" t="s">
        <v>1847</v>
      </c>
      <c r="G755" s="28" t="s">
        <v>1848</v>
      </c>
      <c r="H755" s="28" t="s">
        <v>1849</v>
      </c>
      <c r="I755" s="28" t="s">
        <v>1850</v>
      </c>
      <c r="J755" s="28" t="s">
        <v>1851</v>
      </c>
      <c r="K755" s="28" t="s">
        <v>1852</v>
      </c>
      <c r="L755" s="25"/>
      <c r="M755" s="25"/>
    </row>
    <row r="756" spans="1:13" ht="15.2" customHeight="1" thickBot="1" x14ac:dyDescent="0.25">
      <c r="A756" s="25"/>
      <c r="B756" s="25"/>
      <c r="C756" s="25"/>
      <c r="D756" s="29"/>
      <c r="E756" s="30"/>
      <c r="F756" s="31">
        <v>1</v>
      </c>
      <c r="G756" s="32"/>
      <c r="H756" s="32"/>
      <c r="I756" s="32"/>
      <c r="J756" s="34">
        <f>ROUND(F756,3)</f>
        <v>1</v>
      </c>
      <c r="K756" s="37">
        <f>SUM(J756:J756)</f>
        <v>1</v>
      </c>
      <c r="L756" s="25"/>
      <c r="M756" s="25"/>
    </row>
    <row r="757" spans="1:13" ht="15.4" customHeight="1" thickBot="1" x14ac:dyDescent="0.25">
      <c r="A757" s="10" t="s">
        <v>1853</v>
      </c>
      <c r="B757" s="5" t="s">
        <v>1854</v>
      </c>
      <c r="C757" s="5" t="s">
        <v>1855</v>
      </c>
      <c r="D757" s="82" t="s">
        <v>1856</v>
      </c>
      <c r="E757" s="82"/>
      <c r="F757" s="82"/>
      <c r="G757" s="82"/>
      <c r="H757" s="82"/>
      <c r="I757" s="82"/>
      <c r="J757" s="82"/>
      <c r="K757" s="23">
        <f>SUM(K760:K760)</f>
        <v>1</v>
      </c>
      <c r="L757" s="24">
        <f>ROUND(8962.264*(1+M2/100),2)</f>
        <v>9500</v>
      </c>
      <c r="M757" s="24">
        <f>ROUND(K757*L757,2)</f>
        <v>9500</v>
      </c>
    </row>
    <row r="758" spans="1:13" ht="12.2" customHeight="1" thickBot="1" x14ac:dyDescent="0.25">
      <c r="A758" s="25"/>
      <c r="B758" s="25"/>
      <c r="C758" s="25"/>
      <c r="D758" s="82" t="s">
        <v>1857</v>
      </c>
      <c r="E758" s="82"/>
      <c r="F758" s="82"/>
      <c r="G758" s="82"/>
      <c r="H758" s="82"/>
      <c r="I758" s="82"/>
      <c r="J758" s="82"/>
      <c r="K758" s="82"/>
      <c r="L758" s="82"/>
      <c r="M758" s="82"/>
    </row>
    <row r="759" spans="1:13" ht="15.2" customHeight="1" thickBot="1" x14ac:dyDescent="0.25">
      <c r="A759" s="25"/>
      <c r="B759" s="25"/>
      <c r="C759" s="25"/>
      <c r="D759" s="25"/>
      <c r="E759" s="26"/>
      <c r="F759" s="28" t="s">
        <v>1858</v>
      </c>
      <c r="G759" s="28" t="s">
        <v>1859</v>
      </c>
      <c r="H759" s="28" t="s">
        <v>1860</v>
      </c>
      <c r="I759" s="28" t="s">
        <v>1861</v>
      </c>
      <c r="J759" s="28" t="s">
        <v>1862</v>
      </c>
      <c r="K759" s="28" t="s">
        <v>1863</v>
      </c>
      <c r="L759" s="25"/>
      <c r="M759" s="25"/>
    </row>
    <row r="760" spans="1:13" ht="15.2" customHeight="1" thickBot="1" x14ac:dyDescent="0.25">
      <c r="A760" s="25"/>
      <c r="B760" s="25"/>
      <c r="C760" s="25"/>
      <c r="D760" s="29"/>
      <c r="E760" s="30"/>
      <c r="F760" s="31">
        <v>1</v>
      </c>
      <c r="G760" s="32"/>
      <c r="H760" s="32"/>
      <c r="I760" s="32"/>
      <c r="J760" s="34">
        <f>ROUND(F760,3)</f>
        <v>1</v>
      </c>
      <c r="K760" s="37">
        <f>SUM(J760:J760)</f>
        <v>1</v>
      </c>
      <c r="L760" s="25"/>
      <c r="M760" s="25"/>
    </row>
    <row r="761" spans="1:13" ht="15.4" customHeight="1" thickBot="1" x14ac:dyDescent="0.25">
      <c r="A761" s="10" t="s">
        <v>1864</v>
      </c>
      <c r="B761" s="5" t="s">
        <v>1865</v>
      </c>
      <c r="C761" s="5" t="s">
        <v>1866</v>
      </c>
      <c r="D761" s="82" t="s">
        <v>1867</v>
      </c>
      <c r="E761" s="82"/>
      <c r="F761" s="82"/>
      <c r="G761" s="82"/>
      <c r="H761" s="82"/>
      <c r="I761" s="82"/>
      <c r="J761" s="82"/>
      <c r="K761" s="23">
        <f>SUM(K764:K764)</f>
        <v>1</v>
      </c>
      <c r="L761" s="24">
        <f>ROUND(7075.472*(1+M2/100),2)</f>
        <v>7500</v>
      </c>
      <c r="M761" s="24">
        <f>ROUND(K761*L761,2)</f>
        <v>7500</v>
      </c>
    </row>
    <row r="762" spans="1:13" ht="12.2" customHeight="1" thickBot="1" x14ac:dyDescent="0.25">
      <c r="A762" s="25"/>
      <c r="B762" s="25"/>
      <c r="C762" s="25"/>
      <c r="D762" s="82" t="s">
        <v>1868</v>
      </c>
      <c r="E762" s="82"/>
      <c r="F762" s="82"/>
      <c r="G762" s="82"/>
      <c r="H762" s="82"/>
      <c r="I762" s="82"/>
      <c r="J762" s="82"/>
      <c r="K762" s="82"/>
      <c r="L762" s="82"/>
      <c r="M762" s="82"/>
    </row>
    <row r="763" spans="1:13" ht="15.2" customHeight="1" thickBot="1" x14ac:dyDescent="0.25">
      <c r="A763" s="25"/>
      <c r="B763" s="25"/>
      <c r="C763" s="25"/>
      <c r="D763" s="25"/>
      <c r="E763" s="26"/>
      <c r="F763" s="28" t="s">
        <v>1869</v>
      </c>
      <c r="G763" s="28" t="s">
        <v>1870</v>
      </c>
      <c r="H763" s="28" t="s">
        <v>1871</v>
      </c>
      <c r="I763" s="28" t="s">
        <v>1872</v>
      </c>
      <c r="J763" s="28" t="s">
        <v>1873</v>
      </c>
      <c r="K763" s="28" t="s">
        <v>1874</v>
      </c>
      <c r="L763" s="25"/>
      <c r="M763" s="25"/>
    </row>
    <row r="764" spans="1:13" ht="15.2" customHeight="1" thickBot="1" x14ac:dyDescent="0.25">
      <c r="A764" s="25"/>
      <c r="B764" s="25"/>
      <c r="C764" s="25"/>
      <c r="D764" s="29"/>
      <c r="E764" s="30"/>
      <c r="F764" s="31">
        <v>1</v>
      </c>
      <c r="G764" s="32"/>
      <c r="H764" s="32"/>
      <c r="I764" s="32"/>
      <c r="J764" s="34">
        <f>ROUND(F764,3)</f>
        <v>1</v>
      </c>
      <c r="K764" s="37">
        <f>SUM(J764:J764)</f>
        <v>1</v>
      </c>
      <c r="L764" s="25"/>
      <c r="M764" s="25"/>
    </row>
    <row r="765" spans="1:13" ht="15.4" customHeight="1" thickBot="1" x14ac:dyDescent="0.25">
      <c r="A765" s="10" t="s">
        <v>1875</v>
      </c>
      <c r="B765" s="5" t="s">
        <v>1876</v>
      </c>
      <c r="C765" s="5" t="s">
        <v>1877</v>
      </c>
      <c r="D765" s="82" t="s">
        <v>1878</v>
      </c>
      <c r="E765" s="82"/>
      <c r="F765" s="82"/>
      <c r="G765" s="82"/>
      <c r="H765" s="82"/>
      <c r="I765" s="82"/>
      <c r="J765" s="82"/>
      <c r="K765" s="23">
        <f>SUM(K768:K768)</f>
        <v>1</v>
      </c>
      <c r="L765" s="24">
        <f>ROUND(4716.981*(1+M2/100),2)</f>
        <v>5000</v>
      </c>
      <c r="M765" s="24">
        <f>ROUND(K765*L765,2)</f>
        <v>5000</v>
      </c>
    </row>
    <row r="766" spans="1:13" ht="12.2" customHeight="1" thickBot="1" x14ac:dyDescent="0.25">
      <c r="A766" s="25"/>
      <c r="B766" s="25"/>
      <c r="C766" s="25"/>
      <c r="D766" s="82" t="s">
        <v>1879</v>
      </c>
      <c r="E766" s="82"/>
      <c r="F766" s="82"/>
      <c r="G766" s="82"/>
      <c r="H766" s="82"/>
      <c r="I766" s="82"/>
      <c r="J766" s="82"/>
      <c r="K766" s="82"/>
      <c r="L766" s="82"/>
      <c r="M766" s="82"/>
    </row>
    <row r="767" spans="1:13" ht="15.2" customHeight="1" thickBot="1" x14ac:dyDescent="0.25">
      <c r="A767" s="25"/>
      <c r="B767" s="25"/>
      <c r="C767" s="25"/>
      <c r="D767" s="25"/>
      <c r="E767" s="26"/>
      <c r="F767" s="28" t="s">
        <v>1880</v>
      </c>
      <c r="G767" s="28" t="s">
        <v>1881</v>
      </c>
      <c r="H767" s="28" t="s">
        <v>1882</v>
      </c>
      <c r="I767" s="28" t="s">
        <v>1883</v>
      </c>
      <c r="J767" s="28" t="s">
        <v>1884</v>
      </c>
      <c r="K767" s="28" t="s">
        <v>1885</v>
      </c>
      <c r="L767" s="25"/>
      <c r="M767" s="25"/>
    </row>
    <row r="768" spans="1:13" ht="15.2" customHeight="1" thickBot="1" x14ac:dyDescent="0.25">
      <c r="A768" s="25"/>
      <c r="B768" s="25"/>
      <c r="C768" s="25"/>
      <c r="D768" s="29"/>
      <c r="E768" s="30"/>
      <c r="F768" s="31">
        <v>1</v>
      </c>
      <c r="G768" s="32"/>
      <c r="H768" s="32"/>
      <c r="I768" s="32"/>
      <c r="J768" s="34">
        <f>ROUND(F768,3)</f>
        <v>1</v>
      </c>
      <c r="K768" s="37">
        <f>SUM(J768:J768)</f>
        <v>1</v>
      </c>
      <c r="L768" s="25"/>
      <c r="M768" s="25"/>
    </row>
    <row r="769" spans="1:13" ht="21.4" customHeight="1" thickBot="1" x14ac:dyDescent="0.25">
      <c r="A769" s="10" t="s">
        <v>1886</v>
      </c>
      <c r="B769" s="5" t="s">
        <v>1887</v>
      </c>
      <c r="C769" s="5" t="s">
        <v>1888</v>
      </c>
      <c r="D769" s="82" t="s">
        <v>1889</v>
      </c>
      <c r="E769" s="82"/>
      <c r="F769" s="82"/>
      <c r="G769" s="82"/>
      <c r="H769" s="82"/>
      <c r="I769" s="82"/>
      <c r="J769" s="82"/>
      <c r="K769" s="23">
        <f>SUM(K772:K772)</f>
        <v>1</v>
      </c>
      <c r="L769" s="24">
        <f>ROUND(7075.472*(1+M2/100),2)</f>
        <v>7500</v>
      </c>
      <c r="M769" s="24">
        <f>ROUND(K769*L769,2)</f>
        <v>7500</v>
      </c>
    </row>
    <row r="770" spans="1:13" ht="12.2" customHeight="1" thickBot="1" x14ac:dyDescent="0.25">
      <c r="A770" s="25"/>
      <c r="B770" s="25"/>
      <c r="C770" s="25"/>
      <c r="D770" s="82" t="s">
        <v>1890</v>
      </c>
      <c r="E770" s="82"/>
      <c r="F770" s="82"/>
      <c r="G770" s="82"/>
      <c r="H770" s="82"/>
      <c r="I770" s="82"/>
      <c r="J770" s="82"/>
      <c r="K770" s="82"/>
      <c r="L770" s="82"/>
      <c r="M770" s="82"/>
    </row>
    <row r="771" spans="1:13" ht="15.2" customHeight="1" thickBot="1" x14ac:dyDescent="0.25">
      <c r="A771" s="25"/>
      <c r="B771" s="25"/>
      <c r="C771" s="25"/>
      <c r="D771" s="25"/>
      <c r="E771" s="26"/>
      <c r="F771" s="28" t="s">
        <v>1891</v>
      </c>
      <c r="G771" s="28" t="s">
        <v>1892</v>
      </c>
      <c r="H771" s="28" t="s">
        <v>1893</v>
      </c>
      <c r="I771" s="28" t="s">
        <v>1894</v>
      </c>
      <c r="J771" s="28" t="s">
        <v>1895</v>
      </c>
      <c r="K771" s="28" t="s">
        <v>1896</v>
      </c>
      <c r="L771" s="25"/>
      <c r="M771" s="25"/>
    </row>
    <row r="772" spans="1:13" ht="15.2" customHeight="1" thickBot="1" x14ac:dyDescent="0.25">
      <c r="A772" s="25"/>
      <c r="B772" s="25"/>
      <c r="C772" s="25"/>
      <c r="D772" s="29"/>
      <c r="E772" s="30"/>
      <c r="F772" s="31">
        <v>1</v>
      </c>
      <c r="G772" s="32"/>
      <c r="H772" s="32"/>
      <c r="I772" s="32"/>
      <c r="J772" s="34">
        <f>ROUND(F772,3)</f>
        <v>1</v>
      </c>
      <c r="K772" s="37">
        <f>SUM(J772:J772)</f>
        <v>1</v>
      </c>
      <c r="L772" s="25"/>
      <c r="M772" s="25"/>
    </row>
    <row r="773" spans="1:13" ht="15.4" customHeight="1" thickBot="1" x14ac:dyDescent="0.25">
      <c r="A773" s="10" t="s">
        <v>1897</v>
      </c>
      <c r="B773" s="5" t="s">
        <v>1898</v>
      </c>
      <c r="C773" s="5" t="s">
        <v>1899</v>
      </c>
      <c r="D773" s="82" t="s">
        <v>1900</v>
      </c>
      <c r="E773" s="82"/>
      <c r="F773" s="82"/>
      <c r="G773" s="82"/>
      <c r="H773" s="82"/>
      <c r="I773" s="82"/>
      <c r="J773" s="82"/>
      <c r="K773" s="23">
        <f>SUM(K776:K776)</f>
        <v>1</v>
      </c>
      <c r="L773" s="24">
        <f>ROUND(18867.925*(1+M2/100),2)</f>
        <v>20000</v>
      </c>
      <c r="M773" s="24">
        <f>ROUND(K773*L773,2)</f>
        <v>20000</v>
      </c>
    </row>
    <row r="774" spans="1:13" ht="12.2" customHeight="1" thickBot="1" x14ac:dyDescent="0.25">
      <c r="A774" s="25"/>
      <c r="B774" s="25"/>
      <c r="C774" s="25"/>
      <c r="D774" s="82" t="s">
        <v>1901</v>
      </c>
      <c r="E774" s="82"/>
      <c r="F774" s="82"/>
      <c r="G774" s="82"/>
      <c r="H774" s="82"/>
      <c r="I774" s="82"/>
      <c r="J774" s="82"/>
      <c r="K774" s="82"/>
      <c r="L774" s="82"/>
      <c r="M774" s="82"/>
    </row>
    <row r="775" spans="1:13" ht="15.2" customHeight="1" thickBot="1" x14ac:dyDescent="0.25">
      <c r="A775" s="25"/>
      <c r="B775" s="25"/>
      <c r="C775" s="25"/>
      <c r="D775" s="25"/>
      <c r="E775" s="26"/>
      <c r="F775" s="28" t="s">
        <v>1902</v>
      </c>
      <c r="G775" s="28" t="s">
        <v>1903</v>
      </c>
      <c r="H775" s="28" t="s">
        <v>1904</v>
      </c>
      <c r="I775" s="28" t="s">
        <v>1905</v>
      </c>
      <c r="J775" s="28" t="s">
        <v>1906</v>
      </c>
      <c r="K775" s="28" t="s">
        <v>1907</v>
      </c>
      <c r="L775" s="25"/>
      <c r="M775" s="25"/>
    </row>
    <row r="776" spans="1:13" ht="15.2" customHeight="1" thickBot="1" x14ac:dyDescent="0.25">
      <c r="A776" s="25"/>
      <c r="B776" s="25"/>
      <c r="C776" s="25"/>
      <c r="D776" s="29"/>
      <c r="E776" s="30"/>
      <c r="F776" s="31">
        <v>1</v>
      </c>
      <c r="G776" s="32"/>
      <c r="H776" s="32"/>
      <c r="I776" s="32"/>
      <c r="J776" s="34">
        <f>ROUND(F776,3)</f>
        <v>1</v>
      </c>
      <c r="K776" s="37">
        <f>SUM(J776:J776)</f>
        <v>1</v>
      </c>
      <c r="L776" s="25"/>
      <c r="M776" s="25"/>
    </row>
    <row r="777" spans="1:13" ht="15.4" customHeight="1" thickBot="1" x14ac:dyDescent="0.25">
      <c r="A777" s="10" t="s">
        <v>1908</v>
      </c>
      <c r="B777" s="5" t="s">
        <v>1909</v>
      </c>
      <c r="C777" s="5" t="s">
        <v>1910</v>
      </c>
      <c r="D777" s="82" t="s">
        <v>1911</v>
      </c>
      <c r="E777" s="82"/>
      <c r="F777" s="82"/>
      <c r="G777" s="82"/>
      <c r="H777" s="82"/>
      <c r="I777" s="82"/>
      <c r="J777" s="82"/>
      <c r="K777" s="23">
        <f>SUM(K780:K780)</f>
        <v>1</v>
      </c>
      <c r="L777" s="24">
        <f>ROUND(2830.189*(1+M2/100),2)</f>
        <v>3000</v>
      </c>
      <c r="M777" s="24">
        <f>ROUND(K777*L777,2)</f>
        <v>3000</v>
      </c>
    </row>
    <row r="778" spans="1:13" ht="12.2" customHeight="1" thickBot="1" x14ac:dyDescent="0.25">
      <c r="A778" s="25"/>
      <c r="B778" s="25"/>
      <c r="C778" s="25"/>
      <c r="D778" s="82" t="s">
        <v>1912</v>
      </c>
      <c r="E778" s="82"/>
      <c r="F778" s="82"/>
      <c r="G778" s="82"/>
      <c r="H778" s="82"/>
      <c r="I778" s="82"/>
      <c r="J778" s="82"/>
      <c r="K778" s="82"/>
      <c r="L778" s="82"/>
      <c r="M778" s="82"/>
    </row>
    <row r="779" spans="1:13" ht="15.2" customHeight="1" thickBot="1" x14ac:dyDescent="0.25">
      <c r="A779" s="25"/>
      <c r="B779" s="25"/>
      <c r="C779" s="25"/>
      <c r="D779" s="25"/>
      <c r="E779" s="26"/>
      <c r="F779" s="28" t="s">
        <v>1913</v>
      </c>
      <c r="G779" s="28" t="s">
        <v>1914</v>
      </c>
      <c r="H779" s="28" t="s">
        <v>1915</v>
      </c>
      <c r="I779" s="28" t="s">
        <v>1916</v>
      </c>
      <c r="J779" s="28" t="s">
        <v>1917</v>
      </c>
      <c r="K779" s="28" t="s">
        <v>1918</v>
      </c>
      <c r="L779" s="25"/>
      <c r="M779" s="25"/>
    </row>
    <row r="780" spans="1:13" ht="15.2" customHeight="1" thickBot="1" x14ac:dyDescent="0.25">
      <c r="A780" s="25"/>
      <c r="B780" s="25"/>
      <c r="C780" s="25"/>
      <c r="D780" s="29"/>
      <c r="E780" s="30"/>
      <c r="F780" s="31">
        <v>1</v>
      </c>
      <c r="G780" s="32"/>
      <c r="H780" s="32"/>
      <c r="I780" s="32"/>
      <c r="J780" s="34">
        <f>ROUND(F780,3)</f>
        <v>1</v>
      </c>
      <c r="K780" s="37">
        <f>SUM(J780:J780)</f>
        <v>1</v>
      </c>
      <c r="L780" s="25"/>
      <c r="M780" s="25"/>
    </row>
    <row r="781" spans="1:13" ht="15.4" customHeight="1" thickBot="1" x14ac:dyDescent="0.25">
      <c r="A781" s="10" t="s">
        <v>1919</v>
      </c>
      <c r="B781" s="5" t="s">
        <v>1920</v>
      </c>
      <c r="C781" s="5" t="s">
        <v>1921</v>
      </c>
      <c r="D781" s="82" t="s">
        <v>1922</v>
      </c>
      <c r="E781" s="82"/>
      <c r="F781" s="82"/>
      <c r="G781" s="82"/>
      <c r="H781" s="82"/>
      <c r="I781" s="82"/>
      <c r="J781" s="82"/>
      <c r="K781" s="23">
        <f>SUM(K784:K784)</f>
        <v>1</v>
      </c>
      <c r="L781" s="24">
        <f>ROUND(3773.585*(1+M2/100),2)</f>
        <v>4000</v>
      </c>
      <c r="M781" s="24">
        <f>ROUND(K781*L781,2)</f>
        <v>4000</v>
      </c>
    </row>
    <row r="782" spans="1:13" ht="12.2" customHeight="1" thickBot="1" x14ac:dyDescent="0.25">
      <c r="A782" s="25"/>
      <c r="B782" s="25"/>
      <c r="C782" s="25"/>
      <c r="D782" s="82" t="s">
        <v>1923</v>
      </c>
      <c r="E782" s="82"/>
      <c r="F782" s="82"/>
      <c r="G782" s="82"/>
      <c r="H782" s="82"/>
      <c r="I782" s="82"/>
      <c r="J782" s="82"/>
      <c r="K782" s="82"/>
      <c r="L782" s="82"/>
      <c r="M782" s="82"/>
    </row>
    <row r="783" spans="1:13" ht="15.2" customHeight="1" thickBot="1" x14ac:dyDescent="0.25">
      <c r="A783" s="25"/>
      <c r="B783" s="25"/>
      <c r="C783" s="25"/>
      <c r="D783" s="25"/>
      <c r="E783" s="26"/>
      <c r="F783" s="28" t="s">
        <v>1924</v>
      </c>
      <c r="G783" s="28" t="s">
        <v>1925</v>
      </c>
      <c r="H783" s="28" t="s">
        <v>1926</v>
      </c>
      <c r="I783" s="28" t="s">
        <v>1927</v>
      </c>
      <c r="J783" s="28" t="s">
        <v>1928</v>
      </c>
      <c r="K783" s="28" t="s">
        <v>1929</v>
      </c>
      <c r="L783" s="25"/>
      <c r="M783" s="25"/>
    </row>
    <row r="784" spans="1:13" ht="15.2" customHeight="1" thickBot="1" x14ac:dyDescent="0.25">
      <c r="A784" s="25"/>
      <c r="B784" s="25"/>
      <c r="C784" s="25"/>
      <c r="D784" s="29"/>
      <c r="E784" s="30"/>
      <c r="F784" s="31">
        <v>1</v>
      </c>
      <c r="G784" s="32"/>
      <c r="H784" s="32"/>
      <c r="I784" s="32"/>
      <c r="J784" s="34">
        <f>ROUND(F784,3)</f>
        <v>1</v>
      </c>
      <c r="K784" s="37">
        <f>SUM(J784:J784)</f>
        <v>1</v>
      </c>
      <c r="L784" s="25"/>
      <c r="M784" s="25"/>
    </row>
    <row r="785" spans="1:13" ht="15.4" customHeight="1" thickBot="1" x14ac:dyDescent="0.25">
      <c r="A785" s="38"/>
      <c r="B785" s="38"/>
      <c r="C785" s="38"/>
      <c r="D785" s="65" t="s">
        <v>1930</v>
      </c>
      <c r="E785" s="66"/>
      <c r="F785" s="66"/>
      <c r="G785" s="66"/>
      <c r="H785" s="66"/>
      <c r="I785" s="66"/>
      <c r="J785" s="66"/>
      <c r="K785" s="66"/>
      <c r="L785" s="67">
        <f>M753+M757+M761+M765+M769+M773+M777+M781</f>
        <v>71500</v>
      </c>
      <c r="M785" s="67">
        <f>ROUND(L785,2)</f>
        <v>71500</v>
      </c>
    </row>
    <row r="786" spans="1:13" ht="15.4" customHeight="1" thickBot="1" x14ac:dyDescent="0.25">
      <c r="A786" s="45"/>
      <c r="B786" s="45"/>
      <c r="C786" s="45"/>
      <c r="D786" s="68" t="s">
        <v>1931</v>
      </c>
      <c r="E786" s="69"/>
      <c r="F786" s="69"/>
      <c r="G786" s="69"/>
      <c r="H786" s="69"/>
      <c r="I786" s="69"/>
      <c r="J786" s="69"/>
      <c r="K786" s="69"/>
      <c r="L786" s="70">
        <f>M503+M685+M751+M785</f>
        <v>513111.55</v>
      </c>
      <c r="M786" s="70">
        <f>ROUND(L786,2)</f>
        <v>513111.55</v>
      </c>
    </row>
    <row r="787" spans="1:13" ht="15.4" customHeight="1" thickBot="1" x14ac:dyDescent="0.25">
      <c r="A787" s="45"/>
      <c r="B787" s="45"/>
      <c r="C787" s="45"/>
      <c r="D787" s="74" t="s">
        <v>1932</v>
      </c>
      <c r="E787" s="75"/>
      <c r="F787" s="75"/>
      <c r="G787" s="75"/>
      <c r="H787" s="75"/>
      <c r="I787" s="75"/>
      <c r="J787" s="75"/>
      <c r="K787" s="75"/>
      <c r="L787" s="76">
        <f>M310+M468+M786</f>
        <v>1791924.29</v>
      </c>
      <c r="M787" s="76">
        <f>ROUND(L787,2)</f>
        <v>1791924.29</v>
      </c>
    </row>
  </sheetData>
  <mergeCells count="327">
    <mergeCell ref="D778:M778"/>
    <mergeCell ref="D781:J781"/>
    <mergeCell ref="D782:M782"/>
    <mergeCell ref="D761:J761"/>
    <mergeCell ref="D762:M762"/>
    <mergeCell ref="D765:J765"/>
    <mergeCell ref="D766:M766"/>
    <mergeCell ref="D769:J769"/>
    <mergeCell ref="D770:M770"/>
    <mergeCell ref="D773:J773"/>
    <mergeCell ref="D774:M774"/>
    <mergeCell ref="D777:J777"/>
    <mergeCell ref="D742:J742"/>
    <mergeCell ref="D743:M743"/>
    <mergeCell ref="D746:J746"/>
    <mergeCell ref="D747:M747"/>
    <mergeCell ref="D752:J752"/>
    <mergeCell ref="D753:J753"/>
    <mergeCell ref="D754:M754"/>
    <mergeCell ref="D757:J757"/>
    <mergeCell ref="D758:M758"/>
    <mergeCell ref="D722:M722"/>
    <mergeCell ref="D726:J726"/>
    <mergeCell ref="D727:M727"/>
    <mergeCell ref="D730:J730"/>
    <mergeCell ref="D731:M731"/>
    <mergeCell ref="D734:J734"/>
    <mergeCell ref="D735:M735"/>
    <mergeCell ref="D738:J738"/>
    <mergeCell ref="D739:M739"/>
    <mergeCell ref="D704:J704"/>
    <mergeCell ref="D705:M705"/>
    <mergeCell ref="D709:J709"/>
    <mergeCell ref="D710:M710"/>
    <mergeCell ref="D713:J713"/>
    <mergeCell ref="D714:M714"/>
    <mergeCell ref="D717:J717"/>
    <mergeCell ref="D718:M718"/>
    <mergeCell ref="D721:J721"/>
    <mergeCell ref="D686:J686"/>
    <mergeCell ref="D687:J687"/>
    <mergeCell ref="D688:M688"/>
    <mergeCell ref="D692:J692"/>
    <mergeCell ref="D693:M693"/>
    <mergeCell ref="D696:J696"/>
    <mergeCell ref="D697:M697"/>
    <mergeCell ref="D700:J700"/>
    <mergeCell ref="D701:M701"/>
    <mergeCell ref="D662:M662"/>
    <mergeCell ref="D667:J667"/>
    <mergeCell ref="D668:M668"/>
    <mergeCell ref="D673:J673"/>
    <mergeCell ref="D674:M674"/>
    <mergeCell ref="D677:J677"/>
    <mergeCell ref="D678:M678"/>
    <mergeCell ref="D681:J681"/>
    <mergeCell ref="D682:M682"/>
    <mergeCell ref="D635:J635"/>
    <mergeCell ref="D636:M636"/>
    <mergeCell ref="D646:J646"/>
    <mergeCell ref="D647:M647"/>
    <mergeCell ref="D651:J651"/>
    <mergeCell ref="D652:M652"/>
    <mergeCell ref="D656:J656"/>
    <mergeCell ref="D657:M657"/>
    <mergeCell ref="D661:J661"/>
    <mergeCell ref="D614:M614"/>
    <mergeCell ref="D618:J618"/>
    <mergeCell ref="D619:M619"/>
    <mergeCell ref="D622:J622"/>
    <mergeCell ref="D623:M623"/>
    <mergeCell ref="D626:J626"/>
    <mergeCell ref="D627:M627"/>
    <mergeCell ref="D630:J630"/>
    <mergeCell ref="D631:M631"/>
    <mergeCell ref="D588:J588"/>
    <mergeCell ref="D589:M589"/>
    <mergeCell ref="D592:J592"/>
    <mergeCell ref="D593:M593"/>
    <mergeCell ref="D596:J596"/>
    <mergeCell ref="D597:M597"/>
    <mergeCell ref="D600:J600"/>
    <mergeCell ref="D601:M601"/>
    <mergeCell ref="D613:J613"/>
    <mergeCell ref="D563:M563"/>
    <mergeCell ref="D570:J570"/>
    <mergeCell ref="D571:M571"/>
    <mergeCell ref="D574:J574"/>
    <mergeCell ref="D575:M575"/>
    <mergeCell ref="D580:J580"/>
    <mergeCell ref="D581:M581"/>
    <mergeCell ref="D584:J584"/>
    <mergeCell ref="D585:M585"/>
    <mergeCell ref="D545:J545"/>
    <mergeCell ref="D546:M546"/>
    <mergeCell ref="D549:J549"/>
    <mergeCell ref="D550:M550"/>
    <mergeCell ref="D554:J554"/>
    <mergeCell ref="D555:M555"/>
    <mergeCell ref="D558:J558"/>
    <mergeCell ref="D559:M559"/>
    <mergeCell ref="D562:J562"/>
    <mergeCell ref="D526:M526"/>
    <mergeCell ref="D529:J529"/>
    <mergeCell ref="D530:M530"/>
    <mergeCell ref="D533:J533"/>
    <mergeCell ref="D534:M534"/>
    <mergeCell ref="D537:J537"/>
    <mergeCell ref="D538:M538"/>
    <mergeCell ref="D541:J541"/>
    <mergeCell ref="D542:M542"/>
    <mergeCell ref="D505:J505"/>
    <mergeCell ref="D506:M506"/>
    <mergeCell ref="D509:J509"/>
    <mergeCell ref="D510:M510"/>
    <mergeCell ref="D513:J513"/>
    <mergeCell ref="D514:M514"/>
    <mergeCell ref="D517:J517"/>
    <mergeCell ref="D518:M518"/>
    <mergeCell ref="D525:J525"/>
    <mergeCell ref="D487:J487"/>
    <mergeCell ref="D488:M488"/>
    <mergeCell ref="D491:J491"/>
    <mergeCell ref="D492:M492"/>
    <mergeCell ref="D495:J495"/>
    <mergeCell ref="D496:M496"/>
    <mergeCell ref="D499:J499"/>
    <mergeCell ref="D500:M500"/>
    <mergeCell ref="D504:J504"/>
    <mergeCell ref="D470:J470"/>
    <mergeCell ref="D471:J471"/>
    <mergeCell ref="D472:M472"/>
    <mergeCell ref="D475:J475"/>
    <mergeCell ref="D476:M476"/>
    <mergeCell ref="D479:J479"/>
    <mergeCell ref="D480:M480"/>
    <mergeCell ref="D483:J483"/>
    <mergeCell ref="D484:M484"/>
    <mergeCell ref="D451:J451"/>
    <mergeCell ref="D452:M452"/>
    <mergeCell ref="D455:J455"/>
    <mergeCell ref="D456:M456"/>
    <mergeCell ref="D459:J459"/>
    <mergeCell ref="D460:M460"/>
    <mergeCell ref="D463:J463"/>
    <mergeCell ref="D464:M464"/>
    <mergeCell ref="D469:J469"/>
    <mergeCell ref="D434:J434"/>
    <mergeCell ref="D435:J435"/>
    <mergeCell ref="D436:M436"/>
    <mergeCell ref="D439:J439"/>
    <mergeCell ref="D440:M440"/>
    <mergeCell ref="D443:J443"/>
    <mergeCell ref="D444:M444"/>
    <mergeCell ref="D447:J447"/>
    <mergeCell ref="D448:M448"/>
    <mergeCell ref="D407:M407"/>
    <mergeCell ref="D414:J414"/>
    <mergeCell ref="D415:M415"/>
    <mergeCell ref="D420:J420"/>
    <mergeCell ref="D421:J421"/>
    <mergeCell ref="D422:J422"/>
    <mergeCell ref="D423:M423"/>
    <mergeCell ref="D427:J427"/>
    <mergeCell ref="D428:M428"/>
    <mergeCell ref="D376:M376"/>
    <mergeCell ref="D384:J384"/>
    <mergeCell ref="D385:M385"/>
    <mergeCell ref="D393:J393"/>
    <mergeCell ref="D394:M394"/>
    <mergeCell ref="D398:J398"/>
    <mergeCell ref="D399:M399"/>
    <mergeCell ref="D405:J405"/>
    <mergeCell ref="D406:J406"/>
    <mergeCell ref="D338:J338"/>
    <mergeCell ref="D339:M339"/>
    <mergeCell ref="D347:J347"/>
    <mergeCell ref="D348:M348"/>
    <mergeCell ref="D357:J357"/>
    <mergeCell ref="D358:M358"/>
    <mergeCell ref="D366:J366"/>
    <mergeCell ref="D367:M367"/>
    <mergeCell ref="D375:J375"/>
    <mergeCell ref="D315:M315"/>
    <mergeCell ref="D319:J319"/>
    <mergeCell ref="D320:M320"/>
    <mergeCell ref="D323:J323"/>
    <mergeCell ref="D324:M324"/>
    <mergeCell ref="D327:J327"/>
    <mergeCell ref="D328:M328"/>
    <mergeCell ref="D331:J331"/>
    <mergeCell ref="D332:M332"/>
    <mergeCell ref="D298:M298"/>
    <mergeCell ref="D301:J301"/>
    <mergeCell ref="D302:M302"/>
    <mergeCell ref="D305:J305"/>
    <mergeCell ref="D306:M306"/>
    <mergeCell ref="D311:J311"/>
    <mergeCell ref="D312:J312"/>
    <mergeCell ref="D313:J313"/>
    <mergeCell ref="D314:J314"/>
    <mergeCell ref="D281:J281"/>
    <mergeCell ref="D282:M282"/>
    <mergeCell ref="D285:J285"/>
    <mergeCell ref="D286:M286"/>
    <mergeCell ref="D289:J289"/>
    <mergeCell ref="D290:M290"/>
    <mergeCell ref="D293:J293"/>
    <mergeCell ref="D294:M294"/>
    <mergeCell ref="D297:J297"/>
    <mergeCell ref="D259:M259"/>
    <mergeCell ref="D262:J262"/>
    <mergeCell ref="D263:M263"/>
    <mergeCell ref="D268:J268"/>
    <mergeCell ref="D269:J269"/>
    <mergeCell ref="D270:M270"/>
    <mergeCell ref="D276:J276"/>
    <mergeCell ref="D277:J277"/>
    <mergeCell ref="D278:M278"/>
    <mergeCell ref="D242:J242"/>
    <mergeCell ref="D243:M243"/>
    <mergeCell ref="D247:J247"/>
    <mergeCell ref="D248:J248"/>
    <mergeCell ref="D249:M249"/>
    <mergeCell ref="D252:J252"/>
    <mergeCell ref="D253:M253"/>
    <mergeCell ref="D257:J257"/>
    <mergeCell ref="D258:J258"/>
    <mergeCell ref="D223:M223"/>
    <mergeCell ref="D227:J227"/>
    <mergeCell ref="D228:J228"/>
    <mergeCell ref="D229:M229"/>
    <mergeCell ref="D232:J232"/>
    <mergeCell ref="D233:M233"/>
    <mergeCell ref="D237:J237"/>
    <mergeCell ref="D238:J238"/>
    <mergeCell ref="D239:M239"/>
    <mergeCell ref="D207:J207"/>
    <mergeCell ref="D208:J208"/>
    <mergeCell ref="D209:M209"/>
    <mergeCell ref="D212:J212"/>
    <mergeCell ref="D213:M213"/>
    <mergeCell ref="D217:J217"/>
    <mergeCell ref="D218:J218"/>
    <mergeCell ref="D219:M219"/>
    <mergeCell ref="D222:J222"/>
    <mergeCell ref="D188:J188"/>
    <mergeCell ref="D189:M189"/>
    <mergeCell ref="D192:J192"/>
    <mergeCell ref="D193:M193"/>
    <mergeCell ref="D197:J197"/>
    <mergeCell ref="D198:J198"/>
    <mergeCell ref="D199:M199"/>
    <mergeCell ref="D202:J202"/>
    <mergeCell ref="D203:M203"/>
    <mergeCell ref="D169:M169"/>
    <mergeCell ref="D172:J172"/>
    <mergeCell ref="D173:M173"/>
    <mergeCell ref="D177:J177"/>
    <mergeCell ref="D178:J178"/>
    <mergeCell ref="D179:M179"/>
    <mergeCell ref="D182:J182"/>
    <mergeCell ref="D183:M183"/>
    <mergeCell ref="D187:J187"/>
    <mergeCell ref="D145:J145"/>
    <mergeCell ref="D146:M146"/>
    <mergeCell ref="D152:J152"/>
    <mergeCell ref="D153:M153"/>
    <mergeCell ref="D158:J158"/>
    <mergeCell ref="D159:M159"/>
    <mergeCell ref="D166:J166"/>
    <mergeCell ref="D167:J167"/>
    <mergeCell ref="D168:J168"/>
    <mergeCell ref="D121:J121"/>
    <mergeCell ref="D122:J122"/>
    <mergeCell ref="D123:J123"/>
    <mergeCell ref="D124:M124"/>
    <mergeCell ref="D128:J128"/>
    <mergeCell ref="D129:M129"/>
    <mergeCell ref="D136:J136"/>
    <mergeCell ref="D137:M137"/>
    <mergeCell ref="D144:J144"/>
    <mergeCell ref="D100:M100"/>
    <mergeCell ref="D103:J103"/>
    <mergeCell ref="D104:M104"/>
    <mergeCell ref="D107:J107"/>
    <mergeCell ref="D108:M108"/>
    <mergeCell ref="D111:J111"/>
    <mergeCell ref="D112:M112"/>
    <mergeCell ref="D115:J115"/>
    <mergeCell ref="D116:M116"/>
    <mergeCell ref="D73:M73"/>
    <mergeCell ref="D80:J80"/>
    <mergeCell ref="D81:M81"/>
    <mergeCell ref="D85:J85"/>
    <mergeCell ref="D86:M86"/>
    <mergeCell ref="D92:J92"/>
    <mergeCell ref="D93:J93"/>
    <mergeCell ref="D94:M94"/>
    <mergeCell ref="D99:J99"/>
    <mergeCell ref="D39:J39"/>
    <mergeCell ref="D40:M40"/>
    <mergeCell ref="D48:J48"/>
    <mergeCell ref="D49:M49"/>
    <mergeCell ref="D56:J56"/>
    <mergeCell ref="D57:M57"/>
    <mergeCell ref="D64:J64"/>
    <mergeCell ref="D65:M65"/>
    <mergeCell ref="D72:J72"/>
    <mergeCell ref="D14:M14"/>
    <mergeCell ref="D17:J17"/>
    <mergeCell ref="D18:M18"/>
    <mergeCell ref="D21:J21"/>
    <mergeCell ref="D22:M22"/>
    <mergeCell ref="D25:J25"/>
    <mergeCell ref="D26:M26"/>
    <mergeCell ref="D31:J31"/>
    <mergeCell ref="D32:M32"/>
    <mergeCell ref="B1:M1"/>
    <mergeCell ref="A2:C2"/>
    <mergeCell ref="D4:J4"/>
    <mergeCell ref="D5:J5"/>
    <mergeCell ref="D6:J6"/>
    <mergeCell ref="D7:J7"/>
    <mergeCell ref="D8:J8"/>
    <mergeCell ref="D9:M9"/>
    <mergeCell ref="D13:J13"/>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Serrano</dc:creator>
  <cp:lastModifiedBy>Laura Serrano</cp:lastModifiedBy>
  <dcterms:created xsi:type="dcterms:W3CDTF">2025-07-08T11:10:12Z</dcterms:created>
  <dcterms:modified xsi:type="dcterms:W3CDTF">2025-07-08T11:10:12Z</dcterms:modified>
</cp:coreProperties>
</file>