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llobet\Desktop\SAD\"/>
    </mc:Choice>
  </mc:AlternateContent>
  <xr:revisionPtr revIDLastSave="0" documentId="8_{E0B39979-4549-4C36-817A-CFC5E84B8557}" xr6:coauthVersionLast="47" xr6:coauthVersionMax="47" xr10:uidLastSave="{00000000-0000-0000-0000-000000000000}"/>
  <bookViews>
    <workbookView xWindow="-108" yWindow="-108" windowWidth="23256" windowHeight="12576" xr2:uid="{811EAA7C-348D-8849-A72A-95C35F550C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0" i="1" l="1"/>
  <c r="D9" i="1"/>
  <c r="C231" i="1" l="1"/>
  <c r="C216" i="1"/>
  <c r="L30" i="1"/>
  <c r="K30" i="1"/>
  <c r="L36" i="1"/>
  <c r="K36" i="1"/>
  <c r="L35" i="1"/>
  <c r="K35" i="1"/>
  <c r="L29" i="1"/>
  <c r="K29" i="1"/>
  <c r="L37" i="1" l="1"/>
  <c r="M37" i="1" s="1"/>
  <c r="K37" i="1"/>
  <c r="L31" i="1"/>
  <c r="K31" i="1"/>
  <c r="L39" i="1" l="1"/>
  <c r="M31" i="1"/>
  <c r="K39" i="1"/>
  <c r="C207" i="1" l="1"/>
  <c r="B214" i="1" l="1"/>
  <c r="C214" i="1"/>
  <c r="C227" i="1"/>
  <c r="B213" i="1"/>
  <c r="B212" i="1"/>
  <c r="B211" i="1"/>
  <c r="B209" i="1"/>
  <c r="B208" i="1"/>
  <c r="B207" i="1"/>
  <c r="B206" i="1"/>
  <c r="C213" i="1"/>
  <c r="F105" i="1" l="1"/>
  <c r="C105" i="1"/>
  <c r="F89" i="1"/>
  <c r="C89" i="1"/>
  <c r="F76" i="1"/>
  <c r="C76" i="1"/>
  <c r="F63" i="1"/>
  <c r="F62" i="1"/>
  <c r="C63" i="1"/>
  <c r="C62" i="1"/>
  <c r="L53" i="1"/>
  <c r="K53" i="1"/>
  <c r="J53" i="1"/>
  <c r="I53" i="1"/>
  <c r="H53" i="1"/>
  <c r="G53" i="1"/>
  <c r="F53" i="1"/>
  <c r="E53" i="1"/>
  <c r="D53" i="1"/>
  <c r="C53" i="1"/>
  <c r="M52" i="1"/>
  <c r="F94" i="1" s="1"/>
  <c r="C46" i="1"/>
  <c r="L46" i="1"/>
  <c r="K46" i="1"/>
  <c r="J46" i="1"/>
  <c r="I46" i="1"/>
  <c r="H46" i="1"/>
  <c r="G46" i="1"/>
  <c r="F46" i="1"/>
  <c r="E46" i="1"/>
  <c r="D46" i="1"/>
  <c r="M45" i="1"/>
  <c r="C94" i="1" s="1"/>
  <c r="D110" i="1" l="1"/>
  <c r="G110" i="1"/>
  <c r="C64" i="1"/>
  <c r="F64" i="1"/>
  <c r="M53" i="1"/>
  <c r="F143" i="1" s="1"/>
  <c r="M46" i="1"/>
  <c r="C143" i="1" s="1"/>
  <c r="I143" i="1" l="1"/>
  <c r="I145" i="1" s="1"/>
  <c r="C146" i="1" s="1"/>
  <c r="C137" i="1"/>
  <c r="C139" i="1" s="1"/>
  <c r="C152" i="1" s="1"/>
  <c r="C54" i="1"/>
  <c r="F137" i="1"/>
  <c r="F139" i="1" s="1"/>
  <c r="F152" i="1" s="1"/>
  <c r="E54" i="1"/>
  <c r="K54" i="1"/>
  <c r="J54" i="1"/>
  <c r="H54" i="1"/>
  <c r="G54" i="1"/>
  <c r="L54" i="1"/>
  <c r="I54" i="1"/>
  <c r="F54" i="1"/>
  <c r="D54" i="1"/>
  <c r="J47" i="1"/>
  <c r="L47" i="1"/>
  <c r="C47" i="1"/>
  <c r="K47" i="1"/>
  <c r="I47" i="1"/>
  <c r="H47" i="1"/>
  <c r="G47" i="1"/>
  <c r="F47" i="1"/>
  <c r="D47" i="1"/>
  <c r="E47" i="1"/>
  <c r="F146" i="1" l="1"/>
  <c r="F153" i="1" s="1"/>
  <c r="C153" i="1"/>
  <c r="D7" i="1"/>
  <c r="E7" i="1" s="1"/>
  <c r="F7" i="1" s="1"/>
  <c r="D6" i="1"/>
  <c r="E6" i="1" s="1"/>
  <c r="F6" i="1" s="1"/>
  <c r="D37" i="1"/>
  <c r="C37" i="1"/>
  <c r="D31" i="1"/>
  <c r="C31" i="1"/>
  <c r="K1" i="1"/>
  <c r="C20" i="1"/>
  <c r="C18" i="1"/>
  <c r="L5" i="1"/>
  <c r="E9" i="1"/>
  <c r="F9" i="1" s="1"/>
  <c r="D8" i="1"/>
  <c r="E8" i="1" s="1"/>
  <c r="F8" i="1" s="1"/>
  <c r="H32" i="1" l="1"/>
  <c r="G9" i="1"/>
  <c r="G8" i="1"/>
  <c r="G6" i="1"/>
  <c r="G7" i="1"/>
  <c r="C21" i="1"/>
  <c r="C115" i="1"/>
  <c r="F115" i="1"/>
  <c r="C19" i="1"/>
  <c r="C77" i="1"/>
  <c r="D108" i="1" s="1"/>
  <c r="F77" i="1"/>
  <c r="G108" i="1" s="1"/>
  <c r="H30" i="1"/>
  <c r="H31" i="1"/>
  <c r="C39" i="1"/>
  <c r="D39" i="1"/>
  <c r="I82" i="1" s="1"/>
  <c r="I83" i="1" s="1"/>
  <c r="F95" i="1" l="1"/>
  <c r="F96" i="1" s="1"/>
  <c r="G96" i="1" s="1"/>
  <c r="G97" i="1" s="1"/>
  <c r="G98" i="1" s="1"/>
  <c r="G99" i="1" s="1"/>
  <c r="G100" i="1" s="1"/>
  <c r="G111" i="1" s="1"/>
  <c r="C95" i="1"/>
  <c r="C96" i="1" s="1"/>
  <c r="D96" i="1" s="1"/>
  <c r="D97" i="1" s="1"/>
  <c r="D98" i="1" s="1"/>
  <c r="D99" i="1" s="1"/>
  <c r="J7" i="1"/>
  <c r="L7" i="1" s="1"/>
  <c r="C191" i="1" s="1"/>
  <c r="C193" i="1" s="1"/>
  <c r="C195" i="1" s="1"/>
  <c r="C212" i="1" s="1"/>
  <c r="H7" i="1"/>
  <c r="J6" i="1"/>
  <c r="L6" i="1" s="1"/>
  <c r="C184" i="1" s="1"/>
  <c r="C186" i="1" s="1"/>
  <c r="C188" i="1" s="1"/>
  <c r="C211" i="1" s="1"/>
  <c r="H6" i="1"/>
  <c r="J8" i="1"/>
  <c r="L8" i="1" s="1"/>
  <c r="C124" i="1" s="1"/>
  <c r="H8" i="1"/>
  <c r="J9" i="1"/>
  <c r="H9" i="1"/>
  <c r="C209" i="1"/>
  <c r="C208" i="1"/>
  <c r="C206" i="1"/>
  <c r="C171" i="1"/>
  <c r="C228" i="1"/>
  <c r="C229" i="1" s="1"/>
  <c r="F82" i="1"/>
  <c r="G109" i="1" s="1"/>
  <c r="C82" i="1"/>
  <c r="D109" i="1" s="1"/>
  <c r="C23" i="1"/>
  <c r="C24" i="1" s="1"/>
  <c r="F69" i="1"/>
  <c r="F70" i="1" s="1"/>
  <c r="F71" i="1" s="1"/>
  <c r="C69" i="1"/>
  <c r="C70" i="1" s="1"/>
  <c r="C71" i="1" s="1"/>
  <c r="D100" i="1" l="1"/>
  <c r="D111" i="1" s="1"/>
  <c r="G107" i="1"/>
  <c r="D107" i="1"/>
  <c r="L9" i="1"/>
  <c r="F124" i="1" s="1"/>
  <c r="C167" i="1"/>
  <c r="C170" i="1" l="1"/>
  <c r="C210" i="1" s="1"/>
  <c r="C215" i="1" s="1"/>
  <c r="D106" i="1"/>
  <c r="C112" i="1"/>
  <c r="G106" i="1"/>
  <c r="F112" i="1"/>
  <c r="C172" i="1" l="1"/>
  <c r="G112" i="1"/>
  <c r="F125" i="1"/>
  <c r="F126" i="1" s="1"/>
  <c r="F151" i="1" s="1"/>
  <c r="F154" i="1" s="1"/>
  <c r="E244" i="1" s="1"/>
  <c r="D112" i="1"/>
  <c r="C125" i="1"/>
  <c r="F116" i="1" l="1"/>
  <c r="C116" i="1"/>
  <c r="C126" i="1"/>
  <c r="C151" i="1" s="1"/>
  <c r="C154" i="1" s="1"/>
  <c r="C244" i="1" s="1"/>
  <c r="C217" i="1"/>
  <c r="C232" i="1"/>
  <c r="C245" i="1" l="1"/>
  <c r="E245" i="1"/>
  <c r="E246" i="1"/>
  <c r="C246" i="1"/>
  <c r="C247" i="1" l="1"/>
  <c r="C248" i="1" s="1"/>
  <c r="C249" i="1" s="1"/>
  <c r="E247" i="1"/>
  <c r="E248" i="1" s="1"/>
  <c r="E249" i="1" s="1"/>
</calcChain>
</file>

<file path=xl/sharedStrings.xml><?xml version="1.0" encoding="utf-8"?>
<sst xmlns="http://schemas.openxmlformats.org/spreadsheetml/2006/main" count="389" uniqueCount="221">
  <si>
    <t>CC Garraf</t>
  </si>
  <si>
    <t>Paràmetres de càlcul</t>
  </si>
  <si>
    <t>Retribucions del personal</t>
  </si>
  <si>
    <t>Increment interanual</t>
  </si>
  <si>
    <t>Coordinador/ora tècnic/ica</t>
  </si>
  <si>
    <t>Coordinador/ora de gestió</t>
  </si>
  <si>
    <t>Treballador/ora familiar</t>
  </si>
  <si>
    <t>Auxiliar de la llar</t>
  </si>
  <si>
    <t>Any de càlcul</t>
  </si>
  <si>
    <t>Cost seguretat social empresa</t>
  </si>
  <si>
    <t>Cost empresa</t>
  </si>
  <si>
    <t>Característiques de la jornada</t>
  </si>
  <si>
    <t>Jornada anual</t>
  </si>
  <si>
    <t>hores/any</t>
  </si>
  <si>
    <t>Hores laborables per setmana</t>
  </si>
  <si>
    <t>hores/setmana</t>
  </si>
  <si>
    <t>Increment per hora extra TF</t>
  </si>
  <si>
    <t>Nombre de setmanes laborables</t>
  </si>
  <si>
    <t>setmanes/any</t>
  </si>
  <si>
    <t>Nombre de dies laborables</t>
  </si>
  <si>
    <t>dies/any</t>
  </si>
  <si>
    <t>Hores de jornada diària</t>
  </si>
  <si>
    <t>hores/dia</t>
  </si>
  <si>
    <t>Minuts de jornada diària</t>
  </si>
  <si>
    <t>minuts/dia</t>
  </si>
  <si>
    <t>Descans per jornada continuada</t>
  </si>
  <si>
    <t>minuts</t>
  </si>
  <si>
    <t>Total minuts descans anuals</t>
  </si>
  <si>
    <t>Total hores descans anuals</t>
  </si>
  <si>
    <t>hores</t>
  </si>
  <si>
    <t>Any:</t>
  </si>
  <si>
    <t>TF</t>
  </si>
  <si>
    <t>Nombre</t>
  </si>
  <si>
    <t>Total hores</t>
  </si>
  <si>
    <t>Contractes de 30 o més hores setmanals</t>
  </si>
  <si>
    <t>% plantilla segons jornada</t>
  </si>
  <si>
    <t>Contractes de menys de 30 hores setmanals</t>
  </si>
  <si>
    <t>Temps complet</t>
  </si>
  <si>
    <t>Total TF</t>
  </si>
  <si>
    <t>H. contractades</t>
  </si>
  <si>
    <t>+ de 30 hores TF</t>
  </si>
  <si>
    <t>+ de 30 hores ALL</t>
  </si>
  <si>
    <t>ALL</t>
  </si>
  <si>
    <t>Total ALL</t>
  </si>
  <si>
    <t>Total Consell</t>
  </si>
  <si>
    <t>Millora Coordinació gestió</t>
  </si>
  <si>
    <t>€/mes</t>
  </si>
  <si>
    <t>Millora Coordinació tècnica</t>
  </si>
  <si>
    <t>* El sou base de 2024 és el del conveni</t>
  </si>
  <si>
    <t>** per 12 pagues mensuals</t>
  </si>
  <si>
    <t>Estructura del servei</t>
  </si>
  <si>
    <t>Total</t>
  </si>
  <si>
    <t>Nombre de serveis</t>
  </si>
  <si>
    <t>&gt; 1h</t>
  </si>
  <si>
    <t>1 hora</t>
  </si>
  <si>
    <t>1:30 h</t>
  </si>
  <si>
    <t>2 h</t>
  </si>
  <si>
    <t>2:15 h</t>
  </si>
  <si>
    <t>2:30 h</t>
  </si>
  <si>
    <t>3 h</t>
  </si>
  <si>
    <t>3:15 h</t>
  </si>
  <si>
    <t>3:30 h</t>
  </si>
  <si>
    <t>&lt; 4h</t>
  </si>
  <si>
    <t>Nombre d'hores segons durada servei</t>
  </si>
  <si>
    <t>* Els serveis de &gt; 1h s'han considerat de 0:75 h</t>
  </si>
  <si>
    <t>* Els serveis de &lt; 4h s'han considerat de 4 h</t>
  </si>
  <si>
    <t>Pes de cada durada de servei</t>
  </si>
  <si>
    <t>AL</t>
  </si>
  <si>
    <t>Increment per hora extra AL</t>
  </si>
  <si>
    <t>1.1. Descans jornada continuada</t>
  </si>
  <si>
    <t>Correcció persones no jornada continuada</t>
  </si>
  <si>
    <t>Contractes &gt;= 30 hores</t>
  </si>
  <si>
    <t>contractes</t>
  </si>
  <si>
    <t>Contractes &lt; 30 hores</t>
  </si>
  <si>
    <t>coeficient</t>
  </si>
  <si>
    <t>Total factor corrector jornada no continuada</t>
  </si>
  <si>
    <t>Permisos retribuïts</t>
  </si>
  <si>
    <t>Dies totals permisos utilitzats</t>
  </si>
  <si>
    <t>dies</t>
  </si>
  <si>
    <t>Dies totals laborables</t>
  </si>
  <si>
    <t>Total permisos retribuïts</t>
  </si>
  <si>
    <t>Absentisme / IT</t>
  </si>
  <si>
    <t>Total hores de baixa</t>
  </si>
  <si>
    <t>Total hores absentisme / IT</t>
  </si>
  <si>
    <t>Hores perdudes per encaix de la producció</t>
  </si>
  <si>
    <t>Total hores perdudes per encaix</t>
  </si>
  <si>
    <t>Hores anuals dedicades a la formació</t>
  </si>
  <si>
    <t>Hores anuals dedicades a la coordinació</t>
  </si>
  <si>
    <t>* Es considera una mitjana de 4 dies de permisos retribuïts per persona</t>
  </si>
  <si>
    <t>* 15,60% de mitjana segons les dades de l'actual prestador del servei</t>
  </si>
  <si>
    <t>hores/any persona</t>
  </si>
  <si>
    <t>Hores Informes i presentació</t>
  </si>
  <si>
    <t>Hores de tasques complementàries</t>
  </si>
  <si>
    <t>Total temps anual tasques complementàries</t>
  </si>
  <si>
    <t>Global</t>
  </si>
  <si>
    <t>hores contractades</t>
  </si>
  <si>
    <t>% Hores pagades i no facturades</t>
  </si>
  <si>
    <t>% hores perdudes per encaix</t>
  </si>
  <si>
    <t>hores totals 2023</t>
  </si>
  <si>
    <t>Vegades</t>
  </si>
  <si>
    <t>Minuts totals</t>
  </si>
  <si>
    <t>Coeficient</t>
  </si>
  <si>
    <t>hores/persona</t>
  </si>
  <si>
    <t>2. Càlcul del cost variable per hora efectiva laborable</t>
  </si>
  <si>
    <t>2.2 Càlcul resta de cost variable</t>
  </si>
  <si>
    <t>1. Càlcul de les hores efectives de prestació anuals per persona</t>
  </si>
  <si>
    <t>Descans jornada continuada</t>
  </si>
  <si>
    <t>Hores perdudes per encaix</t>
  </si>
  <si>
    <t>Total hores efectives laborables</t>
  </si>
  <si>
    <t>Hores contractades</t>
  </si>
  <si>
    <t>Hores efectives</t>
  </si>
  <si>
    <t>Hores tasques complementàries</t>
  </si>
  <si>
    <t>2.1 Càlcul del cost laboral variable per hora</t>
  </si>
  <si>
    <t>Retribució anual bruta</t>
  </si>
  <si>
    <t>Nombre hores efectives</t>
  </si>
  <si>
    <t>Cost laboral per hora efectiva</t>
  </si>
  <si>
    <t>Cost del material fungible per servei</t>
  </si>
  <si>
    <t>Cost per servei del material fungible</t>
  </si>
  <si>
    <t>€</t>
  </si>
  <si>
    <t>Percentatge corrector del cost dels consumibles per servei</t>
  </si>
  <si>
    <t>Serveis</t>
  </si>
  <si>
    <t>Coeficient corrector material fungible</t>
  </si>
  <si>
    <t>Cost de la indemnització per desplaçament</t>
  </si>
  <si>
    <t>Desplaçaments cost per km</t>
  </si>
  <si>
    <t>€/km</t>
  </si>
  <si>
    <t>Cost mitjà per hora</t>
  </si>
  <si>
    <t>Hores</t>
  </si>
  <si>
    <t>€/hora</t>
  </si>
  <si>
    <t>serveis</t>
  </si>
  <si>
    <t>Desplaçaments</t>
  </si>
  <si>
    <t>Nombre d'hores de servei</t>
  </si>
  <si>
    <t>Km</t>
  </si>
  <si>
    <t>Km de desplaçament total</t>
  </si>
  <si>
    <t>Desplaçament mitjà per hora (km/h)</t>
  </si>
  <si>
    <t>Cost material fungible</t>
  </si>
  <si>
    <t>Cost per hora del material fungible</t>
  </si>
  <si>
    <t>Cost indemnització per desplaçament</t>
  </si>
  <si>
    <t>Total cost variable per hora</t>
  </si>
  <si>
    <t>€/h</t>
  </si>
  <si>
    <t>3. Costos fixos del servei</t>
  </si>
  <si>
    <t>Anual</t>
  </si>
  <si>
    <t xml:space="preserve"> €</t>
  </si>
  <si>
    <t>Cost fix total</t>
  </si>
  <si>
    <t>Nombre d'hores servei</t>
  </si>
  <si>
    <t>Cost fix per hora de servei</t>
  </si>
  <si>
    <t>3. Càlcul dels costos fixos del servei</t>
  </si>
  <si>
    <t>€/any</t>
  </si>
  <si>
    <t>Telèfon mòbil i connexió a la xarxa</t>
  </si>
  <si>
    <t>Software de gestió persona</t>
  </si>
  <si>
    <t>Prevenció de riscos laborals</t>
  </si>
  <si>
    <t>Cost dels representants sindicals</t>
  </si>
  <si>
    <t>Cost hora brut (inclosa la S.Social)</t>
  </si>
  <si>
    <t>Nombre de components</t>
  </si>
  <si>
    <t>persones</t>
  </si>
  <si>
    <t>Hores mensuals retribuides per persona</t>
  </si>
  <si>
    <t>Cost dels representants sindicals anuals</t>
  </si>
  <si>
    <t>Nombre de persones contractades</t>
  </si>
  <si>
    <t>Cost sindical anual per persona</t>
  </si>
  <si>
    <t>Nombre de components del comitè d'empresa en funció al nombre de treballadors:</t>
  </si>
  <si>
    <t>Crèdit d'hores retribuïdes</t>
  </si>
  <si>
    <t>De 50 a 100 treballadors: cinc.</t>
  </si>
  <si>
    <t>De zero a 25 treballadors/es: vint hores.</t>
  </si>
  <si>
    <t>De 101 a 250 treballadors: nou.</t>
  </si>
  <si>
    <t>De 26 a 50 treballadors/es: vint-i-cinc hores.</t>
  </si>
  <si>
    <t>De 251 a 500 treballadors: tretze.</t>
  </si>
  <si>
    <t>De 51 a 100 treballadors/es: trenta hores.</t>
  </si>
  <si>
    <t>De 501 a 750 treballadors: disset.</t>
  </si>
  <si>
    <t>De 101 a 250 treballadors/es: trenta-cinc hores.</t>
  </si>
  <si>
    <t>De 751 a 1.000 treballadors: vint-i-u.</t>
  </si>
  <si>
    <t>De 251 en endavant: quaranta hores.</t>
  </si>
  <si>
    <t>De 1.000 en endavant, dos per cada mil o fracció amb un màxim de setanta-cinc</t>
  </si>
  <si>
    <t>Cost de la coordinació tècnica</t>
  </si>
  <si>
    <t>Cost brut anual</t>
  </si>
  <si>
    <t>Cost de la coordinació de gestió</t>
  </si>
  <si>
    <t>Cost del software de gestió</t>
  </si>
  <si>
    <t>Cost anual del software</t>
  </si>
  <si>
    <t>Per persona</t>
  </si>
  <si>
    <t>Cost total anual</t>
  </si>
  <si>
    <t>Cost brut laboral anual</t>
  </si>
  <si>
    <t>Cost total anual coordinació tècnica</t>
  </si>
  <si>
    <t>Cost total anual coordinació de gestió</t>
  </si>
  <si>
    <t>4. Costos d'estructura</t>
  </si>
  <si>
    <t>Serveis administratius</t>
  </si>
  <si>
    <t>Recursos humans - gestoria</t>
  </si>
  <si>
    <t>Assegurances</t>
  </si>
  <si>
    <t>Serveis informàtics i comunicacions</t>
  </si>
  <si>
    <t>Gestió i infraestructura de l'entitat</t>
  </si>
  <si>
    <t>Cost total mensual</t>
  </si>
  <si>
    <t>Nombre de persones</t>
  </si>
  <si>
    <t>Hores de servei</t>
  </si>
  <si>
    <t>Cost per hora</t>
  </si>
  <si>
    <t>per hora</t>
  </si>
  <si>
    <t>Cost d'estructura per hora</t>
  </si>
  <si>
    <t>* Segons dades de l'estudi de costos de l'entitat</t>
  </si>
  <si>
    <t>5. Cost hora total del servei</t>
  </si>
  <si>
    <t>Cost total variable per hora</t>
  </si>
  <si>
    <t>Cost hora previ</t>
  </si>
  <si>
    <t>Benefici industrial</t>
  </si>
  <si>
    <t>Preu licitació</t>
  </si>
  <si>
    <t>km/hora despl.</t>
  </si>
  <si>
    <t>Nombre de coordinadores</t>
  </si>
  <si>
    <t>persona</t>
  </si>
  <si>
    <t>Roba de treball / EPIS</t>
  </si>
  <si>
    <t>Cost de l'oficina</t>
  </si>
  <si>
    <t>Cost anual de l'oficina</t>
  </si>
  <si>
    <t>(inclou el software de gestió de l'entitat)</t>
  </si>
  <si>
    <t>** Segons Guia Metodològica de la DIBA</t>
  </si>
  <si>
    <t>€/any i persona</t>
  </si>
  <si>
    <t>*** El sou de l'ALL 2025 està actualitzat al salari mínim interprofessional</t>
  </si>
  <si>
    <t>&gt;=30</t>
  </si>
  <si>
    <t>&lt;30</t>
  </si>
  <si>
    <t>Estructura de la plantilla necessària</t>
  </si>
  <si>
    <t>Càlcul de les hores de desplaçament/descans</t>
  </si>
  <si>
    <t>Hores de desplaçament/descans</t>
  </si>
  <si>
    <t>Total temps desplaçament/descans</t>
  </si>
  <si>
    <t>Nombre de serveis fets anuals</t>
  </si>
  <si>
    <t>Nombre serveis final dia</t>
  </si>
  <si>
    <t>Total serveis amb descans 10'</t>
  </si>
  <si>
    <t>Temps descans</t>
  </si>
  <si>
    <t>Variació</t>
  </si>
  <si>
    <t xml:space="preserve">Estructura de la plantilla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</si>
</sst>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0.000%"/>
    <numFmt numFmtId="165" formatCode="#,###.##0\ &quot;hores&quot;"/>
    <numFmt numFmtId="166" formatCode="#,##0.000"/>
    <numFmt numFmtId="167" formatCode="#,##0.0000"/>
    <numFmt numFmtId="168" formatCode="#,##0.000000"/>
    <numFmt numFmtId="169" formatCode="#,##0.0000000"/>
    <numFmt numFmtId="170" formatCode="#,##0.00000"/>
    <numFmt numFmtId="171" formatCode="#,##0.000000000"/>
    <numFmt numFmtId="172" formatCode="0.0000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/>
      </top>
      <bottom style="thin">
        <color indexed="64"/>
      </bottom>
      <diagonal/>
    </border>
    <border>
      <left/>
      <right/>
      <top style="thick">
        <color theme="4"/>
      </top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</cellStyleXfs>
  <cellXfs count="78">
    <xf numFmtId="0" fontId="0" fillId="0" borderId="0" xfId="0"/>
    <xf numFmtId="0" fontId="4" fillId="2" borderId="2" xfId="4" applyFont="1" applyBorder="1"/>
    <xf numFmtId="0" fontId="2" fillId="0" borderId="1" xfId="3"/>
    <xf numFmtId="44" fontId="0" fillId="0" borderId="0" xfId="1" applyFont="1"/>
    <xf numFmtId="44" fontId="0" fillId="3" borderId="0" xfId="1" applyFont="1" applyFill="1" applyProtection="1">
      <protection locked="0"/>
    </xf>
    <xf numFmtId="10" fontId="0" fillId="3" borderId="0" xfId="2" applyNumberFormat="1" applyFont="1" applyFill="1" applyProtection="1">
      <protection locked="0"/>
    </xf>
    <xf numFmtId="0" fontId="1" fillId="0" borderId="0" xfId="0" applyFont="1" applyAlignment="1">
      <alignment horizontal="center"/>
    </xf>
    <xf numFmtId="0" fontId="1" fillId="4" borderId="0" xfId="0" applyFont="1" applyFill="1" applyProtection="1">
      <protection locked="0"/>
    </xf>
    <xf numFmtId="4" fontId="2" fillId="0" borderId="1" xfId="3" applyNumberFormat="1"/>
    <xf numFmtId="4" fontId="1" fillId="0" borderId="0" xfId="0" applyNumberFormat="1" applyFont="1"/>
    <xf numFmtId="10" fontId="1" fillId="4" borderId="0" xfId="2" applyNumberFormat="1" applyFont="1" applyFill="1" applyProtection="1">
      <protection locked="0"/>
    </xf>
    <xf numFmtId="4" fontId="3" fillId="0" borderId="0" xfId="0" applyNumberFormat="1" applyFont="1"/>
    <xf numFmtId="0" fontId="4" fillId="2" borderId="2" xfId="4" applyFont="1" applyBorder="1" applyProtection="1">
      <protection locked="0"/>
    </xf>
    <xf numFmtId="0" fontId="4" fillId="2" borderId="2" xfId="4" applyFont="1" applyBorder="1" applyAlignment="1">
      <alignment horizontal="right"/>
    </xf>
    <xf numFmtId="4" fontId="1" fillId="4" borderId="0" xfId="0" applyNumberFormat="1" applyFont="1" applyFill="1" applyProtection="1">
      <protection locked="0"/>
    </xf>
    <xf numFmtId="4" fontId="1" fillId="0" borderId="0" xfId="0" applyNumberFormat="1" applyFont="1" applyAlignment="1">
      <alignment horizontal="right"/>
    </xf>
    <xf numFmtId="4" fontId="1" fillId="0" borderId="0" xfId="0" quotePrefix="1" applyNumberFormat="1" applyFont="1"/>
    <xf numFmtId="10" fontId="1" fillId="0" borderId="0" xfId="2" applyNumberFormat="1" applyFont="1"/>
    <xf numFmtId="164" fontId="1" fillId="0" borderId="0" xfId="2" applyNumberFormat="1" applyFont="1"/>
    <xf numFmtId="4" fontId="0" fillId="0" borderId="0" xfId="0" applyNumberFormat="1"/>
    <xf numFmtId="4" fontId="2" fillId="0" borderId="1" xfId="3" applyNumberFormat="1" applyAlignment="1">
      <alignment horizontal="right"/>
    </xf>
    <xf numFmtId="165" fontId="7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left"/>
    </xf>
    <xf numFmtId="10" fontId="1" fillId="0" borderId="0" xfId="2" applyNumberFormat="1" applyFont="1" applyFill="1" applyProtection="1"/>
    <xf numFmtId="4" fontId="1" fillId="3" borderId="0" xfId="0" applyNumberFormat="1" applyFont="1" applyFill="1" applyProtection="1">
      <protection locked="0"/>
    </xf>
    <xf numFmtId="4" fontId="7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1" fillId="3" borderId="0" xfId="2" applyNumberFormat="1" applyFont="1" applyFill="1" applyProtection="1">
      <protection locked="0"/>
    </xf>
    <xf numFmtId="167" fontId="1" fillId="0" borderId="0" xfId="0" applyNumberFormat="1" applyFont="1"/>
    <xf numFmtId="4" fontId="5" fillId="0" borderId="3" xfId="5" applyNumberFormat="1"/>
    <xf numFmtId="4" fontId="6" fillId="0" borderId="4" xfId="6" applyNumberFormat="1"/>
    <xf numFmtId="0" fontId="6" fillId="0" borderId="4" xfId="6"/>
    <xf numFmtId="4" fontId="6" fillId="0" borderId="4" xfId="6" applyNumberFormat="1" applyAlignment="1">
      <alignment horizontal="center"/>
    </xf>
    <xf numFmtId="166" fontId="1" fillId="4" borderId="0" xfId="0" applyNumberFormat="1" applyFont="1" applyFill="1" applyProtection="1">
      <protection locked="0"/>
    </xf>
    <xf numFmtId="10" fontId="1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170" fontId="1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/>
    <xf numFmtId="2" fontId="0" fillId="0" borderId="0" xfId="0" applyNumberFormat="1"/>
    <xf numFmtId="9" fontId="10" fillId="0" borderId="0" xfId="2" applyFont="1"/>
    <xf numFmtId="164" fontId="11" fillId="0" borderId="0" xfId="2" applyNumberFormat="1" applyFont="1"/>
    <xf numFmtId="4" fontId="1" fillId="0" borderId="7" xfId="0" applyNumberFormat="1" applyFont="1" applyBorder="1"/>
    <xf numFmtId="164" fontId="11" fillId="0" borderId="7" xfId="2" applyNumberFormat="1" applyFont="1" applyBorder="1"/>
    <xf numFmtId="4" fontId="2" fillId="6" borderId="1" xfId="3" applyNumberFormat="1" applyFill="1"/>
    <xf numFmtId="4" fontId="2" fillId="5" borderId="1" xfId="3" applyNumberFormat="1" applyFill="1"/>
    <xf numFmtId="10" fontId="1" fillId="0" borderId="0" xfId="2" applyNumberFormat="1" applyFont="1" applyBorder="1"/>
    <xf numFmtId="4" fontId="6" fillId="0" borderId="4" xfId="6" applyNumberFormat="1" applyAlignment="1"/>
    <xf numFmtId="0" fontId="5" fillId="0" borderId="3" xfId="5"/>
    <xf numFmtId="4" fontId="1" fillId="0" borderId="0" xfId="2" applyNumberFormat="1" applyFont="1"/>
    <xf numFmtId="171" fontId="1" fillId="0" borderId="0" xfId="0" applyNumberFormat="1" applyFont="1"/>
    <xf numFmtId="172" fontId="0" fillId="0" borderId="0" xfId="0" applyNumberFormat="1"/>
    <xf numFmtId="167" fontId="0" fillId="0" borderId="0" xfId="0" applyNumberFormat="1"/>
    <xf numFmtId="172" fontId="0" fillId="0" borderId="8" xfId="0" applyNumberFormat="1" applyBorder="1"/>
    <xf numFmtId="0" fontId="2" fillId="6" borderId="1" xfId="3" applyFill="1"/>
    <xf numFmtId="4" fontId="1" fillId="0" borderId="8" xfId="0" applyNumberFormat="1" applyFont="1" applyBorder="1"/>
    <xf numFmtId="4" fontId="12" fillId="0" borderId="0" xfId="0" applyNumberFormat="1" applyFont="1" applyAlignment="1">
      <alignment horizontal="right"/>
    </xf>
    <xf numFmtId="4" fontId="12" fillId="0" borderId="0" xfId="0" applyNumberFormat="1" applyFont="1"/>
    <xf numFmtId="0" fontId="0" fillId="0" borderId="8" xfId="0" applyBorder="1"/>
    <xf numFmtId="4" fontId="5" fillId="0" borderId="3" xfId="5" applyNumberFormat="1" applyAlignment="1">
      <alignment horizontal="center"/>
    </xf>
    <xf numFmtId="4" fontId="13" fillId="0" borderId="0" xfId="0" applyNumberFormat="1" applyFont="1" applyAlignment="1">
      <alignment horizontal="right"/>
    </xf>
    <xf numFmtId="10" fontId="1" fillId="0" borderId="8" xfId="2" applyNumberFormat="1" applyFont="1" applyBorder="1"/>
    <xf numFmtId="0" fontId="0" fillId="4" borderId="0" xfId="0" applyFill="1" applyProtection="1">
      <protection locked="0"/>
    </xf>
    <xf numFmtId="0" fontId="0" fillId="4" borderId="8" xfId="0" applyFill="1" applyBorder="1" applyProtection="1">
      <protection locked="0"/>
    </xf>
    <xf numFmtId="167" fontId="0" fillId="0" borderId="8" xfId="0" applyNumberFormat="1" applyBorder="1"/>
    <xf numFmtId="4" fontId="0" fillId="0" borderId="0" xfId="0" applyNumberFormat="1" applyAlignment="1">
      <alignment horizontal="center"/>
    </xf>
    <xf numFmtId="10" fontId="0" fillId="0" borderId="0" xfId="2" applyNumberFormat="1" applyFont="1" applyFill="1" applyProtection="1"/>
    <xf numFmtId="0" fontId="14" fillId="0" borderId="0" xfId="0" applyFont="1"/>
    <xf numFmtId="4" fontId="0" fillId="0" borderId="0" xfId="0" applyNumberFormat="1" applyProtection="1">
      <protection locked="0"/>
    </xf>
    <xf numFmtId="164" fontId="0" fillId="0" borderId="0" xfId="0" applyNumberFormat="1"/>
    <xf numFmtId="0" fontId="0" fillId="0" borderId="0" xfId="0" applyAlignment="1">
      <alignment horizontal="center"/>
    </xf>
    <xf numFmtId="4" fontId="6" fillId="0" borderId="4" xfId="6" applyNumberFormat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5" fillId="0" borderId="6" xfId="5" applyNumberFormat="1" applyBorder="1" applyAlignment="1">
      <alignment horizontal="center"/>
    </xf>
  </cellXfs>
  <cellStyles count="7">
    <cellStyle name="40% - Énfasis1" xfId="4" builtinId="31"/>
    <cellStyle name="Encabezado 1" xfId="3" builtinId="16"/>
    <cellStyle name="Moneda" xfId="1" builtinId="4"/>
    <cellStyle name="Normal" xfId="0" builtinId="0"/>
    <cellStyle name="Porcentaje" xfId="2" builtinId="5"/>
    <cellStyle name="Título 2" xfId="5" builtinId="17"/>
    <cellStyle name="Título 3" xfId="6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1307-E106-AD46-B63D-ED54875CD1BD}">
  <dimension ref="A1:S249"/>
  <sheetViews>
    <sheetView tabSelected="1" zoomScaleNormal="100" workbookViewId="0">
      <selection activeCell="P193" sqref="P193"/>
    </sheetView>
  </sheetViews>
  <sheetFormatPr baseColWidth="10" defaultRowHeight="15.6" x14ac:dyDescent="0.3"/>
  <cols>
    <col min="1" max="1" width="5" customWidth="1"/>
    <col min="2" max="2" width="34" customWidth="1"/>
    <col min="3" max="16" width="12.796875" customWidth="1"/>
    <col min="22" max="22" width="32" customWidth="1"/>
  </cols>
  <sheetData>
    <row r="1" spans="1:16" ht="32.1" customHeight="1" thickBot="1" x14ac:dyDescent="0.6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  <c r="J1" s="13" t="s">
        <v>30</v>
      </c>
      <c r="K1" s="12">
        <f>J5</f>
        <v>2025</v>
      </c>
      <c r="L1" s="1"/>
      <c r="M1" s="1"/>
      <c r="N1" s="1"/>
      <c r="O1" s="1"/>
      <c r="P1" s="1"/>
    </row>
    <row r="3" spans="1:16" ht="20.399999999999999" thickBot="1" x14ac:dyDescent="0.4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6.2" thickTop="1" x14ac:dyDescent="0.3">
      <c r="B4" t="s">
        <v>3</v>
      </c>
      <c r="D4" s="70">
        <v>0</v>
      </c>
      <c r="E4" s="5">
        <v>0</v>
      </c>
      <c r="F4" s="5">
        <v>0</v>
      </c>
      <c r="G4" s="5">
        <v>0</v>
      </c>
      <c r="H4" s="5">
        <v>0</v>
      </c>
      <c r="J4" s="6" t="s">
        <v>8</v>
      </c>
      <c r="L4" t="s">
        <v>10</v>
      </c>
    </row>
    <row r="5" spans="1:16" x14ac:dyDescent="0.3">
      <c r="C5">
        <v>2025</v>
      </c>
      <c r="D5">
        <v>2025</v>
      </c>
      <c r="E5">
        <v>2026</v>
      </c>
      <c r="F5">
        <v>2027</v>
      </c>
      <c r="G5">
        <v>2028</v>
      </c>
      <c r="H5">
        <v>2029</v>
      </c>
      <c r="J5" s="7">
        <v>2025</v>
      </c>
      <c r="L5">
        <f>J5</f>
        <v>2025</v>
      </c>
    </row>
    <row r="6" spans="1:16" x14ac:dyDescent="0.3">
      <c r="B6" t="s">
        <v>4</v>
      </c>
      <c r="C6" s="4"/>
      <c r="D6" s="3">
        <f>ROUND((C6+(C13*12))*(1+D$4),2)</f>
        <v>0</v>
      </c>
      <c r="E6" s="3">
        <f t="shared" ref="E6:H9" si="0">ROUND(D6*(1+E$4),2)</f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J6" s="3">
        <f>HLOOKUP(J5,C5:H9,2,FALSE)</f>
        <v>0</v>
      </c>
      <c r="L6" s="3">
        <f>ROUND(J6*(1+$C$11),2)</f>
        <v>0</v>
      </c>
    </row>
    <row r="7" spans="1:16" x14ac:dyDescent="0.3">
      <c r="B7" t="s">
        <v>5</v>
      </c>
      <c r="C7" s="4"/>
      <c r="D7" s="3">
        <f>ROUND((C7+(C12*12))*(1+D$4),2)</f>
        <v>0</v>
      </c>
      <c r="E7" s="3">
        <f t="shared" ref="D7:F9" si="1">ROUND(D7*(1+E$4),2)</f>
        <v>0</v>
      </c>
      <c r="F7" s="3">
        <f t="shared" si="1"/>
        <v>0</v>
      </c>
      <c r="G7" s="3">
        <f t="shared" si="0"/>
        <v>0</v>
      </c>
      <c r="H7" s="3">
        <f t="shared" si="0"/>
        <v>0</v>
      </c>
      <c r="J7" s="3">
        <f>HLOOKUP(J5,C5:H9,3,FALSE)</f>
        <v>0</v>
      </c>
      <c r="L7" s="3">
        <f t="shared" ref="L7:L8" si="2">ROUND(J7*(1+$C$11),2)</f>
        <v>0</v>
      </c>
    </row>
    <row r="8" spans="1:16" x14ac:dyDescent="0.3">
      <c r="B8" t="s">
        <v>6</v>
      </c>
      <c r="C8" s="4"/>
      <c r="D8" s="3">
        <f t="shared" si="1"/>
        <v>0</v>
      </c>
      <c r="E8" s="3">
        <f t="shared" si="1"/>
        <v>0</v>
      </c>
      <c r="F8" s="3">
        <f t="shared" si="1"/>
        <v>0</v>
      </c>
      <c r="G8" s="3">
        <f t="shared" si="0"/>
        <v>0</v>
      </c>
      <c r="H8" s="3">
        <f t="shared" si="0"/>
        <v>0</v>
      </c>
      <c r="J8" s="3">
        <f>HLOOKUP(J5,C5:H9,4,FALSE)</f>
        <v>0</v>
      </c>
      <c r="L8" s="3">
        <f t="shared" si="2"/>
        <v>0</v>
      </c>
    </row>
    <row r="9" spans="1:16" x14ac:dyDescent="0.3">
      <c r="B9" t="s">
        <v>7</v>
      </c>
      <c r="C9" s="4"/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0"/>
        <v>0</v>
      </c>
      <c r="H9" s="3">
        <f t="shared" si="0"/>
        <v>0</v>
      </c>
      <c r="J9" s="3">
        <f>HLOOKUP(J5,C5:H9,5,FALSE)</f>
        <v>0</v>
      </c>
      <c r="L9" s="3">
        <f>ROUND(J9*(1+$C$11),2)</f>
        <v>0</v>
      </c>
    </row>
    <row r="11" spans="1:16" x14ac:dyDescent="0.3">
      <c r="B11" t="s">
        <v>9</v>
      </c>
      <c r="C11" s="5">
        <v>0.33</v>
      </c>
      <c r="F11" t="s">
        <v>48</v>
      </c>
    </row>
    <row r="12" spans="1:16" x14ac:dyDescent="0.3">
      <c r="B12" t="s">
        <v>45</v>
      </c>
      <c r="C12" s="4"/>
      <c r="D12" t="s">
        <v>46</v>
      </c>
      <c r="F12" t="s">
        <v>49</v>
      </c>
    </row>
    <row r="13" spans="1:16" x14ac:dyDescent="0.3">
      <c r="B13" t="s">
        <v>47</v>
      </c>
      <c r="C13" s="4"/>
      <c r="D13" t="s">
        <v>46</v>
      </c>
      <c r="F13" t="s">
        <v>208</v>
      </c>
    </row>
    <row r="15" spans="1:16" ht="20.399999999999999" thickBot="1" x14ac:dyDescent="0.45">
      <c r="A15" s="8" t="s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6" ht="16.2" thickTop="1" x14ac:dyDescent="0.3">
      <c r="B16" s="9" t="s">
        <v>12</v>
      </c>
      <c r="C16" s="9">
        <v>1665</v>
      </c>
      <c r="D16" s="9" t="s">
        <v>13</v>
      </c>
      <c r="E16" s="9"/>
      <c r="F16" s="9"/>
      <c r="G16" s="9"/>
      <c r="H16" s="9"/>
      <c r="I16" s="9"/>
      <c r="J16" s="9"/>
      <c r="K16" s="9"/>
    </row>
    <row r="17" spans="1:19" x14ac:dyDescent="0.3">
      <c r="B17" s="9" t="s">
        <v>14</v>
      </c>
      <c r="C17" s="9">
        <v>37</v>
      </c>
      <c r="D17" s="9" t="s">
        <v>15</v>
      </c>
      <c r="E17" s="9"/>
      <c r="F17" s="9" t="s">
        <v>16</v>
      </c>
      <c r="G17" s="9"/>
      <c r="H17" s="10">
        <v>0.25</v>
      </c>
      <c r="I17" s="9"/>
      <c r="J17" s="9"/>
      <c r="K17" s="9"/>
    </row>
    <row r="18" spans="1:19" x14ac:dyDescent="0.3">
      <c r="B18" s="9" t="s">
        <v>17</v>
      </c>
      <c r="C18" s="9">
        <f>+C16/C17</f>
        <v>45</v>
      </c>
      <c r="D18" s="9" t="s">
        <v>18</v>
      </c>
      <c r="E18" s="9"/>
      <c r="F18" s="9" t="s">
        <v>68</v>
      </c>
      <c r="G18" s="9"/>
      <c r="H18" s="10">
        <v>0.25</v>
      </c>
      <c r="I18" s="9"/>
      <c r="J18" s="9"/>
      <c r="K18" s="9"/>
    </row>
    <row r="19" spans="1:19" x14ac:dyDescent="0.3">
      <c r="B19" s="9" t="s">
        <v>19</v>
      </c>
      <c r="C19" s="9">
        <f>+C18*5</f>
        <v>225</v>
      </c>
      <c r="D19" s="9" t="s">
        <v>20</v>
      </c>
      <c r="E19" s="9"/>
      <c r="F19" s="9"/>
      <c r="G19" s="9"/>
      <c r="H19" s="11"/>
      <c r="I19" s="9"/>
      <c r="J19" s="9"/>
      <c r="K19" s="9"/>
    </row>
    <row r="20" spans="1:19" x14ac:dyDescent="0.3">
      <c r="B20" s="9" t="s">
        <v>21</v>
      </c>
      <c r="C20" s="9">
        <f>+C17/5</f>
        <v>7.4</v>
      </c>
      <c r="D20" s="9" t="s">
        <v>22</v>
      </c>
      <c r="E20" s="9"/>
      <c r="F20" s="9"/>
      <c r="G20" s="9"/>
      <c r="H20" s="9"/>
      <c r="I20" s="9"/>
      <c r="J20" s="9"/>
      <c r="K20" s="9"/>
    </row>
    <row r="21" spans="1:19" x14ac:dyDescent="0.3">
      <c r="B21" s="9" t="s">
        <v>23</v>
      </c>
      <c r="C21" s="9">
        <f>+C20*60</f>
        <v>444</v>
      </c>
      <c r="D21" s="9" t="s">
        <v>24</v>
      </c>
      <c r="E21" s="9"/>
      <c r="F21" s="9"/>
      <c r="G21" s="9"/>
      <c r="H21" s="9"/>
      <c r="I21" s="9"/>
      <c r="J21" s="9"/>
      <c r="K21" s="9"/>
    </row>
    <row r="22" spans="1:19" x14ac:dyDescent="0.3">
      <c r="B22" s="9" t="s">
        <v>25</v>
      </c>
      <c r="C22" s="9">
        <v>20</v>
      </c>
      <c r="D22" s="9" t="s">
        <v>26</v>
      </c>
      <c r="E22" s="9"/>
      <c r="F22" s="9"/>
      <c r="G22" s="9"/>
      <c r="H22" s="9"/>
      <c r="I22" s="9"/>
      <c r="J22" s="9"/>
      <c r="K22" s="9"/>
    </row>
    <row r="23" spans="1:19" x14ac:dyDescent="0.3">
      <c r="B23" s="9" t="s">
        <v>27</v>
      </c>
      <c r="C23" s="9">
        <f>+C22*C19</f>
        <v>4500</v>
      </c>
      <c r="D23" s="9" t="s">
        <v>26</v>
      </c>
      <c r="E23" s="9"/>
      <c r="F23" s="9"/>
      <c r="G23" s="9"/>
      <c r="H23" s="9"/>
      <c r="I23" s="9"/>
      <c r="J23" s="9"/>
      <c r="K23" s="9"/>
    </row>
    <row r="24" spans="1:19" x14ac:dyDescent="0.3">
      <c r="B24" s="9" t="s">
        <v>28</v>
      </c>
      <c r="C24" s="9">
        <f>+C23/60</f>
        <v>75</v>
      </c>
      <c r="D24" s="9" t="s">
        <v>29</v>
      </c>
      <c r="E24" s="9"/>
      <c r="F24" s="9"/>
      <c r="G24" s="9"/>
      <c r="H24" s="9"/>
      <c r="I24" s="9"/>
      <c r="J24" s="9"/>
      <c r="K24" s="9"/>
    </row>
    <row r="27" spans="1:19" ht="20.399999999999999" thickBot="1" x14ac:dyDescent="0.45">
      <c r="A27" s="8" t="s">
        <v>220</v>
      </c>
      <c r="B27" s="8"/>
      <c r="C27" s="8"/>
      <c r="D27" s="8"/>
      <c r="E27" s="8"/>
      <c r="F27" s="8"/>
      <c r="G27" s="8"/>
      <c r="H27" s="8"/>
      <c r="I27" s="8"/>
      <c r="J27" s="8" t="s">
        <v>211</v>
      </c>
      <c r="K27" s="8"/>
      <c r="L27" s="8"/>
      <c r="M27" s="8"/>
    </row>
    <row r="28" spans="1:19" ht="16.2" thickTop="1" x14ac:dyDescent="0.3">
      <c r="A28" s="9"/>
      <c r="B28" s="9" t="s">
        <v>31</v>
      </c>
      <c r="C28" s="9" t="s">
        <v>32</v>
      </c>
      <c r="D28" s="9" t="s">
        <v>33</v>
      </c>
      <c r="E28" s="9"/>
      <c r="F28" s="9"/>
      <c r="G28" s="9"/>
      <c r="H28" s="9"/>
      <c r="I28" s="9"/>
      <c r="J28" s="9" t="s">
        <v>31</v>
      </c>
      <c r="K28" s="9" t="s">
        <v>32</v>
      </c>
      <c r="L28" s="9" t="s">
        <v>33</v>
      </c>
      <c r="M28" s="69" t="s">
        <v>219</v>
      </c>
    </row>
    <row r="29" spans="1:19" x14ac:dyDescent="0.3">
      <c r="A29" s="9"/>
      <c r="B29" s="9" t="s">
        <v>34</v>
      </c>
      <c r="C29" s="14"/>
      <c r="D29" s="14">
        <v>14130</v>
      </c>
      <c r="E29" s="9"/>
      <c r="F29" s="9"/>
      <c r="G29" s="9"/>
      <c r="H29" s="15" t="s">
        <v>35</v>
      </c>
      <c r="J29" t="s">
        <v>209</v>
      </c>
      <c r="K29" s="14">
        <f>10</f>
        <v>10</v>
      </c>
      <c r="L29" s="14">
        <f>14130</f>
        <v>14130</v>
      </c>
      <c r="M29" s="42"/>
    </row>
    <row r="30" spans="1:19" x14ac:dyDescent="0.3">
      <c r="A30" s="9"/>
      <c r="B30" s="9" t="s">
        <v>36</v>
      </c>
      <c r="C30" s="14"/>
      <c r="D30" s="14">
        <v>22140</v>
      </c>
      <c r="E30" s="9"/>
      <c r="F30" s="16" t="s">
        <v>37</v>
      </c>
      <c r="G30" s="9"/>
      <c r="H30" s="17" t="e">
        <f>+(C29+C35)/(C31+C37)</f>
        <v>#DIV/0!</v>
      </c>
      <c r="J30" t="s">
        <v>210</v>
      </c>
      <c r="K30" s="14">
        <f>23+3</f>
        <v>26</v>
      </c>
      <c r="L30" s="14">
        <f>22140+700*4</f>
        <v>24940</v>
      </c>
      <c r="M30" s="42"/>
      <c r="P30" s="27"/>
      <c r="Q30" s="74"/>
      <c r="R30" s="74"/>
      <c r="S30" s="74"/>
    </row>
    <row r="31" spans="1:19" x14ac:dyDescent="0.3">
      <c r="A31" s="9"/>
      <c r="B31" s="15" t="s">
        <v>38</v>
      </c>
      <c r="C31" s="9">
        <f>SUM(C29:C30)</f>
        <v>0</v>
      </c>
      <c r="D31" s="9">
        <f>SUM(D29:D30)</f>
        <v>36270</v>
      </c>
      <c r="E31" s="9" t="s">
        <v>39</v>
      </c>
      <c r="F31" s="9" t="s">
        <v>40</v>
      </c>
      <c r="G31" s="9"/>
      <c r="H31" s="17" t="e">
        <f>C29/C31</f>
        <v>#DIV/0!</v>
      </c>
      <c r="K31" s="9">
        <f>SUM(K29:K30)</f>
        <v>36</v>
      </c>
      <c r="L31" s="9">
        <f>SUM(L29:L30)</f>
        <v>39070</v>
      </c>
      <c r="M31" s="42">
        <f>L31/D31-1</f>
        <v>7.7198786876206293E-2</v>
      </c>
    </row>
    <row r="32" spans="1:19" x14ac:dyDescent="0.3">
      <c r="A32" s="9"/>
      <c r="B32" s="9"/>
      <c r="C32" s="9"/>
      <c r="D32" s="9"/>
      <c r="E32" s="9"/>
      <c r="F32" s="9" t="s">
        <v>41</v>
      </c>
      <c r="G32" s="9"/>
      <c r="H32" s="17" t="e">
        <f>C35/C37</f>
        <v>#DIV/0!</v>
      </c>
      <c r="K32" s="9"/>
      <c r="L32" s="9"/>
      <c r="P32" s="19"/>
      <c r="Q32" s="72"/>
      <c r="R32" s="73"/>
      <c r="S32" s="19"/>
    </row>
    <row r="33" spans="1:19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P33" s="19"/>
      <c r="Q33" s="72"/>
      <c r="R33" s="73"/>
      <c r="S33" s="19"/>
    </row>
    <row r="34" spans="1:19" x14ac:dyDescent="0.3">
      <c r="A34" s="9"/>
      <c r="B34" s="9" t="s">
        <v>42</v>
      </c>
      <c r="C34" s="9" t="s">
        <v>32</v>
      </c>
      <c r="D34" s="9" t="s">
        <v>33</v>
      </c>
      <c r="E34" s="9"/>
      <c r="F34" s="9"/>
      <c r="G34" s="9"/>
      <c r="H34" s="9"/>
      <c r="I34" s="9"/>
      <c r="J34" s="9" t="s">
        <v>42</v>
      </c>
      <c r="K34" s="9" t="s">
        <v>32</v>
      </c>
      <c r="L34" s="9" t="s">
        <v>33</v>
      </c>
      <c r="M34" s="69" t="s">
        <v>219</v>
      </c>
      <c r="Q34" s="19"/>
      <c r="S34" s="19"/>
    </row>
    <row r="35" spans="1:19" x14ac:dyDescent="0.3">
      <c r="A35" s="9"/>
      <c r="B35" s="9" t="s">
        <v>34</v>
      </c>
      <c r="C35" s="14"/>
      <c r="D35" s="14">
        <v>4275</v>
      </c>
      <c r="E35" s="9"/>
      <c r="F35" s="9"/>
      <c r="G35" s="9"/>
      <c r="H35" s="9"/>
      <c r="I35" s="9"/>
      <c r="J35" s="9" t="s">
        <v>209</v>
      </c>
      <c r="K35" s="14">
        <f>3</f>
        <v>3</v>
      </c>
      <c r="L35" s="14">
        <f>4275</f>
        <v>4275</v>
      </c>
      <c r="M35" s="42"/>
    </row>
    <row r="36" spans="1:19" x14ac:dyDescent="0.3">
      <c r="A36" s="9"/>
      <c r="B36" s="9" t="s">
        <v>36</v>
      </c>
      <c r="C36" s="14"/>
      <c r="D36" s="14">
        <v>8235</v>
      </c>
      <c r="E36" s="9"/>
      <c r="F36" s="9"/>
      <c r="G36" s="9"/>
      <c r="H36" s="9"/>
      <c r="I36" s="9"/>
      <c r="J36" s="9" t="s">
        <v>210</v>
      </c>
      <c r="K36" s="14">
        <f>8+2</f>
        <v>10</v>
      </c>
      <c r="L36" s="14">
        <f>8235+500*2</f>
        <v>9235</v>
      </c>
      <c r="M36" s="42"/>
    </row>
    <row r="37" spans="1:19" x14ac:dyDescent="0.3">
      <c r="A37" s="9"/>
      <c r="B37" s="15" t="s">
        <v>43</v>
      </c>
      <c r="C37" s="9">
        <f>SUM(C35:C36)</f>
        <v>0</v>
      </c>
      <c r="D37" s="9">
        <f>SUM(D35:D36)</f>
        <v>12510</v>
      </c>
      <c r="E37" s="9" t="s">
        <v>39</v>
      </c>
      <c r="F37" s="9"/>
      <c r="G37" s="9"/>
      <c r="H37" s="9"/>
      <c r="I37" s="9"/>
      <c r="J37" s="9"/>
      <c r="K37" s="9">
        <f>SUM(K35:K36)</f>
        <v>13</v>
      </c>
      <c r="L37" s="9">
        <f>SUM(L35:L36)</f>
        <v>13510</v>
      </c>
      <c r="M37" s="42">
        <f>L37/D37-1</f>
        <v>7.9936051159072763E-2</v>
      </c>
    </row>
    <row r="38" spans="1:19" x14ac:dyDescent="0.3">
      <c r="A38" s="9"/>
      <c r="B38" s="9"/>
      <c r="C38" s="9"/>
      <c r="D38" s="9"/>
      <c r="E38" s="9"/>
      <c r="F38" s="18"/>
      <c r="G38" s="9"/>
      <c r="H38" s="9"/>
      <c r="I38" s="9"/>
      <c r="J38" s="9"/>
      <c r="K38" s="9"/>
      <c r="L38" s="9"/>
    </row>
    <row r="39" spans="1:19" x14ac:dyDescent="0.3">
      <c r="A39" s="9"/>
      <c r="B39" s="15" t="s">
        <v>44</v>
      </c>
      <c r="C39" s="9">
        <f t="shared" ref="C39" si="3">+C31+C37</f>
        <v>0</v>
      </c>
      <c r="D39" s="9">
        <f>+D31+D37</f>
        <v>48780</v>
      </c>
      <c r="E39" s="9"/>
      <c r="F39" s="9"/>
      <c r="G39" s="9"/>
      <c r="H39" s="9"/>
      <c r="I39" s="9"/>
      <c r="J39" s="9"/>
      <c r="K39" s="9">
        <f t="shared" ref="K39" si="4">+K31+K37</f>
        <v>49</v>
      </c>
      <c r="L39" s="9">
        <f>+L31+L37</f>
        <v>52580</v>
      </c>
    </row>
    <row r="40" spans="1:19" x14ac:dyDescent="0.3">
      <c r="A40" s="9"/>
      <c r="B40" s="15"/>
      <c r="C40" s="9"/>
      <c r="D40" s="9"/>
      <c r="E40" s="9"/>
      <c r="F40" s="9"/>
      <c r="G40" s="9"/>
      <c r="H40" s="9"/>
      <c r="I40" s="9"/>
      <c r="J40" s="9"/>
      <c r="K40" s="9"/>
    </row>
    <row r="42" spans="1:19" ht="20.399999999999999" thickBot="1" x14ac:dyDescent="0.45">
      <c r="A42" s="8" t="s">
        <v>50</v>
      </c>
      <c r="B42" s="20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9" ht="16.2" thickTop="1" x14ac:dyDescent="0.3">
      <c r="A43" s="9"/>
      <c r="B43" s="15"/>
      <c r="C43" s="76" t="s">
        <v>31</v>
      </c>
      <c r="D43" s="76"/>
      <c r="E43" s="76"/>
      <c r="F43" s="76"/>
      <c r="G43" s="76"/>
      <c r="H43" s="76"/>
      <c r="I43" s="76"/>
      <c r="J43" s="76"/>
      <c r="K43" s="76"/>
      <c r="L43" s="76"/>
    </row>
    <row r="44" spans="1:19" x14ac:dyDescent="0.3">
      <c r="A44" s="9"/>
      <c r="B44" s="9"/>
      <c r="C44" s="25" t="s">
        <v>53</v>
      </c>
      <c r="D44" s="21" t="s">
        <v>54</v>
      </c>
      <c r="E44" s="21" t="s">
        <v>55</v>
      </c>
      <c r="F44" s="21" t="s">
        <v>56</v>
      </c>
      <c r="G44" s="26" t="s">
        <v>57</v>
      </c>
      <c r="H44" s="26" t="s">
        <v>58</v>
      </c>
      <c r="I44" s="21" t="s">
        <v>59</v>
      </c>
      <c r="J44" s="21" t="s">
        <v>60</v>
      </c>
      <c r="K44" s="21" t="s">
        <v>61</v>
      </c>
      <c r="L44" s="27" t="s">
        <v>62</v>
      </c>
      <c r="M44" s="21" t="s">
        <v>51</v>
      </c>
    </row>
    <row r="45" spans="1:19" x14ac:dyDescent="0.3">
      <c r="A45" s="9"/>
      <c r="B45" s="22" t="s">
        <v>52</v>
      </c>
      <c r="C45" s="24">
        <v>1512</v>
      </c>
      <c r="D45" s="24">
        <v>9522</v>
      </c>
      <c r="E45" s="24">
        <v>5304</v>
      </c>
      <c r="F45" s="24">
        <v>3404</v>
      </c>
      <c r="G45" s="24">
        <v>350</v>
      </c>
      <c r="H45" s="24">
        <v>647</v>
      </c>
      <c r="I45" s="28">
        <v>288</v>
      </c>
      <c r="J45" s="28">
        <v>0</v>
      </c>
      <c r="K45" s="28">
        <v>67</v>
      </c>
      <c r="L45" s="28">
        <v>79</v>
      </c>
      <c r="M45" s="19">
        <f>SUM(C45:L45)</f>
        <v>21173</v>
      </c>
    </row>
    <row r="46" spans="1:19" x14ac:dyDescent="0.3">
      <c r="A46" s="9"/>
      <c r="B46" s="22" t="s">
        <v>63</v>
      </c>
      <c r="C46" s="9">
        <f>C45*0.75</f>
        <v>1134</v>
      </c>
      <c r="D46" s="9">
        <f>D45*1</f>
        <v>9522</v>
      </c>
      <c r="E46" s="9">
        <f>E45*1.5</f>
        <v>7956</v>
      </c>
      <c r="F46" s="9">
        <f>F45*2</f>
        <v>6808</v>
      </c>
      <c r="G46" s="9">
        <f>G45*2.25</f>
        <v>787.5</v>
      </c>
      <c r="H46" s="9">
        <f>H45*2.5</f>
        <v>1617.5</v>
      </c>
      <c r="I46" s="9">
        <f>I45*3</f>
        <v>864</v>
      </c>
      <c r="J46" s="9">
        <f>J45*3.25</f>
        <v>0</v>
      </c>
      <c r="K46" s="9">
        <f>K45*3.3</f>
        <v>221.1</v>
      </c>
      <c r="L46" s="9">
        <f>L45*4</f>
        <v>316</v>
      </c>
      <c r="M46" s="19">
        <f>SUM(C46:L46)</f>
        <v>29226.1</v>
      </c>
    </row>
    <row r="47" spans="1:19" x14ac:dyDescent="0.3">
      <c r="A47" s="9"/>
      <c r="B47" s="22" t="s">
        <v>66</v>
      </c>
      <c r="C47" s="17">
        <f>C46/$M46</f>
        <v>3.8800934780897897E-2</v>
      </c>
      <c r="D47" s="17">
        <f t="shared" ref="D47:L47" si="5">D46/$M46</f>
        <v>0.32580467458880935</v>
      </c>
      <c r="E47" s="17">
        <f t="shared" si="5"/>
        <v>0.27222243131995033</v>
      </c>
      <c r="F47" s="17">
        <f t="shared" si="5"/>
        <v>0.23294247265286852</v>
      </c>
      <c r="G47" s="17">
        <f t="shared" si="5"/>
        <v>2.6945093597845762E-2</v>
      </c>
      <c r="H47" s="17">
        <f t="shared" si="5"/>
        <v>5.5344366850178441E-2</v>
      </c>
      <c r="I47" s="17">
        <f t="shared" si="5"/>
        <v>2.9562616975922208E-2</v>
      </c>
      <c r="J47" s="17">
        <f t="shared" si="5"/>
        <v>0</v>
      </c>
      <c r="K47" s="17">
        <f t="shared" si="5"/>
        <v>7.5651558025189814E-3</v>
      </c>
      <c r="L47" s="17">
        <f t="shared" si="5"/>
        <v>1.0812253431008586E-2</v>
      </c>
      <c r="M47" s="17"/>
    </row>
    <row r="48" spans="1:19" x14ac:dyDescent="0.3">
      <c r="A48" s="9"/>
      <c r="B48" s="71" t="s">
        <v>64</v>
      </c>
      <c r="C48" s="9"/>
      <c r="G48" s="9"/>
      <c r="H48" s="9"/>
      <c r="I48" s="9"/>
      <c r="J48" s="9"/>
      <c r="K48" s="9"/>
    </row>
    <row r="49" spans="1:13" ht="16.2" thickBot="1" x14ac:dyDescent="0.35">
      <c r="B49" s="71" t="s">
        <v>65</v>
      </c>
    </row>
    <row r="50" spans="1:13" ht="16.2" thickTop="1" x14ac:dyDescent="0.3">
      <c r="B50" s="15"/>
      <c r="C50" s="76" t="s">
        <v>67</v>
      </c>
      <c r="D50" s="76"/>
      <c r="E50" s="76"/>
      <c r="F50" s="76"/>
      <c r="G50" s="76"/>
      <c r="H50" s="76"/>
      <c r="I50" s="76"/>
      <c r="J50" s="76"/>
      <c r="K50" s="76"/>
      <c r="L50" s="76"/>
    </row>
    <row r="51" spans="1:13" x14ac:dyDescent="0.3">
      <c r="B51" s="9"/>
      <c r="C51" s="25" t="s">
        <v>53</v>
      </c>
      <c r="D51" s="21" t="s">
        <v>54</v>
      </c>
      <c r="E51" s="21" t="s">
        <v>55</v>
      </c>
      <c r="F51" s="21" t="s">
        <v>56</v>
      </c>
      <c r="G51" s="26" t="s">
        <v>57</v>
      </c>
      <c r="H51" s="26" t="s">
        <v>58</v>
      </c>
      <c r="I51" s="21" t="s">
        <v>59</v>
      </c>
      <c r="J51" s="21" t="s">
        <v>60</v>
      </c>
      <c r="K51" s="21" t="s">
        <v>61</v>
      </c>
      <c r="L51" s="27" t="s">
        <v>62</v>
      </c>
      <c r="M51" s="21" t="s">
        <v>51</v>
      </c>
    </row>
    <row r="52" spans="1:13" x14ac:dyDescent="0.3">
      <c r="B52" s="22" t="s">
        <v>52</v>
      </c>
      <c r="C52" s="24">
        <v>0</v>
      </c>
      <c r="D52" s="24">
        <v>25</v>
      </c>
      <c r="E52" s="24">
        <v>489</v>
      </c>
      <c r="F52" s="24">
        <v>2195</v>
      </c>
      <c r="G52" s="24">
        <v>196</v>
      </c>
      <c r="H52" s="24">
        <v>998</v>
      </c>
      <c r="I52" s="28">
        <v>1302</v>
      </c>
      <c r="J52" s="28">
        <v>33</v>
      </c>
      <c r="K52" s="28">
        <v>121</v>
      </c>
      <c r="L52" s="28">
        <v>125</v>
      </c>
      <c r="M52" s="19">
        <f>SUM(C52:L52)</f>
        <v>5484</v>
      </c>
    </row>
    <row r="53" spans="1:13" x14ac:dyDescent="0.3">
      <c r="B53" s="22" t="s">
        <v>63</v>
      </c>
      <c r="C53" s="9">
        <f>C52*0.75</f>
        <v>0</v>
      </c>
      <c r="D53" s="9">
        <f>D52*1</f>
        <v>25</v>
      </c>
      <c r="E53" s="9">
        <f>E52*1.5</f>
        <v>733.5</v>
      </c>
      <c r="F53" s="9">
        <f>F52*2</f>
        <v>4390</v>
      </c>
      <c r="G53" s="9">
        <f>G52*2.25</f>
        <v>441</v>
      </c>
      <c r="H53" s="9">
        <f>H52*2.5</f>
        <v>2495</v>
      </c>
      <c r="I53" s="9">
        <f>I52*3</f>
        <v>3906</v>
      </c>
      <c r="J53" s="9">
        <f>J52*3.25</f>
        <v>107.25</v>
      </c>
      <c r="K53" s="9">
        <f>K52*3.3</f>
        <v>399.29999999999995</v>
      </c>
      <c r="L53" s="9">
        <f>L52*4</f>
        <v>500</v>
      </c>
      <c r="M53" s="19">
        <f>SUM(C53:L53)</f>
        <v>12997.05</v>
      </c>
    </row>
    <row r="54" spans="1:13" x14ac:dyDescent="0.3">
      <c r="B54" s="22" t="s">
        <v>66</v>
      </c>
      <c r="C54" s="17">
        <f>C53/$M53</f>
        <v>0</v>
      </c>
      <c r="D54" s="17">
        <f t="shared" ref="D54" si="6">D53/$M53</f>
        <v>1.9235134126590265E-3</v>
      </c>
      <c r="E54" s="17">
        <f t="shared" ref="E54" si="7">E53/$M53</f>
        <v>5.6435883527415839E-2</v>
      </c>
      <c r="F54" s="17">
        <f t="shared" ref="F54" si="8">F53/$M53</f>
        <v>0.33776895526292505</v>
      </c>
      <c r="G54" s="17">
        <f t="shared" ref="G54" si="9">G53/$M53</f>
        <v>3.3930776599305226E-2</v>
      </c>
      <c r="H54" s="17">
        <f t="shared" ref="H54" si="10">H53/$M53</f>
        <v>0.19196663858337085</v>
      </c>
      <c r="I54" s="17">
        <f t="shared" ref="I54" si="11">I53/$M53</f>
        <v>0.30052973559384633</v>
      </c>
      <c r="J54" s="17">
        <f t="shared" ref="J54" si="12">J53/$M53</f>
        <v>8.2518725403072247E-3</v>
      </c>
      <c r="K54" s="17">
        <f t="shared" ref="K54" si="13">K53/$M53</f>
        <v>3.0722356226989968E-2</v>
      </c>
      <c r="L54" s="17">
        <f t="shared" ref="L54" si="14">L53/$M53</f>
        <v>3.8470268253180534E-2</v>
      </c>
      <c r="M54" s="17"/>
    </row>
    <row r="55" spans="1:13" x14ac:dyDescent="0.3">
      <c r="B55" s="71" t="s">
        <v>64</v>
      </c>
    </row>
    <row r="56" spans="1:13" x14ac:dyDescent="0.3">
      <c r="B56" s="71" t="s">
        <v>65</v>
      </c>
    </row>
    <row r="57" spans="1:13" ht="20.399999999999999" thickBot="1" x14ac:dyDescent="0.45">
      <c r="A57" s="8" t="s">
        <v>105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ht="16.2" thickTop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8" thickBot="1" x14ac:dyDescent="0.4">
      <c r="A59" s="30" t="s">
        <v>69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</row>
    <row r="60" spans="1:13" ht="16.2" thickTop="1" x14ac:dyDescent="0.3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6.2" thickBot="1" x14ac:dyDescent="0.35">
      <c r="A61" s="31" t="s">
        <v>70</v>
      </c>
      <c r="B61" s="32"/>
      <c r="C61" s="33" t="s">
        <v>31</v>
      </c>
      <c r="D61" s="31"/>
      <c r="E61" s="31"/>
      <c r="F61" s="33" t="s">
        <v>42</v>
      </c>
      <c r="G61" s="31"/>
      <c r="H61" s="31"/>
      <c r="I61" s="31"/>
      <c r="J61" s="31"/>
      <c r="K61" s="31"/>
      <c r="L61" s="31"/>
      <c r="M61" s="31"/>
    </row>
    <row r="62" spans="1:13" x14ac:dyDescent="0.3">
      <c r="A62" s="9"/>
      <c r="B62" s="9" t="s">
        <v>71</v>
      </c>
      <c r="C62" s="9">
        <f>C29</f>
        <v>0</v>
      </c>
      <c r="D62" s="9" t="s">
        <v>72</v>
      </c>
      <c r="E62" s="9"/>
      <c r="F62" s="9">
        <f>C35</f>
        <v>0</v>
      </c>
      <c r="G62" s="9" t="s">
        <v>72</v>
      </c>
      <c r="H62" s="9"/>
      <c r="I62" s="9"/>
      <c r="J62" s="9"/>
      <c r="K62" s="9"/>
      <c r="L62" s="9"/>
      <c r="M62" s="9"/>
    </row>
    <row r="63" spans="1:13" x14ac:dyDescent="0.3">
      <c r="A63" s="9"/>
      <c r="B63" s="9" t="s">
        <v>73</v>
      </c>
      <c r="C63" s="9">
        <f>C30</f>
        <v>0</v>
      </c>
      <c r="D63" s="9" t="s">
        <v>72</v>
      </c>
      <c r="E63" s="9"/>
      <c r="F63" s="9">
        <f>C36</f>
        <v>0</v>
      </c>
      <c r="G63" s="9" t="s">
        <v>72</v>
      </c>
      <c r="H63" s="9"/>
      <c r="I63" s="9"/>
      <c r="J63" s="9"/>
      <c r="K63" s="9"/>
      <c r="L63" s="9"/>
      <c r="M63" s="9"/>
    </row>
    <row r="64" spans="1:13" x14ac:dyDescent="0.3">
      <c r="A64" s="9" t="s">
        <v>75</v>
      </c>
      <c r="B64" s="9"/>
      <c r="C64" s="29" t="e">
        <f>+C63/(C62+C63)</f>
        <v>#DIV/0!</v>
      </c>
      <c r="D64" s="9" t="s">
        <v>74</v>
      </c>
      <c r="E64" s="9"/>
      <c r="F64" s="29" t="e">
        <f>+F63/(F62+F63)</f>
        <v>#DIV/0!</v>
      </c>
      <c r="G64" s="9" t="s">
        <v>74</v>
      </c>
      <c r="H64" s="9"/>
      <c r="I64" s="29"/>
      <c r="J64" s="9"/>
      <c r="K64" s="9"/>
      <c r="L64" s="9"/>
      <c r="M64" s="9"/>
    </row>
    <row r="65" spans="1:13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6.2" thickBot="1" x14ac:dyDescent="0.35">
      <c r="A67" s="31" t="s">
        <v>76</v>
      </c>
      <c r="B67" s="31"/>
      <c r="C67" s="33" t="s">
        <v>31</v>
      </c>
      <c r="D67" s="31"/>
      <c r="E67" s="31"/>
      <c r="F67" s="33" t="s">
        <v>42</v>
      </c>
      <c r="G67" s="31"/>
      <c r="H67" s="31"/>
      <c r="I67" s="31"/>
      <c r="J67" s="31"/>
      <c r="K67" s="31"/>
      <c r="L67" s="31"/>
      <c r="M67" s="31"/>
    </row>
    <row r="68" spans="1:13" x14ac:dyDescent="0.3">
      <c r="A68" s="9"/>
      <c r="B68" s="9" t="s">
        <v>77</v>
      </c>
      <c r="C68" s="34">
        <v>4</v>
      </c>
      <c r="D68" s="9" t="s">
        <v>78</v>
      </c>
      <c r="E68" s="9"/>
      <c r="F68" s="34">
        <v>4</v>
      </c>
      <c r="G68" s="9" t="s">
        <v>78</v>
      </c>
      <c r="H68" s="9"/>
      <c r="I68" s="9"/>
      <c r="J68" s="9"/>
      <c r="K68" s="9"/>
      <c r="L68" s="9"/>
      <c r="M68" s="9"/>
    </row>
    <row r="69" spans="1:13" x14ac:dyDescent="0.3">
      <c r="A69" s="9"/>
      <c r="B69" s="9" t="s">
        <v>79</v>
      </c>
      <c r="C69" s="9">
        <f>C19</f>
        <v>225</v>
      </c>
      <c r="D69" s="9" t="s">
        <v>78</v>
      </c>
      <c r="E69" s="9"/>
      <c r="F69" s="9">
        <f>C19</f>
        <v>225</v>
      </c>
      <c r="G69" s="9" t="s">
        <v>78</v>
      </c>
      <c r="H69" s="9"/>
      <c r="I69" s="9"/>
      <c r="J69" s="9"/>
      <c r="K69" s="9"/>
      <c r="L69" s="9"/>
      <c r="M69" s="9"/>
    </row>
    <row r="70" spans="1:13" x14ac:dyDescent="0.3">
      <c r="A70" s="9"/>
      <c r="B70" s="9"/>
      <c r="C70" s="35">
        <f>+C68/C69</f>
        <v>1.7777777777777778E-2</v>
      </c>
      <c r="D70" s="9" t="s">
        <v>74</v>
      </c>
      <c r="E70" s="9"/>
      <c r="F70" s="35">
        <f>+F68/F69</f>
        <v>1.7777777777777778E-2</v>
      </c>
      <c r="G70" s="9" t="s">
        <v>74</v>
      </c>
      <c r="H70" s="9"/>
      <c r="I70" s="9"/>
      <c r="J70" s="9"/>
      <c r="K70" s="9"/>
      <c r="L70" s="9"/>
      <c r="M70" s="9"/>
    </row>
    <row r="71" spans="1:13" x14ac:dyDescent="0.3">
      <c r="A71" s="9"/>
      <c r="B71" s="9" t="s">
        <v>80</v>
      </c>
      <c r="C71" s="9">
        <f>C70*C16</f>
        <v>29.6</v>
      </c>
      <c r="D71" t="s">
        <v>102</v>
      </c>
      <c r="E71" s="9"/>
      <c r="F71" s="9">
        <f>F70*C16</f>
        <v>29.6</v>
      </c>
      <c r="G71" t="s">
        <v>102</v>
      </c>
      <c r="H71" s="9"/>
      <c r="I71" s="9"/>
      <c r="J71" s="17"/>
      <c r="K71" s="9"/>
      <c r="L71" s="9"/>
      <c r="M71" s="9"/>
    </row>
    <row r="72" spans="1:13" x14ac:dyDescent="0.3">
      <c r="A72" s="9"/>
      <c r="B72" s="71" t="s">
        <v>88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3">
      <c r="A73" s="9"/>
      <c r="B73" s="36"/>
      <c r="C73" s="36"/>
      <c r="D73" s="9"/>
      <c r="E73" s="9"/>
      <c r="F73" s="37"/>
      <c r="G73" s="37"/>
      <c r="H73" s="9"/>
      <c r="I73" s="9"/>
      <c r="J73" s="9"/>
      <c r="K73" s="9"/>
      <c r="L73" s="9"/>
      <c r="M73" s="9"/>
    </row>
    <row r="74" spans="1:13" ht="16.2" thickBot="1" x14ac:dyDescent="0.35">
      <c r="A74" s="31" t="s">
        <v>81</v>
      </c>
      <c r="B74" s="31"/>
      <c r="C74" s="33" t="s">
        <v>31</v>
      </c>
      <c r="D74" s="31"/>
      <c r="E74" s="31"/>
      <c r="F74" s="33" t="s">
        <v>42</v>
      </c>
      <c r="G74" s="31"/>
      <c r="H74" s="31"/>
      <c r="I74" s="31"/>
      <c r="J74" s="31"/>
      <c r="K74" s="31"/>
      <c r="L74" s="31"/>
      <c r="M74" s="31"/>
    </row>
    <row r="75" spans="1:13" x14ac:dyDescent="0.3">
      <c r="A75" s="9"/>
      <c r="B75" s="9" t="s">
        <v>82</v>
      </c>
      <c r="C75" s="14"/>
      <c r="D75" s="9" t="s">
        <v>29</v>
      </c>
      <c r="E75" s="9"/>
      <c r="F75" s="14"/>
      <c r="G75" s="9" t="s">
        <v>29</v>
      </c>
      <c r="H75" s="9"/>
      <c r="I75" s="9"/>
      <c r="J75" s="9"/>
      <c r="K75" s="9"/>
      <c r="L75" s="9"/>
      <c r="M75" s="9"/>
    </row>
    <row r="76" spans="1:13" x14ac:dyDescent="0.3">
      <c r="A76" s="9"/>
      <c r="B76" s="9"/>
      <c r="C76" s="35">
        <f>+C75/C16</f>
        <v>0</v>
      </c>
      <c r="D76" s="9" t="s">
        <v>74</v>
      </c>
      <c r="E76" s="9"/>
      <c r="F76" s="35">
        <f>+F75/C16</f>
        <v>0</v>
      </c>
      <c r="G76" s="9" t="s">
        <v>74</v>
      </c>
      <c r="H76" s="9"/>
      <c r="I76" s="38"/>
      <c r="J76" s="9"/>
      <c r="K76" s="9"/>
      <c r="L76" s="9"/>
      <c r="M76" s="9"/>
    </row>
    <row r="77" spans="1:13" x14ac:dyDescent="0.3">
      <c r="A77" s="9"/>
      <c r="B77" s="9" t="s">
        <v>83</v>
      </c>
      <c r="C77" s="9">
        <f>+C76*C16</f>
        <v>0</v>
      </c>
      <c r="D77" t="s">
        <v>102</v>
      </c>
      <c r="E77" s="9"/>
      <c r="F77" s="9">
        <f>+F76*C16</f>
        <v>0</v>
      </c>
      <c r="G77" t="s">
        <v>102</v>
      </c>
      <c r="H77" s="9"/>
      <c r="I77" s="9"/>
      <c r="J77" s="9"/>
      <c r="K77" s="9"/>
      <c r="L77" s="9"/>
      <c r="M77" s="9"/>
    </row>
    <row r="78" spans="1:13" x14ac:dyDescent="0.3">
      <c r="A78" s="9"/>
      <c r="B78" s="71" t="s">
        <v>89</v>
      </c>
      <c r="C78" s="9"/>
      <c r="D78" s="9"/>
      <c r="E78" s="39"/>
      <c r="F78" s="9"/>
      <c r="G78" s="9"/>
      <c r="H78" s="9"/>
      <c r="I78" s="9"/>
      <c r="J78" s="9"/>
      <c r="K78" s="9"/>
      <c r="L78" s="9"/>
      <c r="M78" s="9"/>
    </row>
    <row r="79" spans="1:13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16.2" thickBot="1" x14ac:dyDescent="0.35">
      <c r="A80" s="31" t="s">
        <v>84</v>
      </c>
      <c r="B80" s="31"/>
      <c r="C80" s="33" t="s">
        <v>31</v>
      </c>
      <c r="D80" s="31"/>
      <c r="E80" s="31"/>
      <c r="F80" s="33" t="s">
        <v>42</v>
      </c>
      <c r="G80" s="31"/>
      <c r="H80" s="31"/>
      <c r="I80" s="31" t="s">
        <v>94</v>
      </c>
      <c r="J80" s="31"/>
      <c r="K80" s="31"/>
      <c r="L80" s="31"/>
      <c r="M80" s="31"/>
    </row>
    <row r="81" spans="1:13" x14ac:dyDescent="0.3">
      <c r="A81" s="9"/>
      <c r="B81" s="9" t="s">
        <v>96</v>
      </c>
      <c r="C81" s="23"/>
      <c r="D81" s="9" t="s">
        <v>90</v>
      </c>
      <c r="E81" s="9"/>
      <c r="F81" s="23"/>
      <c r="G81" s="9" t="s">
        <v>90</v>
      </c>
      <c r="H81" s="9"/>
      <c r="I81" s="24">
        <v>331</v>
      </c>
      <c r="J81" s="29" t="s">
        <v>98</v>
      </c>
      <c r="K81" s="29"/>
    </row>
    <row r="82" spans="1:13" x14ac:dyDescent="0.3">
      <c r="A82" s="9"/>
      <c r="B82" s="9" t="s">
        <v>85</v>
      </c>
      <c r="C82" s="9">
        <f>C81*C16</f>
        <v>0</v>
      </c>
      <c r="D82" t="s">
        <v>102</v>
      </c>
      <c r="E82" s="9"/>
      <c r="F82" s="9">
        <f>F81*C16</f>
        <v>0</v>
      </c>
      <c r="G82" t="s">
        <v>102</v>
      </c>
      <c r="H82" s="9"/>
      <c r="I82" s="24">
        <f>+D39</f>
        <v>48780</v>
      </c>
      <c r="J82" s="40" t="s">
        <v>95</v>
      </c>
      <c r="K82" s="40"/>
    </row>
    <row r="83" spans="1:13" x14ac:dyDescent="0.3">
      <c r="A83" s="9"/>
      <c r="B83" s="9"/>
      <c r="C83" s="9"/>
      <c r="D83" s="9"/>
      <c r="E83" s="9"/>
      <c r="F83" s="9"/>
      <c r="G83" s="9"/>
      <c r="H83" s="9"/>
      <c r="I83" s="17">
        <f>I81/I82</f>
        <v>6.7855678556785568E-3</v>
      </c>
      <c r="J83" s="40" t="s">
        <v>97</v>
      </c>
      <c r="K83" s="9"/>
    </row>
    <row r="84" spans="1:13" x14ac:dyDescent="0.3">
      <c r="A84" s="9"/>
      <c r="B84" s="9"/>
      <c r="C84" s="9"/>
      <c r="D84" s="9"/>
      <c r="E84" s="9"/>
      <c r="F84" s="9"/>
      <c r="G84" s="9"/>
      <c r="H84" s="9"/>
      <c r="I84" s="17"/>
      <c r="J84" s="40"/>
      <c r="K84" s="9"/>
    </row>
    <row r="85" spans="1:13" ht="16.2" thickBot="1" x14ac:dyDescent="0.35">
      <c r="A85" s="31" t="s">
        <v>92</v>
      </c>
      <c r="B85" s="31"/>
      <c r="C85" s="33" t="s">
        <v>31</v>
      </c>
      <c r="D85" s="31"/>
      <c r="E85" s="31"/>
      <c r="F85" s="33" t="s">
        <v>42</v>
      </c>
      <c r="G85" s="31"/>
      <c r="H85" s="31"/>
      <c r="I85" s="31"/>
      <c r="J85" s="31"/>
      <c r="K85" s="31"/>
      <c r="L85" s="31"/>
      <c r="M85" s="31"/>
    </row>
    <row r="86" spans="1:13" x14ac:dyDescent="0.3">
      <c r="A86" s="9" t="s">
        <v>86</v>
      </c>
      <c r="B86" s="9"/>
      <c r="C86" s="14">
        <v>20</v>
      </c>
      <c r="D86" s="9" t="s">
        <v>29</v>
      </c>
      <c r="E86" s="9"/>
      <c r="F86" s="14">
        <v>20</v>
      </c>
      <c r="G86" s="9" t="s">
        <v>29</v>
      </c>
      <c r="H86" s="9"/>
      <c r="I86" s="9"/>
      <c r="J86" s="9"/>
      <c r="K86" s="9"/>
    </row>
    <row r="87" spans="1:13" x14ac:dyDescent="0.3">
      <c r="A87" s="9" t="s">
        <v>91</v>
      </c>
      <c r="B87" s="9"/>
      <c r="C87" s="14">
        <v>18</v>
      </c>
      <c r="D87" s="9" t="s">
        <v>29</v>
      </c>
      <c r="E87" s="9"/>
      <c r="F87" s="14">
        <v>0</v>
      </c>
      <c r="G87" s="9" t="s">
        <v>29</v>
      </c>
      <c r="H87" s="9"/>
      <c r="I87" s="9"/>
      <c r="J87" s="9"/>
      <c r="K87" s="9"/>
    </row>
    <row r="88" spans="1:13" x14ac:dyDescent="0.3">
      <c r="A88" s="9" t="s">
        <v>87</v>
      </c>
      <c r="B88" s="9"/>
      <c r="C88" s="14">
        <v>12</v>
      </c>
      <c r="D88" s="9" t="s">
        <v>29</v>
      </c>
      <c r="E88" s="9"/>
      <c r="F88" s="14">
        <v>12</v>
      </c>
      <c r="G88" s="9" t="s">
        <v>29</v>
      </c>
      <c r="H88" s="9"/>
      <c r="I88" s="9"/>
      <c r="J88" s="9"/>
      <c r="K88" s="9"/>
    </row>
    <row r="89" spans="1:13" x14ac:dyDescent="0.3">
      <c r="A89" s="9"/>
      <c r="B89" s="9" t="s">
        <v>93</v>
      </c>
      <c r="C89" s="9">
        <f>SUM(C86:C88)</f>
        <v>50</v>
      </c>
      <c r="D89" t="s">
        <v>102</v>
      </c>
      <c r="E89" s="9"/>
      <c r="F89" s="9">
        <f>SUM(F86:F88)</f>
        <v>32</v>
      </c>
      <c r="G89" t="s">
        <v>102</v>
      </c>
      <c r="H89" s="9"/>
      <c r="I89" s="9"/>
      <c r="J89" s="9"/>
      <c r="K89" s="9"/>
    </row>
    <row r="90" spans="1:13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3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3" ht="16.2" thickBot="1" x14ac:dyDescent="0.35">
      <c r="A92" s="31" t="s">
        <v>212</v>
      </c>
      <c r="B92" s="31"/>
      <c r="C92" s="33" t="s">
        <v>31</v>
      </c>
      <c r="D92" s="31"/>
      <c r="E92" s="31"/>
      <c r="F92" s="33" t="s">
        <v>42</v>
      </c>
      <c r="G92" s="31"/>
      <c r="H92" s="31"/>
      <c r="I92" s="31"/>
      <c r="J92" s="31"/>
      <c r="K92" s="31"/>
      <c r="L92" s="31"/>
      <c r="M92" s="31"/>
    </row>
    <row r="93" spans="1:13" x14ac:dyDescent="0.3">
      <c r="C93" t="s">
        <v>99</v>
      </c>
      <c r="D93" t="s">
        <v>100</v>
      </c>
      <c r="F93" t="s">
        <v>99</v>
      </c>
      <c r="G93" t="s">
        <v>100</v>
      </c>
      <c r="I93" t="s">
        <v>218</v>
      </c>
      <c r="J93" s="14">
        <v>10</v>
      </c>
      <c r="K93" t="s">
        <v>26</v>
      </c>
    </row>
    <row r="94" spans="1:13" x14ac:dyDescent="0.3">
      <c r="B94" t="s">
        <v>215</v>
      </c>
      <c r="C94" s="19">
        <f>M45</f>
        <v>21173</v>
      </c>
      <c r="D94" s="19"/>
      <c r="E94" s="19"/>
      <c r="F94" s="19">
        <f>M52</f>
        <v>5484</v>
      </c>
      <c r="G94" s="19"/>
    </row>
    <row r="95" spans="1:13" x14ac:dyDescent="0.3">
      <c r="B95" t="s">
        <v>216</v>
      </c>
      <c r="C95" s="19">
        <f>C31*C19</f>
        <v>0</v>
      </c>
      <c r="D95" s="19"/>
      <c r="E95" s="19"/>
      <c r="F95" s="19">
        <f>C37*C19</f>
        <v>0</v>
      </c>
      <c r="G95" s="19"/>
    </row>
    <row r="96" spans="1:13" x14ac:dyDescent="0.3">
      <c r="B96" t="s">
        <v>217</v>
      </c>
      <c r="C96" s="19">
        <f>C94-C95</f>
        <v>21173</v>
      </c>
      <c r="D96" s="19">
        <f>C96*10</f>
        <v>211730</v>
      </c>
      <c r="E96" s="19"/>
      <c r="F96" s="19">
        <f>F94-F95</f>
        <v>5484</v>
      </c>
      <c r="G96" s="19">
        <f>F96*10</f>
        <v>54840</v>
      </c>
    </row>
    <row r="97" spans="2:8" x14ac:dyDescent="0.3">
      <c r="B97" s="41" t="s">
        <v>214</v>
      </c>
      <c r="D97" s="19">
        <f>D96</f>
        <v>211730</v>
      </c>
      <c r="E97" t="s">
        <v>26</v>
      </c>
      <c r="G97" s="19">
        <f>G96</f>
        <v>54840</v>
      </c>
      <c r="H97" t="s">
        <v>26</v>
      </c>
    </row>
    <row r="98" spans="2:8" x14ac:dyDescent="0.3">
      <c r="D98" s="19">
        <f>D97/60</f>
        <v>3528.8333333333335</v>
      </c>
      <c r="E98" t="s">
        <v>29</v>
      </c>
      <c r="G98" s="19">
        <f>G97/60</f>
        <v>914</v>
      </c>
      <c r="H98" t="s">
        <v>29</v>
      </c>
    </row>
    <row r="99" spans="2:8" x14ac:dyDescent="0.3">
      <c r="D99" s="42">
        <f>D98/D31</f>
        <v>9.7293447293447299E-2</v>
      </c>
      <c r="E99" t="s">
        <v>101</v>
      </c>
      <c r="G99" s="42">
        <f>G98/D37</f>
        <v>7.3061550759392482E-2</v>
      </c>
      <c r="H99" t="s">
        <v>101</v>
      </c>
    </row>
    <row r="100" spans="2:8" x14ac:dyDescent="0.3">
      <c r="D100" s="43">
        <f>D99*C16</f>
        <v>161.99358974358975</v>
      </c>
      <c r="E100" t="s">
        <v>102</v>
      </c>
      <c r="G100" s="43">
        <f>G99*C16</f>
        <v>121.64748201438849</v>
      </c>
      <c r="H100" t="s">
        <v>102</v>
      </c>
    </row>
    <row r="103" spans="2:8" ht="20.399999999999999" thickBot="1" x14ac:dyDescent="0.45">
      <c r="B103" s="49" t="s">
        <v>105</v>
      </c>
      <c r="C103" s="48"/>
      <c r="D103" s="48"/>
      <c r="E103" s="48"/>
      <c r="F103" s="48"/>
      <c r="G103" s="48"/>
    </row>
    <row r="104" spans="2:8" ht="16.8" thickTop="1" thickBot="1" x14ac:dyDescent="0.35">
      <c r="B104" s="9"/>
      <c r="C104" s="75" t="s">
        <v>31</v>
      </c>
      <c r="D104" s="75"/>
      <c r="F104" s="75" t="s">
        <v>42</v>
      </c>
      <c r="G104" s="75"/>
    </row>
    <row r="105" spans="2:8" x14ac:dyDescent="0.3">
      <c r="B105" s="9" t="s">
        <v>12</v>
      </c>
      <c r="C105" s="9">
        <f>C16</f>
        <v>1665</v>
      </c>
      <c r="D105" s="44"/>
      <c r="F105" s="9">
        <f>C16</f>
        <v>1665</v>
      </c>
      <c r="G105" s="44"/>
    </row>
    <row r="106" spans="2:8" x14ac:dyDescent="0.3">
      <c r="B106" s="9" t="s">
        <v>106</v>
      </c>
      <c r="C106" s="9"/>
      <c r="D106" s="45">
        <f t="shared" ref="D106:D112" si="15">C106/C$105</f>
        <v>0</v>
      </c>
      <c r="F106" s="9"/>
      <c r="G106" s="45">
        <f t="shared" ref="G106:G112" si="16">F106/F$105</f>
        <v>0</v>
      </c>
    </row>
    <row r="107" spans="2:8" x14ac:dyDescent="0.3">
      <c r="B107" s="9" t="s">
        <v>76</v>
      </c>
      <c r="C107" s="9"/>
      <c r="D107" s="45">
        <f t="shared" si="15"/>
        <v>0</v>
      </c>
      <c r="F107" s="9"/>
      <c r="G107" s="45">
        <f t="shared" si="16"/>
        <v>0</v>
      </c>
    </row>
    <row r="108" spans="2:8" x14ac:dyDescent="0.3">
      <c r="B108" s="9" t="s">
        <v>81</v>
      </c>
      <c r="C108" s="9"/>
      <c r="D108" s="45">
        <f t="shared" si="15"/>
        <v>0</v>
      </c>
      <c r="F108" s="9"/>
      <c r="G108" s="45">
        <f t="shared" si="16"/>
        <v>0</v>
      </c>
    </row>
    <row r="109" spans="2:8" x14ac:dyDescent="0.3">
      <c r="B109" s="9" t="s">
        <v>107</v>
      </c>
      <c r="C109" s="9"/>
      <c r="D109" s="45">
        <f t="shared" si="15"/>
        <v>0</v>
      </c>
      <c r="F109" s="9"/>
      <c r="G109" s="45">
        <f t="shared" si="16"/>
        <v>0</v>
      </c>
    </row>
    <row r="110" spans="2:8" x14ac:dyDescent="0.3">
      <c r="B110" s="9" t="s">
        <v>111</v>
      </c>
      <c r="C110" s="9"/>
      <c r="D110" s="45">
        <f t="shared" si="15"/>
        <v>0</v>
      </c>
      <c r="F110" s="9"/>
      <c r="G110" s="45">
        <f t="shared" si="16"/>
        <v>0</v>
      </c>
    </row>
    <row r="111" spans="2:8" ht="16.2" thickBot="1" x14ac:dyDescent="0.35">
      <c r="B111" s="46" t="s">
        <v>213</v>
      </c>
      <c r="C111" s="46"/>
      <c r="D111" s="47">
        <f t="shared" si="15"/>
        <v>0</v>
      </c>
      <c r="F111" s="46"/>
      <c r="G111" s="47">
        <f t="shared" si="16"/>
        <v>0</v>
      </c>
    </row>
    <row r="112" spans="2:8" x14ac:dyDescent="0.3">
      <c r="B112" s="9" t="s">
        <v>108</v>
      </c>
      <c r="C112" s="9">
        <f>C105-C106-C107-C108-C109-C110-C111</f>
        <v>1665</v>
      </c>
      <c r="D112" s="45">
        <f t="shared" si="15"/>
        <v>1</v>
      </c>
      <c r="F112" s="9">
        <f>F105-F106-F107-F108-F109-F110-F111</f>
        <v>1665</v>
      </c>
      <c r="G112" s="45">
        <f t="shared" si="16"/>
        <v>1</v>
      </c>
    </row>
    <row r="113" spans="1:13" x14ac:dyDescent="0.3">
      <c r="B113" s="9"/>
      <c r="C113" s="9"/>
      <c r="D113" s="9"/>
      <c r="F113" s="9"/>
      <c r="G113" s="9"/>
    </row>
    <row r="114" spans="1:13" x14ac:dyDescent="0.3">
      <c r="B114" s="9"/>
      <c r="C114" s="9"/>
      <c r="D114" s="9"/>
      <c r="F114" s="9"/>
      <c r="G114" s="9"/>
    </row>
    <row r="115" spans="1:13" x14ac:dyDescent="0.3">
      <c r="B115" s="9" t="s">
        <v>109</v>
      </c>
      <c r="C115" s="9">
        <f>D31</f>
        <v>36270</v>
      </c>
      <c r="F115" s="9">
        <f>D37</f>
        <v>12510</v>
      </c>
    </row>
    <row r="116" spans="1:13" x14ac:dyDescent="0.3">
      <c r="B116" s="19" t="s">
        <v>110</v>
      </c>
      <c r="C116" s="9">
        <f>C115*D112</f>
        <v>36270</v>
      </c>
      <c r="F116" s="9">
        <f>F115*G112</f>
        <v>12510</v>
      </c>
      <c r="H116" s="19"/>
      <c r="I116" s="19"/>
    </row>
    <row r="121" spans="1:13" ht="20.399999999999999" thickBot="1" x14ac:dyDescent="0.45">
      <c r="A121" s="2" t="s">
        <v>103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ht="18.600000000000001" thickTop="1" thickBot="1" x14ac:dyDescent="0.4">
      <c r="A122" s="30" t="s">
        <v>112</v>
      </c>
      <c r="B122" s="30"/>
      <c r="C122" s="52"/>
      <c r="D122" s="52"/>
      <c r="E122" s="30"/>
      <c r="F122" s="30"/>
      <c r="G122" s="30"/>
      <c r="H122" s="30"/>
      <c r="I122" s="30"/>
      <c r="J122" s="30"/>
      <c r="K122" s="30"/>
      <c r="L122" s="30"/>
      <c r="M122" s="30"/>
    </row>
    <row r="123" spans="1:13" ht="16.8" thickTop="1" thickBot="1" x14ac:dyDescent="0.35">
      <c r="B123" s="9"/>
      <c r="C123" s="75" t="s">
        <v>31</v>
      </c>
      <c r="D123" s="75"/>
      <c r="F123" s="75" t="s">
        <v>42</v>
      </c>
      <c r="G123" s="75"/>
    </row>
    <row r="124" spans="1:13" x14ac:dyDescent="0.3">
      <c r="B124" s="9" t="s">
        <v>113</v>
      </c>
      <c r="C124" s="9">
        <f>L8</f>
        <v>0</v>
      </c>
      <c r="D124" s="9" t="s">
        <v>118</v>
      </c>
      <c r="F124" s="9">
        <f>L9</f>
        <v>0</v>
      </c>
      <c r="G124" s="9" t="s">
        <v>118</v>
      </c>
    </row>
    <row r="125" spans="1:13" x14ac:dyDescent="0.3">
      <c r="B125" s="9" t="s">
        <v>114</v>
      </c>
      <c r="C125" s="9">
        <f>C112</f>
        <v>1665</v>
      </c>
      <c r="D125" s="9" t="s">
        <v>29</v>
      </c>
      <c r="F125" s="9">
        <f>F112</f>
        <v>1665</v>
      </c>
      <c r="G125" s="9" t="s">
        <v>29</v>
      </c>
    </row>
    <row r="126" spans="1:13" x14ac:dyDescent="0.3">
      <c r="B126" s="9" t="s">
        <v>115</v>
      </c>
      <c r="C126" s="9">
        <f>ROUND(C124/C125,3)</f>
        <v>0</v>
      </c>
      <c r="D126" s="9" t="s">
        <v>127</v>
      </c>
      <c r="F126" s="9">
        <f>ROUND(F124/F125,3)</f>
        <v>0</v>
      </c>
      <c r="G126" s="9" t="s">
        <v>127</v>
      </c>
    </row>
    <row r="127" spans="1:13" x14ac:dyDescent="0.3">
      <c r="A127" s="9"/>
      <c r="B127" s="9"/>
      <c r="C127" s="9"/>
      <c r="D127" s="9"/>
      <c r="E127" s="9"/>
    </row>
    <row r="128" spans="1:13" x14ac:dyDescent="0.3">
      <c r="A128" s="9"/>
      <c r="B128" s="9"/>
      <c r="C128" s="9"/>
      <c r="D128" s="9"/>
      <c r="E128" s="9"/>
    </row>
    <row r="129" spans="1:13" ht="18" thickBot="1" x14ac:dyDescent="0.4">
      <c r="A129" s="30" t="s">
        <v>104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</row>
    <row r="130" spans="1:13" ht="16.8" thickTop="1" thickBot="1" x14ac:dyDescent="0.35">
      <c r="A130" s="31" t="s">
        <v>116</v>
      </c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</row>
    <row r="131" spans="1:13" ht="16.2" thickBot="1" x14ac:dyDescent="0.35">
      <c r="A131" s="9"/>
      <c r="B131" s="9"/>
      <c r="C131" s="75" t="s">
        <v>31</v>
      </c>
      <c r="D131" s="75"/>
      <c r="E131" s="9"/>
      <c r="F131" s="75" t="s">
        <v>42</v>
      </c>
      <c r="G131" s="75"/>
      <c r="H131" s="9"/>
      <c r="I131" s="9"/>
      <c r="J131" s="9"/>
      <c r="K131" s="9"/>
      <c r="L131" s="9"/>
      <c r="M131" s="9"/>
    </row>
    <row r="132" spans="1:13" x14ac:dyDescent="0.3">
      <c r="A132" s="9"/>
      <c r="B132" s="9" t="s">
        <v>117</v>
      </c>
      <c r="C132" s="14"/>
      <c r="D132" s="9" t="s">
        <v>118</v>
      </c>
      <c r="E132" s="9"/>
      <c r="F132" s="14"/>
      <c r="G132" s="9" t="s">
        <v>118</v>
      </c>
      <c r="H132" s="9"/>
      <c r="I132" s="9"/>
      <c r="J132" s="9"/>
      <c r="K132" s="9"/>
      <c r="L132" s="9"/>
      <c r="M132" s="9"/>
    </row>
    <row r="133" spans="1:13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13" ht="16.2" thickBot="1" x14ac:dyDescent="0.35">
      <c r="A134" s="9"/>
      <c r="B134" s="31" t="s">
        <v>119</v>
      </c>
      <c r="C134" s="75" t="s">
        <v>31</v>
      </c>
      <c r="D134" s="75"/>
      <c r="E134" s="51"/>
      <c r="F134" s="75" t="s">
        <v>42</v>
      </c>
      <c r="G134" s="75"/>
    </row>
    <row r="135" spans="1:13" x14ac:dyDescent="0.3">
      <c r="A135" s="9"/>
      <c r="B135" s="9" t="s">
        <v>120</v>
      </c>
      <c r="C135" s="9"/>
      <c r="D135" s="9" t="s">
        <v>128</v>
      </c>
      <c r="E135" s="9"/>
      <c r="F135" s="9"/>
      <c r="G135" s="9" t="s">
        <v>128</v>
      </c>
    </row>
    <row r="136" spans="1:13" x14ac:dyDescent="0.3">
      <c r="A136" s="9"/>
      <c r="B136" s="9" t="s">
        <v>126</v>
      </c>
      <c r="C136" s="53"/>
      <c r="D136" s="53" t="s">
        <v>29</v>
      </c>
      <c r="E136" s="53"/>
      <c r="F136" s="53"/>
      <c r="G136" s="17" t="s">
        <v>29</v>
      </c>
    </row>
    <row r="137" spans="1:13" x14ac:dyDescent="0.3">
      <c r="A137" s="9"/>
      <c r="B137" s="9" t="s">
        <v>121</v>
      </c>
      <c r="C137" s="50" t="e">
        <f>C135/C136</f>
        <v>#DIV/0!</v>
      </c>
      <c r="D137" s="9"/>
      <c r="E137" s="9"/>
      <c r="F137" s="17" t="e">
        <f>F135/F136</f>
        <v>#DIV/0!</v>
      </c>
      <c r="G137" s="9"/>
    </row>
    <row r="138" spans="1:13" x14ac:dyDescent="0.3">
      <c r="A138" s="9"/>
      <c r="B138" s="9"/>
      <c r="C138" s="50"/>
      <c r="D138" s="9"/>
      <c r="E138" s="9"/>
      <c r="F138" s="17"/>
      <c r="G138" s="9"/>
    </row>
    <row r="139" spans="1:13" x14ac:dyDescent="0.3">
      <c r="A139" s="9"/>
      <c r="B139" s="9" t="s">
        <v>135</v>
      </c>
      <c r="C139" s="55" t="e">
        <f>C132*C137</f>
        <v>#DIV/0!</v>
      </c>
      <c r="D139" s="9" t="s">
        <v>127</v>
      </c>
      <c r="E139" s="9"/>
      <c r="F139" s="29" t="e">
        <f>F132*F137</f>
        <v>#DIV/0!</v>
      </c>
      <c r="G139" s="9" t="s">
        <v>127</v>
      </c>
      <c r="H139" s="17"/>
      <c r="I139" s="9"/>
      <c r="J139" s="9"/>
      <c r="K139" s="9"/>
      <c r="L139" s="9"/>
      <c r="M139" s="9"/>
    </row>
    <row r="141" spans="1:13" ht="16.2" thickBot="1" x14ac:dyDescent="0.35">
      <c r="A141" s="31" t="s">
        <v>122</v>
      </c>
      <c r="B141" s="31"/>
      <c r="C141" s="75" t="s">
        <v>31</v>
      </c>
      <c r="D141" s="75"/>
      <c r="E141" s="9"/>
      <c r="F141" s="75" t="s">
        <v>42</v>
      </c>
      <c r="G141" s="75"/>
      <c r="H141" s="31"/>
      <c r="I141" s="75" t="s">
        <v>51</v>
      </c>
      <c r="J141" s="75"/>
      <c r="K141" s="31"/>
      <c r="L141" s="31"/>
      <c r="M141" s="31"/>
    </row>
    <row r="142" spans="1:13" x14ac:dyDescent="0.3">
      <c r="A142" s="9"/>
      <c r="B142" s="9" t="s">
        <v>123</v>
      </c>
      <c r="C142" s="14">
        <v>0.33</v>
      </c>
      <c r="D142" s="9" t="s">
        <v>124</v>
      </c>
      <c r="E142" s="9"/>
      <c r="F142" s="14">
        <v>0.33</v>
      </c>
      <c r="G142" s="9" t="s">
        <v>124</v>
      </c>
      <c r="H142" s="9"/>
      <c r="I142" s="9"/>
      <c r="J142" s="9"/>
      <c r="K142" s="9"/>
      <c r="L142" s="9"/>
      <c r="M142" s="9"/>
    </row>
    <row r="143" spans="1:13" x14ac:dyDescent="0.3">
      <c r="A143" s="9"/>
      <c r="B143" s="9" t="s">
        <v>130</v>
      </c>
      <c r="C143" s="9">
        <f>M46</f>
        <v>29226.1</v>
      </c>
      <c r="D143" s="9" t="s">
        <v>126</v>
      </c>
      <c r="E143" s="9"/>
      <c r="F143" s="9">
        <f>M53</f>
        <v>12997.05</v>
      </c>
      <c r="G143" s="9" t="s">
        <v>126</v>
      </c>
      <c r="H143" s="9"/>
      <c r="I143" s="9">
        <f>+F143+C143</f>
        <v>42223.149999999994</v>
      </c>
      <c r="J143" s="9" t="s">
        <v>126</v>
      </c>
      <c r="K143" s="9"/>
      <c r="L143" s="9"/>
      <c r="M143" s="9"/>
    </row>
    <row r="144" spans="1:13" x14ac:dyDescent="0.3">
      <c r="A144" s="9"/>
      <c r="B144" s="9" t="s">
        <v>132</v>
      </c>
      <c r="C144" s="9"/>
      <c r="D144" s="9"/>
      <c r="E144" s="9"/>
      <c r="F144" s="9"/>
      <c r="G144" s="9"/>
      <c r="H144" s="9"/>
      <c r="I144" s="24">
        <v>40022</v>
      </c>
      <c r="J144" s="9" t="s">
        <v>131</v>
      </c>
      <c r="K144" s="9"/>
      <c r="L144" s="9"/>
      <c r="M144" s="9"/>
    </row>
    <row r="145" spans="1:13" x14ac:dyDescent="0.3">
      <c r="A145" s="9"/>
      <c r="B145" s="9" t="s">
        <v>133</v>
      </c>
      <c r="C145" s="9"/>
      <c r="D145" s="9"/>
      <c r="E145" s="9"/>
      <c r="F145" s="9"/>
      <c r="G145" s="9"/>
      <c r="H145" s="9"/>
      <c r="I145" s="54">
        <f>I144/I143</f>
        <v>0.94786864551792094</v>
      </c>
      <c r="J145" s="9" t="s">
        <v>199</v>
      </c>
      <c r="K145" s="9"/>
      <c r="L145" s="9"/>
      <c r="M145" s="9"/>
    </row>
    <row r="146" spans="1:13" x14ac:dyDescent="0.3">
      <c r="B146" s="19" t="s">
        <v>125</v>
      </c>
      <c r="C146" s="55">
        <f>C142*I145</f>
        <v>0.31279665302091392</v>
      </c>
      <c r="D146" t="s">
        <v>127</v>
      </c>
      <c r="F146" s="55">
        <f>F142*I145</f>
        <v>0.31279665302091392</v>
      </c>
      <c r="G146" t="s">
        <v>127</v>
      </c>
    </row>
    <row r="147" spans="1:13" x14ac:dyDescent="0.3">
      <c r="B147" s="19"/>
      <c r="C147" s="55"/>
      <c r="F147" s="55"/>
    </row>
    <row r="149" spans="1:13" ht="19.8" x14ac:dyDescent="0.4">
      <c r="B149" s="58" t="s">
        <v>103</v>
      </c>
      <c r="C149" s="58"/>
      <c r="D149" s="58"/>
      <c r="E149" s="58"/>
      <c r="F149" s="58"/>
      <c r="G149" s="58"/>
    </row>
    <row r="150" spans="1:13" ht="16.8" thickTop="1" thickBot="1" x14ac:dyDescent="0.35">
      <c r="B150" s="9"/>
      <c r="C150" s="75" t="s">
        <v>31</v>
      </c>
      <c r="D150" s="75"/>
      <c r="F150" s="75" t="s">
        <v>42</v>
      </c>
      <c r="G150" s="75"/>
    </row>
    <row r="151" spans="1:13" x14ac:dyDescent="0.3">
      <c r="B151" s="9" t="s">
        <v>115</v>
      </c>
      <c r="C151" s="29">
        <f>C126</f>
        <v>0</v>
      </c>
      <c r="D151" s="44"/>
      <c r="F151" s="29">
        <f>F126</f>
        <v>0</v>
      </c>
      <c r="G151" s="44"/>
    </row>
    <row r="152" spans="1:13" x14ac:dyDescent="0.3">
      <c r="B152" t="s">
        <v>134</v>
      </c>
      <c r="C152" s="55" t="e">
        <f>C139</f>
        <v>#DIV/0!</v>
      </c>
      <c r="F152" s="56" t="e">
        <f>F139</f>
        <v>#DIV/0!</v>
      </c>
    </row>
    <row r="153" spans="1:13" x14ac:dyDescent="0.3">
      <c r="B153" t="s">
        <v>136</v>
      </c>
      <c r="C153" s="57">
        <f>C146</f>
        <v>0.31279665302091392</v>
      </c>
      <c r="F153" s="68">
        <f>F146</f>
        <v>0.31279665302091392</v>
      </c>
    </row>
    <row r="154" spans="1:13" x14ac:dyDescent="0.3">
      <c r="B154" s="41" t="s">
        <v>137</v>
      </c>
      <c r="C154" s="19" t="e">
        <f>SUM(C151:C153)</f>
        <v>#DIV/0!</v>
      </c>
      <c r="D154" t="s">
        <v>138</v>
      </c>
      <c r="F154" s="19" t="e">
        <f>SUM(F151:F153)</f>
        <v>#DIV/0!</v>
      </c>
      <c r="G154" t="s">
        <v>138</v>
      </c>
    </row>
    <row r="158" spans="1:13" ht="20.399999999999999" thickBot="1" x14ac:dyDescent="0.45">
      <c r="A158" s="8" t="s">
        <v>145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ht="16.8" thickTop="1" thickBot="1" x14ac:dyDescent="0.35">
      <c r="A159" s="9"/>
      <c r="B159" s="9"/>
      <c r="C159" s="75" t="s">
        <v>176</v>
      </c>
      <c r="D159" s="75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3">
      <c r="A160" s="9"/>
      <c r="B160" s="9" t="s">
        <v>202</v>
      </c>
      <c r="C160" s="14"/>
      <c r="D160" s="9" t="s">
        <v>146</v>
      </c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3">
      <c r="A161" s="9"/>
      <c r="B161" s="9" t="s">
        <v>147</v>
      </c>
      <c r="C161" s="14"/>
      <c r="D161" s="9" t="s">
        <v>146</v>
      </c>
      <c r="E161" s="9"/>
      <c r="F161" s="9"/>
      <c r="G161" s="9"/>
      <c r="H161" s="9"/>
      <c r="I161" s="9"/>
      <c r="J161" s="9"/>
      <c r="K161" s="9"/>
      <c r="L161" s="9"/>
      <c r="M161" s="9"/>
    </row>
    <row r="162" spans="1:13" x14ac:dyDescent="0.3">
      <c r="A162" s="9"/>
      <c r="B162" s="9" t="s">
        <v>148</v>
      </c>
      <c r="C162" s="14"/>
      <c r="D162" s="9" t="s">
        <v>146</v>
      </c>
      <c r="E162" s="9"/>
      <c r="F162" s="9"/>
      <c r="G162" s="9"/>
      <c r="H162" s="9"/>
      <c r="I162" s="9"/>
      <c r="J162" s="9"/>
      <c r="K162" s="9"/>
      <c r="L162" s="9"/>
      <c r="M162" s="9"/>
    </row>
    <row r="163" spans="1:13" x14ac:dyDescent="0.3">
      <c r="A163" s="9"/>
      <c r="B163" s="9" t="s">
        <v>149</v>
      </c>
      <c r="C163" s="14"/>
      <c r="D163" s="9" t="s">
        <v>146</v>
      </c>
      <c r="E163" s="9"/>
      <c r="F163" s="9"/>
      <c r="G163" s="9"/>
      <c r="H163" s="9"/>
      <c r="I163" s="9"/>
      <c r="J163" s="9"/>
      <c r="K163" s="9"/>
      <c r="L163" s="9"/>
      <c r="M163" s="9"/>
    </row>
    <row r="164" spans="1:13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13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13" ht="18" thickBot="1" x14ac:dyDescent="0.4">
      <c r="A166" s="30" t="s">
        <v>150</v>
      </c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</row>
    <row r="167" spans="1:13" ht="16.2" thickTop="1" x14ac:dyDescent="0.3">
      <c r="A167" s="9"/>
      <c r="B167" s="9" t="s">
        <v>151</v>
      </c>
      <c r="C167" s="9">
        <f>L8/C16</f>
        <v>0</v>
      </c>
      <c r="D167" s="9" t="s">
        <v>127</v>
      </c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3">
      <c r="A168" s="9"/>
      <c r="B168" s="9" t="s">
        <v>152</v>
      </c>
      <c r="C168" s="14">
        <v>3</v>
      </c>
      <c r="D168" s="9" t="s">
        <v>153</v>
      </c>
      <c r="E168" s="9"/>
      <c r="F168" s="9"/>
      <c r="G168" s="9"/>
      <c r="H168" s="9"/>
      <c r="I168" s="9"/>
      <c r="J168" s="9"/>
      <c r="K168" s="9"/>
      <c r="L168" s="9"/>
      <c r="M168" s="9"/>
    </row>
    <row r="169" spans="1:13" x14ac:dyDescent="0.3">
      <c r="A169" s="9"/>
      <c r="B169" s="9" t="s">
        <v>154</v>
      </c>
      <c r="C169" s="14">
        <v>25</v>
      </c>
      <c r="D169" s="9" t="s">
        <v>29</v>
      </c>
      <c r="E169" s="9"/>
      <c r="F169" s="9"/>
      <c r="G169" s="9"/>
      <c r="H169" s="9"/>
      <c r="I169" s="9"/>
      <c r="J169" s="9"/>
      <c r="K169" s="9"/>
      <c r="L169" s="9"/>
      <c r="M169" s="9"/>
    </row>
    <row r="170" spans="1:13" x14ac:dyDescent="0.3">
      <c r="A170" s="9"/>
      <c r="B170" s="9" t="s">
        <v>155</v>
      </c>
      <c r="C170" s="9">
        <f>+C168*C169*C167*12</f>
        <v>0</v>
      </c>
      <c r="D170" s="9" t="s">
        <v>118</v>
      </c>
      <c r="E170" s="9"/>
      <c r="F170" s="9"/>
      <c r="G170" s="9"/>
      <c r="H170" s="9"/>
      <c r="I170" s="9"/>
      <c r="J170" s="9"/>
      <c r="K170" s="9"/>
      <c r="L170" s="9"/>
      <c r="M170" s="9"/>
    </row>
    <row r="171" spans="1:13" x14ac:dyDescent="0.3">
      <c r="A171" s="9"/>
      <c r="B171" s="9" t="s">
        <v>156</v>
      </c>
      <c r="C171" s="9">
        <f>C39</f>
        <v>0</v>
      </c>
      <c r="D171" s="9" t="s">
        <v>153</v>
      </c>
      <c r="E171" s="9"/>
      <c r="F171" s="9"/>
      <c r="G171" s="9"/>
      <c r="H171" s="9"/>
      <c r="I171" s="9"/>
      <c r="J171" s="9"/>
      <c r="K171" s="9"/>
      <c r="L171" s="9"/>
      <c r="M171" s="9"/>
    </row>
    <row r="172" spans="1:13" x14ac:dyDescent="0.3">
      <c r="A172" s="9"/>
      <c r="B172" s="9" t="s">
        <v>157</v>
      </c>
      <c r="C172" s="9" t="e">
        <f>+C170/C171</f>
        <v>#DIV/0!</v>
      </c>
      <c r="D172" s="9" t="s">
        <v>118</v>
      </c>
      <c r="E172" s="9"/>
      <c r="F172" s="9"/>
      <c r="G172" s="9"/>
      <c r="H172" s="9"/>
      <c r="I172" s="9"/>
      <c r="J172" s="9"/>
      <c r="K172" s="9"/>
      <c r="L172" s="9"/>
      <c r="M172" s="9"/>
    </row>
    <row r="173" spans="1:13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13" x14ac:dyDescent="0.3">
      <c r="A174" s="9"/>
      <c r="B174" s="9" t="s">
        <v>158</v>
      </c>
      <c r="C174" s="9"/>
      <c r="D174" s="9"/>
      <c r="E174" s="9"/>
      <c r="F174" s="9" t="s">
        <v>159</v>
      </c>
      <c r="G174" s="9"/>
      <c r="H174" s="9"/>
      <c r="I174" s="9"/>
      <c r="J174" s="9"/>
      <c r="K174" s="9"/>
      <c r="L174" s="9"/>
      <c r="M174" s="9"/>
    </row>
    <row r="175" spans="1:13" x14ac:dyDescent="0.3">
      <c r="A175" s="9"/>
      <c r="B175" s="9" t="s">
        <v>160</v>
      </c>
      <c r="C175" s="9"/>
      <c r="D175" s="9"/>
      <c r="E175" s="9"/>
      <c r="F175" s="9" t="s">
        <v>161</v>
      </c>
      <c r="G175" s="9"/>
      <c r="H175" s="9"/>
      <c r="I175" s="9"/>
      <c r="J175" s="9"/>
      <c r="K175" s="9"/>
      <c r="L175" s="9"/>
      <c r="M175" s="9"/>
    </row>
    <row r="176" spans="1:13" x14ac:dyDescent="0.3">
      <c r="A176" s="9"/>
      <c r="B176" s="9" t="s">
        <v>162</v>
      </c>
      <c r="C176" s="9"/>
      <c r="D176" s="9"/>
      <c r="E176" s="9"/>
      <c r="F176" s="9" t="s">
        <v>163</v>
      </c>
      <c r="G176" s="9"/>
      <c r="H176" s="9"/>
      <c r="I176" s="9"/>
      <c r="J176" s="9"/>
      <c r="K176" s="9"/>
      <c r="L176" s="9"/>
      <c r="M176" s="9"/>
    </row>
    <row r="177" spans="1:13" x14ac:dyDescent="0.3">
      <c r="A177" s="9"/>
      <c r="B177" s="9" t="s">
        <v>164</v>
      </c>
      <c r="C177" s="9"/>
      <c r="D177" s="9"/>
      <c r="E177" s="9"/>
      <c r="F177" s="9" t="s">
        <v>165</v>
      </c>
      <c r="G177" s="9"/>
      <c r="H177" s="9"/>
      <c r="I177" s="9"/>
      <c r="J177" s="9"/>
      <c r="K177" s="9"/>
      <c r="L177" s="9"/>
      <c r="M177" s="9"/>
    </row>
    <row r="178" spans="1:13" x14ac:dyDescent="0.3">
      <c r="A178" s="9"/>
      <c r="B178" s="9" t="s">
        <v>166</v>
      </c>
      <c r="C178" s="9"/>
      <c r="D178" s="9"/>
      <c r="E178" s="9"/>
      <c r="F178" s="9" t="s">
        <v>167</v>
      </c>
      <c r="G178" s="9"/>
      <c r="H178" s="9"/>
      <c r="I178" s="9"/>
      <c r="J178" s="9"/>
      <c r="K178" s="9"/>
      <c r="L178" s="9"/>
      <c r="M178" s="9"/>
    </row>
    <row r="179" spans="1:13" x14ac:dyDescent="0.3">
      <c r="A179" s="9"/>
      <c r="B179" s="9" t="s">
        <v>168</v>
      </c>
      <c r="C179" s="9"/>
      <c r="D179" s="9"/>
      <c r="E179" s="9"/>
      <c r="F179" s="9" t="s">
        <v>169</v>
      </c>
      <c r="G179" s="9"/>
      <c r="H179" s="9"/>
      <c r="I179" s="9"/>
      <c r="J179" s="9"/>
      <c r="K179" s="9"/>
      <c r="L179" s="9"/>
      <c r="M179" s="9"/>
    </row>
    <row r="180" spans="1:13" x14ac:dyDescent="0.3">
      <c r="A180" s="9"/>
      <c r="B180" s="9" t="s">
        <v>170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1:13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13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13" ht="18" thickBot="1" x14ac:dyDescent="0.4">
      <c r="A183" s="30" t="s">
        <v>171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</row>
    <row r="184" spans="1:13" ht="16.2" thickTop="1" x14ac:dyDescent="0.3">
      <c r="A184" s="9"/>
      <c r="B184" s="9" t="s">
        <v>172</v>
      </c>
      <c r="C184" s="9">
        <f>L6</f>
        <v>0</v>
      </c>
      <c r="D184" s="9" t="s">
        <v>118</v>
      </c>
      <c r="E184" s="9"/>
      <c r="F184" s="9"/>
      <c r="G184" s="9"/>
      <c r="H184" s="9"/>
      <c r="I184" s="9"/>
      <c r="J184" s="9"/>
      <c r="K184" s="9"/>
      <c r="L184" s="9"/>
      <c r="M184" s="9"/>
    </row>
    <row r="185" spans="1:13" x14ac:dyDescent="0.3">
      <c r="A185" s="9"/>
      <c r="B185" s="9" t="s">
        <v>200</v>
      </c>
      <c r="C185" s="14">
        <v>1</v>
      </c>
      <c r="D185" s="9" t="s">
        <v>201</v>
      </c>
      <c r="E185" s="9"/>
      <c r="F185" s="9"/>
      <c r="G185" s="9"/>
      <c r="H185" s="9"/>
      <c r="I185" s="9"/>
      <c r="J185" s="9"/>
      <c r="K185" s="9"/>
      <c r="L185" s="9"/>
      <c r="M185" s="9"/>
    </row>
    <row r="186" spans="1:13" x14ac:dyDescent="0.3">
      <c r="A186" s="9"/>
      <c r="B186" s="9" t="s">
        <v>178</v>
      </c>
      <c r="C186" s="9">
        <f>+C184*C185</f>
        <v>0</v>
      </c>
      <c r="D186" s="9"/>
      <c r="E186" s="9"/>
      <c r="F186" s="16"/>
      <c r="G186" s="9"/>
      <c r="H186" s="9"/>
      <c r="I186" s="9"/>
      <c r="J186" s="9"/>
      <c r="K186" s="9"/>
      <c r="L186" s="9"/>
      <c r="M186" s="9"/>
    </row>
    <row r="187" spans="1:13" x14ac:dyDescent="0.3">
      <c r="A187" s="9"/>
      <c r="B187" s="9" t="s">
        <v>129</v>
      </c>
      <c r="C187" s="14"/>
      <c r="D187" s="9" t="s">
        <v>118</v>
      </c>
      <c r="E187" s="9"/>
      <c r="F187" s="16"/>
      <c r="G187" s="9"/>
      <c r="H187" s="9"/>
      <c r="I187" s="9"/>
      <c r="J187" s="9"/>
      <c r="K187" s="9"/>
      <c r="L187" s="9"/>
      <c r="M187" s="9"/>
    </row>
    <row r="188" spans="1:13" x14ac:dyDescent="0.3">
      <c r="A188" s="9"/>
      <c r="B188" s="15" t="s">
        <v>179</v>
      </c>
      <c r="C188" s="9">
        <f>+C187+C186</f>
        <v>0</v>
      </c>
      <c r="D188" s="9" t="s">
        <v>118</v>
      </c>
      <c r="E188" s="9"/>
      <c r="F188" s="9"/>
      <c r="G188" s="9"/>
      <c r="H188" s="9"/>
      <c r="I188" s="9"/>
      <c r="J188" s="9"/>
      <c r="K188" s="9"/>
      <c r="L188" s="9"/>
      <c r="M188" s="9"/>
    </row>
    <row r="189" spans="1:13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spans="1:13" ht="18" thickBot="1" x14ac:dyDescent="0.4">
      <c r="A190" s="30" t="s">
        <v>173</v>
      </c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</row>
    <row r="191" spans="1:13" ht="16.2" thickTop="1" x14ac:dyDescent="0.3">
      <c r="A191" s="9"/>
      <c r="B191" s="9" t="s">
        <v>172</v>
      </c>
      <c r="C191" s="9">
        <f>L7</f>
        <v>0</v>
      </c>
      <c r="D191" s="9" t="s">
        <v>118</v>
      </c>
      <c r="E191" s="9"/>
      <c r="F191" s="9"/>
      <c r="G191" s="9"/>
      <c r="H191" s="9"/>
      <c r="I191" s="9"/>
      <c r="J191" s="9"/>
      <c r="K191" s="9"/>
      <c r="L191" s="9"/>
      <c r="M191" s="9"/>
    </row>
    <row r="192" spans="1:13" x14ac:dyDescent="0.3">
      <c r="A192" s="9"/>
      <c r="B192" s="9" t="s">
        <v>200</v>
      </c>
      <c r="C192" s="14">
        <v>1</v>
      </c>
      <c r="D192" s="9" t="s">
        <v>201</v>
      </c>
      <c r="E192" s="9"/>
      <c r="F192" s="9"/>
      <c r="G192" s="9"/>
      <c r="H192" s="9"/>
      <c r="I192" s="9"/>
      <c r="J192" s="9"/>
      <c r="K192" s="9"/>
      <c r="L192" s="9"/>
      <c r="M192" s="9"/>
    </row>
    <row r="193" spans="1:13" x14ac:dyDescent="0.3">
      <c r="A193" s="9"/>
      <c r="B193" s="9" t="s">
        <v>178</v>
      </c>
      <c r="C193" s="9">
        <f>+C191*C192</f>
        <v>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13" x14ac:dyDescent="0.3">
      <c r="A194" s="9"/>
      <c r="B194" s="9" t="s">
        <v>129</v>
      </c>
      <c r="C194" s="14"/>
      <c r="D194" s="9" t="s">
        <v>118</v>
      </c>
      <c r="E194" s="9"/>
      <c r="F194" s="9"/>
      <c r="G194" s="9"/>
      <c r="H194" s="9"/>
      <c r="I194" s="9"/>
      <c r="J194" s="9"/>
      <c r="K194" s="9"/>
      <c r="L194" s="9"/>
      <c r="M194" s="9"/>
    </row>
    <row r="195" spans="1:13" x14ac:dyDescent="0.3">
      <c r="A195" s="9"/>
      <c r="B195" s="15" t="s">
        <v>180</v>
      </c>
      <c r="C195" s="9">
        <f>+C194+C193</f>
        <v>0</v>
      </c>
      <c r="D195" s="9" t="s">
        <v>118</v>
      </c>
      <c r="E195" s="9"/>
      <c r="F195" s="9"/>
      <c r="G195" s="9"/>
      <c r="H195" s="9"/>
      <c r="I195" s="9"/>
      <c r="J195" s="9"/>
      <c r="K195" s="9"/>
      <c r="L195" s="9"/>
      <c r="M195" s="9"/>
    </row>
    <row r="196" spans="1:13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13" ht="18" thickBot="1" x14ac:dyDescent="0.4">
      <c r="A197" s="30" t="s">
        <v>174</v>
      </c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</row>
    <row r="198" spans="1:13" ht="16.2" thickTop="1" x14ac:dyDescent="0.3">
      <c r="A198" s="9"/>
      <c r="B198" s="9" t="s">
        <v>175</v>
      </c>
      <c r="C198" s="14"/>
      <c r="D198" s="9" t="s">
        <v>118</v>
      </c>
      <c r="E198" s="9"/>
      <c r="F198" s="9"/>
      <c r="G198" s="9"/>
      <c r="H198" s="9"/>
      <c r="I198" s="9"/>
      <c r="J198" s="9"/>
      <c r="K198" s="9"/>
      <c r="L198" s="9"/>
      <c r="M198" s="9"/>
    </row>
    <row r="199" spans="1:13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ht="18" thickBot="1" x14ac:dyDescent="0.4">
      <c r="A200" s="30" t="s">
        <v>203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</row>
    <row r="201" spans="1:13" ht="16.2" thickTop="1" x14ac:dyDescent="0.3">
      <c r="A201" s="9"/>
      <c r="B201" s="9" t="s">
        <v>204</v>
      </c>
      <c r="C201" s="14">
        <v>0</v>
      </c>
      <c r="D201" s="9" t="s">
        <v>118</v>
      </c>
      <c r="E201" s="9"/>
      <c r="F201" s="9"/>
      <c r="G201" s="9"/>
      <c r="H201" s="9"/>
      <c r="I201" s="9"/>
      <c r="J201" s="9"/>
      <c r="K201" s="9"/>
      <c r="L201" s="9"/>
      <c r="M201" s="9"/>
    </row>
    <row r="202" spans="1:13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13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13" ht="20.399999999999999" thickBot="1" x14ac:dyDescent="0.45">
      <c r="B204" s="48" t="s">
        <v>139</v>
      </c>
      <c r="C204" s="48"/>
      <c r="D204" s="48"/>
      <c r="E204" s="48"/>
      <c r="F204" s="48"/>
    </row>
    <row r="205" spans="1:13" ht="18.600000000000001" thickTop="1" thickBot="1" x14ac:dyDescent="0.4">
      <c r="B205" s="9"/>
      <c r="C205" s="77" t="s">
        <v>140</v>
      </c>
      <c r="D205" s="77"/>
    </row>
    <row r="206" spans="1:13" ht="16.2" thickTop="1" x14ac:dyDescent="0.3">
      <c r="B206" s="9" t="str">
        <f>B160</f>
        <v>Roba de treball / EPIS</v>
      </c>
      <c r="C206" s="9">
        <f>C160*C39</f>
        <v>0</v>
      </c>
      <c r="D206" s="9" t="s">
        <v>141</v>
      </c>
    </row>
    <row r="207" spans="1:13" x14ac:dyDescent="0.3">
      <c r="B207" s="9" t="str">
        <f>B161</f>
        <v>Telèfon mòbil i connexió a la xarxa</v>
      </c>
      <c r="C207" s="9">
        <f>C161*F207</f>
        <v>0</v>
      </c>
      <c r="D207" s="9" t="s">
        <v>141</v>
      </c>
      <c r="F207" s="66">
        <v>2</v>
      </c>
      <c r="G207" t="s">
        <v>153</v>
      </c>
    </row>
    <row r="208" spans="1:13" x14ac:dyDescent="0.3">
      <c r="B208" s="9" t="str">
        <f>B162</f>
        <v>Software de gestió persona</v>
      </c>
      <c r="C208" s="9">
        <f>C162*C39</f>
        <v>0</v>
      </c>
      <c r="D208" s="9" t="s">
        <v>141</v>
      </c>
    </row>
    <row r="209" spans="1:16" x14ac:dyDescent="0.3">
      <c r="B209" s="9" t="str">
        <f>B163</f>
        <v>Prevenció de riscos laborals</v>
      </c>
      <c r="C209" s="9">
        <f>C163*C39</f>
        <v>0</v>
      </c>
      <c r="D209" s="9" t="s">
        <v>141</v>
      </c>
    </row>
    <row r="210" spans="1:16" x14ac:dyDescent="0.3">
      <c r="B210" s="9" t="str">
        <f>B170</f>
        <v>Cost dels representants sindicals anuals</v>
      </c>
      <c r="C210" s="9">
        <f>C170</f>
        <v>0</v>
      </c>
      <c r="D210" s="9" t="s">
        <v>141</v>
      </c>
    </row>
    <row r="211" spans="1:16" x14ac:dyDescent="0.3">
      <c r="B211" s="9" t="str">
        <f>B188</f>
        <v>Cost total anual coordinació tècnica</v>
      </c>
      <c r="C211" s="9">
        <f>C188</f>
        <v>0</v>
      </c>
      <c r="D211" s="9" t="s">
        <v>141</v>
      </c>
    </row>
    <row r="212" spans="1:16" x14ac:dyDescent="0.3">
      <c r="B212" s="9" t="str">
        <f>B195</f>
        <v>Cost total anual coordinació de gestió</v>
      </c>
      <c r="C212" s="9">
        <f>C195</f>
        <v>0</v>
      </c>
      <c r="D212" s="9" t="s">
        <v>141</v>
      </c>
    </row>
    <row r="213" spans="1:16" x14ac:dyDescent="0.3">
      <c r="B213" s="9" t="str">
        <f>B198</f>
        <v>Cost anual del software</v>
      </c>
      <c r="C213" s="9">
        <f>C198</f>
        <v>0</v>
      </c>
      <c r="D213" s="9" t="s">
        <v>141</v>
      </c>
    </row>
    <row r="214" spans="1:16" x14ac:dyDescent="0.3">
      <c r="B214" s="59" t="str">
        <f>B201</f>
        <v>Cost anual de l'oficina</v>
      </c>
      <c r="C214" s="59">
        <f>C201</f>
        <v>0</v>
      </c>
      <c r="D214" s="9" t="s">
        <v>141</v>
      </c>
    </row>
    <row r="215" spans="1:16" x14ac:dyDescent="0.3">
      <c r="B215" s="60" t="s">
        <v>142</v>
      </c>
      <c r="C215" s="9">
        <f>SUM(C206:C214)</f>
        <v>0</v>
      </c>
      <c r="D215" s="9" t="s">
        <v>141</v>
      </c>
    </row>
    <row r="216" spans="1:16" x14ac:dyDescent="0.3">
      <c r="B216" s="59" t="s">
        <v>143</v>
      </c>
      <c r="C216" s="59">
        <f>L39</f>
        <v>52580</v>
      </c>
      <c r="D216" s="9" t="s">
        <v>141</v>
      </c>
    </row>
    <row r="217" spans="1:16" x14ac:dyDescent="0.3">
      <c r="B217" s="61" t="s">
        <v>144</v>
      </c>
      <c r="C217" s="9">
        <f>C215/C216</f>
        <v>0</v>
      </c>
      <c r="D217" s="9" t="s">
        <v>118</v>
      </c>
      <c r="E217" s="9"/>
      <c r="F217" s="9"/>
    </row>
    <row r="221" spans="1:16" ht="20.399999999999999" thickBot="1" x14ac:dyDescent="0.45">
      <c r="A221" s="2" t="s">
        <v>181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6" ht="16.2" thickTop="1" x14ac:dyDescent="0.3">
      <c r="B222" t="s">
        <v>183</v>
      </c>
      <c r="C222" s="66"/>
      <c r="D222" t="s">
        <v>207</v>
      </c>
      <c r="P222" t="s">
        <v>193</v>
      </c>
    </row>
    <row r="223" spans="1:16" x14ac:dyDescent="0.3">
      <c r="B223" t="s">
        <v>184</v>
      </c>
      <c r="C223" s="66"/>
      <c r="D223" t="s">
        <v>207</v>
      </c>
    </row>
    <row r="224" spans="1:16" x14ac:dyDescent="0.3">
      <c r="B224" t="s">
        <v>182</v>
      </c>
      <c r="C224" s="66"/>
      <c r="D224" t="s">
        <v>207</v>
      </c>
    </row>
    <row r="225" spans="2:16" x14ac:dyDescent="0.3">
      <c r="B225" t="s">
        <v>185</v>
      </c>
      <c r="C225" s="66"/>
      <c r="D225" t="s">
        <v>207</v>
      </c>
    </row>
    <row r="226" spans="2:16" x14ac:dyDescent="0.3">
      <c r="B226" s="62" t="s">
        <v>186</v>
      </c>
      <c r="C226" s="67"/>
      <c r="D226" t="s">
        <v>207</v>
      </c>
    </row>
    <row r="227" spans="2:16" x14ac:dyDescent="0.3">
      <c r="B227" s="41" t="s">
        <v>187</v>
      </c>
      <c r="C227">
        <f>SUM(C222:C226)</f>
        <v>0</v>
      </c>
      <c r="D227" t="s">
        <v>207</v>
      </c>
    </row>
    <row r="228" spans="2:16" x14ac:dyDescent="0.3">
      <c r="B228" t="s">
        <v>188</v>
      </c>
      <c r="C228" s="19">
        <f>C39</f>
        <v>0</v>
      </c>
      <c r="D228" t="s">
        <v>153</v>
      </c>
      <c r="H228" s="19"/>
    </row>
    <row r="229" spans="2:16" x14ac:dyDescent="0.3">
      <c r="B229" t="s">
        <v>177</v>
      </c>
      <c r="C229" s="19">
        <f>C227*C228</f>
        <v>0</v>
      </c>
      <c r="D229" t="s">
        <v>146</v>
      </c>
    </row>
    <row r="231" spans="2:16" x14ac:dyDescent="0.3">
      <c r="B231" t="s">
        <v>189</v>
      </c>
      <c r="C231" s="19">
        <f>C216</f>
        <v>52580</v>
      </c>
      <c r="D231" t="s">
        <v>29</v>
      </c>
    </row>
    <row r="232" spans="2:16" x14ac:dyDescent="0.3">
      <c r="B232" t="s">
        <v>190</v>
      </c>
      <c r="C232">
        <f>C229/C231</f>
        <v>0</v>
      </c>
      <c r="D232" t="s">
        <v>127</v>
      </c>
      <c r="G232" t="s">
        <v>127</v>
      </c>
      <c r="H232" t="s">
        <v>205</v>
      </c>
      <c r="P232" t="s">
        <v>206</v>
      </c>
    </row>
    <row r="235" spans="2:16" ht="20.399999999999999" thickBot="1" x14ac:dyDescent="0.45">
      <c r="B235" s="48" t="s">
        <v>181</v>
      </c>
      <c r="C235" s="48"/>
      <c r="D235" s="48"/>
    </row>
    <row r="236" spans="2:16" ht="18.600000000000001" thickTop="1" thickBot="1" x14ac:dyDescent="0.4">
      <c r="B236" s="9"/>
      <c r="C236" s="63" t="s">
        <v>191</v>
      </c>
      <c r="D236" s="9"/>
    </row>
    <row r="237" spans="2:16" ht="16.2" thickTop="1" x14ac:dyDescent="0.3">
      <c r="B237" s="64" t="s">
        <v>192</v>
      </c>
      <c r="C237" s="14"/>
      <c r="D237" s="22" t="s">
        <v>127</v>
      </c>
    </row>
    <row r="242" spans="2:6" ht="20.399999999999999" thickBot="1" x14ac:dyDescent="0.45">
      <c r="B242" s="8" t="s">
        <v>194</v>
      </c>
      <c r="C242" s="8"/>
      <c r="D242" s="8"/>
      <c r="E242" s="9"/>
      <c r="F242" s="9"/>
    </row>
    <row r="243" spans="2:6" ht="18.600000000000001" thickTop="1" thickBot="1" x14ac:dyDescent="0.4">
      <c r="B243" s="9"/>
      <c r="C243" s="77" t="s">
        <v>31</v>
      </c>
      <c r="D243" s="77"/>
      <c r="E243" s="77" t="s">
        <v>42</v>
      </c>
      <c r="F243" s="77"/>
    </row>
    <row r="244" spans="2:6" ht="16.2" thickTop="1" x14ac:dyDescent="0.3">
      <c r="B244" s="9" t="s">
        <v>195</v>
      </c>
      <c r="C244" s="9" t="e">
        <f>C154</f>
        <v>#DIV/0!</v>
      </c>
      <c r="D244" s="9"/>
      <c r="E244" s="9" t="e">
        <f>F154</f>
        <v>#DIV/0!</v>
      </c>
      <c r="F244" s="9"/>
    </row>
    <row r="245" spans="2:6" x14ac:dyDescent="0.3">
      <c r="B245" s="9" t="s">
        <v>144</v>
      </c>
      <c r="C245" s="9">
        <f>C217</f>
        <v>0</v>
      </c>
      <c r="D245" s="9"/>
      <c r="E245" s="9">
        <f>C217</f>
        <v>0</v>
      </c>
      <c r="F245" s="9"/>
    </row>
    <row r="246" spans="2:6" x14ac:dyDescent="0.3">
      <c r="B246" s="59" t="s">
        <v>192</v>
      </c>
      <c r="C246" s="59">
        <f>C237</f>
        <v>0</v>
      </c>
      <c r="D246" s="9"/>
      <c r="E246" s="59">
        <f>C237</f>
        <v>0</v>
      </c>
      <c r="F246" s="9"/>
    </row>
    <row r="247" spans="2:6" x14ac:dyDescent="0.3">
      <c r="B247" s="60" t="s">
        <v>196</v>
      </c>
      <c r="C247" s="9" t="e">
        <f>SUM(C244:C246)</f>
        <v>#DIV/0!</v>
      </c>
      <c r="D247" s="9"/>
      <c r="E247" s="9" t="e">
        <f>SUM(E244:E246)</f>
        <v>#DIV/0!</v>
      </c>
      <c r="F247" s="9"/>
    </row>
    <row r="248" spans="2:6" x14ac:dyDescent="0.3">
      <c r="B248" s="59" t="s">
        <v>197</v>
      </c>
      <c r="C248" s="59" t="e">
        <f>C247*D248</f>
        <v>#DIV/0!</v>
      </c>
      <c r="D248" s="65">
        <v>0.06</v>
      </c>
      <c r="E248" s="59" t="e">
        <f>E247*F248</f>
        <v>#DIV/0!</v>
      </c>
      <c r="F248" s="65">
        <v>0.06</v>
      </c>
    </row>
    <row r="249" spans="2:6" x14ac:dyDescent="0.3">
      <c r="B249" s="60" t="s">
        <v>198</v>
      </c>
      <c r="C249" s="19" t="e">
        <f>C248+C247</f>
        <v>#DIV/0!</v>
      </c>
      <c r="E249" s="19" t="e">
        <f>E248+E247</f>
        <v>#DIV/0!</v>
      </c>
    </row>
  </sheetData>
  <mergeCells count="20">
    <mergeCell ref="C205:D205"/>
    <mergeCell ref="C243:D243"/>
    <mergeCell ref="E243:F243"/>
    <mergeCell ref="C123:D123"/>
    <mergeCell ref="F123:G123"/>
    <mergeCell ref="C131:D131"/>
    <mergeCell ref="F131:G131"/>
    <mergeCell ref="C134:D134"/>
    <mergeCell ref="F134:G134"/>
    <mergeCell ref="Q30:S30"/>
    <mergeCell ref="I141:J141"/>
    <mergeCell ref="C150:D150"/>
    <mergeCell ref="F150:G150"/>
    <mergeCell ref="C159:D159"/>
    <mergeCell ref="C43:L43"/>
    <mergeCell ref="C50:L50"/>
    <mergeCell ref="C104:D104"/>
    <mergeCell ref="F104:G104"/>
    <mergeCell ref="C141:D141"/>
    <mergeCell ref="F141:G141"/>
  </mergeCells>
  <dataValidations count="1">
    <dataValidation type="list" allowBlank="1" showInputMessage="1" showErrorMessage="1" sqref="J5" xr:uid="{1110C226-DE31-1545-8E74-D15CBFF18398}">
      <formula1>$D$5:$H$5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Garcia</dc:creator>
  <cp:lastModifiedBy>Gerard Llobet</cp:lastModifiedBy>
  <dcterms:created xsi:type="dcterms:W3CDTF">2024-04-28T09:25:24Z</dcterms:created>
  <dcterms:modified xsi:type="dcterms:W3CDTF">2025-08-25T18:10:42Z</dcterms:modified>
</cp:coreProperties>
</file>