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taigua.sharepoint.com/sites/Expedients/Expedients/actius/250157 SUBMINISTRAMENT CANONADES 3 ZONES (ITÀLIA - TORRELLA - BÉJAR)/INCOACIÓ_LICITACIÓ FOSA 3 ZONES/"/>
    </mc:Choice>
  </mc:AlternateContent>
  <xr:revisionPtr revIDLastSave="136" documentId="8_{89FC5592-BC01-4F16-916C-2EACC399633C}" xr6:coauthVersionLast="47" xr6:coauthVersionMax="47" xr10:uidLastSave="{B10AE063-71D3-4191-93E5-F199A25D2328}"/>
  <bookViews>
    <workbookView minimized="1" xWindow="2205" yWindow="2205" windowWidth="21600" windowHeight="11295" firstSheet="6" activeTab="6" xr2:uid="{A077A51F-3D29-46AF-BDF8-BBEA38CF025E}"/>
  </bookViews>
  <sheets>
    <sheet name="Taules Valoració 1" sheetId="1" r:id="rId1"/>
    <sheet name="Taules Valoració 2" sheetId="2" r:id="rId2"/>
    <sheet name="Taules Valoració 3" sheetId="3" r:id="rId3"/>
    <sheet name="Calcul material 3 zones" sheetId="4" r:id="rId4"/>
    <sheet name="Preu del contracte" sheetId="6" r:id="rId5"/>
    <sheet name="Preu base de licitació" sheetId="9" r:id="rId6"/>
    <sheet name="VEC" sheetId="7" r:id="rId7"/>
    <sheet name="Desglossament" sheetId="10" r:id="rId8"/>
    <sheet name="Camió complet" sheetId="8" r:id="rId9"/>
    <sheet name="Consum no previst" sheetId="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" l="1"/>
  <c r="B6" i="10"/>
  <c r="K16" i="5" l="1"/>
  <c r="M16" i="8"/>
  <c r="N16" i="8" s="1"/>
  <c r="L16" i="8"/>
  <c r="J16" i="8"/>
  <c r="I16" i="8"/>
  <c r="H16" i="8"/>
  <c r="M15" i="8"/>
  <c r="N15" i="8" s="1"/>
  <c r="L15" i="8"/>
  <c r="J15" i="8"/>
  <c r="I15" i="8"/>
  <c r="H15" i="8"/>
  <c r="M14" i="8"/>
  <c r="N14" i="8" s="1"/>
  <c r="L14" i="8"/>
  <c r="J14" i="8"/>
  <c r="I14" i="8"/>
  <c r="H14" i="8"/>
  <c r="M13" i="8"/>
  <c r="N13" i="8" s="1"/>
  <c r="L13" i="8"/>
  <c r="J13" i="8"/>
  <c r="I13" i="8"/>
  <c r="H13" i="8"/>
  <c r="M12" i="8"/>
  <c r="N12" i="8" s="1"/>
  <c r="L12" i="8"/>
  <c r="J12" i="8"/>
  <c r="I12" i="8"/>
  <c r="H12" i="8"/>
  <c r="M11" i="8"/>
  <c r="L11" i="8"/>
  <c r="J11" i="8"/>
  <c r="I11" i="8"/>
  <c r="F11" i="8"/>
  <c r="M10" i="8"/>
  <c r="L10" i="8"/>
  <c r="J10" i="8"/>
  <c r="I10" i="8"/>
  <c r="F10" i="8"/>
  <c r="H10" i="8" s="1"/>
  <c r="M9" i="8"/>
  <c r="N9" i="8" s="1"/>
  <c r="L9" i="8"/>
  <c r="J9" i="8"/>
  <c r="I9" i="8"/>
  <c r="F9" i="8"/>
  <c r="H9" i="8" s="1"/>
  <c r="M8" i="8"/>
  <c r="L8" i="8"/>
  <c r="J8" i="8"/>
  <c r="I8" i="8"/>
  <c r="F8" i="8"/>
  <c r="H8" i="8" s="1"/>
  <c r="M7" i="8"/>
  <c r="L7" i="8"/>
  <c r="J7" i="8"/>
  <c r="I7" i="8"/>
  <c r="F7" i="8"/>
  <c r="H7" i="8" s="1"/>
  <c r="M6" i="8"/>
  <c r="L6" i="8"/>
  <c r="J6" i="8"/>
  <c r="I6" i="8"/>
  <c r="F6" i="8"/>
  <c r="H6" i="8" s="1"/>
  <c r="M5" i="8"/>
  <c r="L5" i="8"/>
  <c r="J5" i="8"/>
  <c r="I5" i="8"/>
  <c r="F5" i="8"/>
  <c r="H5" i="8" s="1"/>
  <c r="M4" i="8"/>
  <c r="L4" i="8"/>
  <c r="J4" i="8"/>
  <c r="I4" i="8"/>
  <c r="F4" i="8"/>
  <c r="H4" i="8" s="1"/>
  <c r="N8" i="8" l="1"/>
  <c r="N10" i="8"/>
  <c r="L17" i="8"/>
  <c r="N17" i="8"/>
  <c r="N4" i="8"/>
  <c r="N6" i="8"/>
  <c r="N11" i="8"/>
  <c r="N5" i="8"/>
  <c r="N7" i="8"/>
  <c r="H11" i="8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3" i="5"/>
  <c r="G8" i="6" l="1"/>
  <c r="G10" i="6" s="1"/>
  <c r="C4" i="9"/>
  <c r="J17" i="5"/>
  <c r="H22" i="4"/>
  <c r="F16" i="5"/>
  <c r="F15" i="5"/>
  <c r="K15" i="5" s="1"/>
  <c r="F14" i="5"/>
  <c r="K14" i="5" s="1"/>
  <c r="F13" i="5"/>
  <c r="K13" i="5" s="1"/>
  <c r="F12" i="5"/>
  <c r="K12" i="5" s="1"/>
  <c r="F11" i="5"/>
  <c r="K11" i="5" s="1"/>
  <c r="F10" i="5"/>
  <c r="K10" i="5" s="1"/>
  <c r="F9" i="5"/>
  <c r="K9" i="5" s="1"/>
  <c r="F8" i="5"/>
  <c r="K8" i="5" s="1"/>
  <c r="F7" i="5"/>
  <c r="K7" i="5" s="1"/>
  <c r="F6" i="5"/>
  <c r="K6" i="5" s="1"/>
  <c r="F5" i="5"/>
  <c r="K5" i="5" s="1"/>
  <c r="F4" i="5"/>
  <c r="K4" i="5" s="1"/>
  <c r="F3" i="5"/>
  <c r="K3" i="5" s="1"/>
  <c r="C14" i="4"/>
  <c r="C22" i="4" s="1"/>
  <c r="C17" i="4" s="1"/>
  <c r="H18" i="4" s="1"/>
  <c r="D14" i="4"/>
  <c r="I9" i="4" s="1"/>
  <c r="E14" i="4"/>
  <c r="E22" i="4" s="1"/>
  <c r="E17" i="4" s="1"/>
  <c r="J18" i="4" s="1"/>
  <c r="C19" i="4"/>
  <c r="D19" i="4"/>
  <c r="C20" i="4"/>
  <c r="D20" i="4"/>
  <c r="C21" i="4"/>
  <c r="D21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E31" i="3"/>
  <c r="H33" i="3"/>
  <c r="G33" i="3"/>
  <c r="F33" i="3"/>
  <c r="E33" i="3"/>
  <c r="H32" i="3"/>
  <c r="G32" i="3"/>
  <c r="F32" i="3"/>
  <c r="E32" i="3"/>
  <c r="H31" i="3"/>
  <c r="G31" i="3"/>
  <c r="F31" i="3"/>
  <c r="H30" i="3"/>
  <c r="G30" i="3"/>
  <c r="F30" i="3"/>
  <c r="E30" i="3"/>
  <c r="H29" i="3"/>
  <c r="G29" i="3"/>
  <c r="F29" i="3"/>
  <c r="E29" i="3"/>
  <c r="F15" i="3"/>
  <c r="G15" i="3"/>
  <c r="H15" i="3"/>
  <c r="F16" i="3"/>
  <c r="G16" i="3"/>
  <c r="H16" i="3"/>
  <c r="F17" i="3"/>
  <c r="G17" i="3"/>
  <c r="H17" i="3"/>
  <c r="F18" i="3"/>
  <c r="G18" i="3"/>
  <c r="H18" i="3"/>
  <c r="H14" i="3"/>
  <c r="G14" i="3"/>
  <c r="F14" i="3"/>
  <c r="E15" i="3"/>
  <c r="E16" i="3"/>
  <c r="E17" i="3"/>
  <c r="E18" i="3"/>
  <c r="E14" i="3"/>
  <c r="D16" i="1"/>
  <c r="C11" i="9" l="1"/>
  <c r="B5" i="7"/>
  <c r="C5" i="9"/>
  <c r="C6" i="9" s="1"/>
  <c r="K17" i="5"/>
  <c r="G13" i="6" s="1"/>
  <c r="G14" i="6" s="1"/>
  <c r="G16" i="6" s="1"/>
  <c r="J9" i="4"/>
  <c r="D22" i="4"/>
  <c r="D17" i="4" s="1"/>
  <c r="I18" i="4" s="1"/>
  <c r="K18" i="4" s="1"/>
  <c r="H9" i="4"/>
  <c r="E21" i="4"/>
  <c r="K9" i="4" l="1"/>
  <c r="K20" i="4" s="1"/>
  <c r="B8" i="7"/>
  <c r="L17" i="5"/>
  <c r="B2" i="6" l="1"/>
  <c r="B4" i="6" s="1"/>
  <c r="B6" i="6" s="1"/>
</calcChain>
</file>

<file path=xl/sharedStrings.xml><?xml version="1.0" encoding="utf-8"?>
<sst xmlns="http://schemas.openxmlformats.org/spreadsheetml/2006/main" count="224" uniqueCount="167">
  <si>
    <t>Criteris</t>
  </si>
  <si>
    <t>Descripció</t>
  </si>
  <si>
    <t>Puntuació màxima</t>
  </si>
  <si>
    <t>1. Criteris econòmics</t>
  </si>
  <si>
    <t>1.1 Baixa linial</t>
  </si>
  <si>
    <t>1.2 Camió complet</t>
  </si>
  <si>
    <t>2. Criteris mediambientals</t>
  </si>
  <si>
    <t>2.1  Distància entre magatzems</t>
  </si>
  <si>
    <t>2.2 Qualitat ambiental flota de vehicles</t>
  </si>
  <si>
    <t>2.3 Gestió del residu dels embalatges</t>
  </si>
  <si>
    <t>3. Criteris de Qualitat</t>
  </si>
  <si>
    <t>Sistemes de qualitat</t>
  </si>
  <si>
    <t>4. Criteris d'estabilitat laboral i qualitat d'ocupació</t>
  </si>
  <si>
    <t>4.1 RRHH</t>
  </si>
  <si>
    <t>4.2 Igualtat de gènere</t>
  </si>
  <si>
    <t>5. Criteris de prestació del servei</t>
  </si>
  <si>
    <t>5.1 Servei d'urgència</t>
  </si>
  <si>
    <t>5.2 Servei de descàrrega</t>
  </si>
  <si>
    <t>5.3 Disminució dels terminis de lliurament</t>
  </si>
  <si>
    <t>TOTAL</t>
  </si>
  <si>
    <t>Descompte camió complet</t>
  </si>
  <si>
    <t>Punts</t>
  </si>
  <si>
    <t>Disposar de sistemes de gestió</t>
  </si>
  <si>
    <t>Baixa del 2%</t>
  </si>
  <si>
    <t>ISO 9001</t>
  </si>
  <si>
    <t>2%&lt; Baixa ≤ 5%</t>
  </si>
  <si>
    <t>ISO14001</t>
  </si>
  <si>
    <t>Baixa&gt; 5%</t>
  </si>
  <si>
    <t>ISO45001</t>
  </si>
  <si>
    <t>Distància entre magatzems</t>
  </si>
  <si>
    <t>d&lt;50km</t>
  </si>
  <si>
    <t>100km &lt; d ≤ 50km</t>
  </si>
  <si>
    <t>150km &lt; d ≤ 100km</t>
  </si>
  <si>
    <t>d&gt;150km</t>
  </si>
  <si>
    <t>Classe etiqueta ambiental DGT</t>
  </si>
  <si>
    <t>Zero</t>
  </si>
  <si>
    <t>Eco</t>
  </si>
  <si>
    <t>C</t>
  </si>
  <si>
    <t>B o sense distintiu</t>
  </si>
  <si>
    <t>MARCA</t>
  </si>
  <si>
    <t>MODEL</t>
  </si>
  <si>
    <t>MATRÍCULA</t>
  </si>
  <si>
    <t>COMBUSTIBLE</t>
  </si>
  <si>
    <t>CLASSE ETIQUETA AMBITENAL DGT</t>
  </si>
  <si>
    <t>Disposar del sistema de gestió</t>
  </si>
  <si>
    <t>Qualitat</t>
  </si>
  <si>
    <t>Mediambiental</t>
  </si>
  <si>
    <t>Prevenció de riscos laborals</t>
  </si>
  <si>
    <t>RRHH</t>
  </si>
  <si>
    <t>Plans de reciclatge i formació</t>
  </si>
  <si>
    <t>Codi d'ètica, bones pràctiques o bon govern</t>
  </si>
  <si>
    <t>Mesures de conciliació</t>
  </si>
  <si>
    <t>LLIURAMENT</t>
  </si>
  <si>
    <t>DN</t>
  </si>
  <si>
    <t>60-200</t>
  </si>
  <si>
    <t>250-400</t>
  </si>
  <si>
    <t>450-500</t>
  </si>
  <si>
    <t>550-700</t>
  </si>
  <si>
    <t>Termini màxim de lliurament</t>
  </si>
  <si>
    <t>5 dies</t>
  </si>
  <si>
    <t>15 dies</t>
  </si>
  <si>
    <t>21 dies</t>
  </si>
  <si>
    <t>42 dies</t>
  </si>
  <si>
    <t>REDUCCIÓ DEL TERMINI DE LLIURAMENT</t>
  </si>
  <si>
    <t>TERMINI MÀXIM DE LLIURAMENT EN DIES HÀBILS</t>
  </si>
  <si>
    <t>Preu DN60</t>
  </si>
  <si>
    <t>Preu DN100</t>
  </si>
  <si>
    <t>Preu DN300</t>
  </si>
  <si>
    <t>DIÀMETRES NOMINALS</t>
  </si>
  <si>
    <t>Cost del tub fosa per a les 3 zones</t>
  </si>
  <si>
    <t>Nom/Adreça</t>
  </si>
  <si>
    <t>Metres Totals</t>
  </si>
  <si>
    <t>Sant Damià Fase 2</t>
  </si>
  <si>
    <t xml:space="preserve">Àmbit carrer Itàlia </t>
  </si>
  <si>
    <t>Ambit Carrer Torrella</t>
  </si>
  <si>
    <t>Av. bejar - Av. Vallès - Tàrrega - Mura</t>
  </si>
  <si>
    <t>Metres de canonada classificats  per diàmetre</t>
  </si>
  <si>
    <t>(Colze 45ºEE com a ref)</t>
  </si>
  <si>
    <t>Accessoris</t>
  </si>
  <si>
    <t>DN60</t>
  </si>
  <si>
    <t>DN100</t>
  </si>
  <si>
    <t>DN300</t>
  </si>
  <si>
    <t>Nº Peces</t>
  </si>
  <si>
    <t>Cost dels accessoris de fosa per a les 3 zones</t>
  </si>
  <si>
    <t>TOTAL TUB I PP DE PECES</t>
  </si>
  <si>
    <t>Recull de material i peces de l'obra de Marconi-Volta per calcular la part proporcional de peces respecte al metratge de tub en una obra.</t>
  </si>
  <si>
    <t>tuberia DN100</t>
  </si>
  <si>
    <t>m</t>
  </si>
  <si>
    <t>(29/01/2024)</t>
  </si>
  <si>
    <t>​</t>
  </si>
  <si>
    <t>CBB90</t>
  </si>
  <si>
    <t>(01/02/2024)</t>
  </si>
  <si>
    <t>CEE90</t>
  </si>
  <si>
    <t>(14/02/2024)</t>
  </si>
  <si>
    <t>DBB45</t>
  </si>
  <si>
    <t>(27/02/2024)</t>
  </si>
  <si>
    <t>CEE45</t>
  </si>
  <si>
    <t>(12/03/2024)</t>
  </si>
  <si>
    <t>CBB22</t>
  </si>
  <si>
    <t>(03/04/2024)</t>
  </si>
  <si>
    <t>CEE22</t>
  </si>
  <si>
    <t>(09/04/2024)</t>
  </si>
  <si>
    <t>C11BB</t>
  </si>
  <si>
    <t>C11EE</t>
  </si>
  <si>
    <t>TEEB</t>
  </si>
  <si>
    <t>TBBB</t>
  </si>
  <si>
    <t>maneguet EE</t>
  </si>
  <si>
    <t>carret</t>
  </si>
  <si>
    <t>BE</t>
  </si>
  <si>
    <t>a gastar mentre durin les obres de les tres zones</t>
  </si>
  <si>
    <t>Material anual en obres no planificades i avaries</t>
  </si>
  <si>
    <t>BORSA del 10%</t>
  </si>
  <si>
    <t>PECES NO PREVISTES</t>
  </si>
  <si>
    <t>Els dos primers anys, costs per any</t>
  </si>
  <si>
    <t>Arrodoniment a l'alça--&gt;</t>
  </si>
  <si>
    <t>Import total del contracte (2 anys)</t>
  </si>
  <si>
    <t>Iva 21%</t>
  </si>
  <si>
    <t>TOTAL IVA INCLÒS</t>
  </si>
  <si>
    <t>Pròrrogues 1+1</t>
  </si>
  <si>
    <t>Primera pròrroga, augmentant en un 5% el preu del material</t>
  </si>
  <si>
    <t xml:space="preserve">Segona pròrroga, augmentant en un 5% el preu del material </t>
  </si>
  <si>
    <t>respecte a la primera pròrroga</t>
  </si>
  <si>
    <t>Suma de les dues pròrrogues</t>
  </si>
  <si>
    <t>Concepte</t>
  </si>
  <si>
    <t>Import anual</t>
  </si>
  <si>
    <t>Import total (Sense pròrrogues ni modificacions)</t>
  </si>
  <si>
    <t>Pressupost base de licitació</t>
  </si>
  <si>
    <t>Inclou un 10% per a la borsa d'altres materials que pugui oferir el licitador.</t>
  </si>
  <si>
    <t>IVA (21%)</t>
  </si>
  <si>
    <t>Total</t>
  </si>
  <si>
    <t>17% de sobreamidament</t>
  </si>
  <si>
    <t>Import període inicial del contracte (sense IVA)</t>
  </si>
  <si>
    <t>Import pròrrogues (sense IVA)</t>
  </si>
  <si>
    <t>Import modificacions previstes (sense IVA)</t>
  </si>
  <si>
    <t>Un 17% sobre el preu del contracte</t>
  </si>
  <si>
    <t>Per defecte ja hi ha un 10%, per tant, podriem passar-nos fins a 437,000?</t>
  </si>
  <si>
    <t>Total VEC</t>
  </si>
  <si>
    <t>Material de fosa, tubs i accessoris per a les obres de les 3 zones</t>
  </si>
  <si>
    <t>Borsa d'altre material</t>
  </si>
  <si>
    <t>Taula per a la definició de camió complet.</t>
  </si>
  <si>
    <t>KG METRO</t>
  </si>
  <si>
    <t>KG TUBO</t>
  </si>
  <si>
    <t>METROS CAMIÓN</t>
  </si>
  <si>
    <t>TUBOS CAMIÓN</t>
  </si>
  <si>
    <t>TUBOS  FLEJE</t>
  </si>
  <si>
    <t>FLEJE CAMIÓN</t>
  </si>
  <si>
    <t>METROS FLEJE</t>
  </si>
  <si>
    <t>KG CAMION</t>
  </si>
  <si>
    <t>% Camión completo</t>
  </si>
  <si>
    <t>MTS</t>
  </si>
  <si>
    <t>KG</t>
  </si>
  <si>
    <t>Nº TUBO</t>
  </si>
  <si>
    <t>Nº FLEJE</t>
  </si>
  <si>
    <t>TOTAL... :</t>
  </si>
  <si>
    <t>Kgs</t>
  </si>
  <si>
    <t>CONSUM DE MATERIAL DE FOSA PER A OBRES NO PLANIFICADES, ESCOMESES, HIDRANTS I AVARIES</t>
  </si>
  <si>
    <t>Lu</t>
  </si>
  <si>
    <t>Clase</t>
  </si>
  <si>
    <t>Consum anual en obres no planificades (m)</t>
  </si>
  <si>
    <t>Part propocional en peces</t>
  </si>
  <si>
    <t>Preu unitari tub</t>
  </si>
  <si>
    <t>Preu peça (colze EE 45º)</t>
  </si>
  <si>
    <t>Import tub</t>
  </si>
  <si>
    <t>Import peces</t>
  </si>
  <si>
    <t>C40</t>
  </si>
  <si>
    <t>C30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</si>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</sst>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_-* #,##0.00\ [$€-403]_-;\-* #,##0.00\ [$€-403]_-;_-* &quot;-&quot;??\ [$€-403]_-;_-@_-"/>
  </numFmts>
  <fonts count="20"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sz val="12"/>
      <color theme="1"/>
      <name val="Source Sans Pro"/>
      <family val="2"/>
    </font>
    <font>
      <sz val="11"/>
      <color rgb="FFFF0000"/>
      <name val="Aptos"/>
      <family val="2"/>
    </font>
    <font>
      <sz val="11"/>
      <color theme="0"/>
      <name val="Aptos"/>
      <family val="2"/>
    </font>
    <font>
      <b/>
      <sz val="11"/>
      <color rgb="FFFF0000"/>
      <name val="Aptos"/>
      <family val="2"/>
    </font>
    <font>
      <b/>
      <sz val="20"/>
      <color theme="1"/>
      <name val="Aptos"/>
      <family val="2"/>
    </font>
    <font>
      <sz val="20"/>
      <color theme="1"/>
      <name val="Aptos"/>
      <family val="2"/>
    </font>
    <font>
      <b/>
      <sz val="14"/>
      <color theme="1"/>
      <name val="Aptos"/>
      <family val="2"/>
    </font>
    <font>
      <u/>
      <sz val="11"/>
      <color rgb="FFA6A6A6"/>
      <name val="Aptos"/>
      <family val="2"/>
    </font>
    <font>
      <b/>
      <sz val="10"/>
      <name val="Arial"/>
      <family val="2"/>
    </font>
    <font>
      <b/>
      <sz val="10"/>
      <color theme="8" tint="-0.249977111117893"/>
      <name val="Arial"/>
      <family val="2"/>
    </font>
    <font>
      <sz val="10"/>
      <name val="Arial"/>
      <family val="2"/>
    </font>
    <font>
      <b/>
      <sz val="16"/>
      <color rgb="FFFF0000"/>
      <name val="Aptos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49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2" fillId="7" borderId="0" xfId="0" applyFont="1" applyFill="1"/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5" fillId="10" borderId="6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5" fillId="10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1" fillId="13" borderId="1" xfId="0" applyFont="1" applyFill="1" applyBorder="1"/>
    <xf numFmtId="0" fontId="0" fillId="14" borderId="0" xfId="0" applyFill="1"/>
    <xf numFmtId="0" fontId="0" fillId="0" borderId="13" xfId="0" applyBorder="1"/>
    <xf numFmtId="0" fontId="0" fillId="13" borderId="0" xfId="0" applyFill="1"/>
    <xf numFmtId="0" fontId="0" fillId="13" borderId="0" xfId="0" applyFill="1" applyAlignment="1">
      <alignment horizontal="center"/>
    </xf>
    <xf numFmtId="43" fontId="0" fillId="0" borderId="0" xfId="2" applyFont="1"/>
    <xf numFmtId="43" fontId="8" fillId="0" borderId="0" xfId="2" applyFont="1" applyAlignment="1">
      <alignment horizontal="left" vertical="center" indent="1"/>
    </xf>
    <xf numFmtId="0" fontId="1" fillId="13" borderId="0" xfId="0" applyFont="1" applyFill="1"/>
    <xf numFmtId="43" fontId="0" fillId="0" borderId="0" xfId="2" applyFont="1" applyBorder="1"/>
    <xf numFmtId="0" fontId="10" fillId="15" borderId="0" xfId="0" applyFont="1" applyFill="1"/>
    <xf numFmtId="43" fontId="2" fillId="14" borderId="0" xfId="2" applyFont="1" applyFill="1" applyBorder="1"/>
    <xf numFmtId="0" fontId="2" fillId="16" borderId="0" xfId="0" applyFont="1" applyFill="1"/>
    <xf numFmtId="43" fontId="2" fillId="16" borderId="0" xfId="2" applyFont="1" applyFill="1" applyBorder="1"/>
    <xf numFmtId="0" fontId="0" fillId="0" borderId="14" xfId="0" applyBorder="1"/>
    <xf numFmtId="0" fontId="0" fillId="0" borderId="15" xfId="0" applyBorder="1"/>
    <xf numFmtId="43" fontId="0" fillId="0" borderId="15" xfId="2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3" fontId="0" fillId="0" borderId="20" xfId="2" applyFont="1" applyBorder="1"/>
    <xf numFmtId="0" fontId="0" fillId="0" borderId="21" xfId="0" applyBorder="1"/>
    <xf numFmtId="43" fontId="0" fillId="0" borderId="0" xfId="0" applyNumberFormat="1"/>
    <xf numFmtId="164" fontId="0" fillId="0" borderId="0" xfId="0" applyNumberFormat="1"/>
    <xf numFmtId="0" fontId="2" fillId="17" borderId="0" xfId="0" applyFont="1" applyFill="1"/>
    <xf numFmtId="164" fontId="2" fillId="17" borderId="0" xfId="0" applyNumberFormat="1" applyFont="1" applyFill="1"/>
    <xf numFmtId="43" fontId="2" fillId="17" borderId="0" xfId="0" applyNumberFormat="1" applyFont="1" applyFill="1"/>
    <xf numFmtId="0" fontId="2" fillId="0" borderId="0" xfId="0" applyFont="1" applyAlignment="1">
      <alignment vertical="center"/>
    </xf>
    <xf numFmtId="43" fontId="0" fillId="0" borderId="1" xfId="2" applyFont="1" applyBorder="1"/>
    <xf numFmtId="43" fontId="10" fillId="15" borderId="0" xfId="2" applyFont="1" applyFill="1" applyBorder="1"/>
    <xf numFmtId="164" fontId="2" fillId="18" borderId="0" xfId="0" applyNumberFormat="1" applyFont="1" applyFill="1"/>
    <xf numFmtId="0" fontId="0" fillId="0" borderId="23" xfId="0" applyBorder="1"/>
    <xf numFmtId="0" fontId="2" fillId="0" borderId="23" xfId="0" applyFont="1" applyBorder="1"/>
    <xf numFmtId="0" fontId="2" fillId="0" borderId="24" xfId="0" applyFont="1" applyBorder="1"/>
    <xf numFmtId="0" fontId="0" fillId="0" borderId="26" xfId="0" applyBorder="1"/>
    <xf numFmtId="0" fontId="0" fillId="0" borderId="27" xfId="0" applyBorder="1"/>
    <xf numFmtId="165" fontId="0" fillId="0" borderId="0" xfId="0" applyNumberFormat="1"/>
    <xf numFmtId="166" fontId="0" fillId="0" borderId="0" xfId="0" applyNumberFormat="1"/>
    <xf numFmtId="0" fontId="0" fillId="0" borderId="29" xfId="0" applyBorder="1"/>
    <xf numFmtId="0" fontId="0" fillId="0" borderId="30" xfId="0" applyBorder="1"/>
    <xf numFmtId="0" fontId="12" fillId="0" borderId="29" xfId="0" applyFont="1" applyBorder="1"/>
    <xf numFmtId="165" fontId="12" fillId="0" borderId="29" xfId="0" applyNumberFormat="1" applyFont="1" applyBorder="1"/>
    <xf numFmtId="166" fontId="12" fillId="0" borderId="29" xfId="0" applyNumberFormat="1" applyFont="1" applyBorder="1"/>
    <xf numFmtId="0" fontId="14" fillId="0" borderId="28" xfId="0" applyFont="1" applyBorder="1"/>
    <xf numFmtId="0" fontId="3" fillId="0" borderId="3" xfId="0" applyFont="1" applyBorder="1" applyAlignment="1">
      <alignment horizontal="justify" vertical="center" wrapText="1"/>
    </xf>
    <xf numFmtId="167" fontId="0" fillId="0" borderId="0" xfId="2" applyNumberFormat="1" applyFont="1"/>
    <xf numFmtId="0" fontId="2" fillId="0" borderId="0" xfId="0" applyFont="1"/>
    <xf numFmtId="164" fontId="2" fillId="0" borderId="0" xfId="0" applyNumberFormat="1" applyFont="1"/>
    <xf numFmtId="0" fontId="0" fillId="17" borderId="0" xfId="0" applyFill="1"/>
    <xf numFmtId="0" fontId="0" fillId="0" borderId="32" xfId="0" applyBorder="1"/>
    <xf numFmtId="0" fontId="0" fillId="0" borderId="25" xfId="0" applyBorder="1"/>
    <xf numFmtId="164" fontId="0" fillId="0" borderId="25" xfId="0" applyNumberFormat="1" applyBorder="1"/>
    <xf numFmtId="0" fontId="0" fillId="0" borderId="33" xfId="0" applyBorder="1"/>
    <xf numFmtId="0" fontId="2" fillId="0" borderId="28" xfId="0" applyFont="1" applyBorder="1"/>
    <xf numFmtId="164" fontId="2" fillId="0" borderId="29" xfId="0" applyNumberFormat="1" applyFont="1" applyBorder="1"/>
    <xf numFmtId="0" fontId="18" fillId="0" borderId="0" xfId="0" applyFont="1"/>
    <xf numFmtId="0" fontId="16" fillId="5" borderId="36" xfId="0" applyFont="1" applyFill="1" applyBorder="1" applyAlignment="1">
      <alignment horizontal="right"/>
    </xf>
    <xf numFmtId="10" fontId="16" fillId="5" borderId="34" xfId="0" applyNumberFormat="1" applyFont="1" applyFill="1" applyBorder="1"/>
    <xf numFmtId="0" fontId="18" fillId="5" borderId="34" xfId="0" applyFont="1" applyFill="1" applyBorder="1"/>
    <xf numFmtId="3" fontId="16" fillId="5" borderId="34" xfId="0" applyNumberFormat="1" applyFont="1" applyFill="1" applyBorder="1"/>
    <xf numFmtId="0" fontId="16" fillId="5" borderId="37" xfId="0" applyFont="1" applyFill="1" applyBorder="1"/>
    <xf numFmtId="4" fontId="18" fillId="0" borderId="35" xfId="0" applyNumberFormat="1" applyFont="1" applyBorder="1"/>
    <xf numFmtId="0" fontId="18" fillId="0" borderId="35" xfId="0" applyFont="1" applyBorder="1"/>
    <xf numFmtId="3" fontId="18" fillId="0" borderId="35" xfId="0" applyNumberFormat="1" applyFont="1" applyBorder="1" applyAlignment="1">
      <alignment horizontal="right" vertical="center"/>
    </xf>
    <xf numFmtId="3" fontId="18" fillId="0" borderId="35" xfId="0" applyNumberFormat="1" applyFont="1" applyBorder="1"/>
    <xf numFmtId="3" fontId="18" fillId="5" borderId="35" xfId="0" applyNumberFormat="1" applyFont="1" applyFill="1" applyBorder="1"/>
    <xf numFmtId="0" fontId="18" fillId="5" borderId="35" xfId="0" applyFont="1" applyFill="1" applyBorder="1"/>
    <xf numFmtId="10" fontId="16" fillId="5" borderId="35" xfId="0" applyNumberFormat="1" applyFont="1" applyFill="1" applyBorder="1"/>
    <xf numFmtId="0" fontId="17" fillId="19" borderId="35" xfId="0" applyFont="1" applyFill="1" applyBorder="1"/>
    <xf numFmtId="0" fontId="18" fillId="0" borderId="35" xfId="0" applyFont="1" applyBorder="1" applyAlignment="1">
      <alignment horizontal="right" vertical="center"/>
    </xf>
    <xf numFmtId="0" fontId="16" fillId="0" borderId="38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7" fillId="19" borderId="3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3" fontId="16" fillId="0" borderId="41" xfId="0" applyNumberFormat="1" applyFont="1" applyBorder="1" applyAlignment="1">
      <alignment horizontal="left"/>
    </xf>
    <xf numFmtId="3" fontId="16" fillId="0" borderId="42" xfId="0" applyNumberFormat="1" applyFont="1" applyBorder="1"/>
    <xf numFmtId="3" fontId="16" fillId="0" borderId="43" xfId="0" applyNumberFormat="1" applyFont="1" applyBorder="1" applyAlignment="1">
      <alignment horizontal="left"/>
    </xf>
    <xf numFmtId="4" fontId="18" fillId="0" borderId="44" xfId="0" applyNumberFormat="1" applyFont="1" applyBorder="1"/>
    <xf numFmtId="0" fontId="18" fillId="0" borderId="44" xfId="0" applyFont="1" applyBorder="1"/>
    <xf numFmtId="0" fontId="18" fillId="0" borderId="44" xfId="0" applyFont="1" applyBorder="1" applyAlignment="1">
      <alignment horizontal="right" vertical="center"/>
    </xf>
    <xf numFmtId="3" fontId="18" fillId="0" borderId="44" xfId="0" applyNumberFormat="1" applyFont="1" applyBorder="1"/>
    <xf numFmtId="3" fontId="18" fillId="5" borderId="44" xfId="0" applyNumberFormat="1" applyFont="1" applyFill="1" applyBorder="1"/>
    <xf numFmtId="0" fontId="18" fillId="5" borderId="44" xfId="0" applyFont="1" applyFill="1" applyBorder="1"/>
    <xf numFmtId="10" fontId="16" fillId="5" borderId="44" xfId="0" applyNumberFormat="1" applyFont="1" applyFill="1" applyBorder="1"/>
    <xf numFmtId="0" fontId="17" fillId="19" borderId="44" xfId="0" applyFont="1" applyFill="1" applyBorder="1"/>
    <xf numFmtId="3" fontId="16" fillId="0" borderId="45" xfId="0" applyNumberFormat="1" applyFont="1" applyBorder="1"/>
    <xf numFmtId="0" fontId="9" fillId="0" borderId="0" xfId="0" applyFont="1"/>
    <xf numFmtId="0" fontId="2" fillId="14" borderId="1" xfId="0" applyFont="1" applyFill="1" applyBorder="1"/>
    <xf numFmtId="0" fontId="2" fillId="14" borderId="1" xfId="0" applyFont="1" applyFill="1" applyBorder="1" applyAlignment="1">
      <alignment wrapText="1"/>
    </xf>
    <xf numFmtId="43" fontId="3" fillId="0" borderId="1" xfId="2" applyFont="1" applyBorder="1"/>
    <xf numFmtId="43" fontId="0" fillId="0" borderId="1" xfId="2" applyFont="1" applyBorder="1" applyAlignment="1">
      <alignment horizontal="right"/>
    </xf>
    <xf numFmtId="0" fontId="11" fillId="0" borderId="0" xfId="0" applyFont="1"/>
    <xf numFmtId="0" fontId="2" fillId="0" borderId="3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8" fontId="0" fillId="0" borderId="0" xfId="0" applyNumberFormat="1"/>
    <xf numFmtId="8" fontId="15" fillId="0" borderId="6" xfId="0" applyNumberFormat="1" applyFont="1" applyBorder="1" applyAlignment="1">
      <alignment horizontal="justify" vertical="center" wrapText="1"/>
    </xf>
    <xf numFmtId="8" fontId="5" fillId="0" borderId="6" xfId="0" applyNumberFormat="1" applyFont="1" applyBorder="1" applyAlignment="1">
      <alignment horizontal="justify" vertical="center" wrapText="1"/>
    </xf>
    <xf numFmtId="8" fontId="5" fillId="0" borderId="6" xfId="0" applyNumberFormat="1" applyFont="1" applyBorder="1" applyAlignment="1">
      <alignment horizontal="right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8" fontId="0" fillId="0" borderId="4" xfId="0" applyNumberFormat="1" applyBorder="1" applyAlignment="1">
      <alignment horizontal="right" vertical="center" wrapText="1"/>
    </xf>
    <xf numFmtId="8" fontId="0" fillId="0" borderId="6" xfId="0" applyNumberFormat="1" applyBorder="1" applyAlignment="1">
      <alignment horizontal="right" vertical="center" wrapText="1"/>
    </xf>
    <xf numFmtId="43" fontId="2" fillId="0" borderId="0" xfId="0" applyNumberFormat="1" applyFont="1"/>
    <xf numFmtId="164" fontId="11" fillId="0" borderId="0" xfId="0" applyNumberFormat="1" applyFont="1"/>
    <xf numFmtId="165" fontId="12" fillId="0" borderId="23" xfId="2" applyNumberFormat="1" applyFont="1" applyBorder="1"/>
    <xf numFmtId="166" fontId="12" fillId="0" borderId="23" xfId="0" applyNumberFormat="1" applyFont="1" applyBorder="1"/>
    <xf numFmtId="0" fontId="13" fillId="0" borderId="23" xfId="0" applyFont="1" applyBorder="1" applyAlignment="1">
      <alignment horizontal="right"/>
    </xf>
    <xf numFmtId="0" fontId="19" fillId="0" borderId="22" xfId="0" applyFont="1" applyBorder="1"/>
    <xf numFmtId="43" fontId="0" fillId="14" borderId="0" xfId="2" applyFont="1" applyFill="1"/>
    <xf numFmtId="0" fontId="0" fillId="0" borderId="3" xfId="0" applyBorder="1" applyAlignment="1">
      <alignment horizontal="justify" vertical="center" wrapText="1"/>
    </xf>
    <xf numFmtId="0" fontId="2" fillId="6" borderId="31" xfId="0" applyFont="1" applyFill="1" applyBorder="1" applyAlignment="1">
      <alignment horizontal="justify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8" fontId="4" fillId="0" borderId="6" xfId="0" applyNumberFormat="1" applyFont="1" applyBorder="1" applyAlignment="1">
      <alignment horizontal="righ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5" borderId="1" xfId="0" applyNumberFormat="1" applyFill="1" applyBorder="1" applyAlignment="1">
      <alignment horizontal="left" vertical="center" wrapText="1"/>
    </xf>
    <xf numFmtId="49" fontId="0" fillId="6" borderId="1" xfId="0" applyNumberFormat="1" applyFill="1" applyBorder="1" applyAlignment="1">
      <alignment horizontal="left" vertical="center" wrapText="1"/>
    </xf>
    <xf numFmtId="0" fontId="1" fillId="12" borderId="8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47F3-2675-4B05-92FB-56A7003B949E}">
  <dimension ref="B4:K36"/>
  <sheetViews>
    <sheetView zoomScale="145" zoomScaleNormal="145" workbookViewId="0">
      <selection activeCell="C17" sqref="C17"/>
    </sheetView>
  </sheetViews>
  <sheetFormatPr defaultColWidth="11" defaultRowHeight="15"/>
  <cols>
    <col min="1" max="1" width="1.875" customWidth="1"/>
    <col min="2" max="2" width="23.875" customWidth="1"/>
    <col min="3" max="3" width="44.875" customWidth="1"/>
    <col min="5" max="6" width="1.25" customWidth="1"/>
    <col min="7" max="7" width="1.625" customWidth="1"/>
    <col min="8" max="8" width="5.5" bestFit="1" customWidth="1"/>
    <col min="9" max="9" width="2.25" customWidth="1"/>
    <col min="10" max="10" width="18" customWidth="1"/>
  </cols>
  <sheetData>
    <row r="4" spans="2:4" ht="30">
      <c r="B4" s="11" t="s">
        <v>0</v>
      </c>
      <c r="C4" s="11" t="s">
        <v>1</v>
      </c>
      <c r="D4" s="10" t="s">
        <v>2</v>
      </c>
    </row>
    <row r="5" spans="2:4">
      <c r="B5" s="152" t="s">
        <v>3</v>
      </c>
      <c r="C5" s="4" t="s">
        <v>4</v>
      </c>
      <c r="D5" s="4">
        <v>55</v>
      </c>
    </row>
    <row r="6" spans="2:4">
      <c r="B6" s="152"/>
      <c r="C6" s="4" t="s">
        <v>5</v>
      </c>
      <c r="D6" s="4">
        <v>5</v>
      </c>
    </row>
    <row r="7" spans="2:4">
      <c r="B7" s="153" t="s">
        <v>6</v>
      </c>
      <c r="C7" s="3" t="s">
        <v>7</v>
      </c>
      <c r="D7" s="3">
        <v>10</v>
      </c>
    </row>
    <row r="8" spans="2:4">
      <c r="B8" s="153"/>
      <c r="C8" s="3" t="s">
        <v>8</v>
      </c>
      <c r="D8" s="3">
        <v>2</v>
      </c>
    </row>
    <row r="9" spans="2:4">
      <c r="B9" s="153"/>
      <c r="C9" s="3" t="s">
        <v>9</v>
      </c>
      <c r="D9" s="3">
        <v>2</v>
      </c>
    </row>
    <row r="10" spans="2:4">
      <c r="B10" s="5" t="s">
        <v>10</v>
      </c>
      <c r="C10" s="6" t="s">
        <v>11</v>
      </c>
      <c r="D10" s="6">
        <v>3</v>
      </c>
    </row>
    <row r="11" spans="2:4">
      <c r="B11" s="154" t="s">
        <v>12</v>
      </c>
      <c r="C11" s="7" t="s">
        <v>13</v>
      </c>
      <c r="D11" s="7">
        <v>3</v>
      </c>
    </row>
    <row r="12" spans="2:4">
      <c r="B12" s="154"/>
      <c r="C12" s="7" t="s">
        <v>14</v>
      </c>
      <c r="D12" s="7">
        <v>2</v>
      </c>
    </row>
    <row r="13" spans="2:4">
      <c r="B13" s="155" t="s">
        <v>15</v>
      </c>
      <c r="C13" s="8" t="s">
        <v>16</v>
      </c>
      <c r="D13" s="8">
        <v>8</v>
      </c>
    </row>
    <row r="14" spans="2:4">
      <c r="B14" s="155"/>
      <c r="C14" s="8" t="s">
        <v>17</v>
      </c>
      <c r="D14" s="8">
        <v>5</v>
      </c>
    </row>
    <row r="15" spans="2:4">
      <c r="B15" s="155"/>
      <c r="C15" s="8" t="s">
        <v>18</v>
      </c>
      <c r="D15" s="8">
        <v>5</v>
      </c>
    </row>
    <row r="16" spans="2:4">
      <c r="B16" s="9" t="s">
        <v>19</v>
      </c>
      <c r="C16" s="9"/>
      <c r="D16" s="9">
        <f>SUM(D5:D15)</f>
        <v>100</v>
      </c>
    </row>
    <row r="17" spans="2:11" ht="315">
      <c r="G17" s="13" t="s">
        <v>20</v>
      </c>
      <c r="H17" s="13" t="s">
        <v>21</v>
      </c>
      <c r="J17" s="13" t="s">
        <v>22</v>
      </c>
      <c r="K17" s="2" t="s">
        <v>21</v>
      </c>
    </row>
    <row r="18" spans="2:11">
      <c r="G18" s="13" t="s">
        <v>23</v>
      </c>
      <c r="H18" s="13">
        <v>1</v>
      </c>
      <c r="J18" s="13" t="s">
        <v>24</v>
      </c>
      <c r="K18" s="2">
        <v>1</v>
      </c>
    </row>
    <row r="19" spans="2:11" ht="165">
      <c r="G19" s="13" t="s">
        <v>25</v>
      </c>
      <c r="H19" s="13">
        <v>2</v>
      </c>
      <c r="J19" s="13" t="s">
        <v>26</v>
      </c>
      <c r="K19" s="2">
        <v>1</v>
      </c>
    </row>
    <row r="20" spans="2:11">
      <c r="G20" s="13" t="s">
        <v>27</v>
      </c>
      <c r="H20" s="13">
        <v>5</v>
      </c>
      <c r="J20" s="13" t="s">
        <v>28</v>
      </c>
      <c r="K20" s="2">
        <v>1</v>
      </c>
    </row>
    <row r="21" spans="2:11">
      <c r="D21" s="12"/>
      <c r="E21" s="12"/>
      <c r="F21" s="12"/>
      <c r="G21" s="12"/>
    </row>
    <row r="22" spans="2:11">
      <c r="D22" s="12"/>
      <c r="E22" s="12"/>
      <c r="F22" s="12"/>
      <c r="G22" s="12"/>
    </row>
    <row r="23" spans="2:11" ht="345">
      <c r="D23" s="12"/>
      <c r="E23" s="12"/>
      <c r="F23" s="12"/>
      <c r="G23" s="13" t="s">
        <v>29</v>
      </c>
      <c r="H23" s="2" t="s">
        <v>21</v>
      </c>
    </row>
    <row r="24" spans="2:11" ht="90">
      <c r="D24" s="12"/>
      <c r="E24" s="12"/>
      <c r="F24" s="12"/>
      <c r="G24" s="15" t="s">
        <v>30</v>
      </c>
      <c r="H24" s="2">
        <v>10</v>
      </c>
    </row>
    <row r="25" spans="2:11" ht="180">
      <c r="B25" s="12"/>
      <c r="C25" s="12"/>
      <c r="D25" s="12"/>
      <c r="E25" s="12"/>
      <c r="F25" s="12"/>
      <c r="G25" s="15" t="s">
        <v>31</v>
      </c>
      <c r="H25" s="2">
        <v>6</v>
      </c>
    </row>
    <row r="26" spans="2:11" ht="195">
      <c r="B26" s="12"/>
      <c r="C26" s="12"/>
      <c r="D26" s="12"/>
      <c r="E26" s="12"/>
      <c r="F26" s="12"/>
      <c r="G26" s="15" t="s">
        <v>32</v>
      </c>
      <c r="H26" s="2">
        <v>3</v>
      </c>
    </row>
    <row r="27" spans="2:11" ht="105">
      <c r="B27" s="12"/>
      <c r="C27" s="12"/>
      <c r="D27" s="12"/>
      <c r="E27" s="12"/>
      <c r="F27" s="12"/>
      <c r="G27" s="15" t="s">
        <v>33</v>
      </c>
      <c r="H27" s="2">
        <v>0</v>
      </c>
    </row>
    <row r="28" spans="2:11">
      <c r="B28" s="12"/>
      <c r="C28" s="12"/>
      <c r="D28" s="12"/>
      <c r="E28" s="12"/>
      <c r="F28" s="12"/>
      <c r="G28" s="12"/>
    </row>
    <row r="29" spans="2:11">
      <c r="B29" s="12"/>
      <c r="C29" s="12"/>
      <c r="D29" s="12"/>
      <c r="E29" s="12"/>
      <c r="F29" s="12"/>
      <c r="G29" s="12"/>
    </row>
    <row r="30" spans="2:11" ht="390">
      <c r="B30" s="12"/>
      <c r="C30" s="12"/>
      <c r="D30" s="12"/>
      <c r="E30" s="12"/>
      <c r="F30" s="12"/>
      <c r="G30" s="13" t="s">
        <v>34</v>
      </c>
      <c r="H30" s="2" t="s">
        <v>21</v>
      </c>
    </row>
    <row r="31" spans="2:11" ht="60">
      <c r="B31" s="12"/>
      <c r="C31" s="12"/>
      <c r="D31" s="12"/>
      <c r="E31" s="12"/>
      <c r="F31" s="12"/>
      <c r="G31" s="13" t="s">
        <v>35</v>
      </c>
      <c r="H31" s="2">
        <v>2</v>
      </c>
    </row>
    <row r="32" spans="2:11" ht="45">
      <c r="B32" s="12"/>
      <c r="C32" s="12"/>
      <c r="D32" s="12"/>
      <c r="E32" s="12"/>
      <c r="F32" s="12"/>
      <c r="G32" s="13" t="s">
        <v>36</v>
      </c>
      <c r="H32" s="2">
        <v>1</v>
      </c>
    </row>
    <row r="33" spans="2:8">
      <c r="B33" s="12"/>
      <c r="C33" s="12"/>
      <c r="D33" s="12"/>
      <c r="E33" s="12"/>
      <c r="F33" s="12"/>
      <c r="G33" s="13" t="s">
        <v>37</v>
      </c>
      <c r="H33" s="2">
        <v>0.5</v>
      </c>
    </row>
    <row r="34" spans="2:8" ht="240">
      <c r="B34" s="12"/>
      <c r="C34" s="12"/>
      <c r="D34" s="12"/>
      <c r="E34" s="12"/>
      <c r="F34" s="12"/>
      <c r="G34" s="13" t="s">
        <v>38</v>
      </c>
      <c r="H34" s="2">
        <v>0</v>
      </c>
    </row>
    <row r="35" spans="2:8">
      <c r="B35" s="12"/>
      <c r="C35" s="12"/>
      <c r="D35" s="12"/>
      <c r="E35" s="12"/>
      <c r="F35" s="12"/>
      <c r="G35" s="12"/>
    </row>
    <row r="36" spans="2:8">
      <c r="B36" s="12"/>
      <c r="C36" s="12"/>
      <c r="D36" s="12"/>
      <c r="E36" s="12"/>
      <c r="F36" s="12"/>
      <c r="G36" s="12"/>
    </row>
  </sheetData>
  <mergeCells count="4">
    <mergeCell ref="B5:B6"/>
    <mergeCell ref="B7:B9"/>
    <mergeCell ref="B11:B12"/>
    <mergeCell ref="B13:B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AF93-7868-4467-8A50-4FA5D53A05D9}">
  <dimension ref="A1:L18"/>
  <sheetViews>
    <sheetView topLeftCell="A2" workbookViewId="0">
      <selection activeCell="N14" sqref="N14:O14"/>
    </sheetView>
  </sheetViews>
  <sheetFormatPr defaultColWidth="11" defaultRowHeight="15"/>
  <cols>
    <col min="7" max="7" width="5.5" customWidth="1"/>
    <col min="8" max="8" width="12.875" bestFit="1" customWidth="1"/>
    <col min="12" max="12" width="11.5" bestFit="1" customWidth="1"/>
  </cols>
  <sheetData>
    <row r="1" spans="1:11" ht="35.25" customHeight="1">
      <c r="A1" s="63" t="s">
        <v>155</v>
      </c>
    </row>
    <row r="2" spans="1:11" ht="75">
      <c r="A2" s="125" t="s">
        <v>53</v>
      </c>
      <c r="B2" s="125" t="s">
        <v>156</v>
      </c>
      <c r="C2" s="125"/>
      <c r="D2" s="125" t="s">
        <v>157</v>
      </c>
      <c r="E2" s="126" t="s">
        <v>158</v>
      </c>
      <c r="F2" s="126" t="s">
        <v>159</v>
      </c>
      <c r="H2" s="13" t="s">
        <v>160</v>
      </c>
      <c r="I2" s="13" t="s">
        <v>161</v>
      </c>
      <c r="J2" s="13" t="s">
        <v>162</v>
      </c>
      <c r="K2" s="13" t="s">
        <v>163</v>
      </c>
    </row>
    <row r="3" spans="1:11">
      <c r="A3" s="2">
        <v>60</v>
      </c>
      <c r="B3" s="2">
        <v>6</v>
      </c>
      <c r="C3" s="2" t="s">
        <v>87</v>
      </c>
      <c r="D3" s="2" t="s">
        <v>164</v>
      </c>
      <c r="E3" s="2">
        <v>180</v>
      </c>
      <c r="F3" s="34">
        <f>E3/8.84</f>
        <v>20.361990950226243</v>
      </c>
      <c r="H3" s="127">
        <v>37.700000000000003</v>
      </c>
      <c r="I3" s="127">
        <v>119.26</v>
      </c>
      <c r="J3" s="64">
        <f>H3*E3</f>
        <v>6786.0000000000009</v>
      </c>
      <c r="K3" s="64">
        <f>I3*F3</f>
        <v>2428.3710407239819</v>
      </c>
    </row>
    <row r="4" spans="1:11">
      <c r="A4" s="2">
        <v>80</v>
      </c>
      <c r="B4" s="2">
        <v>6</v>
      </c>
      <c r="C4" s="2" t="s">
        <v>87</v>
      </c>
      <c r="D4" s="2" t="s">
        <v>164</v>
      </c>
      <c r="E4" s="2">
        <v>6</v>
      </c>
      <c r="F4" s="34">
        <f>E4/8.84</f>
        <v>0.67873303167420818</v>
      </c>
      <c r="H4" s="64">
        <v>38.17</v>
      </c>
      <c r="I4" s="64">
        <v>130.81</v>
      </c>
      <c r="J4" s="64">
        <f t="shared" ref="J4:J16" si="0">H4*E4</f>
        <v>229.02</v>
      </c>
      <c r="K4" s="64">
        <f t="shared" ref="K4:K16" si="1">I4*F4</f>
        <v>88.785067873303177</v>
      </c>
    </row>
    <row r="5" spans="1:11">
      <c r="A5" s="2">
        <v>100</v>
      </c>
      <c r="B5" s="2">
        <v>6</v>
      </c>
      <c r="C5" s="2" t="s">
        <v>87</v>
      </c>
      <c r="D5" s="2" t="s">
        <v>164</v>
      </c>
      <c r="E5" s="2">
        <v>400</v>
      </c>
      <c r="F5" s="34">
        <f t="shared" ref="F5:F16" si="2">E5/8.84</f>
        <v>45.248868778280546</v>
      </c>
      <c r="H5" s="64">
        <v>41.18</v>
      </c>
      <c r="I5" s="64">
        <v>138.26</v>
      </c>
      <c r="J5" s="64">
        <f t="shared" si="0"/>
        <v>16472</v>
      </c>
      <c r="K5" s="64">
        <f t="shared" si="1"/>
        <v>6256.1085972850678</v>
      </c>
    </row>
    <row r="6" spans="1:11">
      <c r="A6" s="2">
        <v>125</v>
      </c>
      <c r="B6" s="2">
        <v>6</v>
      </c>
      <c r="C6" s="2" t="s">
        <v>87</v>
      </c>
      <c r="D6" s="2" t="s">
        <v>164</v>
      </c>
      <c r="E6" s="2">
        <v>6</v>
      </c>
      <c r="F6" s="34">
        <f t="shared" si="2"/>
        <v>0.67873303167420818</v>
      </c>
      <c r="H6" s="64">
        <v>56.85</v>
      </c>
      <c r="I6" s="64">
        <v>193.29</v>
      </c>
      <c r="J6" s="64">
        <f t="shared" si="0"/>
        <v>341.1</v>
      </c>
      <c r="K6" s="64">
        <f t="shared" si="1"/>
        <v>131.19230769230768</v>
      </c>
    </row>
    <row r="7" spans="1:11">
      <c r="A7" s="2">
        <v>150</v>
      </c>
      <c r="B7" s="2">
        <v>6</v>
      </c>
      <c r="C7" s="2" t="s">
        <v>87</v>
      </c>
      <c r="D7" s="2" t="s">
        <v>164</v>
      </c>
      <c r="E7" s="2">
        <v>48</v>
      </c>
      <c r="F7" s="34">
        <f t="shared" si="2"/>
        <v>5.4298642533936654</v>
      </c>
      <c r="H7" s="64">
        <v>57.03</v>
      </c>
      <c r="I7" s="64">
        <v>194.8</v>
      </c>
      <c r="J7" s="64">
        <f t="shared" si="0"/>
        <v>2737.44</v>
      </c>
      <c r="K7" s="64">
        <f t="shared" si="1"/>
        <v>1057.7375565610862</v>
      </c>
    </row>
    <row r="8" spans="1:11">
      <c r="A8" s="2">
        <v>200</v>
      </c>
      <c r="B8" s="2">
        <v>6</v>
      </c>
      <c r="C8" s="2" t="s">
        <v>87</v>
      </c>
      <c r="D8" s="2" t="s">
        <v>164</v>
      </c>
      <c r="E8" s="2">
        <v>96</v>
      </c>
      <c r="F8" s="34">
        <f t="shared" si="2"/>
        <v>10.859728506787331</v>
      </c>
      <c r="H8" s="64">
        <v>78.510000000000005</v>
      </c>
      <c r="I8" s="64">
        <v>258.07</v>
      </c>
      <c r="J8" s="64">
        <f t="shared" si="0"/>
        <v>7536.9600000000009</v>
      </c>
      <c r="K8" s="64">
        <f t="shared" si="1"/>
        <v>2802.5701357466064</v>
      </c>
    </row>
    <row r="9" spans="1:11">
      <c r="A9" s="2">
        <v>250</v>
      </c>
      <c r="B9" s="2">
        <v>6</v>
      </c>
      <c r="C9" s="2" t="s">
        <v>87</v>
      </c>
      <c r="D9" s="2" t="s">
        <v>164</v>
      </c>
      <c r="E9" s="2">
        <v>6</v>
      </c>
      <c r="F9" s="34">
        <f t="shared" si="2"/>
        <v>0.67873303167420818</v>
      </c>
      <c r="H9" s="64">
        <v>103.44</v>
      </c>
      <c r="I9" s="64">
        <v>360.56</v>
      </c>
      <c r="J9" s="64">
        <f t="shared" si="0"/>
        <v>620.64</v>
      </c>
      <c r="K9" s="64">
        <f t="shared" si="1"/>
        <v>244.72398190045251</v>
      </c>
    </row>
    <row r="10" spans="1:11">
      <c r="A10" s="2">
        <v>300</v>
      </c>
      <c r="B10" s="2">
        <v>6</v>
      </c>
      <c r="C10" s="2" t="s">
        <v>87</v>
      </c>
      <c r="D10" s="2" t="s">
        <v>164</v>
      </c>
      <c r="E10" s="2">
        <v>48</v>
      </c>
      <c r="F10" s="34">
        <f t="shared" si="2"/>
        <v>5.4298642533936654</v>
      </c>
      <c r="H10" s="64">
        <v>136.77000000000001</v>
      </c>
      <c r="I10" s="64">
        <v>545.41999999999996</v>
      </c>
      <c r="J10" s="64">
        <f t="shared" si="0"/>
        <v>6564.9600000000009</v>
      </c>
      <c r="K10" s="64">
        <f t="shared" si="1"/>
        <v>2961.5565610859726</v>
      </c>
    </row>
    <row r="11" spans="1:11">
      <c r="A11" s="2">
        <v>350</v>
      </c>
      <c r="B11" s="2">
        <v>6</v>
      </c>
      <c r="C11" s="2" t="s">
        <v>87</v>
      </c>
      <c r="D11" s="2" t="s">
        <v>165</v>
      </c>
      <c r="E11" s="2">
        <v>6</v>
      </c>
      <c r="F11" s="34">
        <f t="shared" si="2"/>
        <v>0.67873303167420818</v>
      </c>
      <c r="H11" s="64">
        <v>175.07</v>
      </c>
      <c r="I11" s="64">
        <v>821.32</v>
      </c>
      <c r="J11" s="64">
        <f t="shared" si="0"/>
        <v>1050.42</v>
      </c>
      <c r="K11" s="64">
        <f t="shared" si="1"/>
        <v>557.45701357466066</v>
      </c>
    </row>
    <row r="12" spans="1:11">
      <c r="A12" s="2">
        <v>400</v>
      </c>
      <c r="B12" s="2">
        <v>6</v>
      </c>
      <c r="C12" s="2" t="s">
        <v>87</v>
      </c>
      <c r="D12" s="2" t="s">
        <v>165</v>
      </c>
      <c r="E12" s="2">
        <v>6</v>
      </c>
      <c r="F12" s="34">
        <f t="shared" si="2"/>
        <v>0.67873303167420818</v>
      </c>
      <c r="H12" s="64">
        <v>205.34</v>
      </c>
      <c r="I12" s="64">
        <v>1120.45</v>
      </c>
      <c r="J12" s="64">
        <f t="shared" si="0"/>
        <v>1232.04</v>
      </c>
      <c r="K12" s="64">
        <f t="shared" si="1"/>
        <v>760.48642533936663</v>
      </c>
    </row>
    <row r="13" spans="1:11">
      <c r="A13" s="2">
        <v>450</v>
      </c>
      <c r="B13" s="2">
        <v>6</v>
      </c>
      <c r="C13" s="2" t="s">
        <v>87</v>
      </c>
      <c r="D13" s="2" t="s">
        <v>165</v>
      </c>
      <c r="E13" s="2">
        <v>6</v>
      </c>
      <c r="F13" s="34">
        <f t="shared" si="2"/>
        <v>0.67873303167420818</v>
      </c>
      <c r="H13" s="64">
        <v>241.1</v>
      </c>
      <c r="I13" s="64">
        <v>1432.8</v>
      </c>
      <c r="J13" s="64">
        <f t="shared" si="0"/>
        <v>1446.6</v>
      </c>
      <c r="K13" s="64">
        <f t="shared" si="1"/>
        <v>972.48868778280541</v>
      </c>
    </row>
    <row r="14" spans="1:11">
      <c r="A14" s="2">
        <v>500</v>
      </c>
      <c r="B14" s="2">
        <v>6</v>
      </c>
      <c r="C14" s="2" t="s">
        <v>87</v>
      </c>
      <c r="D14" s="2" t="s">
        <v>165</v>
      </c>
      <c r="E14" s="2">
        <v>6</v>
      </c>
      <c r="F14" s="34">
        <f t="shared" si="2"/>
        <v>0.67873303167420818</v>
      </c>
      <c r="H14" s="64">
        <v>279.45</v>
      </c>
      <c r="I14" s="64">
        <v>1763.42</v>
      </c>
      <c r="J14" s="64">
        <f t="shared" si="0"/>
        <v>1676.6999999999998</v>
      </c>
      <c r="K14" s="64">
        <f t="shared" si="1"/>
        <v>1196.8914027149322</v>
      </c>
    </row>
    <row r="15" spans="1:11">
      <c r="A15" s="2">
        <v>600</v>
      </c>
      <c r="B15" s="2">
        <v>6</v>
      </c>
      <c r="C15" s="2" t="s">
        <v>87</v>
      </c>
      <c r="D15" s="2" t="s">
        <v>165</v>
      </c>
      <c r="E15" s="2">
        <v>6</v>
      </c>
      <c r="F15" s="34">
        <f t="shared" si="2"/>
        <v>0.67873303167420818</v>
      </c>
      <c r="H15" s="64">
        <v>374.78</v>
      </c>
      <c r="I15" s="64">
        <v>1811.62</v>
      </c>
      <c r="J15" s="64">
        <f t="shared" si="0"/>
        <v>2248.6799999999998</v>
      </c>
      <c r="K15" s="64">
        <f t="shared" si="1"/>
        <v>1229.606334841629</v>
      </c>
    </row>
    <row r="16" spans="1:11">
      <c r="A16" s="2">
        <v>700</v>
      </c>
      <c r="B16" s="2">
        <v>6.96</v>
      </c>
      <c r="C16" s="2" t="s">
        <v>87</v>
      </c>
      <c r="D16" s="2" t="s">
        <v>165</v>
      </c>
      <c r="E16" s="2">
        <v>6</v>
      </c>
      <c r="F16" s="34">
        <f t="shared" si="2"/>
        <v>0.67873303167420818</v>
      </c>
      <c r="H16" s="64">
        <v>807.88</v>
      </c>
      <c r="I16" s="128">
        <v>5725.46</v>
      </c>
      <c r="J16" s="64">
        <f t="shared" si="0"/>
        <v>4847.28</v>
      </c>
      <c r="K16" s="64">
        <f t="shared" si="1"/>
        <v>3886.0588235294122</v>
      </c>
    </row>
    <row r="17" spans="8:12">
      <c r="H17" s="60" t="s">
        <v>166</v>
      </c>
      <c r="I17" s="60"/>
      <c r="J17" s="62">
        <f>SUM(J3:J16)</f>
        <v>53789.839999999989</v>
      </c>
      <c r="K17" s="62">
        <f>SUM(K3:K16)</f>
        <v>24574.033936651587</v>
      </c>
      <c r="L17" s="66">
        <f>J17+K17</f>
        <v>78363.87393665158</v>
      </c>
    </row>
    <row r="18" spans="8:12">
      <c r="J18" s="5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AB67-BDE8-40B4-8F92-68661FB2C255}">
  <dimension ref="B3:I8"/>
  <sheetViews>
    <sheetView workbookViewId="0">
      <selection activeCell="H19" sqref="H19"/>
    </sheetView>
  </sheetViews>
  <sheetFormatPr defaultColWidth="11" defaultRowHeight="15"/>
  <cols>
    <col min="1" max="1" width="1.875" customWidth="1"/>
    <col min="2" max="5" width="16.25" customWidth="1"/>
    <col min="6" max="6" width="18" customWidth="1"/>
    <col min="7" max="7" width="1.625" customWidth="1"/>
    <col min="8" max="8" width="24.375" customWidth="1"/>
    <col min="9" max="9" width="5.875" bestFit="1" customWidth="1"/>
  </cols>
  <sheetData>
    <row r="3" spans="2:9" s="1" customFormat="1" ht="30">
      <c r="B3" s="17" t="s">
        <v>39</v>
      </c>
      <c r="C3" s="17" t="s">
        <v>40</v>
      </c>
      <c r="D3" s="17" t="s">
        <v>41</v>
      </c>
      <c r="E3" s="17" t="s">
        <v>42</v>
      </c>
      <c r="F3" s="17" t="s">
        <v>43</v>
      </c>
      <c r="G3" s="18"/>
      <c r="H3" s="17" t="s">
        <v>44</v>
      </c>
      <c r="I3" s="19" t="s">
        <v>21</v>
      </c>
    </row>
    <row r="4" spans="2:9">
      <c r="B4" s="2"/>
      <c r="C4" s="2"/>
      <c r="D4" s="2"/>
      <c r="E4" s="2"/>
      <c r="F4" s="2"/>
      <c r="H4" s="2" t="s">
        <v>45</v>
      </c>
      <c r="I4" s="2">
        <v>1</v>
      </c>
    </row>
    <row r="5" spans="2:9">
      <c r="B5" s="2"/>
      <c r="C5" s="2"/>
      <c r="D5" s="2"/>
      <c r="E5" s="2"/>
      <c r="F5" s="2"/>
      <c r="H5" s="2" t="s">
        <v>46</v>
      </c>
      <c r="I5" s="2">
        <v>1</v>
      </c>
    </row>
    <row r="6" spans="2:9">
      <c r="B6" s="2"/>
      <c r="C6" s="2"/>
      <c r="D6" s="2"/>
      <c r="E6" s="2"/>
      <c r="F6" s="2"/>
      <c r="H6" s="2" t="s">
        <v>47</v>
      </c>
      <c r="I6" s="2">
        <v>1</v>
      </c>
    </row>
    <row r="7" spans="2:9">
      <c r="B7" s="2"/>
      <c r="C7" s="2"/>
      <c r="D7" s="2"/>
      <c r="E7" s="2"/>
      <c r="F7" s="2"/>
    </row>
    <row r="8" spans="2:9">
      <c r="B8" s="2"/>
      <c r="C8" s="2"/>
      <c r="D8" s="2"/>
      <c r="E8" s="2"/>
      <c r="F8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36509-74C1-4831-A4E9-D69DAA3EE61C}">
  <dimension ref="A1:I33"/>
  <sheetViews>
    <sheetView zoomScale="160" zoomScaleNormal="160" workbookViewId="0">
      <selection activeCell="F5" sqref="F5"/>
    </sheetView>
  </sheetViews>
  <sheetFormatPr defaultColWidth="11" defaultRowHeight="15"/>
  <cols>
    <col min="1" max="1" width="33.5" style="12" customWidth="1"/>
    <col min="2" max="2" width="8.625" customWidth="1"/>
    <col min="3" max="3" width="1.75" customWidth="1"/>
    <col min="4" max="4" width="13.125" customWidth="1"/>
  </cols>
  <sheetData>
    <row r="1" spans="1:9" ht="2.25" customHeight="1"/>
    <row r="2" spans="1:9" ht="2.25" customHeight="1"/>
    <row r="3" spans="1:9" ht="22.5" customHeight="1">
      <c r="A3" s="16" t="s">
        <v>48</v>
      </c>
      <c r="B3" s="20" t="s">
        <v>21</v>
      </c>
    </row>
    <row r="4" spans="1:9" ht="33.75" customHeight="1">
      <c r="A4" s="14" t="s">
        <v>49</v>
      </c>
      <c r="B4" s="2">
        <v>1</v>
      </c>
    </row>
    <row r="5" spans="1:9" ht="33.75" customHeight="1">
      <c r="A5" s="14" t="s">
        <v>50</v>
      </c>
      <c r="B5" s="2">
        <v>1</v>
      </c>
    </row>
    <row r="6" spans="1:9" ht="33.75" customHeight="1">
      <c r="A6" s="13" t="s">
        <v>51</v>
      </c>
      <c r="B6" s="2">
        <v>1</v>
      </c>
    </row>
    <row r="7" spans="1:9" ht="15.75" thickBot="1"/>
    <row r="8" spans="1:9" ht="15.75" thickBot="1">
      <c r="D8" s="158" t="s">
        <v>52</v>
      </c>
      <c r="E8" s="160" t="s">
        <v>53</v>
      </c>
      <c r="F8" s="161"/>
      <c r="G8" s="161"/>
      <c r="H8" s="162"/>
    </row>
    <row r="9" spans="1:9" ht="15.75" thickBot="1">
      <c r="D9" s="159"/>
      <c r="E9" s="21" t="s">
        <v>54</v>
      </c>
      <c r="F9" s="21" t="s">
        <v>55</v>
      </c>
      <c r="G9" s="21" t="s">
        <v>56</v>
      </c>
      <c r="H9" s="21" t="s">
        <v>57</v>
      </c>
    </row>
    <row r="10" spans="1:9" ht="30.75" thickBot="1">
      <c r="D10" s="22" t="s">
        <v>58</v>
      </c>
      <c r="E10" s="23" t="s">
        <v>59</v>
      </c>
      <c r="F10" s="23" t="s">
        <v>60</v>
      </c>
      <c r="G10" s="23" t="s">
        <v>61</v>
      </c>
      <c r="H10" s="23" t="s">
        <v>62</v>
      </c>
      <c r="I10">
        <v>0</v>
      </c>
    </row>
    <row r="11" spans="1:9" hidden="1">
      <c r="E11">
        <v>1</v>
      </c>
      <c r="F11">
        <v>3</v>
      </c>
      <c r="G11">
        <v>4</v>
      </c>
      <c r="H11">
        <v>8</v>
      </c>
    </row>
    <row r="12" spans="1:9" hidden="1">
      <c r="E12">
        <v>7</v>
      </c>
      <c r="F12">
        <v>14</v>
      </c>
      <c r="G12">
        <v>30</v>
      </c>
      <c r="H12">
        <v>60</v>
      </c>
    </row>
    <row r="13" spans="1:9" hidden="1">
      <c r="E13">
        <v>5</v>
      </c>
      <c r="F13">
        <v>15</v>
      </c>
      <c r="G13">
        <v>21</v>
      </c>
      <c r="H13">
        <v>42</v>
      </c>
    </row>
    <row r="14" spans="1:9" hidden="1">
      <c r="D14" s="24">
        <v>0.1</v>
      </c>
      <c r="E14" s="25">
        <f>$E$13*(100%-$D14)</f>
        <v>4.5</v>
      </c>
      <c r="F14" s="25">
        <f>$F$13*(100%-$D14)</f>
        <v>13.5</v>
      </c>
      <c r="G14" s="25">
        <f>$G$13*(100%-$D14)</f>
        <v>18.900000000000002</v>
      </c>
      <c r="H14" s="25">
        <f>$H$13*(100%-$D14)</f>
        <v>37.800000000000004</v>
      </c>
    </row>
    <row r="15" spans="1:9" hidden="1">
      <c r="D15" s="24">
        <v>0.2</v>
      </c>
      <c r="E15" s="25">
        <f>$E$13*(100%-$D15)</f>
        <v>4</v>
      </c>
      <c r="F15" s="25">
        <f>$F$13*(100%-$D15)</f>
        <v>12</v>
      </c>
      <c r="G15" s="25">
        <f>$G$13*(100%-$D15)</f>
        <v>16.8</v>
      </c>
      <c r="H15" s="25">
        <f>$H$13*(100%-$D15)</f>
        <v>33.6</v>
      </c>
    </row>
    <row r="16" spans="1:9" hidden="1">
      <c r="D16" s="24">
        <v>0.3</v>
      </c>
      <c r="E16" s="25">
        <f>$E$13*(100%-$D16)</f>
        <v>3.5</v>
      </c>
      <c r="F16" s="25">
        <f>$F$13*(100%-$D16)</f>
        <v>10.5</v>
      </c>
      <c r="G16" s="25">
        <f>$G$13*(100%-$D16)</f>
        <v>14.7</v>
      </c>
      <c r="H16" s="25">
        <f>$H$13*(100%-$D16)</f>
        <v>29.4</v>
      </c>
      <c r="I16">
        <v>2</v>
      </c>
    </row>
    <row r="17" spans="4:9" hidden="1">
      <c r="D17" s="24">
        <v>0.4</v>
      </c>
      <c r="E17" s="25">
        <f>$E$13*(100%-$D17)</f>
        <v>3</v>
      </c>
      <c r="F17" s="25">
        <f>$F$13*(100%-$D17)</f>
        <v>9</v>
      </c>
      <c r="G17" s="25">
        <f>$G$13*(100%-$D17)</f>
        <v>12.6</v>
      </c>
      <c r="H17" s="25">
        <f>$H$13*(100%-$D17)</f>
        <v>25.2</v>
      </c>
    </row>
    <row r="18" spans="4:9" hidden="1">
      <c r="D18" s="24">
        <v>0.5</v>
      </c>
      <c r="E18" s="25">
        <f>$E$13*(100%-$D18)</f>
        <v>2.5</v>
      </c>
      <c r="F18" s="25">
        <f>$F$13*(100%-$D18)</f>
        <v>7.5</v>
      </c>
      <c r="G18" s="25">
        <f>$G$13*(100%-$D18)</f>
        <v>10.5</v>
      </c>
      <c r="H18" s="25">
        <f>$H$13*(100%-$D18)</f>
        <v>21</v>
      </c>
      <c r="I18">
        <v>5</v>
      </c>
    </row>
    <row r="19" spans="4:9" ht="5.25" customHeight="1"/>
    <row r="20" spans="4:9" ht="5.25" customHeight="1" thickBot="1"/>
    <row r="21" spans="4:9" ht="21" customHeight="1" thickBot="1">
      <c r="D21" s="163" t="s">
        <v>63</v>
      </c>
      <c r="E21" s="161" t="s">
        <v>53</v>
      </c>
      <c r="F21" s="161"/>
      <c r="G21" s="161"/>
      <c r="H21" s="162"/>
      <c r="I21" s="156" t="s">
        <v>21</v>
      </c>
    </row>
    <row r="22" spans="4:9" ht="21" customHeight="1">
      <c r="D22" s="164"/>
      <c r="E22" s="26" t="s">
        <v>54</v>
      </c>
      <c r="F22" s="26" t="s">
        <v>55</v>
      </c>
      <c r="G22" s="26" t="s">
        <v>56</v>
      </c>
      <c r="H22" s="26" t="s">
        <v>57</v>
      </c>
      <c r="I22" s="156"/>
    </row>
    <row r="23" spans="4:9">
      <c r="D23" s="157" t="s">
        <v>64</v>
      </c>
      <c r="E23" s="29">
        <v>5</v>
      </c>
      <c r="F23" s="27">
        <v>15</v>
      </c>
      <c r="G23" s="27">
        <v>21</v>
      </c>
      <c r="H23" s="27">
        <v>42</v>
      </c>
      <c r="I23" s="31">
        <v>0</v>
      </c>
    </row>
    <row r="24" spans="4:9">
      <c r="D24" s="157"/>
      <c r="E24" s="32">
        <v>3.5</v>
      </c>
      <c r="F24" s="33">
        <v>10.5</v>
      </c>
      <c r="G24" s="33">
        <v>14.7</v>
      </c>
      <c r="H24" s="33">
        <v>29.4</v>
      </c>
      <c r="I24" s="33">
        <v>3</v>
      </c>
    </row>
    <row r="25" spans="4:9">
      <c r="D25" s="157"/>
      <c r="E25" s="30">
        <v>2.5</v>
      </c>
      <c r="F25" s="28">
        <v>7.5</v>
      </c>
      <c r="G25" s="28">
        <v>10.5</v>
      </c>
      <c r="H25" s="28">
        <v>21</v>
      </c>
      <c r="I25" s="28">
        <v>5</v>
      </c>
    </row>
    <row r="26" spans="4:9" hidden="1">
      <c r="E26">
        <v>1</v>
      </c>
      <c r="F26">
        <v>3</v>
      </c>
      <c r="G26">
        <v>4</v>
      </c>
      <c r="H26">
        <v>8</v>
      </c>
    </row>
    <row r="27" spans="4:9" hidden="1">
      <c r="E27">
        <v>7</v>
      </c>
      <c r="F27">
        <v>14</v>
      </c>
      <c r="G27">
        <v>30</v>
      </c>
      <c r="H27">
        <v>60</v>
      </c>
    </row>
    <row r="28" spans="4:9" hidden="1">
      <c r="E28">
        <v>5</v>
      </c>
      <c r="F28">
        <v>15</v>
      </c>
      <c r="G28">
        <v>21</v>
      </c>
      <c r="H28">
        <v>42</v>
      </c>
    </row>
    <row r="29" spans="4:9" hidden="1">
      <c r="D29" s="24">
        <v>0.1</v>
      </c>
      <c r="E29" s="25">
        <f>$E$13*(100%-$D29)</f>
        <v>4.5</v>
      </c>
      <c r="F29" s="25">
        <f>$F$13*(100%-$D29)</f>
        <v>13.5</v>
      </c>
      <c r="G29" s="25">
        <f>$G$13*(100%-$D29)</f>
        <v>18.900000000000002</v>
      </c>
      <c r="H29" s="25">
        <f>$H$13*(100%-$D29)</f>
        <v>37.800000000000004</v>
      </c>
    </row>
    <row r="30" spans="4:9" hidden="1">
      <c r="D30" s="24">
        <v>0.2</v>
      </c>
      <c r="E30" s="25">
        <f>$E$13*(100%-$D30)</f>
        <v>4</v>
      </c>
      <c r="F30" s="25">
        <f>$F$13*(100%-$D30)</f>
        <v>12</v>
      </c>
      <c r="G30" s="25">
        <f>$G$13*(100%-$D30)</f>
        <v>16.8</v>
      </c>
      <c r="H30" s="25">
        <f>$H$13*(100%-$D30)</f>
        <v>33.6</v>
      </c>
    </row>
    <row r="31" spans="4:9" hidden="1">
      <c r="D31" s="24">
        <v>0.3</v>
      </c>
      <c r="E31" s="25">
        <f>$E$13*(100%-$D31)</f>
        <v>3.5</v>
      </c>
      <c r="F31" s="25">
        <f>$F$13*(100%-$D31)</f>
        <v>10.5</v>
      </c>
      <c r="G31" s="25">
        <f>$G$13*(100%-$D31)</f>
        <v>14.7</v>
      </c>
      <c r="H31" s="25">
        <f>$H$13*(100%-$D31)</f>
        <v>29.4</v>
      </c>
      <c r="I31">
        <v>2</v>
      </c>
    </row>
    <row r="32" spans="4:9" hidden="1">
      <c r="D32" s="24">
        <v>0.4</v>
      </c>
      <c r="E32" s="25">
        <f>$E$13*(100%-$D32)</f>
        <v>3</v>
      </c>
      <c r="F32" s="25">
        <f>$F$13*(100%-$D32)</f>
        <v>9</v>
      </c>
      <c r="G32" s="25">
        <f>$G$13*(100%-$D32)</f>
        <v>12.6</v>
      </c>
      <c r="H32" s="25">
        <f>$H$13*(100%-$D32)</f>
        <v>25.2</v>
      </c>
    </row>
    <row r="33" spans="4:9" hidden="1">
      <c r="D33" s="24">
        <v>0.5</v>
      </c>
      <c r="E33" s="25">
        <f>$E$13*(100%-$D33)</f>
        <v>2.5</v>
      </c>
      <c r="F33" s="25">
        <f>$F$13*(100%-$D33)</f>
        <v>7.5</v>
      </c>
      <c r="G33" s="25">
        <f>$G$13*(100%-$D33)</f>
        <v>10.5</v>
      </c>
      <c r="H33" s="25">
        <f>$H$13*(100%-$D33)</f>
        <v>21</v>
      </c>
      <c r="I33">
        <v>5</v>
      </c>
    </row>
  </sheetData>
  <mergeCells count="6">
    <mergeCell ref="I21:I22"/>
    <mergeCell ref="D23:D25"/>
    <mergeCell ref="D8:D9"/>
    <mergeCell ref="E8:H8"/>
    <mergeCell ref="D21:D22"/>
    <mergeCell ref="E21:H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DB2D3-484D-4280-B011-2C995EB531FB}">
  <dimension ref="A1:P40"/>
  <sheetViews>
    <sheetView workbookViewId="0">
      <selection activeCell="N20" sqref="N20"/>
    </sheetView>
  </sheetViews>
  <sheetFormatPr defaultColWidth="11" defaultRowHeight="15"/>
  <cols>
    <col min="1" max="1" width="30.375" bestFit="1" customWidth="1"/>
    <col min="2" max="2" width="11.75" bestFit="1" customWidth="1"/>
    <col min="11" max="11" width="11" style="40"/>
  </cols>
  <sheetData>
    <row r="1" spans="1:12" ht="3" customHeight="1"/>
    <row r="2" spans="1:12" ht="3" customHeight="1"/>
    <row r="3" spans="1:12" ht="3" customHeight="1" thickBot="1"/>
    <row r="4" spans="1:12" ht="15.75" thickTop="1">
      <c r="G4" s="48"/>
      <c r="H4" s="49"/>
      <c r="I4" s="49"/>
      <c r="J4" s="49"/>
      <c r="K4" s="50"/>
      <c r="L4" s="51"/>
    </row>
    <row r="5" spans="1:12">
      <c r="G5" s="52"/>
      <c r="H5" s="2" t="s">
        <v>65</v>
      </c>
      <c r="I5" s="2" t="s">
        <v>66</v>
      </c>
      <c r="J5" s="2" t="s">
        <v>67</v>
      </c>
      <c r="K5" s="43"/>
      <c r="L5" s="53"/>
    </row>
    <row r="6" spans="1:12">
      <c r="G6" s="52"/>
      <c r="H6" s="2">
        <v>37.700000000000003</v>
      </c>
      <c r="I6" s="2">
        <v>46.44</v>
      </c>
      <c r="J6" s="2">
        <v>158.35</v>
      </c>
      <c r="L6" s="53"/>
    </row>
    <row r="7" spans="1:12">
      <c r="G7" s="52"/>
      <c r="K7" s="43"/>
      <c r="L7" s="53"/>
    </row>
    <row r="8" spans="1:12">
      <c r="A8" s="38"/>
      <c r="B8" s="38"/>
      <c r="C8" s="165" t="s">
        <v>68</v>
      </c>
      <c r="D8" s="165"/>
      <c r="E8" s="165"/>
      <c r="F8" s="39"/>
      <c r="G8" s="52"/>
      <c r="H8" s="44" t="s">
        <v>69</v>
      </c>
      <c r="I8" s="44"/>
      <c r="J8" s="44"/>
      <c r="K8" s="65" t="s">
        <v>19</v>
      </c>
      <c r="L8" s="53"/>
    </row>
    <row r="9" spans="1:12">
      <c r="A9" s="38" t="s">
        <v>70</v>
      </c>
      <c r="B9" s="38" t="s">
        <v>71</v>
      </c>
      <c r="C9" s="38">
        <v>60</v>
      </c>
      <c r="D9" s="38">
        <v>100</v>
      </c>
      <c r="E9" s="38">
        <v>300</v>
      </c>
      <c r="F9" s="38"/>
      <c r="G9" s="52"/>
      <c r="H9" s="146">
        <f>$H$6*C14</f>
        <v>2073.5</v>
      </c>
      <c r="I9" s="146">
        <f>$I$6*D14</f>
        <v>163933.19999999998</v>
      </c>
      <c r="J9" s="146">
        <f>$J$6*E14</f>
        <v>84717.25</v>
      </c>
      <c r="K9" s="45">
        <f>H9+I9+J9</f>
        <v>250723.94999999998</v>
      </c>
      <c r="L9" s="53"/>
    </row>
    <row r="10" spans="1:12" hidden="1">
      <c r="A10" s="37" t="s">
        <v>72</v>
      </c>
      <c r="B10" s="37">
        <v>0</v>
      </c>
      <c r="C10" s="37">
        <v>0</v>
      </c>
      <c r="D10" s="37">
        <v>0</v>
      </c>
      <c r="E10" s="37"/>
      <c r="G10" s="52"/>
      <c r="K10" s="43"/>
      <c r="L10" s="53"/>
    </row>
    <row r="11" spans="1:12">
      <c r="A11" s="37" t="s">
        <v>73</v>
      </c>
      <c r="B11" s="37">
        <v>1545</v>
      </c>
      <c r="C11" s="37">
        <v>55</v>
      </c>
      <c r="D11" s="37">
        <v>1490</v>
      </c>
      <c r="E11" s="37"/>
      <c r="G11" s="52"/>
      <c r="L11" s="53"/>
    </row>
    <row r="12" spans="1:12">
      <c r="A12" s="37" t="s">
        <v>74</v>
      </c>
      <c r="B12" s="37">
        <v>2030</v>
      </c>
      <c r="C12" s="37"/>
      <c r="D12" s="37">
        <v>2030</v>
      </c>
      <c r="E12" s="37"/>
      <c r="G12" s="52"/>
      <c r="L12" s="53"/>
    </row>
    <row r="13" spans="1:12">
      <c r="A13" s="37" t="s">
        <v>75</v>
      </c>
      <c r="B13" s="37">
        <v>545</v>
      </c>
      <c r="C13" s="37"/>
      <c r="D13" s="37">
        <v>10</v>
      </c>
      <c r="E13" s="37">
        <v>535</v>
      </c>
      <c r="G13" s="52"/>
      <c r="L13" s="53"/>
    </row>
    <row r="14" spans="1:12">
      <c r="A14" s="36" t="s">
        <v>76</v>
      </c>
      <c r="B14" s="36"/>
      <c r="C14" s="36">
        <f>SUM(C10:C13)</f>
        <v>55</v>
      </c>
      <c r="D14" s="36">
        <f>SUM(D10:D13)</f>
        <v>3530</v>
      </c>
      <c r="E14" s="36">
        <f>SUM(E10:E13)</f>
        <v>535</v>
      </c>
      <c r="F14" s="36"/>
      <c r="G14" s="52"/>
      <c r="H14" s="2" t="s">
        <v>65</v>
      </c>
      <c r="I14" s="2" t="s">
        <v>66</v>
      </c>
      <c r="J14" s="2" t="s">
        <v>67</v>
      </c>
      <c r="L14" s="53"/>
    </row>
    <row r="15" spans="1:12">
      <c r="G15" s="52"/>
      <c r="H15" s="2">
        <v>119.26</v>
      </c>
      <c r="I15" s="2">
        <v>137.87</v>
      </c>
      <c r="J15" s="2">
        <v>547.16</v>
      </c>
      <c r="K15" s="43" t="s">
        <v>77</v>
      </c>
      <c r="L15" s="53"/>
    </row>
    <row r="16" spans="1:12">
      <c r="B16" s="35" t="s">
        <v>78</v>
      </c>
      <c r="C16" s="35" t="s">
        <v>79</v>
      </c>
      <c r="D16" s="35" t="s">
        <v>80</v>
      </c>
      <c r="E16" s="35" t="s">
        <v>81</v>
      </c>
      <c r="F16" s="42"/>
      <c r="G16" s="52"/>
      <c r="L16" s="53"/>
    </row>
    <row r="17" spans="1:16">
      <c r="B17" s="2" t="s">
        <v>82</v>
      </c>
      <c r="C17" s="34">
        <f>C22</f>
        <v>4.8620000000000001</v>
      </c>
      <c r="D17" s="34">
        <f>D22</f>
        <v>312.05200000000002</v>
      </c>
      <c r="E17" s="34">
        <f>E22</f>
        <v>21.400000000000002</v>
      </c>
      <c r="F17" s="25"/>
      <c r="G17" s="52"/>
      <c r="H17" s="44" t="s">
        <v>83</v>
      </c>
      <c r="I17" s="44"/>
      <c r="J17" s="44"/>
      <c r="K17" s="65" t="s">
        <v>19</v>
      </c>
      <c r="L17" s="53"/>
    </row>
    <row r="18" spans="1:16">
      <c r="G18" s="52"/>
      <c r="H18" s="146">
        <f>H15*C17</f>
        <v>579.84212000000002</v>
      </c>
      <c r="I18" s="146">
        <f>I15*D17</f>
        <v>43022.609240000005</v>
      </c>
      <c r="J18" s="146">
        <f>J15*E17</f>
        <v>11709.224</v>
      </c>
      <c r="K18" s="45">
        <f>H18+I18+J18</f>
        <v>55311.675360000008</v>
      </c>
      <c r="L18" s="53"/>
    </row>
    <row r="19" spans="1:16">
      <c r="C19">
        <f t="shared" ref="C19:D22" si="0">C11*0.0884</f>
        <v>4.8620000000000001</v>
      </c>
      <c r="D19">
        <f t="shared" si="0"/>
        <v>131.71600000000001</v>
      </c>
      <c r="G19" s="52"/>
      <c r="K19" s="43"/>
      <c r="L19" s="53"/>
    </row>
    <row r="20" spans="1:16">
      <c r="C20">
        <f t="shared" si="0"/>
        <v>0</v>
      </c>
      <c r="D20">
        <f t="shared" si="0"/>
        <v>179.45200000000003</v>
      </c>
      <c r="G20" s="52"/>
      <c r="H20" s="46" t="s">
        <v>84</v>
      </c>
      <c r="I20" s="46"/>
      <c r="J20" s="46"/>
      <c r="K20" s="47">
        <f>K9+K18</f>
        <v>306035.62536000001</v>
      </c>
      <c r="L20" s="53"/>
    </row>
    <row r="21" spans="1:16" ht="15.75" thickBot="1">
      <c r="C21">
        <f t="shared" si="0"/>
        <v>0</v>
      </c>
      <c r="D21">
        <f t="shared" si="0"/>
        <v>0.88400000000000012</v>
      </c>
      <c r="E21">
        <f>E14*0.04</f>
        <v>21.400000000000002</v>
      </c>
      <c r="G21" s="54"/>
      <c r="H21" s="55"/>
      <c r="I21" s="55"/>
      <c r="J21" s="55"/>
      <c r="K21" s="56"/>
      <c r="L21" s="57"/>
    </row>
    <row r="22" spans="1:16" ht="15.75" thickTop="1">
      <c r="C22" s="82">
        <f t="shared" si="0"/>
        <v>4.8620000000000001</v>
      </c>
      <c r="D22" s="82">
        <f t="shared" si="0"/>
        <v>312.05200000000002</v>
      </c>
      <c r="E22" s="82">
        <f>E14*0.04</f>
        <v>21.400000000000002</v>
      </c>
      <c r="H22">
        <f>H15*C23</f>
        <v>0</v>
      </c>
    </row>
    <row r="26" spans="1:16">
      <c r="A26" t="s">
        <v>85</v>
      </c>
    </row>
    <row r="27" spans="1:16" ht="15.75">
      <c r="A27" t="s">
        <v>86</v>
      </c>
      <c r="B27">
        <v>792</v>
      </c>
      <c r="K27" s="41">
        <v>180</v>
      </c>
      <c r="L27" t="s">
        <v>87</v>
      </c>
      <c r="M27" t="s">
        <v>88</v>
      </c>
      <c r="N27" t="s">
        <v>89</v>
      </c>
      <c r="P27">
        <v>180</v>
      </c>
    </row>
    <row r="28" spans="1:16" ht="15.75">
      <c r="A28" t="s">
        <v>90</v>
      </c>
      <c r="B28">
        <f t="shared" ref="B28:B40" si="1">SUM(C28:H28)</f>
        <v>1</v>
      </c>
      <c r="C28">
        <v>1</v>
      </c>
      <c r="K28" s="41">
        <v>90</v>
      </c>
      <c r="L28" t="s">
        <v>87</v>
      </c>
      <c r="M28" t="s">
        <v>91</v>
      </c>
      <c r="N28" t="s">
        <v>89</v>
      </c>
    </row>
    <row r="29" spans="1:16" ht="15.75">
      <c r="A29" t="s">
        <v>92</v>
      </c>
      <c r="B29">
        <f t="shared" si="1"/>
        <v>0</v>
      </c>
      <c r="K29" s="41">
        <v>24</v>
      </c>
      <c r="L29" t="s">
        <v>87</v>
      </c>
      <c r="M29" t="s">
        <v>93</v>
      </c>
      <c r="N29" t="s">
        <v>89</v>
      </c>
    </row>
    <row r="30" spans="1:16" ht="15.75">
      <c r="A30" t="s">
        <v>94</v>
      </c>
      <c r="B30">
        <f t="shared" si="1"/>
        <v>9</v>
      </c>
      <c r="C30">
        <v>6</v>
      </c>
      <c r="D30">
        <v>2</v>
      </c>
      <c r="E30">
        <v>1</v>
      </c>
      <c r="K30" s="41">
        <v>84</v>
      </c>
      <c r="L30" t="s">
        <v>87</v>
      </c>
      <c r="M30" t="s">
        <v>95</v>
      </c>
      <c r="N30" t="s">
        <v>89</v>
      </c>
    </row>
    <row r="31" spans="1:16" ht="15.75">
      <c r="A31" t="s">
        <v>96</v>
      </c>
      <c r="B31">
        <f t="shared" si="1"/>
        <v>8</v>
      </c>
      <c r="C31">
        <v>2</v>
      </c>
      <c r="D31">
        <v>1</v>
      </c>
      <c r="E31">
        <v>3</v>
      </c>
      <c r="G31">
        <v>2</v>
      </c>
      <c r="K31" s="41">
        <v>72</v>
      </c>
      <c r="L31" t="s">
        <v>87</v>
      </c>
      <c r="M31" t="s">
        <v>97</v>
      </c>
    </row>
    <row r="32" spans="1:16" ht="15.75">
      <c r="A32" t="s">
        <v>98</v>
      </c>
      <c r="B32">
        <f t="shared" si="1"/>
        <v>5</v>
      </c>
      <c r="C32">
        <v>2</v>
      </c>
      <c r="D32">
        <v>2</v>
      </c>
      <c r="E32">
        <v>1</v>
      </c>
      <c r="K32" s="41">
        <v>180</v>
      </c>
      <c r="L32" t="s">
        <v>87</v>
      </c>
      <c r="M32" t="s">
        <v>99</v>
      </c>
    </row>
    <row r="33" spans="1:13" ht="15.75">
      <c r="A33" t="s">
        <v>100</v>
      </c>
      <c r="B33">
        <f t="shared" si="1"/>
        <v>2</v>
      </c>
      <c r="C33">
        <v>1</v>
      </c>
      <c r="D33">
        <v>1</v>
      </c>
      <c r="K33" s="41">
        <v>162</v>
      </c>
      <c r="L33" t="s">
        <v>87</v>
      </c>
      <c r="M33" t="s">
        <v>101</v>
      </c>
    </row>
    <row r="34" spans="1:13">
      <c r="A34" t="s">
        <v>102</v>
      </c>
      <c r="B34">
        <f t="shared" si="1"/>
        <v>1</v>
      </c>
      <c r="C34">
        <v>1</v>
      </c>
    </row>
    <row r="35" spans="1:13">
      <c r="A35" t="s">
        <v>103</v>
      </c>
      <c r="B35">
        <f t="shared" si="1"/>
        <v>0</v>
      </c>
    </row>
    <row r="36" spans="1:13">
      <c r="A36" t="s">
        <v>104</v>
      </c>
      <c r="B36">
        <f t="shared" si="1"/>
        <v>3</v>
      </c>
      <c r="C36">
        <v>2</v>
      </c>
      <c r="D36">
        <v>1</v>
      </c>
    </row>
    <row r="37" spans="1:13">
      <c r="A37" t="s">
        <v>105</v>
      </c>
      <c r="B37">
        <f t="shared" si="1"/>
        <v>8</v>
      </c>
      <c r="C37">
        <v>1</v>
      </c>
      <c r="D37">
        <v>1</v>
      </c>
      <c r="E37">
        <v>1</v>
      </c>
      <c r="G37">
        <v>3</v>
      </c>
      <c r="H37">
        <v>2</v>
      </c>
    </row>
    <row r="38" spans="1:13">
      <c r="A38" t="s">
        <v>106</v>
      </c>
      <c r="B38">
        <f t="shared" si="1"/>
        <v>8</v>
      </c>
      <c r="C38">
        <v>1</v>
      </c>
      <c r="D38">
        <v>2</v>
      </c>
      <c r="E38">
        <v>4</v>
      </c>
      <c r="G38">
        <v>1</v>
      </c>
    </row>
    <row r="39" spans="1:13">
      <c r="A39" t="s">
        <v>107</v>
      </c>
      <c r="B39">
        <f t="shared" si="1"/>
        <v>0</v>
      </c>
    </row>
    <row r="40" spans="1:13">
      <c r="A40" t="s">
        <v>108</v>
      </c>
      <c r="B40">
        <f t="shared" si="1"/>
        <v>25</v>
      </c>
      <c r="C40">
        <v>2</v>
      </c>
      <c r="D40">
        <v>7</v>
      </c>
      <c r="E40">
        <v>6</v>
      </c>
      <c r="G40">
        <v>5</v>
      </c>
      <c r="H40">
        <v>5</v>
      </c>
    </row>
  </sheetData>
  <mergeCells count="1">
    <mergeCell ref="C8:E8"/>
  </mergeCells>
  <pageMargins left="0.7" right="0.7" top="0.75" bottom="0.75" header="0.3" footer="0.3"/>
  <ignoredErrors>
    <ignoredError sqref="C14:E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96BF-3E5E-44FD-97ED-C39965712844}">
  <dimension ref="A2:J17"/>
  <sheetViews>
    <sheetView topLeftCell="B1" workbookViewId="0">
      <selection activeCell="H25" sqref="H25"/>
    </sheetView>
  </sheetViews>
  <sheetFormatPr defaultColWidth="11" defaultRowHeight="15"/>
  <cols>
    <col min="1" max="1" width="40.25" bestFit="1" customWidth="1"/>
    <col min="2" max="2" width="12.5" bestFit="1" customWidth="1"/>
    <col min="3" max="3" width="17" customWidth="1"/>
    <col min="4" max="4" width="4.75" customWidth="1"/>
    <col min="5" max="5" width="15.125" bestFit="1" customWidth="1"/>
    <col min="7" max="7" width="17.625" bestFit="1" customWidth="1"/>
    <col min="9" max="9" width="12.5" bestFit="1" customWidth="1"/>
  </cols>
  <sheetData>
    <row r="2" spans="1:10">
      <c r="B2" s="140">
        <f>'Calcul material 3 zones'!K20</f>
        <v>306035.62536000001</v>
      </c>
      <c r="C2" t="s">
        <v>109</v>
      </c>
    </row>
    <row r="3" spans="1:10">
      <c r="B3" s="82"/>
    </row>
    <row r="4" spans="1:10">
      <c r="A4" t="s">
        <v>110</v>
      </c>
      <c r="B4" s="141">
        <f>B2*10%</f>
        <v>30603.562536000001</v>
      </c>
      <c r="C4" s="129" t="s">
        <v>111</v>
      </c>
      <c r="D4" s="129" t="s">
        <v>112</v>
      </c>
    </row>
    <row r="5" spans="1:10" ht="15.75" thickBot="1"/>
    <row r="6" spans="1:10" ht="27.75" thickTop="1" thickBot="1">
      <c r="A6" s="60" t="s">
        <v>113</v>
      </c>
      <c r="B6" s="61">
        <f>B2+B4</f>
        <v>336639.18789599999</v>
      </c>
      <c r="C6" s="145" t="s">
        <v>114</v>
      </c>
      <c r="D6" s="67"/>
      <c r="E6" s="142"/>
      <c r="F6" s="144"/>
      <c r="G6" s="143">
        <v>340000</v>
      </c>
      <c r="H6" s="68" t="s">
        <v>115</v>
      </c>
      <c r="I6" s="68"/>
      <c r="J6" s="69"/>
    </row>
    <row r="7" spans="1:10" ht="15.75" thickTop="1">
      <c r="C7" s="70"/>
      <c r="J7" s="71"/>
    </row>
    <row r="8" spans="1:10">
      <c r="C8" s="70"/>
      <c r="E8" s="72"/>
      <c r="F8" t="s">
        <v>116</v>
      </c>
      <c r="G8" s="73">
        <f>G6*0.21</f>
        <v>71400</v>
      </c>
      <c r="J8" s="71"/>
    </row>
    <row r="9" spans="1:10">
      <c r="A9" s="82"/>
      <c r="B9" s="83"/>
      <c r="C9" s="70"/>
      <c r="J9" s="71"/>
    </row>
    <row r="10" spans="1:10" ht="27" thickBot="1">
      <c r="C10" s="79" t="s">
        <v>117</v>
      </c>
      <c r="D10" s="76"/>
      <c r="E10" s="77"/>
      <c r="F10" s="76"/>
      <c r="G10" s="78">
        <f>G6+G8</f>
        <v>411400</v>
      </c>
      <c r="H10" s="74"/>
      <c r="I10" s="74"/>
      <c r="J10" s="75"/>
    </row>
    <row r="11" spans="1:10" ht="15.75" thickTop="1"/>
    <row r="12" spans="1:10" ht="15.75" thickBot="1"/>
    <row r="13" spans="1:10" ht="15.75" thickTop="1">
      <c r="A13" s="60" t="s">
        <v>118</v>
      </c>
      <c r="B13" s="84"/>
      <c r="C13" s="85" t="s">
        <v>119</v>
      </c>
      <c r="D13" s="86"/>
      <c r="E13" s="86"/>
      <c r="F13" s="86"/>
      <c r="G13" s="87" t="e">
        <f>#REF!*1.05</f>
        <v>#REF!</v>
      </c>
      <c r="H13" s="86"/>
      <c r="I13" s="86"/>
      <c r="J13" s="88"/>
    </row>
    <row r="14" spans="1:10">
      <c r="C14" s="70" t="s">
        <v>120</v>
      </c>
      <c r="G14" s="59" t="e">
        <f>G13*1.05</f>
        <v>#REF!</v>
      </c>
      <c r="J14" s="71"/>
    </row>
    <row r="15" spans="1:10">
      <c r="C15" s="70" t="s">
        <v>121</v>
      </c>
      <c r="J15" s="71"/>
    </row>
    <row r="16" spans="1:10" ht="15.75" thickBot="1">
      <c r="C16" s="89" t="s">
        <v>122</v>
      </c>
      <c r="D16" s="74"/>
      <c r="E16" s="74"/>
      <c r="F16" s="74"/>
      <c r="G16" s="90" t="e">
        <f>G13+G14</f>
        <v>#REF!</v>
      </c>
      <c r="H16" s="74"/>
      <c r="I16" s="74"/>
      <c r="J16" s="75"/>
    </row>
    <row r="17" ht="15.7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4488-4660-44A2-A9CD-AFD17FD78E98}">
  <dimension ref="A2:E11"/>
  <sheetViews>
    <sheetView workbookViewId="0">
      <selection activeCell="E21" sqref="E21"/>
    </sheetView>
  </sheetViews>
  <sheetFormatPr defaultColWidth="11" defaultRowHeight="15"/>
  <cols>
    <col min="1" max="1" width="27.25" customWidth="1"/>
    <col min="2" max="2" width="23.75" hidden="1" customWidth="1"/>
    <col min="3" max="3" width="27.125" customWidth="1"/>
    <col min="4" max="4" width="4.875" customWidth="1"/>
  </cols>
  <sheetData>
    <row r="2" spans="1:5" ht="15.75" thickBot="1"/>
    <row r="3" spans="1:5" ht="30.75" thickBot="1">
      <c r="A3" s="130" t="s">
        <v>123</v>
      </c>
      <c r="B3" s="131" t="s">
        <v>124</v>
      </c>
      <c r="C3" s="131" t="s">
        <v>125</v>
      </c>
    </row>
    <row r="4" spans="1:5" ht="15.75" thickBot="1">
      <c r="A4" s="80" t="s">
        <v>126</v>
      </c>
      <c r="B4" s="133">
        <v>255000</v>
      </c>
      <c r="C4" s="135">
        <f>'Preu del contracte'!G6</f>
        <v>340000</v>
      </c>
      <c r="E4" t="s">
        <v>127</v>
      </c>
    </row>
    <row r="5" spans="1:5" ht="15.75" thickBot="1">
      <c r="A5" s="80" t="s">
        <v>128</v>
      </c>
      <c r="B5" s="134">
        <v>53550</v>
      </c>
      <c r="C5" s="135">
        <f>C4*0.21</f>
        <v>71400</v>
      </c>
    </row>
    <row r="6" spans="1:5" ht="15.75" thickBot="1">
      <c r="A6" s="80" t="s">
        <v>129</v>
      </c>
      <c r="B6" s="134">
        <v>308550</v>
      </c>
      <c r="C6" s="135">
        <f>C4+C5</f>
        <v>411400</v>
      </c>
    </row>
    <row r="11" spans="1:5">
      <c r="A11" t="s">
        <v>130</v>
      </c>
      <c r="C11" s="132">
        <f>C4*1.17</f>
        <v>397800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705D-AC48-4819-BC58-F3049FAE6D70}">
  <dimension ref="A4:G8"/>
  <sheetViews>
    <sheetView tabSelected="1" workbookViewId="0">
      <selection activeCell="H15" sqref="H15"/>
    </sheetView>
  </sheetViews>
  <sheetFormatPr defaultColWidth="11" defaultRowHeight="15"/>
  <cols>
    <col min="1" max="1" width="45" customWidth="1"/>
    <col min="2" max="2" width="12" style="81" bestFit="1" customWidth="1"/>
    <col min="3" max="3" width="2.125" customWidth="1"/>
  </cols>
  <sheetData>
    <row r="4" spans="1:7" ht="15.75" thickBot="1"/>
    <row r="5" spans="1:7" ht="15.75" thickBot="1">
      <c r="A5" s="136" t="s">
        <v>131</v>
      </c>
      <c r="B5" s="138">
        <f>'Preu base de licitació'!C4</f>
        <v>340000</v>
      </c>
    </row>
    <row r="6" spans="1:7" ht="15.75" thickBot="1">
      <c r="A6" s="137" t="s">
        <v>132</v>
      </c>
      <c r="B6" s="139">
        <v>0</v>
      </c>
    </row>
    <row r="7" spans="1:7" ht="15.75" thickBot="1">
      <c r="A7" s="137" t="s">
        <v>133</v>
      </c>
      <c r="B7" s="139">
        <f>B5*0.15</f>
        <v>51000</v>
      </c>
      <c r="D7" s="124" t="s">
        <v>134</v>
      </c>
      <c r="G7" t="s">
        <v>135</v>
      </c>
    </row>
    <row r="8" spans="1:7" ht="15.75" thickBot="1">
      <c r="A8" s="137" t="s">
        <v>136</v>
      </c>
      <c r="B8" s="139">
        <f>SUM(B5:B7)</f>
        <v>391000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72B4-2977-48E2-BA7C-7DE2DA0AAD3E}">
  <dimension ref="A2:B6"/>
  <sheetViews>
    <sheetView workbookViewId="0">
      <selection activeCell="A3" sqref="A3:B6"/>
    </sheetView>
  </sheetViews>
  <sheetFormatPr defaultColWidth="11" defaultRowHeight="15"/>
  <cols>
    <col min="1" max="2" width="45.75" customWidth="1"/>
  </cols>
  <sheetData>
    <row r="2" spans="1:2" ht="15.75" thickBot="1"/>
    <row r="3" spans="1:2" ht="15.75" thickBot="1">
      <c r="A3" s="148" t="s">
        <v>123</v>
      </c>
      <c r="B3" s="149" t="s">
        <v>125</v>
      </c>
    </row>
    <row r="4" spans="1:2" ht="30.75" thickBot="1">
      <c r="A4" s="147" t="s">
        <v>137</v>
      </c>
      <c r="B4" s="135">
        <v>310000</v>
      </c>
    </row>
    <row r="5" spans="1:2" ht="15.75" thickBot="1">
      <c r="A5" s="147" t="s">
        <v>138</v>
      </c>
      <c r="B5" s="135">
        <v>30000</v>
      </c>
    </row>
    <row r="6" spans="1:2" ht="15.75" thickBot="1">
      <c r="A6" s="150" t="s">
        <v>129</v>
      </c>
      <c r="B6" s="151">
        <f>B5+B4</f>
        <v>340000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6D95-21F6-4644-B3F9-6ADE6FE7A6E6}">
  <dimension ref="A1:O17"/>
  <sheetViews>
    <sheetView workbookViewId="0">
      <selection activeCell="Q31" sqref="Q31"/>
    </sheetView>
  </sheetViews>
  <sheetFormatPr defaultColWidth="11" defaultRowHeight="15"/>
  <cols>
    <col min="1" max="1" width="3.5" bestFit="1" customWidth="1"/>
    <col min="2" max="2" width="9.5" bestFit="1" customWidth="1"/>
    <col min="3" max="3" width="8.25" bestFit="1" customWidth="1"/>
    <col min="4" max="4" width="7.75" bestFit="1" customWidth="1"/>
    <col min="5" max="5" width="7.375" bestFit="1" customWidth="1"/>
    <col min="6" max="6" width="6.5" bestFit="1" customWidth="1"/>
    <col min="7" max="7" width="7.375" bestFit="1" customWidth="1"/>
    <col min="8" max="8" width="7.75" bestFit="1" customWidth="1"/>
    <col min="9" max="9" width="10.25" bestFit="1" customWidth="1"/>
    <col min="10" max="11" width="8.75" bestFit="1" customWidth="1"/>
    <col min="12" max="12" width="7.125" customWidth="1"/>
    <col min="13" max="13" width="7.5" bestFit="1" customWidth="1"/>
    <col min="14" max="14" width="8" bestFit="1" customWidth="1"/>
    <col min="15" max="15" width="3.75" bestFit="1" customWidth="1"/>
  </cols>
  <sheetData>
    <row r="1" spans="1:15">
      <c r="A1" s="124" t="s">
        <v>139</v>
      </c>
    </row>
    <row r="3" spans="1:15" ht="25.5">
      <c r="A3" s="106" t="s">
        <v>53</v>
      </c>
      <c r="B3" s="107" t="s">
        <v>140</v>
      </c>
      <c r="C3" s="107" t="s">
        <v>141</v>
      </c>
      <c r="D3" s="107" t="s">
        <v>142</v>
      </c>
      <c r="E3" s="107" t="s">
        <v>143</v>
      </c>
      <c r="F3" s="108" t="s">
        <v>144</v>
      </c>
      <c r="G3" s="107" t="s">
        <v>145</v>
      </c>
      <c r="H3" s="108" t="s">
        <v>146</v>
      </c>
      <c r="I3" s="107" t="s">
        <v>147</v>
      </c>
      <c r="J3" s="108" t="s">
        <v>148</v>
      </c>
      <c r="K3" s="109" t="s">
        <v>149</v>
      </c>
      <c r="L3" s="110" t="s">
        <v>150</v>
      </c>
      <c r="M3" s="110" t="s">
        <v>151</v>
      </c>
      <c r="N3" s="110" t="s">
        <v>152</v>
      </c>
      <c r="O3" s="111" t="s">
        <v>53</v>
      </c>
    </row>
    <row r="4" spans="1:15">
      <c r="A4" s="112">
        <v>60</v>
      </c>
      <c r="B4" s="97">
        <v>9.4166666666666661</v>
      </c>
      <c r="C4" s="98">
        <v>56.5</v>
      </c>
      <c r="D4" s="99">
        <v>2592</v>
      </c>
      <c r="E4" s="100">
        <v>432</v>
      </c>
      <c r="F4" s="101">
        <f>+E4/G4</f>
        <v>24</v>
      </c>
      <c r="G4" s="98">
        <v>18</v>
      </c>
      <c r="H4" s="102">
        <f t="shared" ref="H4:H16" si="0">+F4*6</f>
        <v>144</v>
      </c>
      <c r="I4" s="100">
        <f>+E4*C4</f>
        <v>24408</v>
      </c>
      <c r="J4" s="103">
        <f t="shared" ref="J4:J16" si="1">K4/D4</f>
        <v>0</v>
      </c>
      <c r="K4" s="104"/>
      <c r="L4" s="100">
        <f t="shared" ref="L4:L16" si="2">B4*K4</f>
        <v>0</v>
      </c>
      <c r="M4" s="98">
        <f t="shared" ref="M4:M16" si="3">+K4/6</f>
        <v>0</v>
      </c>
      <c r="N4" s="98">
        <f t="shared" ref="N4:N16" si="4">+M4/F4</f>
        <v>0</v>
      </c>
      <c r="O4" s="113">
        <v>60</v>
      </c>
    </row>
    <row r="5" spans="1:15">
      <c r="A5" s="112">
        <v>80</v>
      </c>
      <c r="B5" s="97">
        <v>12.200000000000001</v>
      </c>
      <c r="C5" s="98">
        <v>73.2</v>
      </c>
      <c r="D5" s="99">
        <v>1980</v>
      </c>
      <c r="E5" s="100">
        <v>330</v>
      </c>
      <c r="F5" s="101">
        <f t="shared" ref="F5:F11" si="5">+E5/G5</f>
        <v>15</v>
      </c>
      <c r="G5" s="98">
        <v>22</v>
      </c>
      <c r="H5" s="102">
        <f t="shared" si="0"/>
        <v>90</v>
      </c>
      <c r="I5" s="100">
        <f t="shared" ref="I5:I16" si="6">+E5*C5</f>
        <v>24156</v>
      </c>
      <c r="J5" s="103">
        <f t="shared" si="1"/>
        <v>0</v>
      </c>
      <c r="K5" s="104">
        <v>0</v>
      </c>
      <c r="L5" s="100">
        <f t="shared" si="2"/>
        <v>0</v>
      </c>
      <c r="M5" s="98">
        <f t="shared" si="3"/>
        <v>0</v>
      </c>
      <c r="N5" s="98">
        <f t="shared" si="4"/>
        <v>0</v>
      </c>
      <c r="O5" s="113">
        <v>80</v>
      </c>
    </row>
    <row r="6" spans="1:15">
      <c r="A6" s="112">
        <v>100</v>
      </c>
      <c r="B6" s="97">
        <v>14.85</v>
      </c>
      <c r="C6" s="98">
        <v>89.1</v>
      </c>
      <c r="D6" s="99">
        <v>1620</v>
      </c>
      <c r="E6" s="100">
        <v>270</v>
      </c>
      <c r="F6" s="101">
        <f t="shared" si="5"/>
        <v>15</v>
      </c>
      <c r="G6" s="98">
        <v>18</v>
      </c>
      <c r="H6" s="102">
        <f t="shared" si="0"/>
        <v>90</v>
      </c>
      <c r="I6" s="100">
        <f t="shared" si="6"/>
        <v>24057</v>
      </c>
      <c r="J6" s="103">
        <f t="shared" si="1"/>
        <v>0</v>
      </c>
      <c r="K6" s="104">
        <v>0</v>
      </c>
      <c r="L6" s="100">
        <f t="shared" si="2"/>
        <v>0</v>
      </c>
      <c r="M6" s="98">
        <f t="shared" si="3"/>
        <v>0</v>
      </c>
      <c r="N6" s="98">
        <f t="shared" si="4"/>
        <v>0</v>
      </c>
      <c r="O6" s="113">
        <v>100</v>
      </c>
    </row>
    <row r="7" spans="1:15">
      <c r="A7" s="112">
        <v>125</v>
      </c>
      <c r="B7" s="97">
        <v>18.3</v>
      </c>
      <c r="C7" s="98">
        <v>109.8</v>
      </c>
      <c r="D7" s="99">
        <v>1296</v>
      </c>
      <c r="E7" s="100">
        <v>216</v>
      </c>
      <c r="F7" s="101">
        <f t="shared" si="5"/>
        <v>12</v>
      </c>
      <c r="G7" s="98">
        <v>18</v>
      </c>
      <c r="H7" s="102">
        <f t="shared" si="0"/>
        <v>72</v>
      </c>
      <c r="I7" s="100">
        <f t="shared" si="6"/>
        <v>23716.799999999999</v>
      </c>
      <c r="J7" s="103">
        <f t="shared" si="1"/>
        <v>0</v>
      </c>
      <c r="K7" s="104">
        <v>0</v>
      </c>
      <c r="L7" s="100">
        <f t="shared" si="2"/>
        <v>0</v>
      </c>
      <c r="M7" s="98">
        <f t="shared" si="3"/>
        <v>0</v>
      </c>
      <c r="N7" s="98">
        <f t="shared" si="4"/>
        <v>0</v>
      </c>
      <c r="O7" s="113">
        <v>125</v>
      </c>
    </row>
    <row r="8" spans="1:15">
      <c r="A8" s="112">
        <v>150</v>
      </c>
      <c r="B8" s="97">
        <v>22.150000000000002</v>
      </c>
      <c r="C8" s="98">
        <v>132.9</v>
      </c>
      <c r="D8" s="99">
        <v>1080</v>
      </c>
      <c r="E8" s="100">
        <v>180</v>
      </c>
      <c r="F8" s="101">
        <f t="shared" si="5"/>
        <v>9</v>
      </c>
      <c r="G8" s="98">
        <v>20</v>
      </c>
      <c r="H8" s="102">
        <f t="shared" si="0"/>
        <v>54</v>
      </c>
      <c r="I8" s="100">
        <f t="shared" si="6"/>
        <v>23922</v>
      </c>
      <c r="J8" s="103">
        <f t="shared" si="1"/>
        <v>0</v>
      </c>
      <c r="K8" s="104">
        <v>0</v>
      </c>
      <c r="L8" s="100">
        <f t="shared" si="2"/>
        <v>0</v>
      </c>
      <c r="M8" s="98">
        <f t="shared" si="3"/>
        <v>0</v>
      </c>
      <c r="N8" s="98">
        <f t="shared" si="4"/>
        <v>0</v>
      </c>
      <c r="O8" s="113">
        <v>150</v>
      </c>
    </row>
    <row r="9" spans="1:15">
      <c r="A9" s="112">
        <v>200</v>
      </c>
      <c r="B9" s="97">
        <v>30.2</v>
      </c>
      <c r="C9" s="98">
        <v>181.2</v>
      </c>
      <c r="D9" s="105">
        <v>792</v>
      </c>
      <c r="E9" s="100">
        <v>132</v>
      </c>
      <c r="F9" s="101">
        <f t="shared" si="5"/>
        <v>6</v>
      </c>
      <c r="G9" s="98">
        <v>22</v>
      </c>
      <c r="H9" s="102">
        <f t="shared" si="0"/>
        <v>36</v>
      </c>
      <c r="I9" s="100">
        <f t="shared" si="6"/>
        <v>23918.399999999998</v>
      </c>
      <c r="J9" s="103">
        <f t="shared" si="1"/>
        <v>0</v>
      </c>
      <c r="K9" s="104">
        <v>0</v>
      </c>
      <c r="L9" s="100">
        <f t="shared" si="2"/>
        <v>0</v>
      </c>
      <c r="M9" s="98">
        <f t="shared" si="3"/>
        <v>0</v>
      </c>
      <c r="N9" s="98">
        <f t="shared" si="4"/>
        <v>0</v>
      </c>
      <c r="O9" s="113">
        <v>200</v>
      </c>
    </row>
    <row r="10" spans="1:15">
      <c r="A10" s="112">
        <v>250</v>
      </c>
      <c r="B10" s="97">
        <v>42.216666666666669</v>
      </c>
      <c r="C10" s="98">
        <v>253.3</v>
      </c>
      <c r="D10" s="105">
        <v>576</v>
      </c>
      <c r="E10" s="100">
        <v>96</v>
      </c>
      <c r="F10" s="101">
        <f t="shared" si="5"/>
        <v>4</v>
      </c>
      <c r="G10" s="98">
        <v>24</v>
      </c>
      <c r="H10" s="102">
        <f t="shared" si="0"/>
        <v>24</v>
      </c>
      <c r="I10" s="100">
        <f t="shared" si="6"/>
        <v>24316.800000000003</v>
      </c>
      <c r="J10" s="103">
        <f t="shared" si="1"/>
        <v>0</v>
      </c>
      <c r="K10" s="104">
        <v>0</v>
      </c>
      <c r="L10" s="100">
        <f t="shared" si="2"/>
        <v>0</v>
      </c>
      <c r="M10" s="98">
        <f t="shared" si="3"/>
        <v>0</v>
      </c>
      <c r="N10" s="98">
        <f t="shared" si="4"/>
        <v>0</v>
      </c>
      <c r="O10" s="113">
        <v>250</v>
      </c>
    </row>
    <row r="11" spans="1:15">
      <c r="A11" s="112">
        <v>300</v>
      </c>
      <c r="B11" s="97">
        <v>55.5</v>
      </c>
      <c r="C11" s="98">
        <v>333</v>
      </c>
      <c r="D11" s="105">
        <v>432</v>
      </c>
      <c r="E11" s="100">
        <v>72</v>
      </c>
      <c r="F11" s="101">
        <f t="shared" si="5"/>
        <v>4</v>
      </c>
      <c r="G11" s="98">
        <v>18</v>
      </c>
      <c r="H11" s="102">
        <f t="shared" si="0"/>
        <v>24</v>
      </c>
      <c r="I11" s="100">
        <f t="shared" si="6"/>
        <v>23976</v>
      </c>
      <c r="J11" s="103">
        <f t="shared" si="1"/>
        <v>0</v>
      </c>
      <c r="K11" s="104">
        <v>0</v>
      </c>
      <c r="L11" s="100">
        <f t="shared" si="2"/>
        <v>0</v>
      </c>
      <c r="M11" s="98">
        <f t="shared" si="3"/>
        <v>0</v>
      </c>
      <c r="N11" s="98">
        <f t="shared" si="4"/>
        <v>0</v>
      </c>
      <c r="O11" s="113">
        <v>300</v>
      </c>
    </row>
    <row r="12" spans="1:15">
      <c r="A12" s="112">
        <v>350</v>
      </c>
      <c r="B12" s="97">
        <v>68.833333333333329</v>
      </c>
      <c r="C12" s="98">
        <v>413</v>
      </c>
      <c r="D12" s="105">
        <v>300</v>
      </c>
      <c r="E12" s="100">
        <v>50</v>
      </c>
      <c r="F12" s="101">
        <v>1</v>
      </c>
      <c r="G12" s="98">
        <v>1</v>
      </c>
      <c r="H12" s="102">
        <f t="shared" si="0"/>
        <v>6</v>
      </c>
      <c r="I12" s="100">
        <f t="shared" si="6"/>
        <v>20650</v>
      </c>
      <c r="J12" s="103">
        <f t="shared" si="1"/>
        <v>0</v>
      </c>
      <c r="K12" s="104">
        <v>0</v>
      </c>
      <c r="L12" s="100">
        <f t="shared" si="2"/>
        <v>0</v>
      </c>
      <c r="M12" s="98">
        <f t="shared" si="3"/>
        <v>0</v>
      </c>
      <c r="N12" s="98">
        <f t="shared" si="4"/>
        <v>0</v>
      </c>
      <c r="O12" s="113">
        <v>350</v>
      </c>
    </row>
    <row r="13" spans="1:15">
      <c r="A13" s="112">
        <v>400</v>
      </c>
      <c r="B13" s="97">
        <v>79.399999999999991</v>
      </c>
      <c r="C13" s="98">
        <v>476.4</v>
      </c>
      <c r="D13" s="105">
        <v>240</v>
      </c>
      <c r="E13" s="100">
        <v>40</v>
      </c>
      <c r="F13" s="101">
        <v>1</v>
      </c>
      <c r="G13" s="98">
        <v>1</v>
      </c>
      <c r="H13" s="102">
        <f t="shared" si="0"/>
        <v>6</v>
      </c>
      <c r="I13" s="100">
        <f t="shared" si="6"/>
        <v>19056</v>
      </c>
      <c r="J13" s="103">
        <f t="shared" si="1"/>
        <v>0</v>
      </c>
      <c r="K13" s="104">
        <v>0</v>
      </c>
      <c r="L13" s="100">
        <f t="shared" si="2"/>
        <v>0</v>
      </c>
      <c r="M13" s="98">
        <f t="shared" si="3"/>
        <v>0</v>
      </c>
      <c r="N13" s="98">
        <f t="shared" si="4"/>
        <v>0</v>
      </c>
      <c r="O13" s="113">
        <v>400</v>
      </c>
    </row>
    <row r="14" spans="1:15">
      <c r="A14" s="112">
        <v>450</v>
      </c>
      <c r="B14" s="97">
        <v>93.8</v>
      </c>
      <c r="C14" s="98">
        <v>562.79999999999995</v>
      </c>
      <c r="D14" s="105">
        <v>192</v>
      </c>
      <c r="E14" s="100">
        <v>32</v>
      </c>
      <c r="F14" s="101">
        <v>1</v>
      </c>
      <c r="G14" s="98">
        <v>1</v>
      </c>
      <c r="H14" s="102">
        <f t="shared" si="0"/>
        <v>6</v>
      </c>
      <c r="I14" s="100">
        <f t="shared" si="6"/>
        <v>18009.599999999999</v>
      </c>
      <c r="J14" s="103">
        <f t="shared" si="1"/>
        <v>0</v>
      </c>
      <c r="K14" s="104">
        <v>0</v>
      </c>
      <c r="L14" s="100">
        <f t="shared" si="2"/>
        <v>0</v>
      </c>
      <c r="M14" s="98">
        <f t="shared" si="3"/>
        <v>0</v>
      </c>
      <c r="N14" s="98">
        <f t="shared" si="4"/>
        <v>0</v>
      </c>
      <c r="O14" s="113">
        <v>450</v>
      </c>
    </row>
    <row r="15" spans="1:15">
      <c r="A15" s="112">
        <v>500</v>
      </c>
      <c r="B15" s="97">
        <v>111.14999999999999</v>
      </c>
      <c r="C15" s="98">
        <v>666.9</v>
      </c>
      <c r="D15" s="105">
        <v>192</v>
      </c>
      <c r="E15" s="100">
        <v>32</v>
      </c>
      <c r="F15" s="101">
        <v>1</v>
      </c>
      <c r="G15" s="98">
        <v>1</v>
      </c>
      <c r="H15" s="102">
        <f t="shared" si="0"/>
        <v>6</v>
      </c>
      <c r="I15" s="100">
        <f t="shared" si="6"/>
        <v>21340.799999999999</v>
      </c>
      <c r="J15" s="103">
        <f t="shared" si="1"/>
        <v>0</v>
      </c>
      <c r="K15" s="104">
        <v>0</v>
      </c>
      <c r="L15" s="100">
        <f t="shared" si="2"/>
        <v>0</v>
      </c>
      <c r="M15" s="98">
        <f t="shared" si="3"/>
        <v>0</v>
      </c>
      <c r="N15" s="98">
        <f t="shared" si="4"/>
        <v>0</v>
      </c>
      <c r="O15" s="113">
        <v>500</v>
      </c>
    </row>
    <row r="16" spans="1:15">
      <c r="A16" s="114">
        <v>600</v>
      </c>
      <c r="B16" s="115">
        <v>150.56</v>
      </c>
      <c r="C16" s="116">
        <v>903.36</v>
      </c>
      <c r="D16" s="117">
        <v>108</v>
      </c>
      <c r="E16" s="118">
        <v>18</v>
      </c>
      <c r="F16" s="119">
        <v>1</v>
      </c>
      <c r="G16" s="116">
        <v>1</v>
      </c>
      <c r="H16" s="120">
        <f t="shared" si="0"/>
        <v>6</v>
      </c>
      <c r="I16" s="118">
        <f t="shared" si="6"/>
        <v>16260.48</v>
      </c>
      <c r="J16" s="121">
        <f t="shared" si="1"/>
        <v>0</v>
      </c>
      <c r="K16" s="122">
        <v>0</v>
      </c>
      <c r="L16" s="118">
        <f t="shared" si="2"/>
        <v>0</v>
      </c>
      <c r="M16" s="116">
        <f t="shared" si="3"/>
        <v>0</v>
      </c>
      <c r="N16" s="116">
        <f t="shared" si="4"/>
        <v>0</v>
      </c>
      <c r="O16" s="123">
        <v>600</v>
      </c>
    </row>
    <row r="17" spans="1:1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2" t="s">
        <v>153</v>
      </c>
      <c r="L17" s="93">
        <f>SUM(J4:J16)</f>
        <v>0</v>
      </c>
      <c r="M17" s="94"/>
      <c r="N17" s="95">
        <f>SUM(L4:L16)</f>
        <v>0</v>
      </c>
      <c r="O17" s="96" t="s">
        <v>154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548874ECA0C644BC2D10083CB11D14" ma:contentTypeVersion="21" ma:contentTypeDescription="Crear nuevo documento." ma:contentTypeScope="" ma:versionID="76475035ccd0a32866cc38873d2b2e85">
  <xsd:schema xmlns:xsd="http://www.w3.org/2001/XMLSchema" xmlns:xs="http://www.w3.org/2001/XMLSchema" xmlns:p="http://schemas.microsoft.com/office/2006/metadata/properties" xmlns:ns2="7802834e-54d2-4236-893a-51c9ad7f9fe0" xmlns:ns3="17092b32-1257-4d14-b519-02009d758494" targetNamespace="http://schemas.microsoft.com/office/2006/metadata/properties" ma:root="true" ma:fieldsID="8fd87036ce57673002bc521c1fce2e50" ns2:_="" ns3:_="">
    <xsd:import namespace="7802834e-54d2-4236-893a-51c9ad7f9fe0"/>
    <xsd:import namespace="17092b32-1257-4d14-b519-02009d7584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Descripci_x00f3_arxiu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2834e-54d2-4236-893a-51c9ad7f9f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8ede45-c186-4727-ae9d-d1d6f2b265f1}" ma:internalName="TaxCatchAll" ma:showField="CatchAllData" ma:web="7802834e-54d2-4236-893a-51c9ad7f9f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92b32-1257-4d14-b519-02009d75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escripci_x00f3_arxiu" ma:index="16" nillable="true" ma:displayName="Descripció arxiu" ma:format="Dropdown" ma:internalName="Descripci_x00f3_arxiu">
      <xsd:simpleType>
        <xsd:restriction base="dms:Text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329ac5dd-6d61-45d6-a4c8-512d1d6e74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7092b32-1257-4d14-b519-02009d758494" xsi:nil="true"/>
    <Descripci_x00f3_arxiu xmlns="17092b32-1257-4d14-b519-02009d758494" xsi:nil="true"/>
    <TaxCatchAll xmlns="7802834e-54d2-4236-893a-51c9ad7f9fe0" xsi:nil="true"/>
    <lcf76f155ced4ddcb4097134ff3c332f xmlns="17092b32-1257-4d14-b519-02009d7584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12945C-B2A8-42D4-B6E5-FD2EC5B6E5FB}"/>
</file>

<file path=customXml/itemProps2.xml><?xml version="1.0" encoding="utf-8"?>
<ds:datastoreItem xmlns:ds="http://schemas.openxmlformats.org/officeDocument/2006/customXml" ds:itemID="{F6100235-6C6A-4E65-BD54-280F3EA10971}"/>
</file>

<file path=customXml/itemProps3.xml><?xml version="1.0" encoding="utf-8"?>
<ds:datastoreItem xmlns:ds="http://schemas.openxmlformats.org/officeDocument/2006/customXml" ds:itemID="{A84A8330-B813-493F-B100-71AFB6F4D4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Mariló Martinez Merino</dc:creator>
  <cp:keywords/>
  <dc:description/>
  <cp:lastModifiedBy>Mariló Martinez Merino</cp:lastModifiedBy>
  <cp:revision/>
  <dcterms:created xsi:type="dcterms:W3CDTF">2025-07-11T18:06:09Z</dcterms:created>
  <dcterms:modified xsi:type="dcterms:W3CDTF">2025-07-23T10:34:46Z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0x010100E4548874ECA0C644BC2D10083CB11D14</vt:lpwstr>
  </property>
  <property fmtid="{D5CDD505-2E9C-101B-9397-08002B2CF9AE}" pid="3" name="MediaServiceImageTags">
    <vt:lpwstr/>
  </property>
</Properties>
</file>