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Contrac. EXPEDIENTS ESCANEJATS\2025\59-2950 Obra ferms en 5 lots (Lleida-Torre-Serona, Lladurs, Talavera-Sant Antoli, Tarroja de Segarra-Plans de Sio i Bellpuig-Barbens\"/>
    </mc:Choice>
  </mc:AlternateContent>
  <xr:revisionPtr revIDLastSave="0" documentId="13_ncr:1_{8543F2A6-A8E6-43CF-8E73-705C6480CF12}" xr6:coauthVersionLast="47" xr6:coauthVersionMax="47" xr10:uidLastSave="{00000000-0000-0000-0000-000000000000}"/>
  <bookViews>
    <workbookView xWindow="-28965" yWindow="0" windowWidth="22260" windowHeight="15585" tabRatio="860" activeTab="1" xr2:uid="{00000000-000D-0000-FFFF-FFFF00000000}"/>
  </bookViews>
  <sheets>
    <sheet name="Ofertes" sheetId="25" r:id="rId1"/>
    <sheet name="RESULTAT" sheetId="28" r:id="rId2"/>
    <sheet name="4 O + licitadors - Lot 1" sheetId="1" r:id="rId3"/>
    <sheet name="4 O + licitadors - Lot 2" sheetId="30" r:id="rId4"/>
    <sheet name="4 O + licitadors - Lot 3" sheetId="31" r:id="rId5"/>
    <sheet name="4 O + licitadors - Lot 4" sheetId="32" r:id="rId6"/>
    <sheet name="4 O + licitadors - Lot 5" sheetId="3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1" i="28" l="1"/>
  <c r="M50" i="28"/>
  <c r="M39" i="28"/>
  <c r="M28" i="28"/>
  <c r="M17" i="28"/>
  <c r="M6" i="28"/>
  <c r="L6" i="28"/>
  <c r="J21" i="25"/>
  <c r="C11" i="30"/>
  <c r="D11" i="30"/>
  <c r="C12" i="30"/>
  <c r="D12" i="30"/>
  <c r="C13" i="30"/>
  <c r="D13" i="30"/>
  <c r="C14" i="30"/>
  <c r="D14" i="30"/>
  <c r="C15" i="30"/>
  <c r="D15" i="30"/>
  <c r="C16" i="30"/>
  <c r="D16" i="30"/>
  <c r="C17" i="30"/>
  <c r="D17" i="30"/>
  <c r="D10" i="30"/>
  <c r="E17" i="28"/>
  <c r="F17" i="28" s="1"/>
  <c r="G17" i="28" s="1"/>
  <c r="C10" i="30"/>
  <c r="C17" i="28"/>
  <c r="C11" i="31"/>
  <c r="D11" i="31"/>
  <c r="C12" i="31"/>
  <c r="D12" i="31"/>
  <c r="C13" i="31"/>
  <c r="D13" i="31"/>
  <c r="C14" i="31"/>
  <c r="D14" i="31"/>
  <c r="C15" i="31"/>
  <c r="D15" i="31"/>
  <c r="C16" i="31"/>
  <c r="D16" i="31"/>
  <c r="C17" i="31"/>
  <c r="D17" i="31"/>
  <c r="D10" i="31"/>
  <c r="E28" i="28"/>
  <c r="F28" i="28" s="1"/>
  <c r="G28" i="28" s="1"/>
  <c r="C10" i="31"/>
  <c r="C28" i="28"/>
  <c r="C11" i="32"/>
  <c r="D11" i="32"/>
  <c r="C12" i="32"/>
  <c r="D12" i="32"/>
  <c r="C13" i="32"/>
  <c r="D13" i="32"/>
  <c r="C14" i="32"/>
  <c r="D14" i="32"/>
  <c r="C15" i="32"/>
  <c r="D15" i="32"/>
  <c r="C16" i="32"/>
  <c r="D16" i="32"/>
  <c r="C17" i="32"/>
  <c r="D17" i="32"/>
  <c r="D10" i="32"/>
  <c r="E39" i="28"/>
  <c r="F39" i="28" s="1"/>
  <c r="G39" i="28" s="1"/>
  <c r="C10" i="32"/>
  <c r="C39" i="28"/>
  <c r="C11" i="33"/>
  <c r="C12" i="33"/>
  <c r="C13" i="33"/>
  <c r="C14" i="33"/>
  <c r="C15" i="33"/>
  <c r="C16" i="33"/>
  <c r="C17" i="33"/>
  <c r="C10" i="33"/>
  <c r="C50" i="28"/>
  <c r="D11" i="33"/>
  <c r="D12" i="33"/>
  <c r="D13" i="33"/>
  <c r="D14" i="33"/>
  <c r="D15" i="33"/>
  <c r="D16" i="33"/>
  <c r="D17" i="33"/>
  <c r="D10" i="33"/>
  <c r="E50" i="28"/>
  <c r="F50" i="28" s="1"/>
  <c r="G50" i="28" s="1"/>
  <c r="C11" i="1"/>
  <c r="C12" i="1"/>
  <c r="C13" i="1"/>
  <c r="C14" i="1"/>
  <c r="C15" i="1"/>
  <c r="C16" i="1"/>
  <c r="C17" i="1"/>
  <c r="C10" i="1"/>
  <c r="C6" i="28"/>
  <c r="D10" i="1"/>
  <c r="D11" i="1"/>
  <c r="D12" i="1"/>
  <c r="D13" i="1"/>
  <c r="D14" i="1"/>
  <c r="D15" i="1"/>
  <c r="D16" i="1"/>
  <c r="D17" i="1"/>
  <c r="E6" i="28"/>
  <c r="F6" i="28" s="1"/>
  <c r="G6" i="28" s="1"/>
  <c r="E7" i="28"/>
  <c r="F7" i="28" s="1"/>
  <c r="G7" i="28" s="1"/>
  <c r="E8" i="28"/>
  <c r="E9" i="28"/>
  <c r="F9" i="28" s="1"/>
  <c r="G9" i="28" s="1"/>
  <c r="E10" i="28"/>
  <c r="F10" i="28" s="1"/>
  <c r="G10" i="28" s="1"/>
  <c r="E11" i="28"/>
  <c r="F11" i="28" s="1"/>
  <c r="G11" i="28" s="1"/>
  <c r="E12" i="28"/>
  <c r="F12" i="28" s="1"/>
  <c r="G12" i="28" s="1"/>
  <c r="E13" i="28"/>
  <c r="F13" i="28" s="1"/>
  <c r="G13" i="28" s="1"/>
  <c r="E51" i="28"/>
  <c r="F51" i="28" s="1"/>
  <c r="G51" i="28" s="1"/>
  <c r="E52" i="28"/>
  <c r="F52" i="28" s="1"/>
  <c r="G52" i="28" s="1"/>
  <c r="E53" i="28"/>
  <c r="F53" i="28" s="1"/>
  <c r="G53" i="28" s="1"/>
  <c r="E54" i="28"/>
  <c r="F54" i="28" s="1"/>
  <c r="G54" i="28" s="1"/>
  <c r="E55" i="28"/>
  <c r="F55" i="28" s="1"/>
  <c r="G55" i="28" s="1"/>
  <c r="E56" i="28"/>
  <c r="E57" i="28"/>
  <c r="F57" i="28" s="1"/>
  <c r="G57" i="28" s="1"/>
  <c r="F56" i="28"/>
  <c r="G56" i="28" s="1"/>
  <c r="E40" i="28"/>
  <c r="F40" i="28" s="1"/>
  <c r="G40" i="28" s="1"/>
  <c r="E41" i="28"/>
  <c r="F41" i="28" s="1"/>
  <c r="G41" i="28" s="1"/>
  <c r="E42" i="28"/>
  <c r="F42" i="28" s="1"/>
  <c r="G42" i="28" s="1"/>
  <c r="E43" i="28"/>
  <c r="F43" i="28" s="1"/>
  <c r="G43" i="28" s="1"/>
  <c r="E44" i="28"/>
  <c r="F44" i="28" s="1"/>
  <c r="G44" i="28" s="1"/>
  <c r="E45" i="28"/>
  <c r="E46" i="28"/>
  <c r="F45" i="28"/>
  <c r="G45" i="28" s="1"/>
  <c r="F46" i="28"/>
  <c r="G46" i="28" s="1"/>
  <c r="E29" i="28"/>
  <c r="F29" i="28" s="1"/>
  <c r="G29" i="28" s="1"/>
  <c r="E30" i="28"/>
  <c r="F30" i="28" s="1"/>
  <c r="G30" i="28" s="1"/>
  <c r="E31" i="28"/>
  <c r="F31" i="28" s="1"/>
  <c r="G31" i="28" s="1"/>
  <c r="E32" i="28"/>
  <c r="F32" i="28" s="1"/>
  <c r="G32" i="28" s="1"/>
  <c r="E33" i="28"/>
  <c r="F33" i="28" s="1"/>
  <c r="G33" i="28" s="1"/>
  <c r="E34" i="28"/>
  <c r="F34" i="28" s="1"/>
  <c r="G34" i="28" s="1"/>
  <c r="E35" i="28"/>
  <c r="F35" i="28" s="1"/>
  <c r="G35" i="28" s="1"/>
  <c r="E18" i="28"/>
  <c r="F18" i="28" s="1"/>
  <c r="G18" i="28" s="1"/>
  <c r="E19" i="28"/>
  <c r="F19" i="28" s="1"/>
  <c r="G19" i="28" s="1"/>
  <c r="E20" i="28"/>
  <c r="F20" i="28" s="1"/>
  <c r="G20" i="28" s="1"/>
  <c r="E21" i="28"/>
  <c r="F21" i="28" s="1"/>
  <c r="G21" i="28" s="1"/>
  <c r="E22" i="28"/>
  <c r="F22" i="28" s="1"/>
  <c r="G22" i="28" s="1"/>
  <c r="E23" i="28"/>
  <c r="F23" i="28" s="1"/>
  <c r="G23" i="28" s="1"/>
  <c r="E24" i="28"/>
  <c r="F24" i="28" s="1"/>
  <c r="G24" i="28" s="1"/>
  <c r="C51" i="28"/>
  <c r="C52" i="28"/>
  <c r="C53" i="28"/>
  <c r="C54" i="28"/>
  <c r="C55" i="28"/>
  <c r="C56" i="28"/>
  <c r="C57" i="28"/>
  <c r="C40" i="28"/>
  <c r="C41" i="28"/>
  <c r="C42" i="28"/>
  <c r="C43" i="28"/>
  <c r="C44" i="28"/>
  <c r="C45" i="28"/>
  <c r="C46" i="28"/>
  <c r="C29" i="28"/>
  <c r="C30" i="28"/>
  <c r="C31" i="28"/>
  <c r="C32" i="28"/>
  <c r="C33" i="28"/>
  <c r="C34" i="28"/>
  <c r="C35" i="28"/>
  <c r="C18" i="28"/>
  <c r="C19" i="28"/>
  <c r="C20" i="28"/>
  <c r="C21" i="28"/>
  <c r="C22" i="28"/>
  <c r="C23" i="28"/>
  <c r="C24" i="28"/>
  <c r="C7" i="28"/>
  <c r="C8" i="28"/>
  <c r="C9" i="28"/>
  <c r="C10" i="28"/>
  <c r="C11" i="28"/>
  <c r="C12" i="28"/>
  <c r="E8" i="25"/>
  <c r="D6" i="28" s="1"/>
  <c r="F8" i="28" l="1"/>
  <c r="G8" i="28" s="1"/>
  <c r="D6" i="33"/>
  <c r="A25" i="33"/>
  <c r="A24" i="33"/>
  <c r="A23" i="33"/>
  <c r="A22" i="33"/>
  <c r="A21" i="33"/>
  <c r="A20" i="33"/>
  <c r="A19" i="33"/>
  <c r="A18" i="33"/>
  <c r="C4" i="33"/>
  <c r="B4" i="33"/>
  <c r="D6" i="32"/>
  <c r="A25" i="32"/>
  <c r="A24" i="32"/>
  <c r="A23" i="32"/>
  <c r="A22" i="32"/>
  <c r="A21" i="32"/>
  <c r="A20" i="32"/>
  <c r="A19" i="32"/>
  <c r="A18" i="32"/>
  <c r="C4" i="32"/>
  <c r="B4" i="32"/>
  <c r="D6" i="31"/>
  <c r="A25" i="31"/>
  <c r="A24" i="31"/>
  <c r="A23" i="31"/>
  <c r="A22" i="31"/>
  <c r="A21" i="31"/>
  <c r="A20" i="31"/>
  <c r="A19" i="31"/>
  <c r="A18" i="31"/>
  <c r="C4" i="31"/>
  <c r="B4" i="31"/>
  <c r="D6" i="30"/>
  <c r="A25" i="30"/>
  <c r="A24" i="30"/>
  <c r="A23" i="30"/>
  <c r="A22" i="30"/>
  <c r="A21" i="30"/>
  <c r="A20" i="30"/>
  <c r="A19" i="30"/>
  <c r="A18" i="30"/>
  <c r="C4" i="30"/>
  <c r="B4" i="30"/>
  <c r="I16" i="30" l="1"/>
  <c r="A16" i="30" s="1"/>
  <c r="G16" i="30"/>
  <c r="G17" i="31"/>
  <c r="I17" i="31"/>
  <c r="A17" i="31" s="1"/>
  <c r="G17" i="32"/>
  <c r="I17" i="32"/>
  <c r="A17" i="32" s="1"/>
  <c r="G17" i="30"/>
  <c r="I17" i="30"/>
  <c r="A17" i="30" s="1"/>
  <c r="I16" i="31"/>
  <c r="A16" i="31" s="1"/>
  <c r="G16" i="31"/>
  <c r="G16" i="32"/>
  <c r="I16" i="32"/>
  <c r="A16" i="32" s="1"/>
  <c r="F15" i="33"/>
  <c r="F15" i="32"/>
  <c r="H15" i="32" s="1"/>
  <c r="I15" i="32"/>
  <c r="A15" i="32" s="1"/>
  <c r="G15" i="32"/>
  <c r="I17" i="33"/>
  <c r="A17" i="33" s="1"/>
  <c r="G17" i="33"/>
  <c r="G15" i="30"/>
  <c r="I15" i="30"/>
  <c r="A15" i="30" s="1"/>
  <c r="G16" i="33"/>
  <c r="I16" i="33"/>
  <c r="A16" i="33" s="1"/>
  <c r="F12" i="32"/>
  <c r="F16" i="33"/>
  <c r="H16" i="33" s="1"/>
  <c r="F16" i="30"/>
  <c r="H16" i="30" s="1"/>
  <c r="F12" i="30"/>
  <c r="F10" i="31"/>
  <c r="F13" i="33"/>
  <c r="F17" i="33"/>
  <c r="H17" i="33" s="1"/>
  <c r="F12" i="33"/>
  <c r="F14" i="33"/>
  <c r="D19" i="33"/>
  <c r="G10" i="33" s="1"/>
  <c r="F10" i="33"/>
  <c r="F11" i="33"/>
  <c r="F10" i="32"/>
  <c r="F11" i="32"/>
  <c r="F14" i="32"/>
  <c r="D19" i="32"/>
  <c r="F16" i="32"/>
  <c r="H16" i="32" s="1"/>
  <c r="F17" i="32"/>
  <c r="H17" i="32" s="1"/>
  <c r="F13" i="32"/>
  <c r="D19" i="31"/>
  <c r="G15" i="31" s="1"/>
  <c r="F11" i="31"/>
  <c r="F12" i="31"/>
  <c r="F13" i="31"/>
  <c r="F14" i="31"/>
  <c r="F17" i="31"/>
  <c r="H17" i="31" s="1"/>
  <c r="F15" i="31"/>
  <c r="F16" i="31"/>
  <c r="H16" i="31" s="1"/>
  <c r="D19" i="30"/>
  <c r="F15" i="30"/>
  <c r="H15" i="30" s="1"/>
  <c r="F11" i="30"/>
  <c r="F14" i="30"/>
  <c r="F17" i="30"/>
  <c r="H17" i="30" s="1"/>
  <c r="F10" i="30"/>
  <c r="F13" i="30"/>
  <c r="G15" i="33" l="1"/>
  <c r="G14" i="33"/>
  <c r="H15" i="33"/>
  <c r="H15" i="31"/>
  <c r="G10" i="32"/>
  <c r="G14" i="32"/>
  <c r="H14" i="32"/>
  <c r="G10" i="31"/>
  <c r="G14" i="31"/>
  <c r="H14" i="31"/>
  <c r="G10" i="30"/>
  <c r="G14" i="30"/>
  <c r="H14" i="30"/>
  <c r="H10" i="30"/>
  <c r="H10" i="32"/>
  <c r="H10" i="31"/>
  <c r="H10" i="33"/>
  <c r="G11" i="30"/>
  <c r="H11" i="30"/>
  <c r="G12" i="30"/>
  <c r="H12" i="30"/>
  <c r="H13" i="30"/>
  <c r="G13" i="30"/>
  <c r="G13" i="31"/>
  <c r="H13" i="31"/>
  <c r="G11" i="31"/>
  <c r="H11" i="31"/>
  <c r="G12" i="31"/>
  <c r="H12" i="31"/>
  <c r="G11" i="32"/>
  <c r="H12" i="32"/>
  <c r="H11" i="32"/>
  <c r="G13" i="32"/>
  <c r="G12" i="32"/>
  <c r="H13" i="32"/>
  <c r="G12" i="33"/>
  <c r="H13" i="33"/>
  <c r="G11" i="33"/>
  <c r="H11" i="33"/>
  <c r="H12" i="33"/>
  <c r="G13" i="33"/>
  <c r="H14" i="33"/>
  <c r="I6" i="33"/>
  <c r="I6" i="32"/>
  <c r="I6" i="31"/>
  <c r="I6" i="30"/>
  <c r="H18" i="31" l="1"/>
  <c r="H19" i="31" s="1"/>
  <c r="I15" i="31" s="1"/>
  <c r="A15" i="31" s="1"/>
  <c r="H18" i="33"/>
  <c r="H19" i="33" s="1"/>
  <c r="H18" i="30"/>
  <c r="H19" i="30" s="1"/>
  <c r="I14" i="30" s="1"/>
  <c r="H18" i="32"/>
  <c r="H19" i="32" s="1"/>
  <c r="I14" i="32" s="1"/>
  <c r="C13" i="28"/>
  <c r="I14" i="33" l="1"/>
  <c r="A14" i="33" s="1"/>
  <c r="I15" i="33"/>
  <c r="A15" i="33" s="1"/>
  <c r="I13" i="31"/>
  <c r="A13" i="31" s="1"/>
  <c r="I10" i="31"/>
  <c r="A10" i="31" s="1"/>
  <c r="I14" i="31"/>
  <c r="A14" i="31" s="1"/>
  <c r="I11" i="31"/>
  <c r="A11" i="31" s="1"/>
  <c r="I12" i="31"/>
  <c r="A12" i="31" s="1"/>
  <c r="I10" i="33"/>
  <c r="A10" i="33" s="1"/>
  <c r="I13" i="33"/>
  <c r="A13" i="33" s="1"/>
  <c r="I11" i="33"/>
  <c r="A11" i="33" s="1"/>
  <c r="I12" i="33"/>
  <c r="A12" i="33" s="1"/>
  <c r="I12" i="32"/>
  <c r="A12" i="32" s="1"/>
  <c r="I13" i="32"/>
  <c r="A13" i="32" s="1"/>
  <c r="I10" i="32"/>
  <c r="I11" i="32"/>
  <c r="A11" i="32" s="1"/>
  <c r="A10" i="32"/>
  <c r="I12" i="30"/>
  <c r="A12" i="30" s="1"/>
  <c r="I10" i="30"/>
  <c r="A10" i="30" s="1"/>
  <c r="I11" i="30"/>
  <c r="A11" i="30" s="1"/>
  <c r="I13" i="30"/>
  <c r="A13" i="30" s="1"/>
  <c r="A14" i="32"/>
  <c r="A14" i="30"/>
  <c r="E30" i="25"/>
  <c r="D50" i="28" s="1"/>
  <c r="E31" i="25"/>
  <c r="D51" i="28" s="1"/>
  <c r="E32" i="25"/>
  <c r="D52" i="28" s="1"/>
  <c r="E33" i="25"/>
  <c r="D53" i="28" s="1"/>
  <c r="E34" i="25"/>
  <c r="D54" i="28" s="1"/>
  <c r="E35" i="25"/>
  <c r="D55" i="28" s="1"/>
  <c r="E36" i="25"/>
  <c r="D56" i="28" s="1"/>
  <c r="H56" i="28" s="1"/>
  <c r="E37" i="25"/>
  <c r="D57" i="28" s="1"/>
  <c r="H57" i="28" s="1"/>
  <c r="J20" i="25"/>
  <c r="D40" i="28" s="1"/>
  <c r="D41" i="28"/>
  <c r="J22" i="25"/>
  <c r="D42" i="28" s="1"/>
  <c r="J23" i="25"/>
  <c r="D43" i="28" s="1"/>
  <c r="J24" i="25"/>
  <c r="D44" i="28" s="1"/>
  <c r="H44" i="28" s="1"/>
  <c r="J25" i="25"/>
  <c r="D45" i="28" s="1"/>
  <c r="H45" i="28" s="1"/>
  <c r="J26" i="25"/>
  <c r="D46" i="28" s="1"/>
  <c r="H46" i="28" s="1"/>
  <c r="E19" i="25"/>
  <c r="D28" i="28" s="1"/>
  <c r="J19" i="25"/>
  <c r="D39" i="28" s="1"/>
  <c r="E20" i="25"/>
  <c r="D29" i="28" s="1"/>
  <c r="E21" i="25"/>
  <c r="D30" i="28" s="1"/>
  <c r="E22" i="25"/>
  <c r="D31" i="28" s="1"/>
  <c r="E23" i="25"/>
  <c r="D32" i="28" s="1"/>
  <c r="E24" i="25"/>
  <c r="D33" i="28" s="1"/>
  <c r="E25" i="25"/>
  <c r="D34" i="28" s="1"/>
  <c r="H34" i="28" s="1"/>
  <c r="E26" i="25"/>
  <c r="D35" i="28" s="1"/>
  <c r="H35" i="28" s="1"/>
  <c r="J9" i="25"/>
  <c r="D18" i="28" s="1"/>
  <c r="J10" i="25"/>
  <c r="D19" i="28" s="1"/>
  <c r="J11" i="25"/>
  <c r="D20" i="28" s="1"/>
  <c r="J12" i="25"/>
  <c r="D21" i="28" s="1"/>
  <c r="J13" i="25"/>
  <c r="D22" i="28" s="1"/>
  <c r="H22" i="28" s="1"/>
  <c r="J14" i="25"/>
  <c r="D23" i="28" s="1"/>
  <c r="H23" i="28" s="1"/>
  <c r="J15" i="25"/>
  <c r="D24" i="28" s="1"/>
  <c r="H24" i="28" s="1"/>
  <c r="J8" i="25"/>
  <c r="D17" i="28" s="1"/>
  <c r="E9" i="25"/>
  <c r="D7" i="28" s="1"/>
  <c r="E10" i="25"/>
  <c r="D8" i="28" s="1"/>
  <c r="E11" i="25"/>
  <c r="D9" i="28" s="1"/>
  <c r="E12" i="25"/>
  <c r="D10" i="28" s="1"/>
  <c r="E13" i="25"/>
  <c r="D11" i="28" s="1"/>
  <c r="E14" i="25"/>
  <c r="D12" i="28" s="1"/>
  <c r="H12" i="28" s="1"/>
  <c r="E15" i="25"/>
  <c r="D13" i="28" s="1"/>
  <c r="H13" i="28" s="1"/>
  <c r="H55" i="28" l="1"/>
  <c r="H33" i="28"/>
  <c r="H54" i="28"/>
  <c r="H43" i="28"/>
  <c r="H32" i="28"/>
  <c r="H20" i="28"/>
  <c r="H21" i="28"/>
  <c r="H30" i="28"/>
  <c r="H29" i="28"/>
  <c r="H19" i="28"/>
  <c r="H40" i="28"/>
  <c r="H18" i="28"/>
  <c r="H17" i="28"/>
  <c r="H28" i="28"/>
  <c r="H53" i="28"/>
  <c r="H51" i="28"/>
  <c r="H42" i="28"/>
  <c r="H50" i="28"/>
  <c r="H52" i="28"/>
  <c r="H39" i="28"/>
  <c r="H41" i="28"/>
  <c r="H31" i="28"/>
  <c r="H9" i="28"/>
  <c r="H11" i="28"/>
  <c r="H10" i="28"/>
  <c r="H8" i="28"/>
  <c r="H7" i="28"/>
  <c r="H6" i="28"/>
  <c r="A21" i="28"/>
  <c r="A20" i="28"/>
  <c r="A19" i="28"/>
  <c r="A18" i="28"/>
  <c r="A17" i="28"/>
  <c r="A16" i="28"/>
  <c r="A15" i="28"/>
  <c r="A14" i="28"/>
  <c r="A13" i="28"/>
  <c r="A12" i="28"/>
  <c r="A11" i="28"/>
  <c r="A10" i="28"/>
  <c r="A9" i="28"/>
  <c r="A8" i="28"/>
  <c r="A7" i="28"/>
  <c r="A6" i="28"/>
  <c r="D2" i="28"/>
  <c r="C2" i="28"/>
  <c r="H30" i="25" l="1"/>
  <c r="C4" i="1"/>
  <c r="B4" i="1"/>
  <c r="D19" i="1" l="1"/>
  <c r="G14" i="1" s="1"/>
  <c r="K51" i="28"/>
  <c r="L51" i="28"/>
  <c r="K52" i="28"/>
  <c r="L52" i="28"/>
  <c r="L53" i="28"/>
  <c r="K54" i="28"/>
  <c r="L54" i="28"/>
  <c r="K55" i="28"/>
  <c r="L55" i="28"/>
  <c r="K56" i="28"/>
  <c r="L56" i="28"/>
  <c r="K57" i="28"/>
  <c r="L57" i="28"/>
  <c r="L50" i="28"/>
  <c r="H34" i="25" s="1"/>
  <c r="K50" i="28"/>
  <c r="K53" i="28"/>
  <c r="L45" i="28"/>
  <c r="K46" i="28"/>
  <c r="K39" i="28"/>
  <c r="K40" i="28"/>
  <c r="L40" i="28"/>
  <c r="K41" i="28"/>
  <c r="L41" i="28"/>
  <c r="K42" i="28"/>
  <c r="L42" i="28"/>
  <c r="K43" i="28"/>
  <c r="L43" i="28"/>
  <c r="K44" i="28"/>
  <c r="L44" i="28"/>
  <c r="K45" i="28"/>
  <c r="L46" i="28"/>
  <c r="L39" i="28"/>
  <c r="H33" i="25" s="1"/>
  <c r="K33" i="28"/>
  <c r="L33" i="28"/>
  <c r="K34" i="28"/>
  <c r="K35" i="28"/>
  <c r="L35" i="28"/>
  <c r="L28" i="28"/>
  <c r="H32" i="25" s="1"/>
  <c r="K28" i="28"/>
  <c r="K29" i="28"/>
  <c r="L29" i="28"/>
  <c r="K30" i="28"/>
  <c r="L30" i="28"/>
  <c r="K31" i="28"/>
  <c r="L31" i="28"/>
  <c r="K32" i="28"/>
  <c r="L32" i="28"/>
  <c r="L34" i="28"/>
  <c r="K24" i="28"/>
  <c r="L17" i="28"/>
  <c r="H31" i="25" s="1"/>
  <c r="K17" i="28"/>
  <c r="K18" i="28"/>
  <c r="L18" i="28"/>
  <c r="K19" i="28"/>
  <c r="L19" i="28"/>
  <c r="K20" i="28"/>
  <c r="L20" i="28"/>
  <c r="K21" i="28"/>
  <c r="L21" i="28"/>
  <c r="K22" i="28"/>
  <c r="L22" i="28"/>
  <c r="K23" i="28"/>
  <c r="L23" i="28"/>
  <c r="L24" i="28"/>
  <c r="G10" i="1" l="1"/>
  <c r="G11" i="1"/>
  <c r="G12" i="1"/>
  <c r="G13" i="1"/>
  <c r="G38" i="25"/>
  <c r="G39" i="25"/>
  <c r="G43" i="25"/>
  <c r="G41" i="25"/>
  <c r="G42" i="25"/>
  <c r="G44" i="25"/>
  <c r="G40" i="25"/>
  <c r="G15" i="1"/>
  <c r="G17" i="1"/>
  <c r="G16" i="1"/>
  <c r="K6" i="28"/>
  <c r="K12" i="28"/>
  <c r="L11" i="28"/>
  <c r="L12" i="28"/>
  <c r="L13" i="28"/>
  <c r="L9" i="28"/>
  <c r="L8" i="28"/>
  <c r="L7" i="28"/>
  <c r="K11" i="28"/>
  <c r="L10" i="28"/>
  <c r="K10" i="28"/>
  <c r="K9" i="28"/>
  <c r="K7" i="28"/>
  <c r="K8" i="28"/>
  <c r="K13" i="28"/>
  <c r="D6" i="1" l="1"/>
  <c r="A23" i="25"/>
  <c r="A22" i="25"/>
  <c r="A21" i="25"/>
  <c r="A20" i="25"/>
  <c r="A19" i="25"/>
  <c r="A18" i="25"/>
  <c r="A17" i="25"/>
  <c r="A16" i="25"/>
  <c r="A15" i="25"/>
  <c r="A14" i="25"/>
  <c r="A13" i="25"/>
  <c r="A12" i="25"/>
  <c r="A11" i="25"/>
  <c r="A10" i="25"/>
  <c r="A9" i="25"/>
  <c r="A8" i="25"/>
  <c r="F17" i="1" l="1"/>
  <c r="H17" i="1" s="1"/>
  <c r="F16" i="1" l="1"/>
  <c r="H16" i="1" s="1"/>
  <c r="F10" i="1" l="1"/>
  <c r="H10" i="1" s="1"/>
  <c r="F15" i="1"/>
  <c r="H15" i="1" s="1"/>
  <c r="F14" i="1"/>
  <c r="H14" i="1" s="1"/>
  <c r="F13" i="1" l="1"/>
  <c r="H13" i="1" s="1"/>
  <c r="F12" i="1"/>
  <c r="H12" i="1" s="1"/>
  <c r="F11" i="1"/>
  <c r="I6" i="1" l="1"/>
  <c r="H11" i="1"/>
  <c r="H18" i="1"/>
  <c r="H19" i="1" s="1"/>
  <c r="I14" i="1" s="1"/>
  <c r="A24" i="1"/>
  <c r="A23" i="1"/>
  <c r="A21" i="1"/>
  <c r="A20" i="1"/>
  <c r="A18" i="1"/>
  <c r="A22" i="1"/>
  <c r="A25" i="1"/>
  <c r="I10" i="1" l="1"/>
  <c r="I11" i="1"/>
  <c r="A11" i="1" s="1"/>
  <c r="I12" i="1"/>
  <c r="I13" i="1"/>
  <c r="A13" i="1" s="1"/>
  <c r="I16" i="1"/>
  <c r="A16" i="1" s="1"/>
  <c r="I15" i="1"/>
  <c r="A15" i="1" s="1"/>
  <c r="A14" i="1"/>
  <c r="I17" i="1"/>
  <c r="A17" i="1" s="1"/>
  <c r="A10" i="1"/>
  <c r="A12" i="1"/>
  <c r="A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12DDF706-3EFD-483E-A598-5969D35831B3}">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E521AA8D-5D3F-465C-BA90-AFB94FECC026}">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80D70ECF-5FE4-48C0-A81C-0C3FFF58B648}">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C848CCA0-DF43-4E31-9FBB-29D751402B1B}">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Begoña Andrés Altaba</author>
  </authors>
  <commentList>
    <comment ref="H8" authorId="0" shapeId="0" xr:uid="{AF8BC097-332B-4D1E-B2C7-D17C764E4648}">
      <text>
        <r>
          <rPr>
            <b/>
            <sz val="9"/>
            <color indexed="81"/>
            <rFont val="Tahoma"/>
            <family val="2"/>
          </rPr>
          <t xml:space="preserve">1a comprovació:
</t>
        </r>
        <r>
          <rPr>
            <sz val="9"/>
            <color indexed="81"/>
            <rFont val="Tahoma"/>
            <family val="2"/>
          </rPr>
          <t>s'exclouen del calcul de la mitjana revisada les ofertes que han fet una baixa superior un 10% a la mitjana</t>
        </r>
        <r>
          <rPr>
            <sz val="9"/>
            <color indexed="81"/>
            <rFont val="Tahoma"/>
            <family val="2"/>
          </rPr>
          <t xml:space="preserve">
</t>
        </r>
      </text>
    </comment>
  </commentList>
</comments>
</file>

<file path=xl/sharedStrings.xml><?xml version="1.0" encoding="utf-8"?>
<sst xmlns="http://schemas.openxmlformats.org/spreadsheetml/2006/main" count="225" uniqueCount="55">
  <si>
    <t>Puntuació</t>
  </si>
  <si>
    <t>Licitadors (n)</t>
  </si>
  <si>
    <t>Import de l'oferta admesa</t>
  </si>
  <si>
    <t>Núm.    Oferta</t>
  </si>
  <si>
    <t>Percentatge de baixa</t>
  </si>
  <si>
    <t>Posició</t>
  </si>
  <si>
    <t xml:space="preserve">Licitador </t>
  </si>
  <si>
    <t>BAIXA MITJA =</t>
  </si>
  <si>
    <t>4 O MÉS LICITADORS</t>
  </si>
  <si>
    <t>LOT 1</t>
  </si>
  <si>
    <t>Expedient:</t>
  </si>
  <si>
    <t>Oferta</t>
  </si>
  <si>
    <t>LOT 2</t>
  </si>
  <si>
    <t>LOT 3</t>
  </si>
  <si>
    <t>LOT 4</t>
  </si>
  <si>
    <t>LOT 5</t>
  </si>
  <si>
    <t>PRESSUPOST BASE LICITACIÓ  =</t>
  </si>
  <si>
    <t>Puntació preu</t>
  </si>
  <si>
    <t>Oferta econòmica (fins a un màxim de punts:)</t>
  </si>
  <si>
    <t>P_i=P (1-(O_i-O_m)/IL)</t>
  </si>
  <si>
    <t>PBL (sense IVA):</t>
  </si>
  <si>
    <t>Baixes &gt;10% mitjana</t>
  </si>
  <si>
    <t>MITJANA REVISADA</t>
  </si>
  <si>
    <t>Ofertes per calcular la mitjana revisada</t>
  </si>
  <si>
    <t>Resultat</t>
  </si>
  <si>
    <t>MITJANA</t>
  </si>
  <si>
    <t>Ofertes &lt; 10% mitjana</t>
  </si>
  <si>
    <t>BAIXA MITJANA =</t>
  </si>
  <si>
    <r>
      <rPr>
        <b/>
        <sz val="11"/>
        <color theme="1"/>
        <rFont val="Calibri"/>
        <family val="2"/>
        <scheme val="minor"/>
      </rPr>
      <t xml:space="preserve">Art. 85 Reial decret 1098/2001
</t>
    </r>
    <r>
      <rPr>
        <sz val="11"/>
        <color theme="1"/>
        <rFont val="Calibri"/>
        <family val="2"/>
        <scheme val="minor"/>
      </rPr>
      <t>4. Quan hi concorrin quatre licitadors o més, les que siguin inferiors en més de 10 unitats percentuals a la mitjana aritmètica de les ofertes presentades. No obstant això, si entre aquestes hi ha ofertes superiors a la mitjana en més de 10 unitats percentuals, s'ha de calcular una nova mitjana només amb les ofertes que no estiguin en el cas indicat. En tot cas, si el nombre de les altres ofertes és inferior a tres, la nova mitjana s'ha de calcular sobre les tres ofertes de menor quantia.</t>
    </r>
  </si>
  <si>
    <t xml:space="preserve">AGUSTÍ Y MASOLIVER, S.A. </t>
  </si>
  <si>
    <t>ARNÓ INFRAESTRUCTURAS,S.L.U</t>
  </si>
  <si>
    <t>ASFALTS i Equips de Vialitat S.L.</t>
  </si>
  <si>
    <t>M. I J. GRUAS, S.A.</t>
  </si>
  <si>
    <t>ROMÀ INFRAESTRUCTURES I SERVEIS, SAU</t>
  </si>
  <si>
    <t>Sorigué, S.A.U.</t>
  </si>
  <si>
    <t>2025/2950/LIO_POR - 59</t>
  </si>
  <si>
    <t>Execució de 5 Projectes d'obra de rehabilitació de ferms de carreteres locals (Trams: LP-9221 de Lleida a Torre-Serona, LV-4241 Lladurs, LV-2031 de Talavera a Sant Antolí, L-324 de Tarroja de Segarra a Plans de Sió i LV-3341 de Bellpuig a Barbens)</t>
  </si>
  <si>
    <t>JOSÉ ANTONIO ROMERO POLO, S.A.U.</t>
  </si>
  <si>
    <t>Preu ofert sense IVA</t>
  </si>
  <si>
    <t>IVA</t>
  </si>
  <si>
    <t>Preu ofert IVA inclòs</t>
  </si>
  <si>
    <r>
      <rPr>
        <sz val="11"/>
        <color theme="5" tint="-0.499984740745262"/>
        <rFont val="Wingdings"/>
        <charset val="2"/>
      </rPr>
      <t>á</t>
    </r>
    <r>
      <rPr>
        <sz val="11"/>
        <color theme="5" tint="-0.499984740745262"/>
        <rFont val="Calibri"/>
        <family val="2"/>
      </rPr>
      <t xml:space="preserve"> </t>
    </r>
    <r>
      <rPr>
        <sz val="11"/>
        <color theme="5" tint="-0.499984740745262"/>
        <rFont val="Calibri"/>
        <family val="2"/>
        <scheme val="minor"/>
      </rPr>
      <t>Anar a revisió temeritat</t>
    </r>
    <r>
      <rPr>
        <sz val="11"/>
        <color theme="5" tint="-0.499984740745262"/>
        <rFont val="Calibri"/>
        <family val="2"/>
        <charset val="2"/>
        <scheme val="minor"/>
      </rPr>
      <t xml:space="preserve"> Lot 1 + de 4</t>
    </r>
  </si>
  <si>
    <r>
      <rPr>
        <sz val="11"/>
        <color theme="8"/>
        <rFont val="Wingdings"/>
        <charset val="2"/>
      </rPr>
      <t>á</t>
    </r>
    <r>
      <rPr>
        <sz val="11"/>
        <color theme="8"/>
        <rFont val="Calibri"/>
        <family val="2"/>
        <scheme val="minor"/>
      </rPr>
      <t xml:space="preserve"> Anar a "Ofertes"</t>
    </r>
  </si>
  <si>
    <r>
      <rPr>
        <sz val="11"/>
        <color theme="9"/>
        <rFont val="Wingdings"/>
        <charset val="2"/>
      </rPr>
      <t>á</t>
    </r>
    <r>
      <rPr>
        <sz val="11"/>
        <color theme="9"/>
        <rFont val="Calibri"/>
        <family val="2"/>
        <scheme val="minor"/>
      </rPr>
      <t xml:space="preserve"> Anar a "Resultat"</t>
    </r>
  </si>
  <si>
    <r>
      <rPr>
        <sz val="10"/>
        <color theme="8"/>
        <rFont val="Wingdings"/>
        <charset val="2"/>
      </rPr>
      <t>á</t>
    </r>
    <r>
      <rPr>
        <sz val="10"/>
        <color theme="8"/>
        <rFont val="Calibri"/>
        <family val="2"/>
        <scheme val="minor"/>
      </rPr>
      <t xml:space="preserve"> Anar a "Ofertes"</t>
    </r>
  </si>
  <si>
    <r>
      <rPr>
        <sz val="9"/>
        <color theme="5" tint="-0.249977111117893"/>
        <rFont val="Wingdings"/>
        <charset val="2"/>
      </rPr>
      <t>á</t>
    </r>
    <r>
      <rPr>
        <sz val="9"/>
        <color theme="5" tint="-0.249977111117893"/>
        <rFont val="Calibri"/>
        <family val="2"/>
        <scheme val="minor"/>
      </rPr>
      <t xml:space="preserve"> Anar temeritat 1</t>
    </r>
  </si>
  <si>
    <r>
      <rPr>
        <sz val="9"/>
        <color theme="8"/>
        <rFont val="Wingdings"/>
        <charset val="2"/>
      </rPr>
      <t>á</t>
    </r>
    <r>
      <rPr>
        <sz val="9"/>
        <color theme="8"/>
        <rFont val="Calibri"/>
        <family val="2"/>
        <scheme val="minor"/>
      </rPr>
      <t xml:space="preserve"> Anar a "Ofertes"</t>
    </r>
  </si>
  <si>
    <r>
      <rPr>
        <sz val="9"/>
        <color theme="9"/>
        <rFont val="Wingdings"/>
        <charset val="2"/>
      </rPr>
      <t>á</t>
    </r>
    <r>
      <rPr>
        <sz val="9"/>
        <color theme="9"/>
        <rFont val="Calibri"/>
        <family val="2"/>
        <scheme val="minor"/>
      </rPr>
      <t xml:space="preserve"> Anar a "Resultat"</t>
    </r>
  </si>
  <si>
    <t>PROPOSATS</t>
  </si>
  <si>
    <t>Verificació limitació nombre adjudicacions (màx. 2)</t>
  </si>
  <si>
    <t>Lots</t>
  </si>
  <si>
    <t>Millor puntuació obtinguda</t>
  </si>
  <si>
    <t>Lots adj</t>
  </si>
  <si>
    <t>Licitadors</t>
  </si>
  <si>
    <t>Garantia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</si>
</sst>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4" formatCode="_-* #,##0.00\ &quot;€&quot;_-;\-* #,##0.00\ &quot;€&quot;_-;_-* &quot;-&quot;??\ &quot;€&quot;_-;_-@_-"/>
    <numFmt numFmtId="43" formatCode="_-* #,##0.00_-;\-* #,##0.00_-;_-* &quot;-&quot;??_-;_-@_-"/>
    <numFmt numFmtId="164" formatCode="#,##0.00\ &quot;€&quot;"/>
  </numFmts>
  <fonts count="53">
    <font>
      <sz val="11"/>
      <color theme="1"/>
      <name val="Calibri"/>
      <family val="2"/>
      <scheme val="minor"/>
    </font>
    <font>
      <sz val="11"/>
      <color theme="1"/>
      <name val="Calibri"/>
      <family val="2"/>
      <scheme val="minor"/>
    </font>
    <font>
      <sz val="11"/>
      <color indexed="8"/>
      <name val="Calibri"/>
      <family val="2"/>
    </font>
    <font>
      <b/>
      <sz val="10"/>
      <name val="Arial"/>
      <family val="2"/>
    </font>
    <font>
      <b/>
      <sz val="10"/>
      <color indexed="8"/>
      <name val="Arial"/>
      <family val="2"/>
    </font>
    <font>
      <sz val="10"/>
      <name val="Arial"/>
      <family val="2"/>
    </font>
    <font>
      <b/>
      <sz val="11"/>
      <name val="Arial"/>
      <family val="2"/>
    </font>
    <font>
      <b/>
      <sz val="11"/>
      <color rgb="FFFF0000"/>
      <name val="Arial"/>
      <family val="2"/>
    </font>
    <font>
      <sz val="11"/>
      <color theme="2"/>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sz val="11"/>
      <name val="Calibri"/>
      <family val="2"/>
      <scheme val="minor"/>
    </font>
    <font>
      <b/>
      <sz val="12"/>
      <color theme="1"/>
      <name val="Arial"/>
      <family val="2"/>
    </font>
    <font>
      <b/>
      <sz val="11"/>
      <color theme="1"/>
      <name val="Arial"/>
      <family val="2"/>
    </font>
    <font>
      <b/>
      <sz val="16"/>
      <color rgb="FFFF0000"/>
      <name val="Arial"/>
      <family val="2"/>
    </font>
    <font>
      <b/>
      <sz val="16"/>
      <color theme="1"/>
      <name val="Calibri"/>
      <family val="2"/>
    </font>
    <font>
      <b/>
      <sz val="10"/>
      <color rgb="FFFF0000"/>
      <name val="Arial"/>
      <family val="2"/>
    </font>
    <font>
      <b/>
      <sz val="12"/>
      <color rgb="FFFF0000"/>
      <name val="Arial"/>
      <family val="2"/>
    </font>
    <font>
      <sz val="11"/>
      <color theme="1"/>
      <name val="Arial"/>
      <family val="2"/>
    </font>
    <font>
      <sz val="9"/>
      <color indexed="81"/>
      <name val="Tahoma"/>
      <family val="2"/>
    </font>
    <font>
      <b/>
      <sz val="9"/>
      <color indexed="81"/>
      <name val="Tahoma"/>
      <family val="2"/>
    </font>
    <font>
      <b/>
      <sz val="14"/>
      <color theme="1"/>
      <name val="Calibri"/>
      <family val="2"/>
      <scheme val="minor"/>
    </font>
    <font>
      <b/>
      <sz val="16"/>
      <color rgb="FFEE0000"/>
      <name val="Calibri"/>
      <family val="2"/>
    </font>
    <font>
      <b/>
      <sz val="9"/>
      <name val="Arial"/>
      <family val="2"/>
    </font>
    <font>
      <b/>
      <sz val="8"/>
      <color theme="1"/>
      <name val="Arial"/>
      <family val="2"/>
    </font>
    <font>
      <u/>
      <sz val="11"/>
      <color theme="10"/>
      <name val="Calibri"/>
      <family val="2"/>
      <scheme val="minor"/>
    </font>
    <font>
      <sz val="11"/>
      <color theme="8"/>
      <name val="Calibri"/>
      <family val="2"/>
      <scheme val="minor"/>
    </font>
    <font>
      <sz val="11"/>
      <color theme="8"/>
      <name val="Wingdings"/>
      <charset val="2"/>
    </font>
    <font>
      <sz val="11"/>
      <color theme="8"/>
      <name val="Calibri"/>
      <family val="2"/>
      <charset val="2"/>
      <scheme val="minor"/>
    </font>
    <font>
      <sz val="11"/>
      <color theme="5" tint="-0.499984740745262"/>
      <name val="Calibri"/>
      <family val="2"/>
      <charset val="2"/>
      <scheme val="minor"/>
    </font>
    <font>
      <sz val="11"/>
      <color theme="5" tint="-0.499984740745262"/>
      <name val="Wingdings"/>
      <charset val="2"/>
    </font>
    <font>
      <sz val="11"/>
      <color theme="5" tint="-0.499984740745262"/>
      <name val="Calibri"/>
      <family val="2"/>
    </font>
    <font>
      <sz val="11"/>
      <color theme="5" tint="-0.499984740745262"/>
      <name val="Calibri"/>
      <family val="2"/>
      <scheme val="minor"/>
    </font>
    <font>
      <sz val="10"/>
      <color theme="1"/>
      <name val="Calibri"/>
      <family val="2"/>
      <scheme val="minor"/>
    </font>
    <font>
      <sz val="11"/>
      <color theme="9"/>
      <name val="Wingdings"/>
      <charset val="2"/>
    </font>
    <font>
      <sz val="11"/>
      <color theme="9"/>
      <name val="Calibri"/>
      <family val="2"/>
      <scheme val="minor"/>
    </font>
    <font>
      <sz val="11"/>
      <color theme="9"/>
      <name val="Calibri"/>
      <family val="2"/>
      <charset val="2"/>
      <scheme val="minor"/>
    </font>
    <font>
      <sz val="10"/>
      <color theme="8"/>
      <name val="Calibri"/>
      <family val="2"/>
      <charset val="2"/>
      <scheme val="minor"/>
    </font>
    <font>
      <sz val="10"/>
      <color theme="8"/>
      <name val="Wingdings"/>
      <charset val="2"/>
    </font>
    <font>
      <sz val="10"/>
      <color theme="8"/>
      <name val="Calibri"/>
      <family val="2"/>
      <scheme val="minor"/>
    </font>
    <font>
      <sz val="9"/>
      <color theme="1"/>
      <name val="Calibri"/>
      <family val="2"/>
      <scheme val="minor"/>
    </font>
    <font>
      <sz val="9"/>
      <color theme="5" tint="-0.249977111117893"/>
      <name val="Calibri"/>
      <family val="2"/>
      <charset val="2"/>
      <scheme val="minor"/>
    </font>
    <font>
      <sz val="9"/>
      <color theme="5" tint="-0.249977111117893"/>
      <name val="Wingdings"/>
      <charset val="2"/>
    </font>
    <font>
      <sz val="9"/>
      <color theme="5" tint="-0.249977111117893"/>
      <name val="Calibri"/>
      <family val="2"/>
      <scheme val="minor"/>
    </font>
    <font>
      <sz val="9"/>
      <name val="Arial"/>
      <family val="2"/>
    </font>
    <font>
      <sz val="9"/>
      <color theme="8"/>
      <name val="Calibri"/>
      <family val="2"/>
      <charset val="2"/>
      <scheme val="minor"/>
    </font>
    <font>
      <sz val="9"/>
      <color theme="8"/>
      <name val="Wingdings"/>
      <charset val="2"/>
    </font>
    <font>
      <sz val="9"/>
      <color theme="8"/>
      <name val="Calibri"/>
      <family val="2"/>
      <scheme val="minor"/>
    </font>
    <font>
      <sz val="9"/>
      <color theme="9"/>
      <name val="Calibri"/>
      <family val="2"/>
      <charset val="2"/>
      <scheme val="minor"/>
    </font>
    <font>
      <sz val="9"/>
      <color theme="9"/>
      <name val="Wingdings"/>
      <charset val="2"/>
    </font>
    <font>
      <sz val="9"/>
      <color theme="9"/>
      <name val="Calibri"/>
      <family val="2"/>
      <scheme val="minor"/>
    </font>
    <font>
      <b/>
      <sz val="11"/>
      <color rgb="FFC00000"/>
      <name val="Calibri"/>
      <family val="2"/>
      <scheme val="minor"/>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7" tint="0.59999389629810485"/>
        <bgColor indexed="64"/>
      </patternFill>
    </fill>
  </fills>
  <borders count="2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top style="hair">
        <color indexed="64"/>
      </top>
      <bottom style="hair">
        <color indexed="64"/>
      </bottom>
      <diagonal/>
    </border>
    <border>
      <left/>
      <right/>
      <top style="medium">
        <color indexed="64"/>
      </top>
      <bottom style="medium">
        <color indexed="64"/>
      </bottom>
      <diagonal/>
    </border>
    <border>
      <left style="medium">
        <color indexed="64"/>
      </left>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s>
  <cellStyleXfs count="6">
    <xf numFmtId="0" fontId="0" fillId="0" borderId="0"/>
    <xf numFmtId="43" fontId="1" fillId="0" borderId="0" applyFont="0" applyFill="0" applyBorder="0" applyAlignment="0" applyProtection="0"/>
    <xf numFmtId="0" fontId="2" fillId="0" borderId="0"/>
    <xf numFmtId="4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153">
    <xf numFmtId="0" fontId="0" fillId="0" borderId="0" xfId="0"/>
    <xf numFmtId="0" fontId="0" fillId="2" borderId="0" xfId="0" applyFill="1"/>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0" fillId="2" borderId="0" xfId="0" applyFill="1" applyAlignment="1">
      <alignment horizontal="center" vertical="center"/>
    </xf>
    <xf numFmtId="10" fontId="0" fillId="2" borderId="0" xfId="0" applyNumberFormat="1" applyFill="1" applyAlignment="1">
      <alignment horizontal="center" vertical="center"/>
    </xf>
    <xf numFmtId="0" fontId="8" fillId="2" borderId="0" xfId="0" applyFont="1" applyFill="1" applyAlignment="1">
      <alignment horizontal="center" vertical="center"/>
    </xf>
    <xf numFmtId="10" fontId="9" fillId="2" borderId="2" xfId="0" applyNumberFormat="1" applyFont="1" applyFill="1" applyBorder="1" applyAlignment="1">
      <alignment horizontal="center" vertical="center"/>
    </xf>
    <xf numFmtId="0" fontId="9" fillId="2" borderId="1" xfId="0" applyFont="1" applyFill="1" applyBorder="1" applyAlignment="1">
      <alignment horizontal="center" vertical="center"/>
    </xf>
    <xf numFmtId="10" fontId="8" fillId="2" borderId="0" xfId="0" applyNumberFormat="1" applyFont="1" applyFill="1" applyAlignment="1">
      <alignment horizontal="center" vertical="center"/>
    </xf>
    <xf numFmtId="0" fontId="5" fillId="2" borderId="0" xfId="0" applyFont="1" applyFill="1" applyAlignment="1">
      <alignment horizontal="center" vertical="center"/>
    </xf>
    <xf numFmtId="2" fontId="0" fillId="2" borderId="0" xfId="0" applyNumberFormat="1" applyFill="1" applyAlignment="1">
      <alignment horizontal="center" vertical="center"/>
    </xf>
    <xf numFmtId="0" fontId="5" fillId="2" borderId="15"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10" fontId="0" fillId="2" borderId="6" xfId="0" applyNumberFormat="1" applyFill="1" applyBorder="1" applyAlignment="1">
      <alignment horizontal="center" vertical="center"/>
    </xf>
    <xf numFmtId="10" fontId="0" fillId="2" borderId="5" xfId="0" applyNumberFormat="1" applyFill="1" applyBorder="1" applyAlignment="1">
      <alignment horizontal="center" vertical="center"/>
    </xf>
    <xf numFmtId="10" fontId="0" fillId="2" borderId="4" xfId="0" applyNumberFormat="1" applyFill="1" applyBorder="1" applyAlignment="1">
      <alignment horizontal="center" vertical="center"/>
    </xf>
    <xf numFmtId="0" fontId="5" fillId="2" borderId="16" xfId="0" applyFont="1" applyFill="1" applyBorder="1" applyAlignment="1">
      <alignment horizontal="center" vertical="center"/>
    </xf>
    <xf numFmtId="0" fontId="5" fillId="2" borderId="0" xfId="2" applyFont="1" applyFill="1" applyAlignment="1">
      <alignment horizontal="center" vertical="center"/>
    </xf>
    <xf numFmtId="164" fontId="5" fillId="2" borderId="0" xfId="2" applyNumberFormat="1" applyFont="1" applyFill="1" applyAlignment="1">
      <alignment horizontal="center" vertical="center"/>
    </xf>
    <xf numFmtId="0" fontId="3" fillId="2" borderId="4" xfId="0" applyFont="1" applyFill="1" applyBorder="1" applyAlignment="1">
      <alignment horizontal="center" vertical="center" wrapText="1"/>
    </xf>
    <xf numFmtId="2" fontId="4" fillId="2" borderId="4" xfId="1" applyNumberFormat="1" applyFont="1" applyFill="1" applyBorder="1" applyAlignment="1" applyProtection="1">
      <alignment horizontal="center" vertical="center"/>
    </xf>
    <xf numFmtId="0" fontId="5" fillId="3" borderId="8" xfId="2" applyFont="1" applyFill="1" applyBorder="1" applyAlignment="1" applyProtection="1">
      <alignment horizontal="center" vertical="center"/>
      <protection locked="0"/>
    </xf>
    <xf numFmtId="0" fontId="5" fillId="3" borderId="14" xfId="2" applyFont="1" applyFill="1" applyBorder="1" applyAlignment="1" applyProtection="1">
      <alignment horizontal="center" vertical="center"/>
      <protection locked="0"/>
    </xf>
    <xf numFmtId="0" fontId="5" fillId="3" borderId="17" xfId="2" applyFont="1" applyFill="1" applyBorder="1" applyAlignment="1" applyProtection="1">
      <alignment horizontal="center" vertical="center"/>
      <protection locked="0"/>
    </xf>
    <xf numFmtId="0" fontId="5" fillId="3" borderId="19" xfId="2" applyFont="1" applyFill="1" applyBorder="1" applyAlignment="1" applyProtection="1">
      <alignment horizontal="center" vertical="center"/>
      <protection locked="0"/>
    </xf>
    <xf numFmtId="0" fontId="5" fillId="2" borderId="5" xfId="0" applyFont="1" applyFill="1" applyBorder="1" applyAlignment="1">
      <alignment horizontal="center" vertical="center"/>
    </xf>
    <xf numFmtId="0" fontId="5" fillId="3" borderId="12" xfId="2" applyFont="1" applyFill="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3" borderId="21" xfId="2"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0" xfId="0" applyFont="1" applyFill="1"/>
    <xf numFmtId="0" fontId="9" fillId="2" borderId="2" xfId="0" applyFont="1" applyFill="1" applyBorder="1" applyAlignment="1">
      <alignment horizontal="center" vertical="center" wrapText="1"/>
    </xf>
    <xf numFmtId="0" fontId="0" fillId="2" borderId="8" xfId="0" applyFill="1" applyBorder="1" applyAlignment="1">
      <alignment horizontal="center" vertical="center"/>
    </xf>
    <xf numFmtId="0" fontId="9" fillId="2" borderId="0" xfId="0" applyFont="1" applyFill="1" applyAlignment="1">
      <alignment horizontal="center" vertical="center"/>
    </xf>
    <xf numFmtId="0" fontId="9" fillId="2" borderId="1" xfId="0" applyFont="1" applyFill="1" applyBorder="1"/>
    <xf numFmtId="0" fontId="9" fillId="5" borderId="1" xfId="0" applyFont="1" applyFill="1" applyBorder="1" applyAlignment="1">
      <alignment horizontal="right"/>
    </xf>
    <xf numFmtId="10" fontId="0" fillId="2" borderId="14" xfId="0" applyNumberFormat="1" applyFill="1" applyBorder="1" applyAlignment="1">
      <alignment horizontal="center" vertical="center"/>
    </xf>
    <xf numFmtId="10" fontId="0" fillId="2" borderId="10" xfId="0" applyNumberFormat="1" applyFill="1" applyBorder="1" applyAlignment="1">
      <alignment horizontal="center" vertical="center"/>
    </xf>
    <xf numFmtId="0" fontId="15" fillId="2" borderId="0" xfId="0" applyFont="1" applyFill="1"/>
    <xf numFmtId="0" fontId="10" fillId="5" borderId="3" xfId="0" applyFont="1" applyFill="1" applyBorder="1" applyAlignment="1">
      <alignment horizontal="center" vertical="center" wrapText="1"/>
    </xf>
    <xf numFmtId="0" fontId="9" fillId="2" borderId="0" xfId="0" applyFont="1" applyFill="1" applyAlignment="1">
      <alignment horizontal="center" vertical="center" wrapText="1"/>
    </xf>
    <xf numFmtId="0" fontId="11" fillId="2" borderId="0" xfId="0" applyFont="1" applyFill="1" applyAlignment="1">
      <alignment horizontal="center" vertical="center" wrapText="1"/>
    </xf>
    <xf numFmtId="0" fontId="0" fillId="2" borderId="7" xfId="0" applyFill="1" applyBorder="1" applyAlignment="1">
      <alignment horizontal="center" vertical="center"/>
    </xf>
    <xf numFmtId="0" fontId="0" fillId="2" borderId="15" xfId="0" applyFill="1" applyBorder="1" applyAlignment="1">
      <alignment horizontal="center" vertical="center"/>
    </xf>
    <xf numFmtId="164" fontId="7" fillId="5" borderId="3" xfId="2" applyNumberFormat="1" applyFont="1" applyFill="1" applyBorder="1" applyAlignment="1">
      <alignment horizontal="center" vertical="center"/>
    </xf>
    <xf numFmtId="164" fontId="5" fillId="5" borderId="4" xfId="2" applyNumberFormat="1" applyFont="1" applyFill="1" applyBorder="1" applyAlignment="1">
      <alignment horizontal="center" vertical="center"/>
    </xf>
    <xf numFmtId="164" fontId="5" fillId="5" borderId="8" xfId="2" applyNumberFormat="1" applyFont="1" applyFill="1" applyBorder="1" applyAlignment="1">
      <alignment horizontal="center" vertical="center"/>
    </xf>
    <xf numFmtId="164" fontId="5" fillId="5" borderId="15" xfId="2" applyNumberFormat="1" applyFont="1" applyFill="1" applyBorder="1" applyAlignment="1">
      <alignment horizontal="center" vertical="center"/>
    </xf>
    <xf numFmtId="0" fontId="3" fillId="2" borderId="3" xfId="0" applyFont="1" applyFill="1" applyBorder="1" applyAlignment="1">
      <alignment vertical="center" wrapText="1"/>
    </xf>
    <xf numFmtId="2" fontId="4" fillId="2" borderId="3" xfId="1" applyNumberFormat="1" applyFont="1" applyFill="1" applyBorder="1" applyAlignment="1" applyProtection="1">
      <alignment vertical="center"/>
    </xf>
    <xf numFmtId="1" fontId="10" fillId="2" borderId="4" xfId="0" applyNumberFormat="1" applyFont="1" applyFill="1" applyBorder="1" applyAlignment="1">
      <alignment horizontal="center" vertical="center"/>
    </xf>
    <xf numFmtId="0" fontId="17" fillId="2" borderId="6" xfId="0" applyFont="1" applyFill="1" applyBorder="1" applyAlignment="1">
      <alignment horizontal="center" vertical="center" wrapText="1"/>
    </xf>
    <xf numFmtId="1" fontId="12" fillId="2" borderId="4" xfId="0" applyNumberFormat="1" applyFont="1" applyFill="1" applyBorder="1" applyAlignment="1">
      <alignment horizontal="center" vertical="center"/>
    </xf>
    <xf numFmtId="0" fontId="12" fillId="2" borderId="14" xfId="0" applyFont="1" applyFill="1" applyBorder="1" applyAlignment="1">
      <alignment horizontal="center" vertical="center"/>
    </xf>
    <xf numFmtId="1" fontId="12" fillId="2" borderId="6" xfId="0" applyNumberFormat="1" applyFont="1" applyFill="1" applyBorder="1" applyAlignment="1">
      <alignment horizontal="center" vertical="center"/>
    </xf>
    <xf numFmtId="1" fontId="12" fillId="2" borderId="5" xfId="0" applyNumberFormat="1" applyFont="1" applyFill="1" applyBorder="1" applyAlignment="1">
      <alignment horizontal="center" vertical="center"/>
    </xf>
    <xf numFmtId="0" fontId="14" fillId="3" borderId="2" xfId="0" applyFont="1" applyFill="1" applyBorder="1"/>
    <xf numFmtId="0" fontId="19" fillId="2" borderId="0" xfId="0" applyFont="1" applyFill="1"/>
    <xf numFmtId="0" fontId="13" fillId="2" borderId="3" xfId="0" applyFont="1" applyFill="1" applyBorder="1" applyAlignment="1">
      <alignment horizontal="center" vertical="center" wrapText="1"/>
    </xf>
    <xf numFmtId="1" fontId="10" fillId="2" borderId="11" xfId="0" applyNumberFormat="1" applyFont="1" applyFill="1" applyBorder="1" applyAlignment="1">
      <alignment horizontal="center" vertical="center"/>
    </xf>
    <xf numFmtId="0" fontId="12" fillId="2" borderId="0" xfId="0" applyFont="1" applyFill="1" applyAlignment="1">
      <alignment horizontal="center" vertical="center"/>
    </xf>
    <xf numFmtId="164" fontId="0" fillId="2" borderId="0" xfId="0" applyNumberFormat="1" applyFill="1"/>
    <xf numFmtId="9" fontId="0" fillId="2" borderId="0" xfId="0" applyNumberFormat="1" applyFill="1"/>
    <xf numFmtId="0" fontId="0" fillId="2" borderId="0" xfId="0" applyFill="1" applyAlignment="1">
      <alignment horizontal="left" vertical="center"/>
    </xf>
    <xf numFmtId="2" fontId="8" fillId="2" borderId="0" xfId="0" applyNumberFormat="1" applyFont="1" applyFill="1" applyAlignment="1">
      <alignment horizontal="right" vertical="center"/>
    </xf>
    <xf numFmtId="44" fontId="0" fillId="6" borderId="3" xfId="3" applyFont="1" applyFill="1" applyBorder="1" applyAlignment="1">
      <alignment horizontal="center" vertical="center"/>
    </xf>
    <xf numFmtId="44" fontId="12" fillId="2" borderId="0" xfId="0" applyNumberFormat="1" applyFont="1" applyFill="1" applyAlignment="1">
      <alignment horizontal="center" vertical="center"/>
    </xf>
    <xf numFmtId="44" fontId="0" fillId="2" borderId="0" xfId="0" applyNumberFormat="1" applyFill="1" applyAlignment="1">
      <alignment horizontal="center" vertical="center"/>
    </xf>
    <xf numFmtId="2" fontId="0" fillId="2" borderId="4" xfId="0" applyNumberFormat="1" applyFill="1" applyBorder="1" applyAlignment="1">
      <alignment horizontal="center" vertical="center"/>
    </xf>
    <xf numFmtId="2" fontId="0" fillId="2" borderId="6" xfId="0" applyNumberFormat="1" applyFill="1" applyBorder="1" applyAlignment="1">
      <alignment horizontal="center" vertical="center"/>
    </xf>
    <xf numFmtId="0" fontId="3" fillId="2" borderId="0" xfId="0" applyFont="1" applyFill="1" applyAlignment="1">
      <alignment vertical="center" wrapText="1"/>
    </xf>
    <xf numFmtId="2" fontId="12" fillId="2" borderId="0" xfId="0" applyNumberFormat="1" applyFont="1" applyFill="1" applyAlignment="1">
      <alignment horizontal="center" vertical="center"/>
    </xf>
    <xf numFmtId="164" fontId="0" fillId="2" borderId="0" xfId="0" applyNumberFormat="1" applyFill="1" applyAlignment="1">
      <alignment horizontal="left" vertical="center"/>
    </xf>
    <xf numFmtId="164" fontId="3" fillId="5" borderId="0" xfId="2" applyNumberFormat="1" applyFont="1" applyFill="1" applyAlignment="1" applyProtection="1">
      <alignment horizontal="right" vertical="center"/>
      <protection locked="0"/>
    </xf>
    <xf numFmtId="10" fontId="0" fillId="2" borderId="9" xfId="0" applyNumberFormat="1" applyFill="1" applyBorder="1" applyAlignment="1">
      <alignment horizontal="center" vertical="center"/>
    </xf>
    <xf numFmtId="2" fontId="0" fillId="2" borderId="5" xfId="0" applyNumberFormat="1" applyFill="1" applyBorder="1" applyAlignment="1">
      <alignment horizontal="center" vertical="center"/>
    </xf>
    <xf numFmtId="10" fontId="0" fillId="2" borderId="0" xfId="4" applyNumberFormat="1" applyFont="1" applyFill="1" applyAlignment="1">
      <alignment horizontal="left" vertical="center"/>
    </xf>
    <xf numFmtId="2" fontId="12" fillId="2" borderId="6" xfId="0" applyNumberFormat="1" applyFont="1" applyFill="1" applyBorder="1" applyAlignment="1">
      <alignment horizontal="center" vertical="center"/>
    </xf>
    <xf numFmtId="2" fontId="12" fillId="2" borderId="5"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24" fillId="3" borderId="3" xfId="0" applyFont="1" applyFill="1" applyBorder="1" applyAlignment="1">
      <alignment horizontal="center" vertical="center" wrapText="1"/>
    </xf>
    <xf numFmtId="8" fontId="0" fillId="2" borderId="0" xfId="0" applyNumberFormat="1" applyFill="1"/>
    <xf numFmtId="8" fontId="18" fillId="3" borderId="3" xfId="2" applyNumberFormat="1" applyFont="1" applyFill="1" applyBorder="1" applyAlignment="1" applyProtection="1">
      <alignment horizontal="center" vertical="center"/>
      <protection locked="0"/>
    </xf>
    <xf numFmtId="8" fontId="9" fillId="2" borderId="3" xfId="0" applyNumberFormat="1" applyFont="1" applyFill="1" applyBorder="1" applyAlignment="1">
      <alignment horizontal="center" vertical="center" wrapText="1"/>
    </xf>
    <xf numFmtId="8" fontId="5" fillId="3" borderId="4" xfId="2" applyNumberFormat="1" applyFont="1" applyFill="1" applyBorder="1" applyAlignment="1" applyProtection="1">
      <alignment horizontal="center" vertical="center"/>
      <protection locked="0"/>
    </xf>
    <xf numFmtId="8" fontId="5" fillId="3" borderId="8" xfId="2" applyNumberFormat="1" applyFont="1" applyFill="1" applyBorder="1" applyAlignment="1" applyProtection="1">
      <alignment horizontal="center" vertical="center"/>
      <protection locked="0"/>
    </xf>
    <xf numFmtId="8" fontId="5" fillId="3" borderId="16" xfId="2" applyNumberFormat="1" applyFont="1" applyFill="1" applyBorder="1" applyAlignment="1" applyProtection="1">
      <alignment horizontal="center" vertical="center"/>
      <protection locked="0"/>
    </xf>
    <xf numFmtId="8" fontId="5" fillId="3" borderId="20" xfId="2" applyNumberFormat="1" applyFont="1" applyFill="1" applyBorder="1" applyAlignment="1" applyProtection="1">
      <alignment horizontal="center" vertical="center"/>
      <protection locked="0"/>
    </xf>
    <xf numFmtId="8" fontId="5" fillId="3" borderId="5" xfId="2" applyNumberFormat="1" applyFont="1" applyFill="1" applyBorder="1" applyAlignment="1" applyProtection="1">
      <alignment horizontal="center" vertical="center"/>
      <protection locked="0"/>
    </xf>
    <xf numFmtId="8" fontId="0" fillId="2" borderId="0" xfId="0" applyNumberFormat="1" applyFill="1" applyAlignment="1">
      <alignment horizontal="center" vertical="center"/>
    </xf>
    <xf numFmtId="0" fontId="23" fillId="3" borderId="3" xfId="0" applyFont="1" applyFill="1" applyBorder="1" applyAlignment="1">
      <alignment horizontal="center" vertical="center"/>
    </xf>
    <xf numFmtId="0" fontId="26" fillId="2" borderId="0" xfId="5" quotePrefix="1" applyFill="1"/>
    <xf numFmtId="0" fontId="29" fillId="2" borderId="0" xfId="0" applyFont="1" applyFill="1"/>
    <xf numFmtId="8" fontId="9" fillId="2" borderId="0" xfId="0" applyNumberFormat="1" applyFont="1" applyFill="1" applyAlignment="1">
      <alignment horizontal="center" vertical="center" wrapText="1"/>
    </xf>
    <xf numFmtId="8" fontId="9" fillId="5" borderId="2" xfId="0" applyNumberFormat="1" applyFont="1" applyFill="1" applyBorder="1" applyAlignment="1">
      <alignment horizontal="center" vertical="center" wrapText="1"/>
    </xf>
    <xf numFmtId="0" fontId="0" fillId="2" borderId="4" xfId="0" applyFill="1" applyBorder="1" applyAlignment="1">
      <alignment horizontal="center" vertical="center"/>
    </xf>
    <xf numFmtId="0" fontId="5" fillId="2" borderId="14" xfId="2" applyFont="1" applyFill="1" applyBorder="1" applyAlignment="1">
      <alignment horizontal="center" vertical="center"/>
    </xf>
    <xf numFmtId="8" fontId="0" fillId="2" borderId="4" xfId="0" applyNumberFormat="1" applyFill="1" applyBorder="1" applyAlignment="1">
      <alignment horizontal="center" vertical="center"/>
    </xf>
    <xf numFmtId="8" fontId="0" fillId="2" borderId="7" xfId="0" applyNumberFormat="1" applyFill="1" applyBorder="1" applyAlignment="1">
      <alignment horizontal="center" vertical="center"/>
    </xf>
    <xf numFmtId="0" fontId="5" fillId="2" borderId="17" xfId="2" applyFont="1" applyFill="1" applyBorder="1" applyAlignment="1">
      <alignment horizontal="center" vertical="center"/>
    </xf>
    <xf numFmtId="8" fontId="0" fillId="2" borderId="8" xfId="0" applyNumberFormat="1" applyFill="1" applyBorder="1" applyAlignment="1">
      <alignment horizontal="center" vertical="center"/>
    </xf>
    <xf numFmtId="0" fontId="5" fillId="2" borderId="19" xfId="2" applyFont="1" applyFill="1" applyBorder="1" applyAlignment="1">
      <alignment horizontal="center" vertical="center"/>
    </xf>
    <xf numFmtId="0" fontId="5" fillId="2" borderId="8"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2" xfId="2" applyFont="1" applyFill="1" applyBorder="1" applyAlignment="1">
      <alignment horizontal="center" vertical="center"/>
    </xf>
    <xf numFmtId="8" fontId="0" fillId="2" borderId="15" xfId="0" applyNumberFormat="1" applyFill="1" applyBorder="1" applyAlignment="1">
      <alignment horizontal="center" vertical="center"/>
    </xf>
    <xf numFmtId="0" fontId="5" fillId="5" borderId="4" xfId="2" applyFont="1" applyFill="1" applyBorder="1" applyAlignment="1">
      <alignment horizontal="center" vertical="center"/>
    </xf>
    <xf numFmtId="0" fontId="5" fillId="5" borderId="8" xfId="2" applyFont="1" applyFill="1" applyBorder="1" applyAlignment="1">
      <alignment horizontal="center" vertical="center"/>
    </xf>
    <xf numFmtId="0" fontId="5" fillId="5" borderId="16" xfId="2" applyFont="1" applyFill="1" applyBorder="1" applyAlignment="1">
      <alignment horizontal="center" vertical="center"/>
    </xf>
    <xf numFmtId="164" fontId="5" fillId="5" borderId="16" xfId="2" applyNumberFormat="1" applyFont="1" applyFill="1" applyBorder="1" applyAlignment="1">
      <alignment horizontal="center" vertical="center"/>
    </xf>
    <xf numFmtId="0" fontId="5" fillId="5" borderId="15" xfId="2" applyFont="1" applyFill="1" applyBorder="1" applyAlignment="1">
      <alignment horizontal="center" vertical="center"/>
    </xf>
    <xf numFmtId="0" fontId="29" fillId="2" borderId="0" xfId="0" applyFont="1" applyFill="1" applyAlignment="1">
      <alignment wrapText="1"/>
    </xf>
    <xf numFmtId="0" fontId="30" fillId="2" borderId="0" xfId="0" applyFont="1" applyFill="1" applyAlignment="1">
      <alignment wrapText="1"/>
    </xf>
    <xf numFmtId="0" fontId="37" fillId="2" borderId="0" xfId="0" applyFont="1" applyFill="1" applyAlignment="1">
      <alignment wrapText="1"/>
    </xf>
    <xf numFmtId="0" fontId="38" fillId="2" borderId="0" xfId="0" applyFont="1" applyFill="1" applyAlignment="1">
      <alignment wrapText="1"/>
    </xf>
    <xf numFmtId="0" fontId="42" fillId="2" borderId="0" xfId="0" applyFont="1" applyFill="1" applyAlignment="1">
      <alignment wrapText="1"/>
    </xf>
    <xf numFmtId="44" fontId="34" fillId="6" borderId="3" xfId="3" applyFont="1" applyFill="1" applyBorder="1" applyAlignment="1">
      <alignment horizontal="center" vertical="center"/>
    </xf>
    <xf numFmtId="164" fontId="45" fillId="5" borderId="0" xfId="2" applyNumberFormat="1" applyFont="1" applyFill="1" applyAlignment="1" applyProtection="1">
      <alignment horizontal="center" vertical="center"/>
      <protection locked="0"/>
    </xf>
    <xf numFmtId="0" fontId="46" fillId="2" borderId="0" xfId="0" applyFont="1" applyFill="1" applyAlignment="1">
      <alignment wrapText="1"/>
    </xf>
    <xf numFmtId="0" fontId="49" fillId="2" borderId="0" xfId="0" applyFont="1" applyFill="1" applyAlignment="1">
      <alignment wrapText="1"/>
    </xf>
    <xf numFmtId="44" fontId="41" fillId="6" borderId="3" xfId="3" applyFont="1" applyFill="1" applyBorder="1" applyAlignment="1">
      <alignment horizontal="center" vertical="center"/>
    </xf>
    <xf numFmtId="0" fontId="52" fillId="5" borderId="3" xfId="0" applyFont="1" applyFill="1" applyBorder="1" applyAlignment="1">
      <alignment horizontal="left"/>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5" xfId="0" applyFill="1" applyBorder="1" applyAlignment="1">
      <alignment horizontal="center" vertical="center"/>
    </xf>
    <xf numFmtId="0" fontId="8" fillId="2" borderId="0" xfId="0" applyFont="1" applyFill="1" applyAlignment="1">
      <alignment horizontal="center"/>
    </xf>
    <xf numFmtId="0" fontId="8" fillId="2" borderId="13" xfId="0" applyFont="1" applyFill="1" applyBorder="1" applyAlignment="1">
      <alignment horizontal="center"/>
    </xf>
    <xf numFmtId="0" fontId="25" fillId="2" borderId="1"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2" fontId="4" fillId="2" borderId="11" xfId="1" applyNumberFormat="1" applyFont="1" applyFill="1" applyBorder="1" applyAlignment="1" applyProtection="1">
      <alignment horizontal="center" vertical="center"/>
    </xf>
    <xf numFmtId="2" fontId="4" fillId="2" borderId="12" xfId="1" applyNumberFormat="1" applyFont="1" applyFill="1" applyBorder="1" applyAlignment="1" applyProtection="1">
      <alignment horizontal="center" vertical="center"/>
    </xf>
    <xf numFmtId="0" fontId="3" fillId="2" borderId="6" xfId="0" applyFont="1" applyFill="1" applyBorder="1" applyAlignment="1">
      <alignment horizontal="center" vertical="center" wrapText="1"/>
    </xf>
    <xf numFmtId="0" fontId="0" fillId="0" borderId="0" xfId="0" applyAlignment="1">
      <alignment horizontal="left" vertical="top" wrapText="1"/>
    </xf>
    <xf numFmtId="0" fontId="9" fillId="2" borderId="1" xfId="0" applyFont="1" applyFill="1" applyBorder="1" applyAlignment="1">
      <alignment horizontal="center" vertical="center"/>
    </xf>
    <xf numFmtId="0" fontId="9" fillId="2" borderId="18" xfId="0" applyFont="1" applyFill="1" applyBorder="1" applyAlignment="1">
      <alignment horizontal="center" vertical="center"/>
    </xf>
    <xf numFmtId="2" fontId="9" fillId="6" borderId="0" xfId="0" applyNumberFormat="1" applyFont="1" applyFill="1" applyAlignment="1">
      <alignment horizontal="left" vertical="center"/>
    </xf>
    <xf numFmtId="2" fontId="9" fillId="6" borderId="13" xfId="0" applyNumberFormat="1" applyFont="1" applyFill="1" applyBorder="1" applyAlignment="1">
      <alignment horizontal="left" vertical="center"/>
    </xf>
    <xf numFmtId="10" fontId="22" fillId="4" borderId="1" xfId="0" applyNumberFormat="1" applyFont="1" applyFill="1" applyBorder="1" applyAlignment="1">
      <alignment horizontal="center" vertical="center"/>
    </xf>
    <xf numFmtId="10" fontId="22" fillId="4" borderId="2" xfId="0" applyNumberFormat="1" applyFont="1" applyFill="1" applyBorder="1" applyAlignment="1">
      <alignment horizontal="center" vertical="center"/>
    </xf>
    <xf numFmtId="8" fontId="3" fillId="2" borderId="3" xfId="0" applyNumberFormat="1" applyFont="1" applyFill="1" applyBorder="1" applyAlignment="1">
      <alignment vertical="center" wrapText="1"/>
    </xf>
    <xf numFmtId="8" fontId="10" fillId="2" borderId="4" xfId="0" applyNumberFormat="1" applyFont="1" applyFill="1" applyBorder="1" applyAlignment="1">
      <alignment horizontal="center" vertical="center"/>
    </xf>
    <xf numFmtId="8" fontId="12" fillId="2" borderId="4" xfId="0" applyNumberFormat="1" applyFont="1" applyFill="1" applyBorder="1" applyAlignment="1">
      <alignment horizontal="center" vertical="center"/>
    </xf>
    <xf numFmtId="8" fontId="12" fillId="2" borderId="6" xfId="0" applyNumberFormat="1" applyFont="1" applyFill="1" applyBorder="1" applyAlignment="1">
      <alignment horizontal="center" vertical="center"/>
    </xf>
    <xf numFmtId="8" fontId="12" fillId="2" borderId="5" xfId="0" applyNumberFormat="1" applyFont="1" applyFill="1" applyBorder="1" applyAlignment="1">
      <alignment horizontal="center" vertical="center"/>
    </xf>
  </cellXfs>
  <cellStyles count="6">
    <cellStyle name="Coma" xfId="1" builtinId="3"/>
    <cellStyle name="Enllaç" xfId="5" builtinId="8"/>
    <cellStyle name="Moneda" xfId="3" builtinId="4"/>
    <cellStyle name="Normal" xfId="0" builtinId="0"/>
    <cellStyle name="Normal_ORIGINAL 12_11_2012 ANTONIO EXCEL 2003" xfId="2" xr:uid="{00000000-0005-0000-0000-000002000000}"/>
    <cellStyle name="Percentatge" xfId="4" builtinId="5"/>
  </cellStyles>
  <dxfs count="60">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font>
      <fill>
        <patternFill>
          <bgColor theme="7" tint="0.79998168889431442"/>
        </patternFill>
      </fill>
    </dxf>
    <dxf>
      <fill>
        <patternFill>
          <bgColor rgb="FFFF9F9F"/>
        </patternFill>
      </fill>
    </dxf>
    <dxf>
      <fill>
        <patternFill>
          <bgColor rgb="FFFF9F9F"/>
        </patternFill>
      </fill>
    </dxf>
    <dxf>
      <font>
        <b/>
        <i val="0"/>
      </font>
      <fill>
        <patternFill>
          <bgColor theme="7" tint="0.79998168889431442"/>
        </patternFill>
      </fill>
    </dxf>
    <dxf>
      <font>
        <b/>
        <i val="0"/>
      </font>
      <fill>
        <patternFill>
          <bgColor theme="7" tint="0.79998168889431442"/>
        </patternFill>
      </fill>
    </dxf>
    <dxf>
      <fill>
        <patternFill>
          <bgColor rgb="FFFFABAB"/>
        </patternFill>
      </fill>
    </dxf>
    <dxf>
      <font>
        <b/>
        <i val="0"/>
      </font>
      <fill>
        <patternFill>
          <bgColor theme="7" tint="0.79998168889431442"/>
        </patternFill>
      </fill>
    </dxf>
    <dxf>
      <fill>
        <patternFill>
          <bgColor rgb="FFFF9F9F"/>
        </patternFill>
      </fill>
    </dxf>
    <dxf>
      <fill>
        <patternFill>
          <bgColor rgb="FFFF9F9F"/>
        </patternFill>
      </fill>
    </dxf>
    <dxf>
      <fill>
        <patternFill>
          <bgColor rgb="FFFF9F9F"/>
        </patternFill>
      </fill>
    </dxf>
  </dxfs>
  <tableStyles count="0" defaultTableStyle="TableStyleMedium2" defaultPivotStyle="PivotStyleLight16"/>
  <colors>
    <mruColors>
      <color rgb="FFFFABAB"/>
      <color rgb="FFFF9F9F"/>
      <color rgb="FFF14B17"/>
      <color rgb="FFFAD6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 O + licitadors - Lot 1'!A1"/><Relationship Id="rId1" Type="http://schemas.openxmlformats.org/officeDocument/2006/relationships/image" Target="../media/image1.png"/><Relationship Id="rId4" Type="http://schemas.openxmlformats.org/officeDocument/2006/relationships/image" Target="../media/image3.svg"/></Relationships>
</file>

<file path=xl/drawings/_rels/drawing2.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6.svg"/><Relationship Id="rId5" Type="http://schemas.openxmlformats.org/officeDocument/2006/relationships/image" Target="../media/image2.png"/><Relationship Id="rId4" Type="http://schemas.openxmlformats.org/officeDocument/2006/relationships/hyperlink" Target="#'4 O + licitadors - Lot 1'!A1"/></Relationships>
</file>

<file path=xl/drawings/_rels/drawing3.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hyperlink" Target="#RESULTAT!A1"/></Relationships>
</file>

<file path=xl/drawings/_rels/drawing4.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5.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6.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_rels/drawing7.xml.rels><?xml version="1.0" encoding="UTF-8" standalone="yes"?>
<Relationships xmlns="http://schemas.openxmlformats.org/package/2006/relationships"><Relationship Id="rId3" Type="http://schemas.openxmlformats.org/officeDocument/2006/relationships/image" Target="../media/image5.svg"/><Relationship Id="rId2" Type="http://schemas.openxmlformats.org/officeDocument/2006/relationships/image" Target="../media/image4.png"/><Relationship Id="rId1" Type="http://schemas.openxmlformats.org/officeDocument/2006/relationships/hyperlink" Target="#Ofertes!A1"/><Relationship Id="rId6" Type="http://schemas.openxmlformats.org/officeDocument/2006/relationships/image" Target="../media/image9.svg"/><Relationship Id="rId5" Type="http://schemas.openxmlformats.org/officeDocument/2006/relationships/image" Target="../media/image7.png"/><Relationship Id="rId4" Type="http://schemas.openxmlformats.org/officeDocument/2006/relationships/hyperlink" Target="#RESULTAT!A1"/></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6</xdr:col>
      <xdr:colOff>886046</xdr:colOff>
      <xdr:row>3</xdr:row>
      <xdr:rowOff>533474</xdr:rowOff>
    </xdr:to>
    <xdr:pic>
      <xdr:nvPicPr>
        <xdr:cNvPr id="2" name="Imatge 1">
          <a:extLst>
            <a:ext uri="{FF2B5EF4-FFF2-40B4-BE49-F238E27FC236}">
              <a16:creationId xmlns:a16="http://schemas.microsoft.com/office/drawing/2014/main" id="{EA25F49F-62C3-2FE2-925C-CC06D51DDFCC}"/>
            </a:ext>
          </a:extLst>
        </xdr:cNvPr>
        <xdr:cNvPicPr>
          <a:picLocks noChangeAspect="1"/>
        </xdr:cNvPicPr>
      </xdr:nvPicPr>
      <xdr:blipFill>
        <a:blip xmlns:r="http://schemas.openxmlformats.org/officeDocument/2006/relationships" r:embed="rId1"/>
        <a:stretch>
          <a:fillRect/>
        </a:stretch>
      </xdr:blipFill>
      <xdr:spPr>
        <a:xfrm>
          <a:off x="8191500" y="647700"/>
          <a:ext cx="1581371" cy="533474"/>
        </a:xfrm>
        <a:prstGeom prst="rect">
          <a:avLst/>
        </a:prstGeom>
      </xdr:spPr>
    </xdr:pic>
    <xdr:clientData/>
  </xdr:twoCellAnchor>
  <xdr:oneCellAnchor>
    <xdr:from>
      <xdr:col>4</xdr:col>
      <xdr:colOff>229160</xdr:colOff>
      <xdr:row>0</xdr:row>
      <xdr:rowOff>165847</xdr:rowOff>
    </xdr:from>
    <xdr:ext cx="485775" cy="489137"/>
    <xdr:pic>
      <xdr:nvPicPr>
        <xdr:cNvPr id="5" name="Gràfic 4" descr="Badge Tick with solid fill">
          <a:hlinkClick xmlns:r="http://schemas.openxmlformats.org/officeDocument/2006/relationships" r:id="rId2"/>
          <a:extLst>
            <a:ext uri="{FF2B5EF4-FFF2-40B4-BE49-F238E27FC236}">
              <a16:creationId xmlns:a16="http://schemas.microsoft.com/office/drawing/2014/main" id="{E103CE85-9E79-436B-A257-C7C5895138E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7300072" y="165847"/>
          <a:ext cx="485775" cy="4891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71439</xdr:colOff>
      <xdr:row>1</xdr:row>
      <xdr:rowOff>1</xdr:rowOff>
    </xdr:from>
    <xdr:to>
      <xdr:col>8</xdr:col>
      <xdr:colOff>338138</xdr:colOff>
      <xdr:row>1</xdr:row>
      <xdr:rowOff>266700</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DD6B66F9-6941-47C7-9FD5-31F7B90767EB}"/>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006014" y="247651"/>
          <a:ext cx="266699" cy="266699"/>
        </a:xfrm>
        <a:prstGeom prst="rect">
          <a:avLst/>
        </a:prstGeom>
      </xdr:spPr>
    </xdr:pic>
    <xdr:clientData/>
  </xdr:twoCellAnchor>
  <xdr:oneCellAnchor>
    <xdr:from>
      <xdr:col>9</xdr:col>
      <xdr:colOff>133351</xdr:colOff>
      <xdr:row>0</xdr:row>
      <xdr:rowOff>184898</xdr:rowOff>
    </xdr:from>
    <xdr:ext cx="285750" cy="287728"/>
    <xdr:pic>
      <xdr:nvPicPr>
        <xdr:cNvPr id="4" name="Gràfic 3" descr="Badge Tick with solid fill">
          <a:hlinkClick xmlns:r="http://schemas.openxmlformats.org/officeDocument/2006/relationships" r:id="rId4"/>
          <a:extLst>
            <a:ext uri="{FF2B5EF4-FFF2-40B4-BE49-F238E27FC236}">
              <a16:creationId xmlns:a16="http://schemas.microsoft.com/office/drawing/2014/main" id="{A7C16704-3917-420C-9BA1-AB25BD2A357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829926" y="184898"/>
          <a:ext cx="285750" cy="28772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0C603881-8A0B-9760-30AB-892486D00DE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80375" y="1277938"/>
          <a:ext cx="404813" cy="404813"/>
        </a:xfrm>
        <a:prstGeom prst="rect">
          <a:avLst/>
        </a:prstGeom>
      </xdr:spPr>
    </xdr:pic>
    <xdr:clientData/>
  </xdr:twoCellAnchor>
  <xdr:oneCellAnchor>
    <xdr:from>
      <xdr:col>6</xdr:col>
      <xdr:colOff>0</xdr:colOff>
      <xdr:row>3</xdr:row>
      <xdr:rowOff>0</xdr:rowOff>
    </xdr:from>
    <xdr:ext cx="404813" cy="404813"/>
    <xdr:pic>
      <xdr:nvPicPr>
        <xdr:cNvPr id="4" name="Gràfic 3" descr="Badge New with solid fill">
          <a:hlinkClick xmlns:r="http://schemas.openxmlformats.org/officeDocument/2006/relationships" r:id="rId4"/>
          <a:extLst>
            <a:ext uri="{FF2B5EF4-FFF2-40B4-BE49-F238E27FC236}">
              <a16:creationId xmlns:a16="http://schemas.microsoft.com/office/drawing/2014/main" id="{C443D234-E23C-4E4C-8509-F6D483D3D788}"/>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3188" y="1277938"/>
          <a:ext cx="404813" cy="40481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CE151D02-EDEC-4BC1-9156-205C1C14EA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7AF40B92-E6F8-4A66-A2BD-5CA7B3B7230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4" name="Gràfic 3" descr="Badge New with solid fill">
          <a:hlinkClick xmlns:r="http://schemas.openxmlformats.org/officeDocument/2006/relationships" r:id="rId4"/>
          <a:extLst>
            <a:ext uri="{FF2B5EF4-FFF2-40B4-BE49-F238E27FC236}">
              <a16:creationId xmlns:a16="http://schemas.microsoft.com/office/drawing/2014/main" id="{4085C336-C716-4539-9632-92F74B3CF62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A63345ED-F246-4688-BA38-8A0F2243FF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43E32C9E-51FD-4519-AD8A-C7C3FF7ABA6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120CA58A-A024-4A75-A949-1682DA88929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EE1296CD-AD1B-4755-B22D-44CC73EBAF2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E7AB95F6-CBC3-473F-8BC5-D0684A565BE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4A049261-742B-45BA-B152-6F85AD102A4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A1333150-15DE-49DD-8893-7678B03D9AA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6CE79DFB-668B-4E16-8570-17AABF6E707E}"/>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3</xdr:row>
      <xdr:rowOff>0</xdr:rowOff>
    </xdr:from>
    <xdr:to>
      <xdr:col>5</xdr:col>
      <xdr:colOff>404813</xdr:colOff>
      <xdr:row>3</xdr:row>
      <xdr:rowOff>404813</xdr:rowOff>
    </xdr:to>
    <xdr:pic>
      <xdr:nvPicPr>
        <xdr:cNvPr id="2" name="Gràfic 1" descr="Bullseye with solid fill">
          <a:hlinkClick xmlns:r="http://schemas.openxmlformats.org/officeDocument/2006/relationships" r:id="rId1"/>
          <a:extLst>
            <a:ext uri="{FF2B5EF4-FFF2-40B4-BE49-F238E27FC236}">
              <a16:creationId xmlns:a16="http://schemas.microsoft.com/office/drawing/2014/main" id="{C1B01BC4-5E08-4062-B514-DCB97D56F59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3" name="Gràfic 2" descr="Bullseye with solid fill">
          <a:hlinkClick xmlns:r="http://schemas.openxmlformats.org/officeDocument/2006/relationships" r:id="rId1"/>
          <a:extLst>
            <a:ext uri="{FF2B5EF4-FFF2-40B4-BE49-F238E27FC236}">
              <a16:creationId xmlns:a16="http://schemas.microsoft.com/office/drawing/2014/main" id="{0A8854EE-906D-4204-995C-426AA5C8672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twoCellAnchor editAs="oneCell">
    <xdr:from>
      <xdr:col>5</xdr:col>
      <xdr:colOff>0</xdr:colOff>
      <xdr:row>3</xdr:row>
      <xdr:rowOff>0</xdr:rowOff>
    </xdr:from>
    <xdr:to>
      <xdr:col>5</xdr:col>
      <xdr:colOff>404813</xdr:colOff>
      <xdr:row>3</xdr:row>
      <xdr:rowOff>404813</xdr:rowOff>
    </xdr:to>
    <xdr:pic>
      <xdr:nvPicPr>
        <xdr:cNvPr id="4" name="Gràfic 3" descr="Bullseye with solid fill">
          <a:hlinkClick xmlns:r="http://schemas.openxmlformats.org/officeDocument/2006/relationships" r:id="rId1"/>
          <a:extLst>
            <a:ext uri="{FF2B5EF4-FFF2-40B4-BE49-F238E27FC236}">
              <a16:creationId xmlns:a16="http://schemas.microsoft.com/office/drawing/2014/main" id="{D1CDB8B6-DF4A-4F03-9B2C-1C93302D8118}"/>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8077200" y="1276350"/>
          <a:ext cx="404813" cy="404813"/>
        </a:xfrm>
        <a:prstGeom prst="rect">
          <a:avLst/>
        </a:prstGeom>
      </xdr:spPr>
    </xdr:pic>
    <xdr:clientData/>
  </xdr:twoCellAnchor>
  <xdr:oneCellAnchor>
    <xdr:from>
      <xdr:col>6</xdr:col>
      <xdr:colOff>0</xdr:colOff>
      <xdr:row>3</xdr:row>
      <xdr:rowOff>0</xdr:rowOff>
    </xdr:from>
    <xdr:ext cx="404813" cy="404813"/>
    <xdr:pic>
      <xdr:nvPicPr>
        <xdr:cNvPr id="5" name="Gràfic 4" descr="Badge New with solid fill">
          <a:hlinkClick xmlns:r="http://schemas.openxmlformats.org/officeDocument/2006/relationships" r:id="rId4"/>
          <a:extLst>
            <a:ext uri="{FF2B5EF4-FFF2-40B4-BE49-F238E27FC236}">
              <a16:creationId xmlns:a16="http://schemas.microsoft.com/office/drawing/2014/main" id="{EDC32139-D84C-496E-B4FC-6DE00C87CE64}"/>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rcRect/>
        <a:stretch/>
      </xdr:blipFill>
      <xdr:spPr>
        <a:xfrm>
          <a:off x="8991600" y="1276350"/>
          <a:ext cx="404813" cy="40481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A079B-7BA1-4E4D-985A-73462B8C74C3}">
  <dimension ref="A1:J44"/>
  <sheetViews>
    <sheetView zoomScale="76" zoomScaleNormal="76" workbookViewId="0">
      <selection activeCell="H54" sqref="H54"/>
    </sheetView>
  </sheetViews>
  <sheetFormatPr defaultColWidth="11.42578125" defaultRowHeight="15"/>
  <cols>
    <col min="1" max="1" width="3" style="1" customWidth="1"/>
    <col min="2" max="2" width="11.42578125" style="1"/>
    <col min="3" max="3" width="74" style="1" customWidth="1"/>
    <col min="4" max="4" width="17.7109375" style="85" customWidth="1"/>
    <col min="5" max="5" width="16.7109375" style="1" customWidth="1"/>
    <col min="6" max="6" width="10.42578125" style="1" customWidth="1"/>
    <col min="7" max="7" width="13.85546875" style="1" customWidth="1"/>
    <col min="8" max="8" width="74" style="1" customWidth="1"/>
    <col min="9" max="9" width="17.7109375" style="85" customWidth="1"/>
    <col min="10" max="10" width="16.7109375" style="1" customWidth="1"/>
    <col min="11" max="16384" width="11.42578125" style="1"/>
  </cols>
  <sheetData>
    <row r="1" spans="1:10" ht="15.75" thickBot="1"/>
    <row r="2" spans="1:10" ht="15.75" thickBot="1">
      <c r="B2" s="38" t="s">
        <v>10</v>
      </c>
      <c r="C2" s="60" t="s">
        <v>35</v>
      </c>
      <c r="F2" s="95"/>
      <c r="G2" s="96"/>
    </row>
    <row r="3" spans="1:10" ht="20.100000000000001" customHeight="1" thickBot="1">
      <c r="C3" s="61"/>
    </row>
    <row r="4" spans="1:10" ht="44.25" customHeight="1" thickBot="1">
      <c r="B4" s="8"/>
      <c r="C4" s="84" t="s">
        <v>36</v>
      </c>
      <c r="D4" s="95"/>
      <c r="E4" s="116" t="s">
        <v>41</v>
      </c>
      <c r="F4" s="129" t="s">
        <v>19</v>
      </c>
      <c r="G4" s="130"/>
      <c r="H4" s="83" t="s">
        <v>18</v>
      </c>
      <c r="I4" s="94">
        <v>100</v>
      </c>
    </row>
    <row r="5" spans="1:10" ht="15" customHeight="1" thickBot="1"/>
    <row r="6" spans="1:10" ht="18" customHeight="1" thickBot="1">
      <c r="B6" s="43" t="s">
        <v>9</v>
      </c>
      <c r="C6" s="39" t="s">
        <v>20</v>
      </c>
      <c r="D6" s="86">
        <v>1267694.44</v>
      </c>
      <c r="G6" s="43" t="s">
        <v>12</v>
      </c>
      <c r="H6" s="39" t="s">
        <v>20</v>
      </c>
      <c r="I6" s="86">
        <v>371585.46</v>
      </c>
    </row>
    <row r="7" spans="1:10" ht="33" customHeight="1" thickBot="1">
      <c r="B7" s="21" t="s">
        <v>3</v>
      </c>
      <c r="C7" s="22" t="s">
        <v>1</v>
      </c>
      <c r="D7" s="87" t="s">
        <v>11</v>
      </c>
      <c r="E7" s="33" t="s">
        <v>0</v>
      </c>
      <c r="F7" s="37"/>
      <c r="G7" s="21" t="s">
        <v>3</v>
      </c>
      <c r="H7" s="22" t="s">
        <v>1</v>
      </c>
      <c r="I7" s="87" t="s">
        <v>11</v>
      </c>
      <c r="J7" s="33" t="s">
        <v>0</v>
      </c>
    </row>
    <row r="8" spans="1:10" s="4" customFormat="1" ht="20.100000000000001" customHeight="1">
      <c r="A8" s="6" t="e">
        <f>#REF!</f>
        <v>#REF!</v>
      </c>
      <c r="B8" s="2">
        <v>1</v>
      </c>
      <c r="C8" s="24" t="s">
        <v>29</v>
      </c>
      <c r="D8" s="88">
        <v>1266203.45</v>
      </c>
      <c r="E8" s="46">
        <f>IF($D8="","",(ROUND(PRODUCT($I$4,(1-(($D8-MIN($D$8:$D$15))/$D$6))),2)))</f>
        <v>95.33</v>
      </c>
      <c r="G8" s="2">
        <v>1</v>
      </c>
      <c r="H8" s="24" t="s">
        <v>29</v>
      </c>
      <c r="I8" s="88">
        <v>370911.15</v>
      </c>
      <c r="J8" s="46">
        <f>IF($I8="","",(ROUND(PRODUCT($I$4,(1-(($I8-MIN($I$8:$I$15))/$I$6))),2)))</f>
        <v>96.28</v>
      </c>
    </row>
    <row r="9" spans="1:10" s="4" customFormat="1" ht="20.100000000000001" customHeight="1">
      <c r="A9" s="6" t="e">
        <f>#REF!</f>
        <v>#REF!</v>
      </c>
      <c r="B9" s="3">
        <v>2</v>
      </c>
      <c r="C9" s="25" t="s">
        <v>30</v>
      </c>
      <c r="D9" s="89">
        <v>1229663.6000000001</v>
      </c>
      <c r="E9" s="36">
        <f t="shared" ref="E9:E15" si="0">IF($D9="","",(ROUND(PRODUCT($I$4,(1-(($D9-MIN($D$8:$D$15))/$D$6))),2)))</f>
        <v>98.21</v>
      </c>
      <c r="G9" s="3">
        <v>2</v>
      </c>
      <c r="H9" s="25" t="s">
        <v>31</v>
      </c>
      <c r="I9" s="89">
        <v>364711.13</v>
      </c>
      <c r="J9" s="36">
        <f t="shared" ref="J9:J15" si="1">IF($I9="","",(ROUND(PRODUCT($I$4,(1-(($I9-MIN($I$8:$I$15))/$I$6))),2)))</f>
        <v>97.95</v>
      </c>
    </row>
    <row r="10" spans="1:10" s="4" customFormat="1" ht="20.100000000000001" customHeight="1">
      <c r="A10" s="6" t="e">
        <f>#REF!</f>
        <v>#REF!</v>
      </c>
      <c r="B10" s="3">
        <v>3</v>
      </c>
      <c r="C10" s="25" t="s">
        <v>32</v>
      </c>
      <c r="D10" s="89">
        <v>1226494.3700000001</v>
      </c>
      <c r="E10" s="36">
        <f>IF($D10="","",(ROUND(PRODUCT($I$4,(1-(($D10-MIN($D$8:$D$15))/$D$6))),2)))</f>
        <v>98.46</v>
      </c>
      <c r="G10" s="3">
        <v>3</v>
      </c>
      <c r="H10" s="25" t="s">
        <v>30</v>
      </c>
      <c r="I10" s="89">
        <v>364339.55</v>
      </c>
      <c r="J10" s="36">
        <f t="shared" si="1"/>
        <v>98.05</v>
      </c>
    </row>
    <row r="11" spans="1:10" s="4" customFormat="1" ht="20.100000000000001" customHeight="1">
      <c r="A11" s="6" t="e">
        <f>#REF!</f>
        <v>#REF!</v>
      </c>
      <c r="B11" s="3">
        <v>4</v>
      </c>
      <c r="C11" s="25" t="s">
        <v>34</v>
      </c>
      <c r="D11" s="89">
        <v>1213183.58</v>
      </c>
      <c r="E11" s="36">
        <f t="shared" si="0"/>
        <v>99.51</v>
      </c>
      <c r="G11" s="3">
        <v>4</v>
      </c>
      <c r="H11" s="25" t="s">
        <v>34</v>
      </c>
      <c r="I11" s="89">
        <v>357093.63</v>
      </c>
      <c r="J11" s="36">
        <f t="shared" si="1"/>
        <v>100</v>
      </c>
    </row>
    <row r="12" spans="1:10" s="4" customFormat="1" ht="20.100000000000001" customHeight="1">
      <c r="A12" s="6" t="e">
        <f>#REF!</f>
        <v>#REF!</v>
      </c>
      <c r="B12" s="18">
        <v>5</v>
      </c>
      <c r="C12" s="26" t="s">
        <v>37</v>
      </c>
      <c r="D12" s="90">
        <v>1207000</v>
      </c>
      <c r="E12" s="36">
        <f t="shared" si="0"/>
        <v>100</v>
      </c>
      <c r="G12" s="18">
        <v>5</v>
      </c>
      <c r="H12" s="26" t="s">
        <v>37</v>
      </c>
      <c r="I12" s="90">
        <v>360800</v>
      </c>
      <c r="J12" s="36">
        <f t="shared" si="1"/>
        <v>99</v>
      </c>
    </row>
    <row r="13" spans="1:10" s="4" customFormat="1" ht="20.100000000000001" customHeight="1">
      <c r="A13" s="6" t="e">
        <f>#REF!</f>
        <v>#REF!</v>
      </c>
      <c r="B13" s="3">
        <v>6</v>
      </c>
      <c r="C13" s="23" t="s">
        <v>33</v>
      </c>
      <c r="D13" s="89">
        <v>1219522.05</v>
      </c>
      <c r="E13" s="36">
        <f t="shared" si="0"/>
        <v>99.01</v>
      </c>
      <c r="G13" s="3">
        <v>6</v>
      </c>
      <c r="H13" s="23"/>
      <c r="I13" s="89"/>
      <c r="J13" s="36" t="str">
        <f t="shared" si="1"/>
        <v/>
      </c>
    </row>
    <row r="14" spans="1:10" s="4" customFormat="1" ht="20.100000000000001" customHeight="1">
      <c r="A14" s="6" t="e">
        <f>#REF!</f>
        <v>#REF!</v>
      </c>
      <c r="B14" s="29">
        <v>7</v>
      </c>
      <c r="C14" s="30"/>
      <c r="D14" s="91"/>
      <c r="E14" s="36" t="str">
        <f t="shared" si="0"/>
        <v/>
      </c>
      <c r="G14" s="29">
        <v>7</v>
      </c>
      <c r="H14" s="30"/>
      <c r="I14" s="91"/>
      <c r="J14" s="36" t="str">
        <f t="shared" si="1"/>
        <v/>
      </c>
    </row>
    <row r="15" spans="1:10" s="4" customFormat="1" ht="20.100000000000001" customHeight="1" thickBot="1">
      <c r="A15" s="6" t="e">
        <f>#REF!</f>
        <v>#REF!</v>
      </c>
      <c r="B15" s="27">
        <v>8</v>
      </c>
      <c r="C15" s="28"/>
      <c r="D15" s="92"/>
      <c r="E15" s="47" t="str">
        <f t="shared" si="0"/>
        <v/>
      </c>
      <c r="G15" s="27">
        <v>8</v>
      </c>
      <c r="H15" s="28"/>
      <c r="I15" s="92"/>
      <c r="J15" s="47" t="str">
        <f t="shared" si="1"/>
        <v/>
      </c>
    </row>
    <row r="16" spans="1:10" s="4" customFormat="1" ht="20.100000000000001" customHeight="1" thickBot="1">
      <c r="A16" s="6" t="e">
        <f>#REF!</f>
        <v>#REF!</v>
      </c>
      <c r="B16" s="10"/>
      <c r="C16" s="19"/>
      <c r="D16" s="93"/>
      <c r="I16" s="93"/>
    </row>
    <row r="17" spans="1:10" s="4" customFormat="1" ht="18" customHeight="1" thickBot="1">
      <c r="A17" s="6" t="e">
        <f>#REF!</f>
        <v>#REF!</v>
      </c>
      <c r="B17" s="43" t="s">
        <v>13</v>
      </c>
      <c r="C17" s="39" t="s">
        <v>20</v>
      </c>
      <c r="D17" s="86">
        <v>1330398.3899999999</v>
      </c>
      <c r="G17" s="43" t="s">
        <v>14</v>
      </c>
      <c r="H17" s="39" t="s">
        <v>20</v>
      </c>
      <c r="I17" s="86">
        <v>311932.92</v>
      </c>
    </row>
    <row r="18" spans="1:10" s="4" customFormat="1" ht="26.25" thickBot="1">
      <c r="A18" s="6" t="e">
        <f>#REF!</f>
        <v>#REF!</v>
      </c>
      <c r="B18" s="21" t="s">
        <v>3</v>
      </c>
      <c r="C18" s="22" t="s">
        <v>1</v>
      </c>
      <c r="D18" s="87" t="s">
        <v>11</v>
      </c>
      <c r="E18" s="33" t="s">
        <v>0</v>
      </c>
      <c r="G18" s="21" t="s">
        <v>3</v>
      </c>
      <c r="H18" s="22" t="s">
        <v>1</v>
      </c>
      <c r="I18" s="87" t="s">
        <v>11</v>
      </c>
      <c r="J18" s="33" t="s">
        <v>0</v>
      </c>
    </row>
    <row r="19" spans="1:10" s="4" customFormat="1" ht="19.5" customHeight="1">
      <c r="A19" s="6" t="e">
        <f>#REF!</f>
        <v>#REF!</v>
      </c>
      <c r="B19" s="2">
        <v>1</v>
      </c>
      <c r="C19" s="24" t="s">
        <v>29</v>
      </c>
      <c r="D19" s="88">
        <v>1304455.6200000001</v>
      </c>
      <c r="E19" s="46">
        <f>IF($D19="","",(ROUND(PRODUCT($I$4,(1-(($D19-MIN($D$19:$D$26))/$D$17))),2)))</f>
        <v>95.95</v>
      </c>
      <c r="G19" s="2">
        <v>1</v>
      </c>
      <c r="H19" s="24" t="s">
        <v>29</v>
      </c>
      <c r="I19" s="88">
        <v>306006.19</v>
      </c>
      <c r="J19" s="46">
        <f>IF($I19="","",(ROUND(PRODUCT($I$4,(1-(($I19-MIN($I$19:$I$26))/$I$17))),2)))</f>
        <v>97.62</v>
      </c>
    </row>
    <row r="20" spans="1:10" s="4" customFormat="1" ht="19.5" customHeight="1">
      <c r="A20" s="6" t="e">
        <f>#REF!</f>
        <v>#REF!</v>
      </c>
      <c r="B20" s="3">
        <v>2</v>
      </c>
      <c r="C20" s="25" t="s">
        <v>30</v>
      </c>
      <c r="D20" s="89">
        <v>1253102.24</v>
      </c>
      <c r="E20" s="36">
        <f t="shared" ref="E20:E26" si="2">IF($D20="","",(ROUND(PRODUCT($I$4,(1-(($D20-MIN($D$19:$D$26))/$D$17))),2)))</f>
        <v>99.81</v>
      </c>
      <c r="G20" s="3">
        <v>2</v>
      </c>
      <c r="H20" s="25" t="s">
        <v>31</v>
      </c>
      <c r="I20" s="89">
        <v>305538.3</v>
      </c>
      <c r="J20" s="36">
        <f t="shared" ref="J20:J26" si="3">IF($I20="","",(ROUND(PRODUCT($I$4,(1-(($I20-MIN($I$19:$I$26))/$I$17))),2)))</f>
        <v>97.77</v>
      </c>
    </row>
    <row r="21" spans="1:10" s="4" customFormat="1" ht="19.5" customHeight="1">
      <c r="A21" s="6" t="e">
        <f>#REF!</f>
        <v>#REF!</v>
      </c>
      <c r="B21" s="3">
        <v>3</v>
      </c>
      <c r="C21" s="25" t="s">
        <v>32</v>
      </c>
      <c r="D21" s="89">
        <v>1314566.6499999999</v>
      </c>
      <c r="E21" s="36">
        <f>IF($D21="","",(ROUND(PRODUCT($I$4,(1-(($D21-MIN($D$19:$D$26))/$D$17))),2)))</f>
        <v>95.19</v>
      </c>
      <c r="G21" s="3">
        <v>3</v>
      </c>
      <c r="H21" s="25" t="s">
        <v>30</v>
      </c>
      <c r="I21" s="89">
        <v>303042.83</v>
      </c>
      <c r="J21" s="36">
        <f t="shared" si="3"/>
        <v>98.57</v>
      </c>
    </row>
    <row r="22" spans="1:10" s="4" customFormat="1" ht="19.5" customHeight="1">
      <c r="A22" s="6" t="e">
        <f>#REF!</f>
        <v>#REF!</v>
      </c>
      <c r="B22" s="3">
        <v>4</v>
      </c>
      <c r="C22" s="25" t="s">
        <v>34</v>
      </c>
      <c r="D22" s="89">
        <v>1271328.7</v>
      </c>
      <c r="E22" s="36">
        <f t="shared" si="2"/>
        <v>98.44</v>
      </c>
      <c r="G22" s="3">
        <v>4</v>
      </c>
      <c r="H22" s="25" t="s">
        <v>34</v>
      </c>
      <c r="I22" s="89">
        <v>298582.19</v>
      </c>
      <c r="J22" s="36">
        <f t="shared" si="3"/>
        <v>100</v>
      </c>
    </row>
    <row r="23" spans="1:10" s="4" customFormat="1" ht="19.5" customHeight="1">
      <c r="A23" s="6" t="e">
        <f>#REF!</f>
        <v>#REF!</v>
      </c>
      <c r="B23" s="18">
        <v>5</v>
      </c>
      <c r="C23" s="26" t="s">
        <v>37</v>
      </c>
      <c r="D23" s="90">
        <v>1267000</v>
      </c>
      <c r="E23" s="36">
        <f t="shared" si="2"/>
        <v>98.77</v>
      </c>
      <c r="G23" s="18">
        <v>5</v>
      </c>
      <c r="H23" s="26" t="s">
        <v>37</v>
      </c>
      <c r="I23" s="90">
        <v>301900</v>
      </c>
      <c r="J23" s="36">
        <f t="shared" si="3"/>
        <v>98.94</v>
      </c>
    </row>
    <row r="24" spans="1:10" s="4" customFormat="1" ht="19.5" customHeight="1">
      <c r="B24" s="3">
        <v>6</v>
      </c>
      <c r="C24" s="23" t="s">
        <v>33</v>
      </c>
      <c r="D24" s="89">
        <v>1250574.49</v>
      </c>
      <c r="E24" s="36">
        <f t="shared" si="2"/>
        <v>100</v>
      </c>
      <c r="G24" s="3">
        <v>6</v>
      </c>
      <c r="H24" s="23"/>
      <c r="I24" s="89"/>
      <c r="J24" s="36" t="str">
        <f t="shared" si="3"/>
        <v/>
      </c>
    </row>
    <row r="25" spans="1:10" s="4" customFormat="1" ht="19.5" customHeight="1">
      <c r="B25" s="29">
        <v>7</v>
      </c>
      <c r="C25" s="30"/>
      <c r="D25" s="91"/>
      <c r="E25" s="36" t="str">
        <f t="shared" si="2"/>
        <v/>
      </c>
      <c r="G25" s="29">
        <v>7</v>
      </c>
      <c r="H25" s="30"/>
      <c r="I25" s="91"/>
      <c r="J25" s="36" t="str">
        <f t="shared" si="3"/>
        <v/>
      </c>
    </row>
    <row r="26" spans="1:10" s="4" customFormat="1" ht="19.5" customHeight="1" thickBot="1">
      <c r="B26" s="27">
        <v>8</v>
      </c>
      <c r="C26" s="28"/>
      <c r="D26" s="92"/>
      <c r="E26" s="47" t="str">
        <f t="shared" si="2"/>
        <v/>
      </c>
      <c r="G26" s="27">
        <v>8</v>
      </c>
      <c r="H26" s="28"/>
      <c r="I26" s="92"/>
      <c r="J26" s="47" t="str">
        <f t="shared" si="3"/>
        <v/>
      </c>
    </row>
    <row r="27" spans="1:10" ht="15.75" thickBot="1"/>
    <row r="28" spans="1:10" ht="18" customHeight="1" thickBot="1">
      <c r="B28" s="43" t="s">
        <v>15</v>
      </c>
      <c r="C28" s="39" t="s">
        <v>20</v>
      </c>
      <c r="D28" s="86">
        <v>809665.95</v>
      </c>
      <c r="G28" s="43" t="s">
        <v>48</v>
      </c>
      <c r="H28" s="125" t="s">
        <v>24</v>
      </c>
    </row>
    <row r="29" spans="1:10" ht="26.25" thickBot="1">
      <c r="B29" s="21" t="s">
        <v>3</v>
      </c>
      <c r="C29" s="22" t="s">
        <v>1</v>
      </c>
      <c r="D29" s="87" t="s">
        <v>11</v>
      </c>
      <c r="E29" s="33" t="s">
        <v>0</v>
      </c>
      <c r="G29" s="21" t="s">
        <v>50</v>
      </c>
      <c r="H29" s="22" t="s">
        <v>51</v>
      </c>
    </row>
    <row r="30" spans="1:10" ht="19.5" customHeight="1">
      <c r="B30" s="2">
        <v>1</v>
      </c>
      <c r="C30" s="24" t="s">
        <v>29</v>
      </c>
      <c r="D30" s="88">
        <v>808324.4</v>
      </c>
      <c r="E30" s="46">
        <f>IF($D30="","",(ROUND(PRODUCT($I$4,(1-(($D30-MIN($D$30:$D$37))/$D$28))),2)))</f>
        <v>95.02</v>
      </c>
      <c r="G30" s="2">
        <v>1</v>
      </c>
      <c r="H30" s="46" t="str">
        <f>RESULTAT!L6</f>
        <v>JOSÉ ANTONIO ROMERO POLO, S.A.U.</v>
      </c>
    </row>
    <row r="31" spans="1:10" ht="19.5" customHeight="1">
      <c r="B31" s="3">
        <v>2</v>
      </c>
      <c r="C31" s="25" t="s">
        <v>30</v>
      </c>
      <c r="D31" s="89">
        <v>776469.65</v>
      </c>
      <c r="E31" s="36">
        <f t="shared" ref="E31:E37" si="4">IF($D31="","",(ROUND(PRODUCT($I$4,(1-(($D31-MIN($D$30:$D$37))/$D$28))),2)))</f>
        <v>98.95</v>
      </c>
      <c r="G31" s="3">
        <v>2</v>
      </c>
      <c r="H31" s="36" t="str">
        <f>RESULTAT!L17</f>
        <v>Sorigué, S.A.U.</v>
      </c>
    </row>
    <row r="32" spans="1:10" ht="19.5" customHeight="1">
      <c r="B32" s="3">
        <v>3</v>
      </c>
      <c r="C32" s="25" t="s">
        <v>32</v>
      </c>
      <c r="D32" s="89">
        <v>767968.15</v>
      </c>
      <c r="E32" s="36">
        <f t="shared" si="4"/>
        <v>100</v>
      </c>
      <c r="G32" s="3">
        <v>3</v>
      </c>
      <c r="H32" s="36" t="str">
        <f>RESULTAT!L28</f>
        <v>ROMÀ INFRAESTRUCTURES I SERVEIS, SAU</v>
      </c>
    </row>
    <row r="33" spans="2:8" ht="19.5" customHeight="1">
      <c r="B33" s="3">
        <v>4</v>
      </c>
      <c r="C33" s="25" t="s">
        <v>34</v>
      </c>
      <c r="D33" s="89">
        <v>772664.22</v>
      </c>
      <c r="E33" s="36">
        <f t="shared" si="4"/>
        <v>99.42</v>
      </c>
      <c r="G33" s="3">
        <v>4</v>
      </c>
      <c r="H33" s="36" t="str">
        <f>RESULTAT!L39</f>
        <v>Sorigué, S.A.U.</v>
      </c>
    </row>
    <row r="34" spans="2:8" ht="19.5" customHeight="1" thickBot="1">
      <c r="B34" s="18">
        <v>5</v>
      </c>
      <c r="C34" s="26" t="s">
        <v>37</v>
      </c>
      <c r="D34" s="90">
        <v>778100</v>
      </c>
      <c r="E34" s="36">
        <f t="shared" si="4"/>
        <v>98.75</v>
      </c>
      <c r="G34" s="27">
        <v>5</v>
      </c>
      <c r="H34" s="47" t="str">
        <f>RESULTAT!L50</f>
        <v>M. I J. GRUAS, S.A.</v>
      </c>
    </row>
    <row r="35" spans="2:8" ht="19.5" customHeight="1" thickBot="1">
      <c r="B35" s="3">
        <v>6</v>
      </c>
      <c r="C35" s="23" t="s">
        <v>33</v>
      </c>
      <c r="D35" s="89">
        <v>777684.15</v>
      </c>
      <c r="E35" s="36">
        <f t="shared" si="4"/>
        <v>98.8</v>
      </c>
    </row>
    <row r="36" spans="2:8" ht="19.5" customHeight="1" thickBot="1">
      <c r="B36" s="29">
        <v>7</v>
      </c>
      <c r="C36" s="30"/>
      <c r="D36" s="91"/>
      <c r="E36" s="36" t="str">
        <f t="shared" si="4"/>
        <v/>
      </c>
      <c r="G36" s="43"/>
      <c r="H36" s="125" t="s">
        <v>49</v>
      </c>
    </row>
    <row r="37" spans="2:8" ht="19.5" customHeight="1" thickBot="1">
      <c r="B37" s="27">
        <v>8</v>
      </c>
      <c r="C37" s="28"/>
      <c r="D37" s="92"/>
      <c r="E37" s="47" t="str">
        <f t="shared" si="4"/>
        <v/>
      </c>
      <c r="G37" s="21" t="s">
        <v>52</v>
      </c>
      <c r="H37" s="22" t="s">
        <v>53</v>
      </c>
    </row>
    <row r="38" spans="2:8">
      <c r="G38" s="2">
        <f t="shared" ref="G38:G39" si="5">COUNTIF($H$30:$H$34,H38)</f>
        <v>0</v>
      </c>
      <c r="H38" s="126" t="s">
        <v>29</v>
      </c>
    </row>
    <row r="39" spans="2:8">
      <c r="G39" s="3">
        <f t="shared" si="5"/>
        <v>0</v>
      </c>
      <c r="H39" s="127" t="s">
        <v>31</v>
      </c>
    </row>
    <row r="40" spans="2:8">
      <c r="G40" s="3">
        <f>COUNTIF($H$30:$H$34,H40)</f>
        <v>0</v>
      </c>
      <c r="H40" s="127" t="s">
        <v>30</v>
      </c>
    </row>
    <row r="41" spans="2:8">
      <c r="G41" s="3">
        <f t="shared" ref="G41:G44" si="6">COUNTIF($H$30:$H$34,H41)</f>
        <v>1</v>
      </c>
      <c r="H41" s="127" t="s">
        <v>32</v>
      </c>
    </row>
    <row r="42" spans="2:8">
      <c r="G42" s="3">
        <f t="shared" si="6"/>
        <v>2</v>
      </c>
      <c r="H42" s="127" t="s">
        <v>34</v>
      </c>
    </row>
    <row r="43" spans="2:8">
      <c r="G43" s="3">
        <f t="shared" si="6"/>
        <v>1</v>
      </c>
      <c r="H43" s="127" t="s">
        <v>37</v>
      </c>
    </row>
    <row r="44" spans="2:8" ht="15.75" thickBot="1">
      <c r="G44" s="12">
        <f t="shared" si="6"/>
        <v>1</v>
      </c>
      <c r="H44" s="128" t="s">
        <v>33</v>
      </c>
    </row>
  </sheetData>
  <mergeCells count="1">
    <mergeCell ref="F4:G4"/>
  </mergeCells>
  <conditionalFormatting sqref="D8:D15">
    <cfRule type="cellIs" dxfId="59" priority="5" operator="greaterThan">
      <formula>$D$6</formula>
    </cfRule>
  </conditionalFormatting>
  <conditionalFormatting sqref="D19:D26">
    <cfRule type="cellIs" dxfId="58" priority="7" operator="greaterThan">
      <formula>$D$17</formula>
    </cfRule>
  </conditionalFormatting>
  <conditionalFormatting sqref="D30:D37">
    <cfRule type="cellIs" dxfId="57" priority="9" operator="greaterThan">
      <formula>$D$28</formula>
    </cfRule>
  </conditionalFormatting>
  <conditionalFormatting sqref="E1:E3 J1:J1048576 E5:E1048576">
    <cfRule type="cellIs" dxfId="56" priority="10" operator="equal">
      <formula>100</formula>
    </cfRule>
  </conditionalFormatting>
  <conditionalFormatting sqref="G38:G44">
    <cfRule type="cellIs" dxfId="55" priority="1" operator="greaterThan">
      <formula>2</formula>
    </cfRule>
  </conditionalFormatting>
  <conditionalFormatting sqref="H30:H34">
    <cfRule type="cellIs" dxfId="54" priority="3" operator="equal">
      <formula>100</formula>
    </cfRule>
  </conditionalFormatting>
  <conditionalFormatting sqref="H38:H44">
    <cfRule type="cellIs" dxfId="53" priority="2" operator="equal">
      <formula>100</formula>
    </cfRule>
  </conditionalFormatting>
  <conditionalFormatting sqref="I8:I15">
    <cfRule type="cellIs" dxfId="52" priority="6" operator="greaterThan">
      <formula>$I$6</formula>
    </cfRule>
  </conditionalFormatting>
  <conditionalFormatting sqref="I19:I26">
    <cfRule type="cellIs" dxfId="51" priority="8" operator="greaterThan">
      <formula>$I$17</formula>
    </cfRule>
  </conditionalFormatting>
  <pageMargins left="0.7" right="0.7" top="0.75" bottom="0.75" header="0.3" footer="0.3"/>
  <pageSetup paperSize="9" orientation="portrait" r:id="rId1"/>
  <ignoredErrors>
    <ignoredError sqref="A8:A23"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A84BB-9E99-40A5-8991-0248E512153C}">
  <sheetPr>
    <tabColor rgb="FFEE0000"/>
  </sheetPr>
  <dimension ref="A1:M61"/>
  <sheetViews>
    <sheetView showZeros="0" tabSelected="1" zoomScale="75" zoomScaleNormal="75" workbookViewId="0">
      <selection activeCell="M6" sqref="M6"/>
    </sheetView>
  </sheetViews>
  <sheetFormatPr defaultColWidth="11.42578125" defaultRowHeight="15"/>
  <cols>
    <col min="1" max="1" width="3" style="1" customWidth="1"/>
    <col min="2" max="2" width="11.42578125" style="1"/>
    <col min="3" max="3" width="52.42578125" style="1" customWidth="1"/>
    <col min="4" max="4" width="16.42578125" style="1" customWidth="1"/>
    <col min="5" max="7" width="16.42578125" style="85" customWidth="1"/>
    <col min="8" max="8" width="16.42578125" style="1" customWidth="1"/>
    <col min="9" max="11" width="11.42578125" style="1"/>
    <col min="12" max="12" width="67.140625" style="1" customWidth="1"/>
    <col min="13" max="13" width="14.7109375" style="85" customWidth="1"/>
    <col min="14" max="16384" width="11.42578125" style="1"/>
  </cols>
  <sheetData>
    <row r="1" spans="1:13" ht="20.100000000000001" customHeight="1" thickBot="1"/>
    <row r="2" spans="1:13" ht="44.25" customHeight="1" thickBot="1">
      <c r="B2" s="37"/>
      <c r="C2" s="62" t="str">
        <f>Ofertes!C2</f>
        <v>2025/2950/LIO_POR - 59</v>
      </c>
      <c r="D2" s="131" t="str">
        <f>Ofertes!C4</f>
        <v>Execució de 5 Projectes d'obra de rehabilitació de ferms de carreteres locals (Trams: LP-9221 de Lleida a Torre-Serona, LV-4241 Lladurs, LV-2031 de Talavera a Sant Antolí, L-324 de Tarroja de Segarra a Plans de Sió i LV-3341 de Bellpuig a Barbens)</v>
      </c>
      <c r="E2" s="132"/>
      <c r="F2" s="132"/>
      <c r="G2" s="133"/>
      <c r="H2" s="44"/>
      <c r="I2" s="118" t="s">
        <v>44</v>
      </c>
      <c r="J2" s="119" t="s">
        <v>45</v>
      </c>
    </row>
    <row r="3" spans="1:13" ht="17.25" customHeight="1">
      <c r="B3" s="37"/>
      <c r="C3" s="45"/>
      <c r="D3" s="44"/>
      <c r="E3" s="97"/>
      <c r="F3" s="97"/>
      <c r="G3" s="97"/>
      <c r="H3" s="44"/>
      <c r="I3" s="34"/>
    </row>
    <row r="4" spans="1:13" ht="21" thickBot="1">
      <c r="B4" s="42" t="s">
        <v>9</v>
      </c>
      <c r="J4" s="116"/>
    </row>
    <row r="5" spans="1:13" ht="30.75" thickBot="1">
      <c r="B5" s="21" t="s">
        <v>3</v>
      </c>
      <c r="C5" s="22" t="s">
        <v>1</v>
      </c>
      <c r="D5" s="33" t="s">
        <v>17</v>
      </c>
      <c r="E5" s="98" t="s">
        <v>38</v>
      </c>
      <c r="F5" s="98" t="s">
        <v>39</v>
      </c>
      <c r="G5" s="98" t="s">
        <v>40</v>
      </c>
      <c r="H5" s="35" t="s">
        <v>5</v>
      </c>
      <c r="J5" s="52" t="s">
        <v>5</v>
      </c>
      <c r="K5" s="52" t="s">
        <v>3</v>
      </c>
      <c r="L5" s="53" t="s">
        <v>6</v>
      </c>
      <c r="M5" s="148" t="s">
        <v>54</v>
      </c>
    </row>
    <row r="6" spans="1:13" s="4" customFormat="1" ht="20.100000000000001" customHeight="1" thickBot="1">
      <c r="A6" s="6" t="e">
        <f>#REF!</f>
        <v>#REF!</v>
      </c>
      <c r="B6" s="2">
        <v>1</v>
      </c>
      <c r="C6" s="100" t="str">
        <f>IF(Ofertes!C8="","",Ofertes!C8)</f>
        <v xml:space="preserve">AGUSTÍ Y MASOLIVER, S.A. </v>
      </c>
      <c r="D6" s="99">
        <f>IF(Ofertes!E8="","",Ofertes!E8)</f>
        <v>95.33</v>
      </c>
      <c r="E6" s="101">
        <f>IF(Ofertes!D8="","",Ofertes!D8)</f>
        <v>1266203.45</v>
      </c>
      <c r="F6" s="102">
        <f>IF(E6="","",ROUND(E6*0.21,2))</f>
        <v>265902.71999999997</v>
      </c>
      <c r="G6" s="102">
        <f>IF(F6="","",SUM(E6:F6))</f>
        <v>1532106.17</v>
      </c>
      <c r="H6" s="46">
        <f>IF($D6="","",RANK($D6,$D$6:$D$13))</f>
        <v>6</v>
      </c>
      <c r="J6" s="55">
        <v>1</v>
      </c>
      <c r="K6" s="54">
        <f>IFERROR(INDEX($B$6:$B$13,MATCH(J6,$H$6:$H$13,0)),"")</f>
        <v>5</v>
      </c>
      <c r="L6" s="63" t="str">
        <f>IFERROR(INDEX($C$6:$C$13,MATCH(J6,$H$6:$H$13,0)),"")</f>
        <v>JOSÉ ANTONIO ROMERO POLO, S.A.U.</v>
      </c>
      <c r="M6" s="149">
        <f>ROUND(PRODUCT(IFERROR(INDEX($E$6:$E$13,MATCH(J6,$H$6:$H$13,0)),""),0.05),2)</f>
        <v>60350</v>
      </c>
    </row>
    <row r="7" spans="1:13" s="4" customFormat="1" ht="20.100000000000001" customHeight="1">
      <c r="A7" s="6" t="e">
        <f>#REF!</f>
        <v>#REF!</v>
      </c>
      <c r="B7" s="3">
        <v>2</v>
      </c>
      <c r="C7" s="103" t="str">
        <f>IF(Ofertes!C9="","",Ofertes!C9)</f>
        <v>ARNÓ INFRAESTRUCTURAS,S.L.U</v>
      </c>
      <c r="D7" s="36">
        <f>IF(Ofertes!E9="","",Ofertes!E9)</f>
        <v>98.21</v>
      </c>
      <c r="E7" s="104">
        <f>IF(Ofertes!D9="","",Ofertes!D9)</f>
        <v>1229663.6000000001</v>
      </c>
      <c r="F7" s="104">
        <f t="shared" ref="F7:F13" si="0">IF(E7="","",ROUND(E7*0.21,2))</f>
        <v>258229.36</v>
      </c>
      <c r="G7" s="104">
        <f t="shared" ref="G7:G13" si="1">IF(F7="","",SUM(E7:F7))</f>
        <v>1487892.96</v>
      </c>
      <c r="H7" s="36">
        <f t="shared" ref="H7:H13" si="2">IF($D7="","",RANK($D7,$D$6:$D$13))</f>
        <v>5</v>
      </c>
      <c r="J7" s="57">
        <v>2</v>
      </c>
      <c r="K7" s="56">
        <f t="shared" ref="K7:K13" si="3">IFERROR(INDEX($B$6:$B$13,MATCH(J7,$H$6:$H$13,0)),"")</f>
        <v>4</v>
      </c>
      <c r="L7" s="56" t="str">
        <f t="shared" ref="L7:L13" si="4">IFERROR(INDEX($C$6:$C$13,MATCH(J7,$H$6:$H$13,0)),"")</f>
        <v>Sorigué, S.A.U.</v>
      </c>
      <c r="M7" s="150"/>
    </row>
    <row r="8" spans="1:13" s="4" customFormat="1" ht="20.100000000000001" customHeight="1">
      <c r="A8" s="6" t="e">
        <f>#REF!</f>
        <v>#REF!</v>
      </c>
      <c r="B8" s="3">
        <v>3</v>
      </c>
      <c r="C8" s="103" t="str">
        <f>IF(Ofertes!C10="","",Ofertes!C10)</f>
        <v>M. I J. GRUAS, S.A.</v>
      </c>
      <c r="D8" s="36">
        <f>IF(Ofertes!E10="","",Ofertes!E10)</f>
        <v>98.46</v>
      </c>
      <c r="E8" s="104">
        <f>IF(Ofertes!D10="","",Ofertes!D10)</f>
        <v>1226494.3700000001</v>
      </c>
      <c r="F8" s="104">
        <f t="shared" si="0"/>
        <v>257563.82</v>
      </c>
      <c r="G8" s="104">
        <f t="shared" si="1"/>
        <v>1484058.1900000002</v>
      </c>
      <c r="H8" s="36">
        <f t="shared" si="2"/>
        <v>4</v>
      </c>
      <c r="J8" s="13">
        <v>3</v>
      </c>
      <c r="K8" s="58">
        <f t="shared" si="3"/>
        <v>6</v>
      </c>
      <c r="L8" s="58" t="str">
        <f t="shared" si="4"/>
        <v>ROMÀ INFRAESTRUCTURES I SERVEIS, SAU</v>
      </c>
      <c r="M8" s="151"/>
    </row>
    <row r="9" spans="1:13" s="4" customFormat="1" ht="20.100000000000001" customHeight="1">
      <c r="A9" s="6" t="e">
        <f>#REF!</f>
        <v>#REF!</v>
      </c>
      <c r="B9" s="3">
        <v>4</v>
      </c>
      <c r="C9" s="103" t="str">
        <f>IF(Ofertes!C11="","",Ofertes!C11)</f>
        <v>Sorigué, S.A.U.</v>
      </c>
      <c r="D9" s="36">
        <f>IF(Ofertes!E11="","",Ofertes!E11)</f>
        <v>99.51</v>
      </c>
      <c r="E9" s="104">
        <f>IF(Ofertes!D11="","",Ofertes!D11)</f>
        <v>1213183.58</v>
      </c>
      <c r="F9" s="104">
        <f t="shared" si="0"/>
        <v>254768.55</v>
      </c>
      <c r="G9" s="104">
        <f t="shared" si="1"/>
        <v>1467952.1300000001</v>
      </c>
      <c r="H9" s="36">
        <f t="shared" si="2"/>
        <v>2</v>
      </c>
      <c r="J9" s="13">
        <v>4</v>
      </c>
      <c r="K9" s="58">
        <f t="shared" si="3"/>
        <v>3</v>
      </c>
      <c r="L9" s="58" t="str">
        <f t="shared" si="4"/>
        <v>M. I J. GRUAS, S.A.</v>
      </c>
      <c r="M9" s="151"/>
    </row>
    <row r="10" spans="1:13" s="4" customFormat="1" ht="20.100000000000001" customHeight="1">
      <c r="A10" s="6" t="e">
        <f>#REF!</f>
        <v>#REF!</v>
      </c>
      <c r="B10" s="18">
        <v>5</v>
      </c>
      <c r="C10" s="105" t="str">
        <f>IF(Ofertes!C12="","",Ofertes!C12)</f>
        <v>JOSÉ ANTONIO ROMERO POLO, S.A.U.</v>
      </c>
      <c r="D10" s="36">
        <f>IF(Ofertes!E12="","",Ofertes!E12)</f>
        <v>100</v>
      </c>
      <c r="E10" s="104">
        <f>IF(Ofertes!D12="","",Ofertes!D12)</f>
        <v>1207000</v>
      </c>
      <c r="F10" s="104">
        <f t="shared" si="0"/>
        <v>253470</v>
      </c>
      <c r="G10" s="104">
        <f t="shared" si="1"/>
        <v>1460470</v>
      </c>
      <c r="H10" s="36">
        <f t="shared" si="2"/>
        <v>1</v>
      </c>
      <c r="J10" s="13">
        <v>5</v>
      </c>
      <c r="K10" s="58">
        <f t="shared" si="3"/>
        <v>2</v>
      </c>
      <c r="L10" s="58" t="str">
        <f t="shared" si="4"/>
        <v>ARNÓ INFRAESTRUCTURAS,S.L.U</v>
      </c>
      <c r="M10" s="151"/>
    </row>
    <row r="11" spans="1:13" s="4" customFormat="1" ht="20.100000000000001" customHeight="1">
      <c r="A11" s="6" t="e">
        <f>#REF!</f>
        <v>#REF!</v>
      </c>
      <c r="B11" s="3">
        <v>6</v>
      </c>
      <c r="C11" s="106" t="str">
        <f>IF(Ofertes!C13="","",Ofertes!C13)</f>
        <v>ROMÀ INFRAESTRUCTURES I SERVEIS, SAU</v>
      </c>
      <c r="D11" s="36">
        <f>IF(Ofertes!E13="","",Ofertes!E13)</f>
        <v>99.01</v>
      </c>
      <c r="E11" s="104">
        <f>IF(Ofertes!D13="","",Ofertes!D13)</f>
        <v>1219522.05</v>
      </c>
      <c r="F11" s="104">
        <f t="shared" si="0"/>
        <v>256099.63</v>
      </c>
      <c r="G11" s="104">
        <f t="shared" si="1"/>
        <v>1475621.6800000002</v>
      </c>
      <c r="H11" s="36">
        <f t="shared" si="2"/>
        <v>3</v>
      </c>
      <c r="J11" s="13">
        <v>6</v>
      </c>
      <c r="K11" s="58">
        <f t="shared" si="3"/>
        <v>1</v>
      </c>
      <c r="L11" s="58" t="str">
        <f t="shared" si="4"/>
        <v xml:space="preserve">AGUSTÍ Y MASOLIVER, S.A. </v>
      </c>
      <c r="M11" s="151"/>
    </row>
    <row r="12" spans="1:13" s="4" customFormat="1" ht="20.100000000000001" customHeight="1">
      <c r="A12" s="6" t="e">
        <f>#REF!</f>
        <v>#REF!</v>
      </c>
      <c r="B12" s="29">
        <v>7</v>
      </c>
      <c r="C12" s="107" t="str">
        <f>IF(Ofertes!C14="","",Ofertes!C14)</f>
        <v/>
      </c>
      <c r="D12" s="36" t="str">
        <f>IF(Ofertes!E14="","",Ofertes!E14)</f>
        <v/>
      </c>
      <c r="E12" s="104" t="str">
        <f>IF(Ofertes!D14="","",Ofertes!D14)</f>
        <v/>
      </c>
      <c r="F12" s="104" t="str">
        <f t="shared" si="0"/>
        <v/>
      </c>
      <c r="G12" s="104" t="str">
        <f t="shared" si="1"/>
        <v/>
      </c>
      <c r="H12" s="36" t="str">
        <f t="shared" si="2"/>
        <v/>
      </c>
      <c r="J12" s="13">
        <v>7</v>
      </c>
      <c r="K12" s="58" t="str">
        <f t="shared" si="3"/>
        <v/>
      </c>
      <c r="L12" s="58" t="str">
        <f t="shared" si="4"/>
        <v/>
      </c>
      <c r="M12" s="151"/>
    </row>
    <row r="13" spans="1:13" s="4" customFormat="1" ht="20.100000000000001" customHeight="1" thickBot="1">
      <c r="A13" s="6" t="e">
        <f>#REF!</f>
        <v>#REF!</v>
      </c>
      <c r="B13" s="27">
        <v>8</v>
      </c>
      <c r="C13" s="108" t="str">
        <f>IF(Ofertes!C15="","",Ofertes!C15)</f>
        <v/>
      </c>
      <c r="D13" s="47" t="str">
        <f>IF(Ofertes!E15="","",Ofertes!E15)</f>
        <v/>
      </c>
      <c r="E13" s="109" t="str">
        <f>IF(Ofertes!D15="","",Ofertes!D15)</f>
        <v/>
      </c>
      <c r="F13" s="109" t="str">
        <f t="shared" si="0"/>
        <v/>
      </c>
      <c r="G13" s="109" t="str">
        <f t="shared" si="1"/>
        <v/>
      </c>
      <c r="H13" s="47" t="str">
        <f t="shared" si="2"/>
        <v/>
      </c>
      <c r="J13" s="14">
        <v>8</v>
      </c>
      <c r="K13" s="59" t="str">
        <f t="shared" si="3"/>
        <v/>
      </c>
      <c r="L13" s="59" t="str">
        <f t="shared" si="4"/>
        <v/>
      </c>
      <c r="M13" s="152"/>
    </row>
    <row r="14" spans="1:13" s="4" customFormat="1" ht="20.100000000000001" customHeight="1">
      <c r="A14" s="6" t="e">
        <f>#REF!</f>
        <v>#REF!</v>
      </c>
      <c r="B14" s="10"/>
      <c r="C14" s="19"/>
      <c r="D14" s="5"/>
      <c r="E14" s="93"/>
      <c r="F14" s="93"/>
      <c r="G14" s="93"/>
      <c r="H14" s="5"/>
      <c r="M14" s="93"/>
    </row>
    <row r="15" spans="1:13" s="4" customFormat="1" ht="20.100000000000001" customHeight="1" thickBot="1">
      <c r="A15" s="6" t="e">
        <f>#REF!</f>
        <v>#REF!</v>
      </c>
      <c r="B15" s="42" t="s">
        <v>12</v>
      </c>
      <c r="C15" s="1"/>
      <c r="D15" s="1"/>
      <c r="E15" s="85"/>
      <c r="F15" s="85"/>
      <c r="G15" s="85"/>
      <c r="H15" s="1"/>
      <c r="M15" s="93"/>
    </row>
    <row r="16" spans="1:13" s="4" customFormat="1" ht="30.75" thickBot="1">
      <c r="A16" s="6" t="e">
        <f>#REF!</f>
        <v>#REF!</v>
      </c>
      <c r="B16" s="21" t="s">
        <v>3</v>
      </c>
      <c r="C16" s="22" t="s">
        <v>1</v>
      </c>
      <c r="D16" s="33" t="s">
        <v>17</v>
      </c>
      <c r="E16" s="98" t="s">
        <v>38</v>
      </c>
      <c r="F16" s="98" t="s">
        <v>39</v>
      </c>
      <c r="G16" s="98" t="s">
        <v>40</v>
      </c>
      <c r="H16" s="35" t="s">
        <v>5</v>
      </c>
      <c r="J16" s="52" t="s">
        <v>5</v>
      </c>
      <c r="K16" s="52" t="s">
        <v>3</v>
      </c>
      <c r="L16" s="53" t="s">
        <v>6</v>
      </c>
      <c r="M16" s="148" t="s">
        <v>54</v>
      </c>
    </row>
    <row r="17" spans="1:13" s="4" customFormat="1" ht="20.100000000000001" customHeight="1" thickBot="1">
      <c r="A17" s="6" t="e">
        <f>#REF!</f>
        <v>#REF!</v>
      </c>
      <c r="B17" s="2">
        <v>1</v>
      </c>
      <c r="C17" s="100" t="str">
        <f>IF(Ofertes!H8="","",Ofertes!H8)</f>
        <v xml:space="preserve">AGUSTÍ Y MASOLIVER, S.A. </v>
      </c>
      <c r="D17" s="99">
        <f>IF(Ofertes!J8="","",Ofertes!J8)</f>
        <v>96.28</v>
      </c>
      <c r="E17" s="101">
        <f>IF(Ofertes!I8="","",Ofertes!I8)</f>
        <v>370911.15</v>
      </c>
      <c r="F17" s="102">
        <f>IF(E17="","",ROUND(E17*0.21,2))</f>
        <v>77891.34</v>
      </c>
      <c r="G17" s="102">
        <f>IF(F17="","",SUM(E17:F17))</f>
        <v>448802.49</v>
      </c>
      <c r="H17" s="46">
        <f>IF($D17="","",RANK($D17,$D$17:$D$24))</f>
        <v>5</v>
      </c>
      <c r="J17" s="55">
        <v>1</v>
      </c>
      <c r="K17" s="54">
        <f>IFERROR(INDEX($B$17:$B$24,MATCH(J17,$H$17:$H$24,0)),"")</f>
        <v>4</v>
      </c>
      <c r="L17" s="63" t="str">
        <f>IFERROR(INDEX($C$17:$C$24,MATCH(J17,$H$17:$H$24,0)),"")</f>
        <v>Sorigué, S.A.U.</v>
      </c>
      <c r="M17" s="149">
        <f>ROUND(PRODUCT(IFERROR(INDEX($E$17:$E$24,MATCH(J17,$H$17:$H$24,0)),""),0.05),2)</f>
        <v>17854.68</v>
      </c>
    </row>
    <row r="18" spans="1:13" s="4" customFormat="1" ht="20.100000000000001" customHeight="1">
      <c r="A18" s="6" t="e">
        <f>#REF!</f>
        <v>#REF!</v>
      </c>
      <c r="B18" s="3">
        <v>2</v>
      </c>
      <c r="C18" s="103" t="str">
        <f>IF(Ofertes!H9="","",Ofertes!H9)</f>
        <v>ASFALTS i Equips de Vialitat S.L.</v>
      </c>
      <c r="D18" s="36">
        <f>IF(Ofertes!J9="","",Ofertes!J9)</f>
        <v>97.95</v>
      </c>
      <c r="E18" s="104">
        <f>IF(Ofertes!I9="","",Ofertes!I9)</f>
        <v>364711.13</v>
      </c>
      <c r="F18" s="104">
        <f t="shared" ref="F18:F24" si="5">IF(E18="","",ROUND(E18*0.21,2))</f>
        <v>76589.34</v>
      </c>
      <c r="G18" s="104">
        <f t="shared" ref="G18:G24" si="6">IF(F18="","",SUM(E18:F18))</f>
        <v>441300.47</v>
      </c>
      <c r="H18" s="36">
        <f t="shared" ref="H18:H24" si="7">IF($D18="","",RANK($D18,$D$17:$D$24))</f>
        <v>4</v>
      </c>
      <c r="J18" s="57">
        <v>2</v>
      </c>
      <c r="K18" s="56">
        <f t="shared" ref="K18:K24" si="8">IFERROR(INDEX($B$17:$B$24,MATCH(J18,$H$17:$H$24,0)),"")</f>
        <v>5</v>
      </c>
      <c r="L18" s="56" t="str">
        <f t="shared" ref="L18:L24" si="9">IFERROR(INDEX($C$17:$C$24,MATCH(J18,$H$17:$H$24,0)),"")</f>
        <v>JOSÉ ANTONIO ROMERO POLO, S.A.U.</v>
      </c>
      <c r="M18" s="150"/>
    </row>
    <row r="19" spans="1:13" s="4" customFormat="1" ht="20.100000000000001" customHeight="1">
      <c r="A19" s="6" t="e">
        <f>#REF!</f>
        <v>#REF!</v>
      </c>
      <c r="B19" s="3">
        <v>3</v>
      </c>
      <c r="C19" s="103" t="str">
        <f>IF(Ofertes!H10="","",Ofertes!H10)</f>
        <v>ARNÓ INFRAESTRUCTURAS,S.L.U</v>
      </c>
      <c r="D19" s="36">
        <f>IF(Ofertes!J10="","",Ofertes!J10)</f>
        <v>98.05</v>
      </c>
      <c r="E19" s="104">
        <f>IF(Ofertes!I10="","",Ofertes!I10)</f>
        <v>364339.55</v>
      </c>
      <c r="F19" s="104">
        <f t="shared" si="5"/>
        <v>76511.31</v>
      </c>
      <c r="G19" s="104">
        <f t="shared" si="6"/>
        <v>440850.86</v>
      </c>
      <c r="H19" s="36">
        <f t="shared" si="7"/>
        <v>3</v>
      </c>
      <c r="J19" s="13">
        <v>3</v>
      </c>
      <c r="K19" s="58">
        <f t="shared" si="8"/>
        <v>3</v>
      </c>
      <c r="L19" s="58" t="str">
        <f t="shared" si="9"/>
        <v>ARNÓ INFRAESTRUCTURAS,S.L.U</v>
      </c>
      <c r="M19" s="151"/>
    </row>
    <row r="20" spans="1:13" s="4" customFormat="1" ht="20.100000000000001" customHeight="1">
      <c r="A20" s="6" t="e">
        <f>#REF!</f>
        <v>#REF!</v>
      </c>
      <c r="B20" s="3">
        <v>4</v>
      </c>
      <c r="C20" s="103" t="str">
        <f>IF(Ofertes!H11="","",Ofertes!H11)</f>
        <v>Sorigué, S.A.U.</v>
      </c>
      <c r="D20" s="36">
        <f>IF(Ofertes!J11="","",Ofertes!J11)</f>
        <v>100</v>
      </c>
      <c r="E20" s="104">
        <f>IF(Ofertes!I11="","",Ofertes!I11)</f>
        <v>357093.63</v>
      </c>
      <c r="F20" s="104">
        <f t="shared" si="5"/>
        <v>74989.66</v>
      </c>
      <c r="G20" s="104">
        <f t="shared" si="6"/>
        <v>432083.29000000004</v>
      </c>
      <c r="H20" s="36">
        <f t="shared" si="7"/>
        <v>1</v>
      </c>
      <c r="J20" s="13">
        <v>4</v>
      </c>
      <c r="K20" s="58">
        <f t="shared" si="8"/>
        <v>2</v>
      </c>
      <c r="L20" s="58" t="str">
        <f t="shared" si="9"/>
        <v>ASFALTS i Equips de Vialitat S.L.</v>
      </c>
      <c r="M20" s="151"/>
    </row>
    <row r="21" spans="1:13" s="4" customFormat="1" ht="20.100000000000001" customHeight="1">
      <c r="A21" s="6" t="e">
        <f>#REF!</f>
        <v>#REF!</v>
      </c>
      <c r="B21" s="18">
        <v>5</v>
      </c>
      <c r="C21" s="105" t="str">
        <f>IF(Ofertes!H12="","",Ofertes!H12)</f>
        <v>JOSÉ ANTONIO ROMERO POLO, S.A.U.</v>
      </c>
      <c r="D21" s="36">
        <f>IF(Ofertes!J12="","",Ofertes!J12)</f>
        <v>99</v>
      </c>
      <c r="E21" s="104">
        <f>IF(Ofertes!I12="","",Ofertes!I12)</f>
        <v>360800</v>
      </c>
      <c r="F21" s="104">
        <f t="shared" si="5"/>
        <v>75768</v>
      </c>
      <c r="G21" s="104">
        <f t="shared" si="6"/>
        <v>436568</v>
      </c>
      <c r="H21" s="36">
        <f t="shared" si="7"/>
        <v>2</v>
      </c>
      <c r="J21" s="13">
        <v>5</v>
      </c>
      <c r="K21" s="58">
        <f t="shared" si="8"/>
        <v>1</v>
      </c>
      <c r="L21" s="58" t="str">
        <f t="shared" si="9"/>
        <v xml:space="preserve">AGUSTÍ Y MASOLIVER, S.A. </v>
      </c>
      <c r="M21" s="151"/>
    </row>
    <row r="22" spans="1:13" s="4" customFormat="1" ht="19.5" customHeight="1">
      <c r="B22" s="3">
        <v>6</v>
      </c>
      <c r="C22" s="106" t="str">
        <f>IF(Ofertes!H13="","",Ofertes!H13)</f>
        <v/>
      </c>
      <c r="D22" s="36" t="str">
        <f>IF(Ofertes!J13="","",Ofertes!J13)</f>
        <v/>
      </c>
      <c r="E22" s="104" t="str">
        <f>IF(Ofertes!I13="","",Ofertes!I13)</f>
        <v/>
      </c>
      <c r="F22" s="104" t="str">
        <f t="shared" si="5"/>
        <v/>
      </c>
      <c r="G22" s="104" t="str">
        <f t="shared" si="6"/>
        <v/>
      </c>
      <c r="H22" s="36" t="str">
        <f t="shared" si="7"/>
        <v/>
      </c>
      <c r="J22" s="13">
        <v>6</v>
      </c>
      <c r="K22" s="58" t="str">
        <f t="shared" si="8"/>
        <v/>
      </c>
      <c r="L22" s="58" t="str">
        <f t="shared" si="9"/>
        <v/>
      </c>
      <c r="M22" s="151"/>
    </row>
    <row r="23" spans="1:13" s="4" customFormat="1" ht="19.5" customHeight="1">
      <c r="B23" s="29">
        <v>7</v>
      </c>
      <c r="C23" s="107" t="str">
        <f>IF(Ofertes!H14="","",Ofertes!H14)</f>
        <v/>
      </c>
      <c r="D23" s="36" t="str">
        <f>IF(Ofertes!J14="","",Ofertes!J14)</f>
        <v/>
      </c>
      <c r="E23" s="104" t="str">
        <f>IF(Ofertes!I14="","",Ofertes!I14)</f>
        <v/>
      </c>
      <c r="F23" s="104" t="str">
        <f t="shared" si="5"/>
        <v/>
      </c>
      <c r="G23" s="104" t="str">
        <f t="shared" si="6"/>
        <v/>
      </c>
      <c r="H23" s="36" t="str">
        <f t="shared" si="7"/>
        <v/>
      </c>
      <c r="J23" s="13">
        <v>7</v>
      </c>
      <c r="K23" s="58" t="str">
        <f t="shared" si="8"/>
        <v/>
      </c>
      <c r="L23" s="58" t="str">
        <f t="shared" si="9"/>
        <v/>
      </c>
      <c r="M23" s="151"/>
    </row>
    <row r="24" spans="1:13" s="4" customFormat="1" ht="19.5" customHeight="1" thickBot="1">
      <c r="B24" s="27">
        <v>8</v>
      </c>
      <c r="C24" s="108" t="str">
        <f>IF(Ofertes!H15="","",Ofertes!H15)</f>
        <v/>
      </c>
      <c r="D24" s="47" t="str">
        <f>IF(Ofertes!J15="","",Ofertes!J15)</f>
        <v/>
      </c>
      <c r="E24" s="109" t="str">
        <f>IF(Ofertes!I15="","",Ofertes!I15)</f>
        <v/>
      </c>
      <c r="F24" s="109" t="str">
        <f t="shared" si="5"/>
        <v/>
      </c>
      <c r="G24" s="109" t="str">
        <f t="shared" si="6"/>
        <v/>
      </c>
      <c r="H24" s="47" t="str">
        <f t="shared" si="7"/>
        <v/>
      </c>
      <c r="J24" s="14">
        <v>8</v>
      </c>
      <c r="K24" s="59" t="str">
        <f t="shared" si="8"/>
        <v/>
      </c>
      <c r="L24" s="59" t="str">
        <f t="shared" si="9"/>
        <v/>
      </c>
      <c r="M24" s="152"/>
    </row>
    <row r="25" spans="1:13">
      <c r="J25" s="4"/>
      <c r="K25" s="4"/>
      <c r="L25" s="4"/>
    </row>
    <row r="26" spans="1:13" ht="21" thickBot="1">
      <c r="B26" s="42" t="s">
        <v>13</v>
      </c>
      <c r="J26" s="4"/>
      <c r="K26" s="4"/>
      <c r="L26" s="4"/>
    </row>
    <row r="27" spans="1:13" ht="30.75" thickBot="1">
      <c r="B27" s="21" t="s">
        <v>3</v>
      </c>
      <c r="C27" s="22" t="s">
        <v>1</v>
      </c>
      <c r="D27" s="33" t="s">
        <v>17</v>
      </c>
      <c r="E27" s="98" t="s">
        <v>38</v>
      </c>
      <c r="F27" s="98" t="s">
        <v>39</v>
      </c>
      <c r="G27" s="98" t="s">
        <v>40</v>
      </c>
      <c r="H27" s="35" t="s">
        <v>5</v>
      </c>
      <c r="J27" s="52" t="s">
        <v>5</v>
      </c>
      <c r="K27" s="52" t="s">
        <v>3</v>
      </c>
      <c r="L27" s="53" t="s">
        <v>6</v>
      </c>
      <c r="M27" s="148" t="s">
        <v>54</v>
      </c>
    </row>
    <row r="28" spans="1:13" ht="19.5" customHeight="1" thickBot="1">
      <c r="B28" s="2">
        <v>1</v>
      </c>
      <c r="C28" s="100" t="str">
        <f>IF(Ofertes!C19="","",Ofertes!C19)</f>
        <v xml:space="preserve">AGUSTÍ Y MASOLIVER, S.A. </v>
      </c>
      <c r="D28" s="99">
        <f>IF(Ofertes!E19="","",Ofertes!E19)</f>
        <v>95.95</v>
      </c>
      <c r="E28" s="101">
        <f>IF(Ofertes!D19="","",Ofertes!D19)</f>
        <v>1304455.6200000001</v>
      </c>
      <c r="F28" s="102">
        <f>IF(E28="","",ROUND(E28*0.21,2))</f>
        <v>273935.68</v>
      </c>
      <c r="G28" s="102">
        <f>IF(F28="","",SUM(E28:F28))</f>
        <v>1578391.3</v>
      </c>
      <c r="H28" s="46">
        <f>IF($D28="","",RANK($D28,$D$28:$D$35))</f>
        <v>5</v>
      </c>
      <c r="J28" s="55">
        <v>1</v>
      </c>
      <c r="K28" s="54">
        <f>IFERROR(INDEX($B$28:$B$35,MATCH(J28,$H$28:$H$35,0)),"")</f>
        <v>6</v>
      </c>
      <c r="L28" s="63" t="str">
        <f>IFERROR(INDEX($C$28:$C$35,MATCH(J28,$H$28:$H$35,0)),"")</f>
        <v>ROMÀ INFRAESTRUCTURES I SERVEIS, SAU</v>
      </c>
      <c r="M28" s="149">
        <f>ROUND(PRODUCT(IFERROR(INDEX($E$28:$E$35,MATCH(J28,$H$28:$H$35,0)),""),0.05),2)</f>
        <v>62528.72</v>
      </c>
    </row>
    <row r="29" spans="1:13" ht="19.5" customHeight="1">
      <c r="B29" s="3">
        <v>2</v>
      </c>
      <c r="C29" s="103" t="str">
        <f>IF(Ofertes!C20="","",Ofertes!C20)</f>
        <v>ARNÓ INFRAESTRUCTURAS,S.L.U</v>
      </c>
      <c r="D29" s="36">
        <f>IF(Ofertes!E20="","",Ofertes!E20)</f>
        <v>99.81</v>
      </c>
      <c r="E29" s="104">
        <f>IF(Ofertes!D20="","",Ofertes!D20)</f>
        <v>1253102.24</v>
      </c>
      <c r="F29" s="104">
        <f t="shared" ref="F29:F35" si="10">IF(E29="","",ROUND(E29*0.21,2))</f>
        <v>263151.46999999997</v>
      </c>
      <c r="G29" s="104">
        <f t="shared" ref="G29:G35" si="11">IF(F29="","",SUM(E29:F29))</f>
        <v>1516253.71</v>
      </c>
      <c r="H29" s="36">
        <f t="shared" ref="H29:H35" si="12">IF($D29="","",RANK($D29,$D$28:$D$35))</f>
        <v>2</v>
      </c>
      <c r="J29" s="57">
        <v>2</v>
      </c>
      <c r="K29" s="56">
        <f t="shared" ref="K29:K35" si="13">IFERROR(INDEX($B$28:$B$35,MATCH(J29,$H$28:$H$35,0)),"")</f>
        <v>2</v>
      </c>
      <c r="L29" s="56" t="str">
        <f t="shared" ref="L29:L35" si="14">IFERROR(INDEX($C$28:$C$35,MATCH(J29,$H$28:$H$35,0)),"")</f>
        <v>ARNÓ INFRAESTRUCTURAS,S.L.U</v>
      </c>
      <c r="M29" s="150"/>
    </row>
    <row r="30" spans="1:13" ht="19.5" customHeight="1">
      <c r="B30" s="3">
        <v>3</v>
      </c>
      <c r="C30" s="103" t="str">
        <f>IF(Ofertes!C21="","",Ofertes!C21)</f>
        <v>M. I J. GRUAS, S.A.</v>
      </c>
      <c r="D30" s="36">
        <f>IF(Ofertes!E21="","",Ofertes!E21)</f>
        <v>95.19</v>
      </c>
      <c r="E30" s="104">
        <f>IF(Ofertes!D21="","",Ofertes!D21)</f>
        <v>1314566.6499999999</v>
      </c>
      <c r="F30" s="104">
        <f t="shared" si="10"/>
        <v>276059</v>
      </c>
      <c r="G30" s="104">
        <f t="shared" si="11"/>
        <v>1590625.65</v>
      </c>
      <c r="H30" s="36">
        <f t="shared" si="12"/>
        <v>6</v>
      </c>
      <c r="J30" s="13">
        <v>3</v>
      </c>
      <c r="K30" s="58">
        <f t="shared" si="13"/>
        <v>5</v>
      </c>
      <c r="L30" s="58" t="str">
        <f t="shared" si="14"/>
        <v>JOSÉ ANTONIO ROMERO POLO, S.A.U.</v>
      </c>
      <c r="M30" s="151"/>
    </row>
    <row r="31" spans="1:13" ht="19.5" customHeight="1">
      <c r="B31" s="3">
        <v>4</v>
      </c>
      <c r="C31" s="103" t="str">
        <f>IF(Ofertes!C22="","",Ofertes!C22)</f>
        <v>Sorigué, S.A.U.</v>
      </c>
      <c r="D31" s="36">
        <f>IF(Ofertes!E22="","",Ofertes!E22)</f>
        <v>98.44</v>
      </c>
      <c r="E31" s="104">
        <f>IF(Ofertes!D22="","",Ofertes!D22)</f>
        <v>1271328.7</v>
      </c>
      <c r="F31" s="104">
        <f t="shared" si="10"/>
        <v>266979.03000000003</v>
      </c>
      <c r="G31" s="104">
        <f t="shared" si="11"/>
        <v>1538307.73</v>
      </c>
      <c r="H31" s="36">
        <f t="shared" si="12"/>
        <v>4</v>
      </c>
      <c r="J31" s="13">
        <v>4</v>
      </c>
      <c r="K31" s="58">
        <f t="shared" si="13"/>
        <v>4</v>
      </c>
      <c r="L31" s="58" t="str">
        <f t="shared" si="14"/>
        <v>Sorigué, S.A.U.</v>
      </c>
      <c r="M31" s="151"/>
    </row>
    <row r="32" spans="1:13" ht="19.5" customHeight="1">
      <c r="B32" s="18">
        <v>5</v>
      </c>
      <c r="C32" s="105" t="str">
        <f>IF(Ofertes!C23="","",Ofertes!C23)</f>
        <v>JOSÉ ANTONIO ROMERO POLO, S.A.U.</v>
      </c>
      <c r="D32" s="36">
        <f>IF(Ofertes!E23="","",Ofertes!E23)</f>
        <v>98.77</v>
      </c>
      <c r="E32" s="104">
        <f>IF(Ofertes!D23="","",Ofertes!D23)</f>
        <v>1267000</v>
      </c>
      <c r="F32" s="104">
        <f t="shared" si="10"/>
        <v>266070</v>
      </c>
      <c r="G32" s="104">
        <f t="shared" si="11"/>
        <v>1533070</v>
      </c>
      <c r="H32" s="36">
        <f t="shared" si="12"/>
        <v>3</v>
      </c>
      <c r="J32" s="13">
        <v>5</v>
      </c>
      <c r="K32" s="58">
        <f t="shared" si="13"/>
        <v>1</v>
      </c>
      <c r="L32" s="58" t="str">
        <f t="shared" si="14"/>
        <v xml:space="preserve">AGUSTÍ Y MASOLIVER, S.A. </v>
      </c>
      <c r="M32" s="151"/>
    </row>
    <row r="33" spans="2:13" ht="19.5" customHeight="1">
      <c r="B33" s="3">
        <v>6</v>
      </c>
      <c r="C33" s="106" t="str">
        <f>IF(Ofertes!C24="","",Ofertes!C24)</f>
        <v>ROMÀ INFRAESTRUCTURES I SERVEIS, SAU</v>
      </c>
      <c r="D33" s="36">
        <f>IF(Ofertes!E24="","",Ofertes!E24)</f>
        <v>100</v>
      </c>
      <c r="E33" s="104">
        <f>IF(Ofertes!D24="","",Ofertes!D24)</f>
        <v>1250574.49</v>
      </c>
      <c r="F33" s="104">
        <f t="shared" si="10"/>
        <v>262620.64</v>
      </c>
      <c r="G33" s="104">
        <f t="shared" si="11"/>
        <v>1513195.13</v>
      </c>
      <c r="H33" s="36">
        <f t="shared" si="12"/>
        <v>1</v>
      </c>
      <c r="J33" s="13">
        <v>6</v>
      </c>
      <c r="K33" s="58">
        <f t="shared" si="13"/>
        <v>3</v>
      </c>
      <c r="L33" s="58" t="str">
        <f t="shared" si="14"/>
        <v>M. I J. GRUAS, S.A.</v>
      </c>
      <c r="M33" s="151"/>
    </row>
    <row r="34" spans="2:13" ht="19.5" customHeight="1">
      <c r="B34" s="29">
        <v>7</v>
      </c>
      <c r="C34" s="107" t="str">
        <f>IF(Ofertes!C25="","",Ofertes!C25)</f>
        <v/>
      </c>
      <c r="D34" s="36" t="str">
        <f>IF(Ofertes!E25="","",Ofertes!E25)</f>
        <v/>
      </c>
      <c r="E34" s="104" t="str">
        <f>IF(Ofertes!D25="","",Ofertes!D25)</f>
        <v/>
      </c>
      <c r="F34" s="104" t="str">
        <f t="shared" si="10"/>
        <v/>
      </c>
      <c r="G34" s="104" t="str">
        <f t="shared" si="11"/>
        <v/>
      </c>
      <c r="H34" s="36" t="str">
        <f t="shared" si="12"/>
        <v/>
      </c>
      <c r="J34" s="13">
        <v>7</v>
      </c>
      <c r="K34" s="58" t="str">
        <f t="shared" si="13"/>
        <v/>
      </c>
      <c r="L34" s="58" t="str">
        <f t="shared" si="14"/>
        <v/>
      </c>
      <c r="M34" s="151"/>
    </row>
    <row r="35" spans="2:13" ht="19.5" customHeight="1" thickBot="1">
      <c r="B35" s="27">
        <v>8</v>
      </c>
      <c r="C35" s="108" t="str">
        <f>IF(Ofertes!C26="","",Ofertes!C26)</f>
        <v/>
      </c>
      <c r="D35" s="47" t="str">
        <f>IF(Ofertes!E26="","",Ofertes!E26)</f>
        <v/>
      </c>
      <c r="E35" s="109" t="str">
        <f>IF(Ofertes!D26="","",Ofertes!D26)</f>
        <v/>
      </c>
      <c r="F35" s="109" t="str">
        <f t="shared" si="10"/>
        <v/>
      </c>
      <c r="G35" s="109" t="str">
        <f t="shared" si="11"/>
        <v/>
      </c>
      <c r="H35" s="47" t="str">
        <f t="shared" si="12"/>
        <v/>
      </c>
      <c r="J35" s="14">
        <v>8</v>
      </c>
      <c r="K35" s="59" t="str">
        <f t="shared" si="13"/>
        <v/>
      </c>
      <c r="L35" s="59" t="str">
        <f t="shared" si="14"/>
        <v/>
      </c>
      <c r="M35" s="152"/>
    </row>
    <row r="37" spans="2:13" ht="21" thickBot="1">
      <c r="B37" s="42" t="s">
        <v>14</v>
      </c>
    </row>
    <row r="38" spans="2:13" ht="30.75" thickBot="1">
      <c r="B38" s="21" t="s">
        <v>3</v>
      </c>
      <c r="C38" s="22" t="s">
        <v>1</v>
      </c>
      <c r="D38" s="33" t="s">
        <v>17</v>
      </c>
      <c r="E38" s="98" t="s">
        <v>38</v>
      </c>
      <c r="F38" s="98" t="s">
        <v>39</v>
      </c>
      <c r="G38" s="98" t="s">
        <v>40</v>
      </c>
      <c r="H38" s="35" t="s">
        <v>5</v>
      </c>
      <c r="J38" s="52" t="s">
        <v>5</v>
      </c>
      <c r="K38" s="52" t="s">
        <v>3</v>
      </c>
      <c r="L38" s="53" t="s">
        <v>6</v>
      </c>
      <c r="M38" s="148" t="s">
        <v>54</v>
      </c>
    </row>
    <row r="39" spans="2:13" ht="19.5" customHeight="1" thickBot="1">
      <c r="B39" s="2">
        <v>1</v>
      </c>
      <c r="C39" s="100" t="str">
        <f>IF(Ofertes!H19="","",Ofertes!H19)</f>
        <v xml:space="preserve">AGUSTÍ Y MASOLIVER, S.A. </v>
      </c>
      <c r="D39" s="99">
        <f>IF(Ofertes!J19="","",Ofertes!J19)</f>
        <v>97.62</v>
      </c>
      <c r="E39" s="101">
        <f>IF(Ofertes!I19="","",Ofertes!I19)</f>
        <v>306006.19</v>
      </c>
      <c r="F39" s="102">
        <f>IF(E39="","",ROUND(E39*0.21,2))</f>
        <v>64261.3</v>
      </c>
      <c r="G39" s="102">
        <f>IF(F39="","",SUM(E39:F39))</f>
        <v>370267.49</v>
      </c>
      <c r="H39" s="46">
        <f>IF($D39="","",RANK($D39,$D$39:$D$46))</f>
        <v>5</v>
      </c>
      <c r="J39" s="55">
        <v>1</v>
      </c>
      <c r="K39" s="54">
        <f>IFERROR(INDEX($B$39:$B$46,MATCH(J39,$H$39:$H$46,0)),"")</f>
        <v>4</v>
      </c>
      <c r="L39" s="63" t="str">
        <f>IFERROR(INDEX($C$39:$C$46,MATCH(J39,$H$39:$H$46,0)),"")</f>
        <v>Sorigué, S.A.U.</v>
      </c>
      <c r="M39" s="149">
        <f>ROUND(PRODUCT(IFERROR(INDEX($E$39:$E$46,MATCH(J39,$H$39:$H$46,0)),""),0.05),2)</f>
        <v>14929.11</v>
      </c>
    </row>
    <row r="40" spans="2:13" ht="19.5" customHeight="1">
      <c r="B40" s="3">
        <v>2</v>
      </c>
      <c r="C40" s="103" t="str">
        <f>IF(Ofertes!H20="","",Ofertes!H20)</f>
        <v>ASFALTS i Equips de Vialitat S.L.</v>
      </c>
      <c r="D40" s="36">
        <f>IF(Ofertes!J20="","",Ofertes!J20)</f>
        <v>97.77</v>
      </c>
      <c r="E40" s="104">
        <f>IF(Ofertes!I20="","",Ofertes!I20)</f>
        <v>305538.3</v>
      </c>
      <c r="F40" s="104">
        <f t="shared" ref="F40:F46" si="15">IF(E40="","",ROUND(E40*0.21,2))</f>
        <v>64163.040000000001</v>
      </c>
      <c r="G40" s="104">
        <f t="shared" ref="G40:G46" si="16">IF(F40="","",SUM(E40:F40))</f>
        <v>369701.33999999997</v>
      </c>
      <c r="H40" s="36">
        <f t="shared" ref="H40:H46" si="17">IF($D40="","",RANK($D40,$D$39:$D$46))</f>
        <v>4</v>
      </c>
      <c r="J40" s="57">
        <v>2</v>
      </c>
      <c r="K40" s="56">
        <f t="shared" ref="K40:K46" si="18">IFERROR(INDEX($B$39:$B$46,MATCH(J40,$H$39:$H$46,0)),"")</f>
        <v>5</v>
      </c>
      <c r="L40" s="56" t="str">
        <f t="shared" ref="L40:L46" si="19">IFERROR(INDEX($C$39:$C$46,MATCH(J40,$H$39:$H$46,0)),"")</f>
        <v>JOSÉ ANTONIO ROMERO POLO, S.A.U.</v>
      </c>
      <c r="M40" s="150"/>
    </row>
    <row r="41" spans="2:13" ht="19.5" customHeight="1">
      <c r="B41" s="3">
        <v>3</v>
      </c>
      <c r="C41" s="103" t="str">
        <f>IF(Ofertes!H21="","",Ofertes!H21)</f>
        <v>ARNÓ INFRAESTRUCTURAS,S.L.U</v>
      </c>
      <c r="D41" s="36">
        <f>IF(Ofertes!J21="","",Ofertes!J21)</f>
        <v>98.57</v>
      </c>
      <c r="E41" s="104">
        <f>IF(Ofertes!I21="","",Ofertes!I21)</f>
        <v>303042.83</v>
      </c>
      <c r="F41" s="104">
        <f t="shared" si="15"/>
        <v>63638.99</v>
      </c>
      <c r="G41" s="104">
        <f t="shared" si="16"/>
        <v>366681.82</v>
      </c>
      <c r="H41" s="36">
        <f t="shared" si="17"/>
        <v>3</v>
      </c>
      <c r="J41" s="13">
        <v>3</v>
      </c>
      <c r="K41" s="58">
        <f t="shared" si="18"/>
        <v>3</v>
      </c>
      <c r="L41" s="58" t="str">
        <f t="shared" si="19"/>
        <v>ARNÓ INFRAESTRUCTURAS,S.L.U</v>
      </c>
      <c r="M41" s="151"/>
    </row>
    <row r="42" spans="2:13" ht="19.5" customHeight="1">
      <c r="B42" s="3">
        <v>4</v>
      </c>
      <c r="C42" s="103" t="str">
        <f>IF(Ofertes!H22="","",Ofertes!H22)</f>
        <v>Sorigué, S.A.U.</v>
      </c>
      <c r="D42" s="36">
        <f>IF(Ofertes!J22="","",Ofertes!J22)</f>
        <v>100</v>
      </c>
      <c r="E42" s="104">
        <f>IF(Ofertes!I22="","",Ofertes!I22)</f>
        <v>298582.19</v>
      </c>
      <c r="F42" s="104">
        <f t="shared" si="15"/>
        <v>62702.26</v>
      </c>
      <c r="G42" s="104">
        <f t="shared" si="16"/>
        <v>361284.45</v>
      </c>
      <c r="H42" s="36">
        <f t="shared" si="17"/>
        <v>1</v>
      </c>
      <c r="J42" s="13">
        <v>4</v>
      </c>
      <c r="K42" s="58">
        <f t="shared" si="18"/>
        <v>2</v>
      </c>
      <c r="L42" s="58" t="str">
        <f t="shared" si="19"/>
        <v>ASFALTS i Equips de Vialitat S.L.</v>
      </c>
      <c r="M42" s="151"/>
    </row>
    <row r="43" spans="2:13" ht="19.5" customHeight="1">
      <c r="B43" s="18">
        <v>5</v>
      </c>
      <c r="C43" s="105" t="str">
        <f>IF(Ofertes!H23="","",Ofertes!H23)</f>
        <v>JOSÉ ANTONIO ROMERO POLO, S.A.U.</v>
      </c>
      <c r="D43" s="36">
        <f>IF(Ofertes!J23="","",Ofertes!J23)</f>
        <v>98.94</v>
      </c>
      <c r="E43" s="104">
        <f>IF(Ofertes!I23="","",Ofertes!I23)</f>
        <v>301900</v>
      </c>
      <c r="F43" s="104">
        <f t="shared" si="15"/>
        <v>63399</v>
      </c>
      <c r="G43" s="104">
        <f t="shared" si="16"/>
        <v>365299</v>
      </c>
      <c r="H43" s="36">
        <f t="shared" si="17"/>
        <v>2</v>
      </c>
      <c r="J43" s="13">
        <v>5</v>
      </c>
      <c r="K43" s="58">
        <f t="shared" si="18"/>
        <v>1</v>
      </c>
      <c r="L43" s="58" t="str">
        <f t="shared" si="19"/>
        <v xml:space="preserve">AGUSTÍ Y MASOLIVER, S.A. </v>
      </c>
      <c r="M43" s="151"/>
    </row>
    <row r="44" spans="2:13" ht="19.5" customHeight="1">
      <c r="B44" s="3">
        <v>6</v>
      </c>
      <c r="C44" s="106" t="str">
        <f>IF(Ofertes!H24="","",Ofertes!H24)</f>
        <v/>
      </c>
      <c r="D44" s="36" t="str">
        <f>IF(Ofertes!J24="","",Ofertes!J24)</f>
        <v/>
      </c>
      <c r="E44" s="104" t="str">
        <f>IF(Ofertes!I24="","",Ofertes!I24)</f>
        <v/>
      </c>
      <c r="F44" s="104" t="str">
        <f t="shared" si="15"/>
        <v/>
      </c>
      <c r="G44" s="104" t="str">
        <f t="shared" si="16"/>
        <v/>
      </c>
      <c r="H44" s="36" t="str">
        <f t="shared" si="17"/>
        <v/>
      </c>
      <c r="J44" s="13">
        <v>6</v>
      </c>
      <c r="K44" s="58" t="str">
        <f t="shared" si="18"/>
        <v/>
      </c>
      <c r="L44" s="58" t="str">
        <f t="shared" si="19"/>
        <v/>
      </c>
      <c r="M44" s="151"/>
    </row>
    <row r="45" spans="2:13" ht="19.5" customHeight="1">
      <c r="B45" s="29">
        <v>7</v>
      </c>
      <c r="C45" s="107" t="str">
        <f>IF(Ofertes!H25="","",Ofertes!H25)</f>
        <v/>
      </c>
      <c r="D45" s="36" t="str">
        <f>IF(Ofertes!J25="","",Ofertes!J25)</f>
        <v/>
      </c>
      <c r="E45" s="104" t="str">
        <f>IF(Ofertes!I25="","",Ofertes!I25)</f>
        <v/>
      </c>
      <c r="F45" s="104" t="str">
        <f t="shared" si="15"/>
        <v/>
      </c>
      <c r="G45" s="104" t="str">
        <f t="shared" si="16"/>
        <v/>
      </c>
      <c r="H45" s="36" t="str">
        <f t="shared" si="17"/>
        <v/>
      </c>
      <c r="J45" s="13">
        <v>7</v>
      </c>
      <c r="K45" s="58" t="str">
        <f t="shared" si="18"/>
        <v/>
      </c>
      <c r="L45" s="58" t="str">
        <f t="shared" si="19"/>
        <v/>
      </c>
      <c r="M45" s="151"/>
    </row>
    <row r="46" spans="2:13" ht="19.5" customHeight="1" thickBot="1">
      <c r="B46" s="27">
        <v>8</v>
      </c>
      <c r="C46" s="108" t="str">
        <f>IF(Ofertes!H26="","",Ofertes!H26)</f>
        <v/>
      </c>
      <c r="D46" s="47" t="str">
        <f>IF(Ofertes!J26="","",Ofertes!J26)</f>
        <v/>
      </c>
      <c r="E46" s="109" t="str">
        <f>IF(Ofertes!I26="","",Ofertes!I26)</f>
        <v/>
      </c>
      <c r="F46" s="109" t="str">
        <f t="shared" si="15"/>
        <v/>
      </c>
      <c r="G46" s="109" t="str">
        <f t="shared" si="16"/>
        <v/>
      </c>
      <c r="H46" s="47" t="str">
        <f t="shared" si="17"/>
        <v/>
      </c>
      <c r="J46" s="14">
        <v>8</v>
      </c>
      <c r="K46" s="59" t="str">
        <f t="shared" si="18"/>
        <v/>
      </c>
      <c r="L46" s="59" t="str">
        <f t="shared" si="19"/>
        <v/>
      </c>
      <c r="M46" s="152"/>
    </row>
    <row r="48" spans="2:13" ht="21" thickBot="1">
      <c r="B48" s="42" t="s">
        <v>15</v>
      </c>
    </row>
    <row r="49" spans="2:13" ht="30.75" thickBot="1">
      <c r="B49" s="21" t="s">
        <v>3</v>
      </c>
      <c r="C49" s="22" t="s">
        <v>1</v>
      </c>
      <c r="D49" s="33" t="s">
        <v>17</v>
      </c>
      <c r="E49" s="98" t="s">
        <v>38</v>
      </c>
      <c r="F49" s="98" t="s">
        <v>39</v>
      </c>
      <c r="G49" s="98" t="s">
        <v>40</v>
      </c>
      <c r="H49" s="35" t="s">
        <v>5</v>
      </c>
      <c r="J49" s="52" t="s">
        <v>5</v>
      </c>
      <c r="K49" s="52" t="s">
        <v>3</v>
      </c>
      <c r="L49" s="53" t="s">
        <v>6</v>
      </c>
      <c r="M49" s="148" t="s">
        <v>54</v>
      </c>
    </row>
    <row r="50" spans="2:13" ht="19.5" customHeight="1" thickBot="1">
      <c r="B50" s="2">
        <v>1</v>
      </c>
      <c r="C50" s="100" t="str">
        <f>IF(Ofertes!C30="","",Ofertes!C30)</f>
        <v xml:space="preserve">AGUSTÍ Y MASOLIVER, S.A. </v>
      </c>
      <c r="D50" s="99">
        <f>IF(Ofertes!E30="","",Ofertes!E30)</f>
        <v>95.02</v>
      </c>
      <c r="E50" s="101">
        <f>IF(Ofertes!D30="","",Ofertes!D30)</f>
        <v>808324.4</v>
      </c>
      <c r="F50" s="102">
        <f>IF(E50="","",ROUND(E50*0.21,2))</f>
        <v>169748.12</v>
      </c>
      <c r="G50" s="102">
        <f>IF(F50="","",SUM(E50:F50))</f>
        <v>978072.52</v>
      </c>
      <c r="H50" s="46">
        <f>IF($D50="","",RANK($D50,$D$50:$D$57))</f>
        <v>6</v>
      </c>
      <c r="J50" s="55">
        <v>1</v>
      </c>
      <c r="K50" s="54">
        <f>IFERROR(INDEX($B$50:$B$57,MATCH(J50,$H$50:$H$57,0)),"")</f>
        <v>3</v>
      </c>
      <c r="L50" s="63" t="str">
        <f>IFERROR(INDEX($C$50:$C$57,MATCH(J50,$H$50:$H$57,0)),"")</f>
        <v>M. I J. GRUAS, S.A.</v>
      </c>
      <c r="M50" s="149">
        <f>ROUND(PRODUCT(IFERROR(INDEX($E$50:$E$57,MATCH(J50,$H$50:$H$57,0)),""),0.05),2)</f>
        <v>38398.410000000003</v>
      </c>
    </row>
    <row r="51" spans="2:13" ht="19.5" customHeight="1">
      <c r="B51" s="3">
        <v>2</v>
      </c>
      <c r="C51" s="103" t="str">
        <f>IF(Ofertes!C31="","",Ofertes!C31)</f>
        <v>ARNÓ INFRAESTRUCTURAS,S.L.U</v>
      </c>
      <c r="D51" s="36">
        <f>IF(Ofertes!E31="","",Ofertes!E31)</f>
        <v>98.95</v>
      </c>
      <c r="E51" s="104">
        <f>IF(Ofertes!D31="","",Ofertes!D31)</f>
        <v>776469.65</v>
      </c>
      <c r="F51" s="104">
        <f t="shared" ref="F51:F57" si="20">IF(E51="","",ROUND(E51*0.21,2))</f>
        <v>163058.63</v>
      </c>
      <c r="G51" s="104">
        <f t="shared" ref="G51:G57" si="21">IF(F51="","",SUM(E51:F51))</f>
        <v>939528.28</v>
      </c>
      <c r="H51" s="36">
        <f t="shared" ref="H51:H57" si="22">IF($D51="","",RANK($D51,$D$50:$D$57))</f>
        <v>3</v>
      </c>
      <c r="J51" s="57">
        <v>2</v>
      </c>
      <c r="K51" s="56">
        <f t="shared" ref="K51:K57" si="23">IFERROR(INDEX($B$50:$B$57,MATCH(J51,$H$50:$H$57,0)),"")</f>
        <v>4</v>
      </c>
      <c r="L51" s="56" t="str">
        <f t="shared" ref="L51:L57" si="24">IFERROR(INDEX($C$50:$C$57,MATCH(J51,$H$50:$H$57,0)),"")</f>
        <v>Sorigué, S.A.U.</v>
      </c>
      <c r="M51" s="150"/>
    </row>
    <row r="52" spans="2:13" ht="19.5" customHeight="1">
      <c r="B52" s="3">
        <v>3</v>
      </c>
      <c r="C52" s="103" t="str">
        <f>IF(Ofertes!C32="","",Ofertes!C32)</f>
        <v>M. I J. GRUAS, S.A.</v>
      </c>
      <c r="D52" s="36">
        <f>IF(Ofertes!E32="","",Ofertes!E32)</f>
        <v>100</v>
      </c>
      <c r="E52" s="104">
        <f>IF(Ofertes!D32="","",Ofertes!D32)</f>
        <v>767968.15</v>
      </c>
      <c r="F52" s="104">
        <f t="shared" si="20"/>
        <v>161273.31</v>
      </c>
      <c r="G52" s="104">
        <f t="shared" si="21"/>
        <v>929241.46</v>
      </c>
      <c r="H52" s="36">
        <f t="shared" si="22"/>
        <v>1</v>
      </c>
      <c r="J52" s="13">
        <v>3</v>
      </c>
      <c r="K52" s="58">
        <f t="shared" si="23"/>
        <v>2</v>
      </c>
      <c r="L52" s="58" t="str">
        <f t="shared" si="24"/>
        <v>ARNÓ INFRAESTRUCTURAS,S.L.U</v>
      </c>
      <c r="M52" s="151"/>
    </row>
    <row r="53" spans="2:13" ht="19.5" customHeight="1">
      <c r="B53" s="3">
        <v>4</v>
      </c>
      <c r="C53" s="103" t="str">
        <f>IF(Ofertes!C33="","",Ofertes!C33)</f>
        <v>Sorigué, S.A.U.</v>
      </c>
      <c r="D53" s="36">
        <f>IF(Ofertes!E33="","",Ofertes!E33)</f>
        <v>99.42</v>
      </c>
      <c r="E53" s="104">
        <f>IF(Ofertes!D33="","",Ofertes!D33)</f>
        <v>772664.22</v>
      </c>
      <c r="F53" s="104">
        <f t="shared" si="20"/>
        <v>162259.49</v>
      </c>
      <c r="G53" s="104">
        <f t="shared" si="21"/>
        <v>934923.71</v>
      </c>
      <c r="H53" s="36">
        <f t="shared" si="22"/>
        <v>2</v>
      </c>
      <c r="J53" s="13">
        <v>4</v>
      </c>
      <c r="K53" s="58">
        <f t="shared" si="23"/>
        <v>6</v>
      </c>
      <c r="L53" s="58" t="str">
        <f t="shared" si="24"/>
        <v>ROMÀ INFRAESTRUCTURES I SERVEIS, SAU</v>
      </c>
      <c r="M53" s="151"/>
    </row>
    <row r="54" spans="2:13" ht="19.5" customHeight="1">
      <c r="B54" s="18">
        <v>5</v>
      </c>
      <c r="C54" s="105" t="str">
        <f>IF(Ofertes!C34="","",Ofertes!C34)</f>
        <v>JOSÉ ANTONIO ROMERO POLO, S.A.U.</v>
      </c>
      <c r="D54" s="36">
        <f>IF(Ofertes!E34="","",Ofertes!E34)</f>
        <v>98.75</v>
      </c>
      <c r="E54" s="104">
        <f>IF(Ofertes!D34="","",Ofertes!D34)</f>
        <v>778100</v>
      </c>
      <c r="F54" s="104">
        <f t="shared" si="20"/>
        <v>163401</v>
      </c>
      <c r="G54" s="104">
        <f t="shared" si="21"/>
        <v>941501</v>
      </c>
      <c r="H54" s="36">
        <f t="shared" si="22"/>
        <v>5</v>
      </c>
      <c r="J54" s="13">
        <v>5</v>
      </c>
      <c r="K54" s="58">
        <f t="shared" si="23"/>
        <v>5</v>
      </c>
      <c r="L54" s="58" t="str">
        <f t="shared" si="24"/>
        <v>JOSÉ ANTONIO ROMERO POLO, S.A.U.</v>
      </c>
      <c r="M54" s="151"/>
    </row>
    <row r="55" spans="2:13" ht="19.5" customHeight="1">
      <c r="B55" s="3">
        <v>6</v>
      </c>
      <c r="C55" s="106" t="str">
        <f>IF(Ofertes!C35="","",Ofertes!C35)</f>
        <v>ROMÀ INFRAESTRUCTURES I SERVEIS, SAU</v>
      </c>
      <c r="D55" s="36">
        <f>IF(Ofertes!E35="","",Ofertes!E35)</f>
        <v>98.8</v>
      </c>
      <c r="E55" s="104">
        <f>IF(Ofertes!D35="","",Ofertes!D35)</f>
        <v>777684.15</v>
      </c>
      <c r="F55" s="104">
        <f t="shared" si="20"/>
        <v>163313.67000000001</v>
      </c>
      <c r="G55" s="104">
        <f t="shared" si="21"/>
        <v>940997.82000000007</v>
      </c>
      <c r="H55" s="36">
        <f t="shared" si="22"/>
        <v>4</v>
      </c>
      <c r="J55" s="13">
        <v>6</v>
      </c>
      <c r="K55" s="58">
        <f t="shared" si="23"/>
        <v>1</v>
      </c>
      <c r="L55" s="58" t="str">
        <f t="shared" si="24"/>
        <v xml:space="preserve">AGUSTÍ Y MASOLIVER, S.A. </v>
      </c>
      <c r="M55" s="151"/>
    </row>
    <row r="56" spans="2:13" ht="19.5" customHeight="1">
      <c r="B56" s="29">
        <v>7</v>
      </c>
      <c r="C56" s="107" t="str">
        <f>IF(Ofertes!C36="","",Ofertes!C36)</f>
        <v/>
      </c>
      <c r="D56" s="36" t="str">
        <f>IF(Ofertes!E36="","",Ofertes!E36)</f>
        <v/>
      </c>
      <c r="E56" s="104" t="str">
        <f>IF(Ofertes!D36="","",Ofertes!D36)</f>
        <v/>
      </c>
      <c r="F56" s="104" t="str">
        <f t="shared" si="20"/>
        <v/>
      </c>
      <c r="G56" s="104" t="str">
        <f t="shared" si="21"/>
        <v/>
      </c>
      <c r="H56" s="36" t="str">
        <f t="shared" si="22"/>
        <v/>
      </c>
      <c r="J56" s="13">
        <v>7</v>
      </c>
      <c r="K56" s="58" t="str">
        <f t="shared" si="23"/>
        <v/>
      </c>
      <c r="L56" s="58" t="str">
        <f t="shared" si="24"/>
        <v/>
      </c>
      <c r="M56" s="151"/>
    </row>
    <row r="57" spans="2:13" ht="19.5" customHeight="1" thickBot="1">
      <c r="B57" s="27">
        <v>8</v>
      </c>
      <c r="C57" s="108" t="str">
        <f>IF(Ofertes!C37="","",Ofertes!C37)</f>
        <v/>
      </c>
      <c r="D57" s="47" t="str">
        <f>IF(Ofertes!E37="","",Ofertes!E37)</f>
        <v/>
      </c>
      <c r="E57" s="109" t="str">
        <f>IF(Ofertes!D37="","",Ofertes!D37)</f>
        <v/>
      </c>
      <c r="F57" s="109" t="str">
        <f t="shared" si="20"/>
        <v/>
      </c>
      <c r="G57" s="109" t="str">
        <f t="shared" si="21"/>
        <v/>
      </c>
      <c r="H57" s="47" t="str">
        <f t="shared" si="22"/>
        <v/>
      </c>
      <c r="J57" s="14">
        <v>8</v>
      </c>
      <c r="K57" s="59" t="str">
        <f t="shared" si="23"/>
        <v/>
      </c>
      <c r="L57" s="59" t="str">
        <f t="shared" si="24"/>
        <v/>
      </c>
      <c r="M57" s="152"/>
    </row>
    <row r="61" spans="2:13">
      <c r="M61" s="85">
        <f>M592%</f>
        <v>0</v>
      </c>
    </row>
  </sheetData>
  <mergeCells count="1">
    <mergeCell ref="D2:G2"/>
  </mergeCells>
  <conditionalFormatting sqref="J2:J3">
    <cfRule type="cellIs" dxfId="50" priority="1" operator="equal">
      <formula>100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2:M28"/>
  <sheetViews>
    <sheetView topLeftCell="C1" zoomScale="94" zoomScaleNormal="94" workbookViewId="0"/>
  </sheetViews>
  <sheetFormatPr defaultColWidth="11.42578125" defaultRowHeight="15"/>
  <cols>
    <col min="1" max="1" width="3" style="1" customWidth="1"/>
    <col min="2" max="2" width="22.7109375" style="1" customWidth="1"/>
    <col min="3" max="3" width="67.85546875" style="1" customWidth="1"/>
    <col min="4" max="4" width="19.85546875" style="1" customWidth="1"/>
    <col min="5" max="5" width="7.7109375" style="1" customWidth="1"/>
    <col min="6" max="6" width="13.7109375" style="1" customWidth="1"/>
    <col min="7" max="7" width="16.85546875" style="1" customWidth="1"/>
    <col min="8" max="8" width="14.5703125" style="1" customWidth="1"/>
    <col min="9" max="9" width="19.7109375" style="1" bestFit="1" customWidth="1"/>
    <col min="10" max="10" width="14" style="1" bestFit="1" customWidth="1"/>
    <col min="11" max="12" width="11.42578125" style="1"/>
    <col min="13" max="13" width="12.7109375" style="1" bestFit="1" customWidth="1"/>
    <col min="14" max="16384" width="11.42578125" style="1"/>
  </cols>
  <sheetData>
    <row r="2" spans="1:13" ht="66" customHeight="1">
      <c r="B2" s="141" t="s">
        <v>28</v>
      </c>
      <c r="C2" s="141"/>
      <c r="D2" s="141"/>
      <c r="E2" s="141"/>
      <c r="F2" s="141"/>
      <c r="G2" s="141"/>
      <c r="H2" s="141"/>
      <c r="I2" s="141"/>
    </row>
    <row r="3" spans="1:13" ht="20.100000000000001" customHeight="1" thickBot="1"/>
    <row r="4" spans="1:13" ht="62.25" customHeight="1" thickBot="1">
      <c r="B4" s="31" t="str">
        <f>Ofertes!C2</f>
        <v>2025/2950/LIO_POR - 59</v>
      </c>
      <c r="C4" s="32" t="str">
        <f>Ofertes!C4</f>
        <v>Execució de 5 Projectes d'obra de rehabilitació de ferms de carreteres locals (Trams: LP-9221 de Lleida a Torre-Serona, LV-4241 Lladurs, LV-2031 de Talavera a Sant Antolí, L-324 de Tarroja de Segarra a Plans de Sió i LV-3341 de Bellpuig a Barbens)</v>
      </c>
      <c r="D4" s="33" t="s">
        <v>9</v>
      </c>
      <c r="E4" s="44"/>
      <c r="F4" s="115" t="s">
        <v>42</v>
      </c>
      <c r="G4" s="117" t="s">
        <v>43</v>
      </c>
      <c r="H4" s="146" t="s">
        <v>8</v>
      </c>
      <c r="I4" s="147"/>
    </row>
    <row r="5" spans="1:13" ht="20.100000000000001" customHeight="1" thickBot="1"/>
    <row r="6" spans="1:13" ht="22.5" customHeight="1" thickBot="1">
      <c r="A6" s="9">
        <v>0.1</v>
      </c>
      <c r="B6" s="134" t="s">
        <v>16</v>
      </c>
      <c r="C6" s="135"/>
      <c r="D6" s="48">
        <f>Ofertes!$D$6</f>
        <v>1267694.44</v>
      </c>
      <c r="E6" s="44"/>
      <c r="F6" s="142" t="s">
        <v>27</v>
      </c>
      <c r="G6" s="143"/>
      <c r="H6" s="143"/>
      <c r="I6" s="7">
        <f>AVERAGEIFS(F10:F17,F10:F17,"&lt;&gt;"&amp;100%)</f>
        <v>3.2092327390818166E-2</v>
      </c>
    </row>
    <row r="7" spans="1:13" ht="15" customHeight="1" thickBot="1">
      <c r="E7" s="44"/>
    </row>
    <row r="8" spans="1:13" ht="15" customHeight="1">
      <c r="B8" s="136" t="s">
        <v>3</v>
      </c>
      <c r="C8" s="138" t="s">
        <v>1</v>
      </c>
      <c r="D8" s="136" t="s">
        <v>2</v>
      </c>
      <c r="E8" s="44"/>
      <c r="F8" s="136" t="s">
        <v>4</v>
      </c>
      <c r="G8" s="136" t="s">
        <v>26</v>
      </c>
      <c r="H8" s="136" t="s">
        <v>21</v>
      </c>
      <c r="I8" s="136" t="s">
        <v>24</v>
      </c>
      <c r="J8" s="74"/>
      <c r="K8" s="74"/>
    </row>
    <row r="9" spans="1:13" ht="15" customHeight="1" thickBot="1">
      <c r="B9" s="137"/>
      <c r="C9" s="139"/>
      <c r="D9" s="137"/>
      <c r="E9" s="44"/>
      <c r="F9" s="137"/>
      <c r="G9" s="137"/>
      <c r="H9" s="140"/>
      <c r="I9" s="137"/>
      <c r="J9" s="74"/>
      <c r="K9" s="74"/>
      <c r="L9" s="65"/>
      <c r="M9" s="66"/>
    </row>
    <row r="10" spans="1:13" s="4" customFormat="1" ht="20.100000000000001" customHeight="1">
      <c r="A10" s="6" t="str">
        <f t="shared" ref="A10:A17" si="0">I10</f>
        <v>Acceptada</v>
      </c>
      <c r="B10" s="2">
        <v>1</v>
      </c>
      <c r="C10" s="110" t="str">
        <f>IF(Ofertes!C8="","",Ofertes!C8)</f>
        <v xml:space="preserve">AGUSTÍ Y MASOLIVER, S.A. </v>
      </c>
      <c r="D10" s="49">
        <f>IF(Ofertes!D8="","",Ofertes!D8)</f>
        <v>1266203.45</v>
      </c>
      <c r="E10" s="44"/>
      <c r="F10" s="17">
        <f t="shared" ref="F10:F17" si="1">IF(D10="","",(1-(D10/$D$6)))</f>
        <v>1.1761430459535926E-3</v>
      </c>
      <c r="G10" s="40" t="str">
        <f t="shared" ref="G10:G14" si="2">IF(D10="","",IF(D10&lt;$D$19*0.9,"Baixa desproporcionada","Acceptada"))</f>
        <v>Acceptada</v>
      </c>
      <c r="H10" s="72" t="str">
        <f t="shared" ref="H10:H14" si="3">IF(F10="","",IF(D10&gt;$D$19*1.1,"EXCLOURE","INCLOURE"))</f>
        <v>INCLOURE</v>
      </c>
      <c r="I10" s="72" t="str">
        <f t="shared" ref="I10:I14" si="4">IF(D10="","",IF(D10&lt;$H$19*0.9,"Baixa desproporcionada","Acceptada"))</f>
        <v>Acceptada</v>
      </c>
      <c r="J10" s="11"/>
      <c r="K10" s="11"/>
      <c r="L10" s="80"/>
      <c r="M10" s="67"/>
    </row>
    <row r="11" spans="1:13" s="4" customFormat="1" ht="20.100000000000001" customHeight="1">
      <c r="A11" s="6" t="str">
        <f t="shared" si="0"/>
        <v>Acceptada</v>
      </c>
      <c r="B11" s="3">
        <v>2</v>
      </c>
      <c r="C11" s="111" t="str">
        <f>IF(Ofertes!C9="","",Ofertes!C9)</f>
        <v>ARNÓ INFRAESTRUCTURAS,S.L.U</v>
      </c>
      <c r="D11" s="50">
        <f>IF(Ofertes!D9="","",Ofertes!D9)</f>
        <v>1229663.6000000001</v>
      </c>
      <c r="E11" s="44"/>
      <c r="F11" s="15">
        <f t="shared" si="1"/>
        <v>3.0000005364068549E-2</v>
      </c>
      <c r="G11" s="78" t="str">
        <f t="shared" si="2"/>
        <v>Acceptada</v>
      </c>
      <c r="H11" s="73" t="str">
        <f t="shared" si="3"/>
        <v>INCLOURE</v>
      </c>
      <c r="I11" s="73" t="str">
        <f t="shared" si="4"/>
        <v>Acceptada</v>
      </c>
      <c r="J11" s="11"/>
      <c r="K11" s="11"/>
      <c r="L11" s="67"/>
    </row>
    <row r="12" spans="1:13" s="4" customFormat="1" ht="20.100000000000001" customHeight="1">
      <c r="A12" s="6" t="str">
        <f t="shared" si="0"/>
        <v>Acceptada</v>
      </c>
      <c r="B12" s="3">
        <v>3</v>
      </c>
      <c r="C12" s="111" t="str">
        <f>IF(Ofertes!C10="","",Ofertes!C10)</f>
        <v>M. I J. GRUAS, S.A.</v>
      </c>
      <c r="D12" s="50">
        <f>IF(Ofertes!D10="","",Ofertes!D10)</f>
        <v>1226494.3700000001</v>
      </c>
      <c r="E12" s="44"/>
      <c r="F12" s="15">
        <f t="shared" si="1"/>
        <v>3.2500000552183383E-2</v>
      </c>
      <c r="G12" s="78" t="str">
        <f t="shared" si="2"/>
        <v>Acceptada</v>
      </c>
      <c r="H12" s="73" t="str">
        <f t="shared" si="3"/>
        <v>INCLOURE</v>
      </c>
      <c r="I12" s="73" t="str">
        <f t="shared" si="4"/>
        <v>Acceptada</v>
      </c>
      <c r="J12" s="11"/>
      <c r="K12" s="11"/>
    </row>
    <row r="13" spans="1:13" s="4" customFormat="1" ht="20.100000000000001" customHeight="1">
      <c r="A13" s="6" t="str">
        <f t="shared" si="0"/>
        <v>Acceptada</v>
      </c>
      <c r="B13" s="3">
        <v>4</v>
      </c>
      <c r="C13" s="111" t="str">
        <f>IF(Ofertes!C11="","",Ofertes!C11)</f>
        <v>Sorigué, S.A.U.</v>
      </c>
      <c r="D13" s="50">
        <f>IF(Ofertes!D11="","",Ofertes!D11)</f>
        <v>1213183.58</v>
      </c>
      <c r="E13" s="44"/>
      <c r="F13" s="15">
        <f t="shared" si="1"/>
        <v>4.2999999274273004E-2</v>
      </c>
      <c r="G13" s="78" t="str">
        <f t="shared" si="2"/>
        <v>Acceptada</v>
      </c>
      <c r="H13" s="73" t="str">
        <f t="shared" si="3"/>
        <v>INCLOURE</v>
      </c>
      <c r="I13" s="73" t="str">
        <f t="shared" si="4"/>
        <v>Acceptada</v>
      </c>
      <c r="J13" s="11"/>
      <c r="K13" s="11"/>
    </row>
    <row r="14" spans="1:13" s="4" customFormat="1" ht="20.100000000000001" customHeight="1">
      <c r="A14" s="6" t="str">
        <f t="shared" si="0"/>
        <v>Acceptada</v>
      </c>
      <c r="B14" s="18">
        <v>5</v>
      </c>
      <c r="C14" s="112" t="str">
        <f>IF(Ofertes!C12="","",Ofertes!C12)</f>
        <v>JOSÉ ANTONIO ROMERO POLO, S.A.U.</v>
      </c>
      <c r="D14" s="113">
        <f>IF(Ofertes!D12="","",Ofertes!D12)</f>
        <v>1207000</v>
      </c>
      <c r="E14" s="44"/>
      <c r="F14" s="15">
        <f t="shared" si="1"/>
        <v>4.7877815098723575E-2</v>
      </c>
      <c r="G14" s="78" t="str">
        <f t="shared" si="2"/>
        <v>Acceptada</v>
      </c>
      <c r="H14" s="73" t="str">
        <f t="shared" si="3"/>
        <v>INCLOURE</v>
      </c>
      <c r="I14" s="73" t="str">
        <f t="shared" si="4"/>
        <v>Acceptada</v>
      </c>
      <c r="J14" s="11"/>
      <c r="K14" s="11"/>
    </row>
    <row r="15" spans="1:13" s="4" customFormat="1" ht="20.100000000000001" customHeight="1">
      <c r="A15" s="6" t="str">
        <f t="shared" si="0"/>
        <v>Acceptada</v>
      </c>
      <c r="B15" s="18">
        <v>6</v>
      </c>
      <c r="C15" s="112" t="str">
        <f>IF(Ofertes!C13="","",Ofertes!C13)</f>
        <v>ROMÀ INFRAESTRUCTURES I SERVEIS, SAU</v>
      </c>
      <c r="D15" s="113">
        <f>IF(Ofertes!D13="","",Ofertes!D13)</f>
        <v>1219522.05</v>
      </c>
      <c r="E15" s="44"/>
      <c r="F15" s="15">
        <f t="shared" si="1"/>
        <v>3.8000001009706907E-2</v>
      </c>
      <c r="G15" s="78" t="str">
        <f>IF(D15="","",IF(D15&lt;$D$19*0.9,"Baixa desproporcionada","Acceptada"))</f>
        <v>Acceptada</v>
      </c>
      <c r="H15" s="73" t="str">
        <f>IF(F15="","",IF(D15&gt;$D$19*1.1,"EXCLOURE","INCLOURE"))</f>
        <v>INCLOURE</v>
      </c>
      <c r="I15" s="73" t="str">
        <f>IF(D15="","",IF(D15&lt;$H$19*0.9,"Baixa desproporcionada","Acceptada"))</f>
        <v>Acceptada</v>
      </c>
      <c r="J15" s="11"/>
      <c r="K15" s="11"/>
    </row>
    <row r="16" spans="1:13" s="4" customFormat="1" ht="20.100000000000001" customHeight="1">
      <c r="A16" s="6" t="str">
        <f t="shared" si="0"/>
        <v/>
      </c>
      <c r="B16" s="18">
        <v>7</v>
      </c>
      <c r="C16" s="112" t="str">
        <f>IF(Ofertes!C14="","",Ofertes!C14)</f>
        <v/>
      </c>
      <c r="D16" s="113" t="str">
        <f>IF(Ofertes!D14="","",Ofertes!D14)</f>
        <v/>
      </c>
      <c r="E16" s="44"/>
      <c r="F16" s="15" t="str">
        <f t="shared" si="1"/>
        <v/>
      </c>
      <c r="G16" s="78" t="str">
        <f>IF(D16="","",IF(D16&lt;$D$19*0.9,"Baixa desproporcionada","Acceptada"))</f>
        <v/>
      </c>
      <c r="H16" s="73" t="str">
        <f>IF(F16="","",IF(D16&gt;$D$19*1.1,"EXCLOURE","INCLOURE"))</f>
        <v/>
      </c>
      <c r="I16" s="81" t="str">
        <f>IF(D16="","",IF(D16&lt;$H$19*0.9,"Baixa desproporcionada","Acceptada"))</f>
        <v/>
      </c>
      <c r="J16" s="75"/>
      <c r="K16" s="75"/>
    </row>
    <row r="17" spans="1:11" s="4" customFormat="1" ht="20.100000000000001" customHeight="1" thickBot="1">
      <c r="A17" s="6" t="str">
        <f t="shared" si="0"/>
        <v/>
      </c>
      <c r="B17" s="12">
        <v>8</v>
      </c>
      <c r="C17" s="114" t="str">
        <f>IF(Ofertes!C15="","",Ofertes!C15)</f>
        <v/>
      </c>
      <c r="D17" s="51" t="str">
        <f>IF(Ofertes!D15="","",Ofertes!D15)</f>
        <v/>
      </c>
      <c r="E17" s="44"/>
      <c r="F17" s="16" t="str">
        <f t="shared" si="1"/>
        <v/>
      </c>
      <c r="G17" s="41" t="str">
        <f>IF(D17="","",IF(D17&lt;$D$19*0.9,"Baixa desproporcionada","Acceptada"))</f>
        <v/>
      </c>
      <c r="H17" s="79" t="str">
        <f>IF(F17="","",IF(D17&gt;$D$19*1.1,"EXCLOURE","INCLOURE"))</f>
        <v/>
      </c>
      <c r="I17" s="82" t="str">
        <f>IF(D17="","",IF(D17&lt;$H$19*0.9,"Baixa desproporcionada","Acceptada"))</f>
        <v/>
      </c>
      <c r="J17" s="75"/>
      <c r="K17" s="75"/>
    </row>
    <row r="18" spans="1:11" s="4" customFormat="1" ht="20.100000000000001" customHeight="1" thickBot="1">
      <c r="A18" s="6">
        <f>J18</f>
        <v>0</v>
      </c>
      <c r="B18" s="10"/>
      <c r="C18" s="19"/>
      <c r="D18" s="20"/>
      <c r="E18" s="44"/>
      <c r="F18" s="5"/>
      <c r="G18" s="68" t="s">
        <v>23</v>
      </c>
      <c r="H18" s="6">
        <f>COUNTIF(H10:H17,"INCLOURE")</f>
        <v>6</v>
      </c>
      <c r="K18" s="5"/>
    </row>
    <row r="19" spans="1:11" s="4" customFormat="1" ht="20.100000000000001" customHeight="1" thickBot="1">
      <c r="A19" s="6">
        <f t="shared" ref="A19:A25" si="5">J19</f>
        <v>0</v>
      </c>
      <c r="B19" s="10"/>
      <c r="C19" s="77" t="s">
        <v>25</v>
      </c>
      <c r="D19" s="121">
        <f>AVERAGE(D10:D17)</f>
        <v>1227011.175</v>
      </c>
      <c r="E19" s="44"/>
      <c r="F19" s="144" t="s">
        <v>22</v>
      </c>
      <c r="G19" s="145"/>
      <c r="H19" s="120">
        <f>IF(H18&gt;=3,AVERAGEIF(H10:H17,"INCLOURE",D10:D17),AVERAGE(SMALL(D10:D17,1),SMALL(D10:D17,2),SMALL(D10:D17,3)))</f>
        <v>1227011.175</v>
      </c>
      <c r="I19" s="70"/>
      <c r="J19" s="71"/>
      <c r="K19" s="5"/>
    </row>
    <row r="20" spans="1:11" s="4" customFormat="1" ht="20.100000000000001" customHeight="1">
      <c r="A20" s="6">
        <f t="shared" si="5"/>
        <v>0</v>
      </c>
      <c r="B20" s="10"/>
      <c r="C20" s="19"/>
      <c r="D20" s="20"/>
      <c r="E20" s="20"/>
      <c r="F20" s="5"/>
      <c r="G20" s="11"/>
      <c r="I20" s="64"/>
    </row>
    <row r="21" spans="1:11" s="4" customFormat="1" ht="20.100000000000001" customHeight="1">
      <c r="A21" s="6">
        <f t="shared" si="5"/>
        <v>0</v>
      </c>
      <c r="B21" s="10"/>
      <c r="C21" s="20"/>
      <c r="D21" s="20"/>
      <c r="E21" s="20"/>
      <c r="F21" s="5"/>
      <c r="G21" s="11"/>
      <c r="I21" s="64"/>
    </row>
    <row r="22" spans="1:11" s="4" customFormat="1" ht="20.100000000000001" customHeight="1">
      <c r="A22" s="6">
        <f t="shared" si="5"/>
        <v>0</v>
      </c>
      <c r="B22" s="10"/>
      <c r="C22" s="19"/>
      <c r="D22" s="20"/>
      <c r="E22" s="20"/>
      <c r="F22" s="5"/>
      <c r="G22" s="11"/>
      <c r="I22" s="64"/>
    </row>
    <row r="23" spans="1:11" s="4" customFormat="1" ht="20.100000000000001" customHeight="1">
      <c r="A23" s="6">
        <f t="shared" si="5"/>
        <v>0</v>
      </c>
      <c r="B23" s="10"/>
      <c r="C23" s="19"/>
      <c r="D23" s="20"/>
      <c r="E23" s="20"/>
      <c r="F23" s="5"/>
      <c r="G23" s="11"/>
      <c r="I23" s="64"/>
    </row>
    <row r="24" spans="1:11" s="4" customFormat="1" ht="20.100000000000001" customHeight="1">
      <c r="A24" s="6">
        <f t="shared" si="5"/>
        <v>0</v>
      </c>
      <c r="B24" s="10"/>
      <c r="C24" s="19"/>
      <c r="D24" s="20"/>
      <c r="E24" s="20"/>
      <c r="F24" s="5"/>
      <c r="G24" s="11"/>
      <c r="I24" s="64"/>
    </row>
    <row r="25" spans="1:11" s="4" customFormat="1" ht="20.100000000000001" customHeight="1">
      <c r="A25" s="6">
        <f t="shared" si="5"/>
        <v>0</v>
      </c>
      <c r="B25" s="10"/>
      <c r="C25" s="19"/>
      <c r="D25" s="20"/>
      <c r="E25" s="20"/>
      <c r="F25" s="5"/>
      <c r="G25" s="11"/>
      <c r="I25" s="64"/>
    </row>
    <row r="26" spans="1:11" s="4" customFormat="1">
      <c r="I26" s="64"/>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F19:G19"/>
    <mergeCell ref="H8:H9"/>
    <mergeCell ref="G8:G9"/>
    <mergeCell ref="I8:I9"/>
    <mergeCell ref="B2:I2"/>
    <mergeCell ref="F6:H6"/>
    <mergeCell ref="H4:I4"/>
    <mergeCell ref="B6:C6"/>
    <mergeCell ref="C8:C9"/>
    <mergeCell ref="D8:D9"/>
    <mergeCell ref="B8:B9"/>
    <mergeCell ref="F8:F9"/>
  </mergeCells>
  <conditionalFormatting sqref="G10:G17">
    <cfRule type="cellIs" dxfId="49" priority="2" operator="equal">
      <formula>"Baixa desproporcionada"</formula>
    </cfRule>
    <cfRule type="cellIs" dxfId="48" priority="3" operator="equal">
      <formula>"Acceptada"</formula>
    </cfRule>
    <cfRule type="cellIs" dxfId="47" priority="4" operator="equal">
      <formula>"Baixa temerària"</formula>
    </cfRule>
  </conditionalFormatting>
  <conditionalFormatting sqref="H10:H17">
    <cfRule type="cellIs" dxfId="46" priority="9" operator="equal">
      <formula>"INCLOURE"</formula>
    </cfRule>
    <cfRule type="cellIs" dxfId="45" priority="10" operator="equal">
      <formula>"INCLOURE"</formula>
    </cfRule>
  </conditionalFormatting>
  <conditionalFormatting sqref="H18:I25">
    <cfRule type="cellIs" dxfId="44" priority="15" operator="equal">
      <formula>"SI"</formula>
    </cfRule>
    <cfRule type="cellIs" dxfId="43" priority="16" operator="equal">
      <formula>"NO"</formula>
    </cfRule>
  </conditionalFormatting>
  <conditionalFormatting sqref="I10:I17">
    <cfRule type="cellIs" dxfId="42" priority="1" operator="equal">
      <formula>"Baixa desproporcionada"</formula>
    </cfRule>
    <cfRule type="cellIs" dxfId="41" priority="7" operator="equal">
      <formula>"Baixa temerària"</formula>
    </cfRule>
    <cfRule type="cellIs" dxfId="40" priority="8" operator="equal">
      <formula>"Acceptada"</formula>
    </cfRule>
  </conditionalFormatting>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FE37F-D6AA-419C-864B-523014529BDF}">
  <sheetPr>
    <tabColor theme="4" tint="-0.249977111117893"/>
  </sheetPr>
  <dimension ref="A2:M28"/>
  <sheetViews>
    <sheetView zoomScale="78" zoomScaleNormal="78" workbookViewId="0">
      <selection activeCell="C13" sqref="C13"/>
    </sheetView>
  </sheetViews>
  <sheetFormatPr defaultColWidth="11.42578125" defaultRowHeight="15"/>
  <cols>
    <col min="1" max="1" width="3" style="1" customWidth="1"/>
    <col min="2" max="2" width="22.7109375" style="1" customWidth="1"/>
    <col min="3" max="3" width="67.85546875" style="1" customWidth="1"/>
    <col min="4" max="4" width="19.85546875" style="1" customWidth="1"/>
    <col min="5" max="5" width="7.7109375" style="1" customWidth="1"/>
    <col min="6" max="6" width="13.7109375" style="1" customWidth="1"/>
    <col min="7" max="7" width="16.85546875" style="1" customWidth="1"/>
    <col min="8" max="8" width="14.5703125" style="1" customWidth="1"/>
    <col min="9" max="9" width="19.85546875" style="1" customWidth="1"/>
    <col min="10" max="12" width="11.42578125" style="1"/>
    <col min="13" max="13" width="12.7109375" style="1" bestFit="1" customWidth="1"/>
    <col min="14" max="16384" width="11.42578125" style="1"/>
  </cols>
  <sheetData>
    <row r="2" spans="1:13" ht="66" customHeight="1">
      <c r="B2" s="141" t="s">
        <v>28</v>
      </c>
      <c r="C2" s="141"/>
      <c r="D2" s="141"/>
      <c r="E2" s="141"/>
      <c r="F2" s="141"/>
      <c r="G2" s="141"/>
      <c r="H2" s="141"/>
      <c r="I2" s="141"/>
    </row>
    <row r="3" spans="1:13" ht="20.100000000000001" customHeight="1" thickBot="1"/>
    <row r="4" spans="1:13" ht="62.25" customHeight="1" thickBot="1">
      <c r="B4" s="31" t="str">
        <f>Ofertes!C2</f>
        <v>2025/2950/LIO_POR - 59</v>
      </c>
      <c r="C4" s="32" t="str">
        <f>Ofertes!C4</f>
        <v>Execució de 5 Projectes d'obra de rehabilitació de ferms de carreteres locals (Trams: LP-9221 de Lleida a Torre-Serona, LV-4241 Lladurs, LV-2031 de Talavera a Sant Antolí, L-324 de Tarroja de Segarra a Plans de Sió i LV-3341 de Bellpuig a Barbens)</v>
      </c>
      <c r="D4" s="33" t="s">
        <v>12</v>
      </c>
      <c r="E4" s="44"/>
      <c r="F4" s="122" t="s">
        <v>46</v>
      </c>
      <c r="G4" s="123" t="s">
        <v>47</v>
      </c>
      <c r="H4" s="146" t="s">
        <v>8</v>
      </c>
      <c r="I4" s="147"/>
    </row>
    <row r="5" spans="1:13" ht="20.100000000000001" customHeight="1" thickBot="1"/>
    <row r="6" spans="1:13" ht="22.5" customHeight="1" thickBot="1">
      <c r="A6" s="9">
        <v>0.1</v>
      </c>
      <c r="B6" s="134" t="s">
        <v>16</v>
      </c>
      <c r="C6" s="135"/>
      <c r="D6" s="48">
        <f>Ofertes!$I$6</f>
        <v>371585.46</v>
      </c>
      <c r="E6" s="44"/>
      <c r="F6" s="142" t="s">
        <v>7</v>
      </c>
      <c r="G6" s="143"/>
      <c r="H6" s="143"/>
      <c r="I6" s="7">
        <f>AVERAGEIFS(F10:F17,F10:F17,"&lt;&gt;"&amp;100%)</f>
        <v>2.156803444354367E-2</v>
      </c>
    </row>
    <row r="7" spans="1:13" ht="15" customHeight="1" thickBot="1">
      <c r="E7" s="44"/>
    </row>
    <row r="8" spans="1:13" ht="15" customHeight="1">
      <c r="B8" s="136" t="s">
        <v>3</v>
      </c>
      <c r="C8" s="138" t="s">
        <v>1</v>
      </c>
      <c r="D8" s="136" t="s">
        <v>2</v>
      </c>
      <c r="E8" s="44"/>
      <c r="F8" s="136" t="s">
        <v>4</v>
      </c>
      <c r="G8" s="136" t="s">
        <v>26</v>
      </c>
      <c r="H8" s="136" t="s">
        <v>21</v>
      </c>
      <c r="I8" s="136" t="s">
        <v>24</v>
      </c>
      <c r="J8" s="74"/>
      <c r="K8" s="74"/>
    </row>
    <row r="9" spans="1:13" ht="15" customHeight="1" thickBot="1">
      <c r="B9" s="137"/>
      <c r="C9" s="139"/>
      <c r="D9" s="137"/>
      <c r="E9" s="44"/>
      <c r="F9" s="137"/>
      <c r="G9" s="137"/>
      <c r="H9" s="140"/>
      <c r="I9" s="137"/>
      <c r="J9" s="74"/>
      <c r="K9" s="74"/>
      <c r="L9" s="65"/>
      <c r="M9" s="66"/>
    </row>
    <row r="10" spans="1:13" s="4" customFormat="1" ht="20.100000000000001" customHeight="1">
      <c r="A10" s="6" t="str">
        <f t="shared" ref="A10:A17" si="0">I10</f>
        <v>Acceptada</v>
      </c>
      <c r="B10" s="2">
        <v>1</v>
      </c>
      <c r="C10" s="110" t="str">
        <f>IF(Ofertes!H8="","",Ofertes!H8)</f>
        <v xml:space="preserve">AGUSTÍ Y MASOLIVER, S.A. </v>
      </c>
      <c r="D10" s="49">
        <f>IF(Ofertes!I8="","",Ofertes!I8)</f>
        <v>370911.15</v>
      </c>
      <c r="E10" s="44"/>
      <c r="F10" s="17">
        <f t="shared" ref="F10:F17" si="1">IF(D10="","",(1-(D10/$D$6)))</f>
        <v>1.8146834916522581E-3</v>
      </c>
      <c r="G10" s="40" t="str">
        <f t="shared" ref="G10:G14" si="2">IF(D10="","",IF(D10&lt;$D$19*0.9,"Baixa desproporcionada","Acceptada"))</f>
        <v>Acceptada</v>
      </c>
      <c r="H10" s="72" t="str">
        <f t="shared" ref="H10:H14" si="3">IF(F10="","",IF(D10&gt;$D$19*1.1,"EXCLOURE","INCLOURE"))</f>
        <v>INCLOURE</v>
      </c>
      <c r="I10" s="72" t="str">
        <f t="shared" ref="I10:I14" si="4">IF(D10="","",IF(D10&lt;$H$19*0.9,"Baixa desproporcionada","Acceptada"))</f>
        <v>Acceptada</v>
      </c>
      <c r="J10" s="11"/>
      <c r="K10" s="11"/>
      <c r="L10" s="76"/>
      <c r="M10" s="67"/>
    </row>
    <row r="11" spans="1:13" s="4" customFormat="1" ht="20.100000000000001" customHeight="1">
      <c r="A11" s="6" t="str">
        <f t="shared" si="0"/>
        <v>Acceptada</v>
      </c>
      <c r="B11" s="3">
        <v>2</v>
      </c>
      <c r="C11" s="111" t="str">
        <f>IF(Ofertes!H9="","",Ofertes!H9)</f>
        <v>ASFALTS i Equips de Vialitat S.L.</v>
      </c>
      <c r="D11" s="50">
        <f>IF(Ofertes!I9="","",Ofertes!I9)</f>
        <v>364711.13</v>
      </c>
      <c r="E11" s="44"/>
      <c r="F11" s="15">
        <f t="shared" si="1"/>
        <v>1.8499997281917424E-2</v>
      </c>
      <c r="G11" s="78" t="str">
        <f t="shared" si="2"/>
        <v>Acceptada</v>
      </c>
      <c r="H11" s="73" t="str">
        <f t="shared" si="3"/>
        <v>INCLOURE</v>
      </c>
      <c r="I11" s="73" t="str">
        <f t="shared" si="4"/>
        <v>Acceptada</v>
      </c>
      <c r="J11" s="11"/>
      <c r="K11" s="11"/>
      <c r="L11" s="67"/>
    </row>
    <row r="12" spans="1:13" s="4" customFormat="1" ht="20.100000000000001" customHeight="1">
      <c r="A12" s="6" t="str">
        <f t="shared" si="0"/>
        <v>Acceptada</v>
      </c>
      <c r="B12" s="3">
        <v>3</v>
      </c>
      <c r="C12" s="111" t="str">
        <f>IF(Ofertes!H10="","",Ofertes!H10)</f>
        <v>ARNÓ INFRAESTRUCTURAS,S.L.U</v>
      </c>
      <c r="D12" s="50">
        <f>IF(Ofertes!I10="","",Ofertes!I10)</f>
        <v>364339.55</v>
      </c>
      <c r="E12" s="44"/>
      <c r="F12" s="15">
        <f t="shared" si="1"/>
        <v>1.949998258812391E-2</v>
      </c>
      <c r="G12" s="78" t="str">
        <f t="shared" si="2"/>
        <v>Acceptada</v>
      </c>
      <c r="H12" s="73" t="str">
        <f t="shared" si="3"/>
        <v>INCLOURE</v>
      </c>
      <c r="I12" s="73" t="str">
        <f t="shared" si="4"/>
        <v>Acceptada</v>
      </c>
      <c r="J12" s="11"/>
      <c r="K12" s="11"/>
    </row>
    <row r="13" spans="1:13" s="4" customFormat="1" ht="20.100000000000001" customHeight="1">
      <c r="A13" s="6" t="str">
        <f t="shared" si="0"/>
        <v>Acceptada</v>
      </c>
      <c r="B13" s="3">
        <v>4</v>
      </c>
      <c r="C13" s="111" t="str">
        <f>IF(Ofertes!H11="","",Ofertes!H11)</f>
        <v>Sorigué, S.A.U.</v>
      </c>
      <c r="D13" s="50">
        <f>IF(Ofertes!I11="","",Ofertes!I11)</f>
        <v>357093.63</v>
      </c>
      <c r="E13" s="44"/>
      <c r="F13" s="15">
        <f t="shared" si="1"/>
        <v>3.8999992087957458E-2</v>
      </c>
      <c r="G13" s="78" t="str">
        <f t="shared" si="2"/>
        <v>Acceptada</v>
      </c>
      <c r="H13" s="73" t="str">
        <f t="shared" si="3"/>
        <v>INCLOURE</v>
      </c>
      <c r="I13" s="73" t="str">
        <f t="shared" si="4"/>
        <v>Acceptada</v>
      </c>
      <c r="J13" s="11"/>
      <c r="K13" s="11"/>
    </row>
    <row r="14" spans="1:13" s="4" customFormat="1" ht="20.100000000000001" customHeight="1">
      <c r="A14" s="6" t="str">
        <f t="shared" si="0"/>
        <v>Acceptada</v>
      </c>
      <c r="B14" s="18">
        <v>5</v>
      </c>
      <c r="C14" s="112" t="str">
        <f>IF(Ofertes!H12="","",Ofertes!H12)</f>
        <v>JOSÉ ANTONIO ROMERO POLO, S.A.U.</v>
      </c>
      <c r="D14" s="113">
        <f>IF(Ofertes!I12="","",Ofertes!I12)</f>
        <v>360800</v>
      </c>
      <c r="E14" s="44"/>
      <c r="F14" s="15">
        <f t="shared" si="1"/>
        <v>2.9025516768067305E-2</v>
      </c>
      <c r="G14" s="78" t="str">
        <f t="shared" si="2"/>
        <v>Acceptada</v>
      </c>
      <c r="H14" s="73" t="str">
        <f t="shared" si="3"/>
        <v>INCLOURE</v>
      </c>
      <c r="I14" s="73" t="str">
        <f t="shared" si="4"/>
        <v>Acceptada</v>
      </c>
      <c r="J14" s="11"/>
      <c r="K14" s="11"/>
    </row>
    <row r="15" spans="1:13" s="4" customFormat="1" ht="20.100000000000001" customHeight="1">
      <c r="A15" s="6" t="str">
        <f t="shared" si="0"/>
        <v/>
      </c>
      <c r="B15" s="18">
        <v>6</v>
      </c>
      <c r="C15" s="112" t="str">
        <f>IF(Ofertes!H13="","",Ofertes!H13)</f>
        <v/>
      </c>
      <c r="D15" s="113" t="str">
        <f>IF(Ofertes!I13="","",Ofertes!I13)</f>
        <v/>
      </c>
      <c r="E15" s="44"/>
      <c r="F15" s="15" t="str">
        <f t="shared" si="1"/>
        <v/>
      </c>
      <c r="G15" s="78" t="str">
        <f>IF(D15="","",IF(D15&lt;$D$19*0.9,"Baixa desproporcionada","Acceptada"))</f>
        <v/>
      </c>
      <c r="H15" s="73" t="str">
        <f t="shared" ref="H15:H17" si="5">IF(F15="","",IF(D15&gt;$D$19*1.1,"EXCLOURE","INCLOURE"))</f>
        <v/>
      </c>
      <c r="I15" s="73" t="str">
        <f>IF(D15="","",IF(D15&lt;$H$19*0.9,"Baixa desproporcionada","Acceptada"))</f>
        <v/>
      </c>
      <c r="J15" s="11"/>
      <c r="K15" s="11"/>
    </row>
    <row r="16" spans="1:13" s="4" customFormat="1" ht="20.100000000000001" customHeight="1">
      <c r="A16" s="6" t="str">
        <f t="shared" si="0"/>
        <v/>
      </c>
      <c r="B16" s="18">
        <v>7</v>
      </c>
      <c r="C16" s="112" t="str">
        <f>IF(Ofertes!H14="","",Ofertes!H14)</f>
        <v/>
      </c>
      <c r="D16" s="113" t="str">
        <f>IF(Ofertes!I14="","",Ofertes!I14)</f>
        <v/>
      </c>
      <c r="E16" s="44"/>
      <c r="F16" s="15" t="str">
        <f t="shared" si="1"/>
        <v/>
      </c>
      <c r="G16" s="78" t="str">
        <f>IF(D16="","",IF(D16&lt;$D$19*0.9,"Baixa desproporcionada","Acceptada"))</f>
        <v/>
      </c>
      <c r="H16" s="73" t="str">
        <f t="shared" si="5"/>
        <v/>
      </c>
      <c r="I16" s="81" t="str">
        <f>IF(D16="","",IF(D16&lt;$H$19*0.9,"Baixa desproporcionada","Acceptada"))</f>
        <v/>
      </c>
      <c r="J16" s="75"/>
      <c r="K16" s="75"/>
    </row>
    <row r="17" spans="1:11" s="4" customFormat="1" ht="20.100000000000001" customHeight="1" thickBot="1">
      <c r="A17" s="6" t="str">
        <f t="shared" si="0"/>
        <v/>
      </c>
      <c r="B17" s="12">
        <v>8</v>
      </c>
      <c r="C17" s="114" t="str">
        <f>IF(Ofertes!H15="","",Ofertes!H15)</f>
        <v/>
      </c>
      <c r="D17" s="51" t="str">
        <f>IF(Ofertes!I15="","",Ofertes!I15)</f>
        <v/>
      </c>
      <c r="E17" s="44"/>
      <c r="F17" s="16" t="str">
        <f t="shared" si="1"/>
        <v/>
      </c>
      <c r="G17" s="41" t="str">
        <f>IF(D17="","",IF(D17&lt;$D$19*0.9,"Baixa desproporcionada","Acceptada"))</f>
        <v/>
      </c>
      <c r="H17" s="79" t="str">
        <f t="shared" si="5"/>
        <v/>
      </c>
      <c r="I17" s="82" t="str">
        <f>IF(D17="","",IF(D17&lt;$H$19*0.9,"Baixa desproporcionada","Acceptada"))</f>
        <v/>
      </c>
      <c r="J17" s="75"/>
      <c r="K17" s="75"/>
    </row>
    <row r="18" spans="1:11" s="4" customFormat="1" ht="20.100000000000001" customHeight="1" thickBot="1">
      <c r="A18" s="6">
        <f t="shared" ref="A18:A25" si="6">J18</f>
        <v>0</v>
      </c>
      <c r="B18" s="10"/>
      <c r="C18" s="19"/>
      <c r="D18" s="20"/>
      <c r="E18" s="44"/>
      <c r="F18" s="5"/>
      <c r="G18" s="68" t="s">
        <v>23</v>
      </c>
      <c r="H18" s="6">
        <f>COUNTIF(H10:H17,"INCLOURE")</f>
        <v>5</v>
      </c>
      <c r="J18" s="5"/>
      <c r="K18" s="5"/>
    </row>
    <row r="19" spans="1:11" s="4" customFormat="1" ht="20.100000000000001" customHeight="1" thickBot="1">
      <c r="A19" s="6">
        <f t="shared" si="6"/>
        <v>0</v>
      </c>
      <c r="B19" s="10"/>
      <c r="C19" s="77" t="s">
        <v>25</v>
      </c>
      <c r="D19" s="121">
        <f>AVERAGE(D10:D17)</f>
        <v>363571.092</v>
      </c>
      <c r="E19" s="44"/>
      <c r="F19" s="144" t="s">
        <v>22</v>
      </c>
      <c r="G19" s="144"/>
      <c r="H19" s="69">
        <f>IF(H18&gt;=3,AVERAGEIF(H10:H17,"INCLOURE",D10:D17),AVERAGE(SMALL(D10:D17,1),SMALL(D10:D17,2),SMALL(D10:D17,3)))</f>
        <v>363571.092</v>
      </c>
      <c r="I19" s="70"/>
      <c r="J19" s="5"/>
      <c r="K19" s="5"/>
    </row>
    <row r="20" spans="1:11" s="4" customFormat="1" ht="20.100000000000001" customHeight="1">
      <c r="A20" s="6">
        <f t="shared" si="6"/>
        <v>0</v>
      </c>
      <c r="B20" s="10"/>
      <c r="C20" s="19"/>
      <c r="D20" s="20"/>
      <c r="E20" s="20"/>
      <c r="F20" s="5"/>
      <c r="G20" s="11"/>
      <c r="I20" s="64"/>
    </row>
    <row r="21" spans="1:11" s="4" customFormat="1" ht="20.100000000000001" customHeight="1">
      <c r="A21" s="6">
        <f t="shared" si="6"/>
        <v>0</v>
      </c>
      <c r="B21" s="10"/>
      <c r="C21" s="20"/>
      <c r="D21" s="20"/>
      <c r="E21" s="20"/>
      <c r="F21" s="5"/>
      <c r="G21" s="11"/>
      <c r="I21" s="64"/>
    </row>
    <row r="22" spans="1:11" s="4" customFormat="1" ht="20.100000000000001" customHeight="1">
      <c r="A22" s="6">
        <f t="shared" si="6"/>
        <v>0</v>
      </c>
      <c r="B22" s="10"/>
      <c r="C22" s="19"/>
      <c r="D22" s="20"/>
      <c r="E22" s="20"/>
      <c r="F22" s="5"/>
      <c r="G22" s="11"/>
      <c r="I22" s="64"/>
    </row>
    <row r="23" spans="1:11" s="4" customFormat="1" ht="20.100000000000001" customHeight="1">
      <c r="A23" s="6">
        <f t="shared" si="6"/>
        <v>0</v>
      </c>
      <c r="B23" s="10"/>
      <c r="C23" s="19"/>
      <c r="D23" s="20"/>
      <c r="E23" s="20"/>
      <c r="F23" s="5"/>
      <c r="G23" s="11"/>
      <c r="I23" s="64"/>
    </row>
    <row r="24" spans="1:11" s="4" customFormat="1" ht="20.100000000000001" customHeight="1">
      <c r="A24" s="6">
        <f t="shared" si="6"/>
        <v>0</v>
      </c>
      <c r="B24" s="10"/>
      <c r="C24" s="19"/>
      <c r="D24" s="20"/>
      <c r="E24" s="20"/>
      <c r="F24" s="5"/>
      <c r="G24" s="11"/>
      <c r="I24" s="64"/>
    </row>
    <row r="25" spans="1:11" s="4" customFormat="1" ht="20.100000000000001" customHeight="1">
      <c r="A25" s="6">
        <f t="shared" si="6"/>
        <v>0</v>
      </c>
      <c r="B25" s="10"/>
      <c r="C25" s="19"/>
      <c r="D25" s="20"/>
      <c r="E25" s="20"/>
      <c r="F25" s="5"/>
      <c r="G25" s="11"/>
      <c r="I25" s="64"/>
    </row>
    <row r="26" spans="1:11" s="4" customFormat="1">
      <c r="I26" s="64"/>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H8:H9"/>
    <mergeCell ref="B2:I2"/>
    <mergeCell ref="I8:I9"/>
    <mergeCell ref="H4:I4"/>
    <mergeCell ref="F6:H6"/>
    <mergeCell ref="F19:G19"/>
    <mergeCell ref="B6:C6"/>
    <mergeCell ref="B8:B9"/>
    <mergeCell ref="C8:C9"/>
    <mergeCell ref="D8:D9"/>
    <mergeCell ref="F8:F9"/>
    <mergeCell ref="G8:G9"/>
  </mergeCells>
  <conditionalFormatting sqref="G10:G17">
    <cfRule type="cellIs" dxfId="39" priority="2" operator="equal">
      <formula>"Baixa desproporcionada"</formula>
    </cfRule>
    <cfRule type="cellIs" dxfId="38" priority="3" operator="equal">
      <formula>"Acceptada"</formula>
    </cfRule>
    <cfRule type="cellIs" dxfId="37" priority="4" operator="equal">
      <formula>"Baixa temerària"</formula>
    </cfRule>
  </conditionalFormatting>
  <conditionalFormatting sqref="H10:H17">
    <cfRule type="cellIs" dxfId="36" priority="7" operator="equal">
      <formula>"INCLOURE"</formula>
    </cfRule>
    <cfRule type="cellIs" dxfId="35" priority="8" operator="equal">
      <formula>"INCLOURE"</formula>
    </cfRule>
  </conditionalFormatting>
  <conditionalFormatting sqref="H18:I25">
    <cfRule type="cellIs" dxfId="34" priority="9" operator="equal">
      <formula>"SI"</formula>
    </cfRule>
    <cfRule type="cellIs" dxfId="33" priority="10" operator="equal">
      <formula>"NO"</formula>
    </cfRule>
  </conditionalFormatting>
  <conditionalFormatting sqref="I10:I17">
    <cfRule type="cellIs" dxfId="32" priority="1" operator="equal">
      <formula>"Baixa desproporcionada"</formula>
    </cfRule>
    <cfRule type="cellIs" dxfId="31" priority="5" operator="equal">
      <formula>"Baixa temerària"</formula>
    </cfRule>
    <cfRule type="cellIs" dxfId="30" priority="6" operator="equal">
      <formula>"Acceptada"</formula>
    </cfRule>
  </conditionalFormatting>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36C18-D780-4A62-835F-AFCC2906446D}">
  <sheetPr>
    <tabColor theme="4" tint="-0.249977111117893"/>
  </sheetPr>
  <dimension ref="A2:M28"/>
  <sheetViews>
    <sheetView zoomScale="78" zoomScaleNormal="78" workbookViewId="0">
      <selection activeCell="C13" sqref="C13"/>
    </sheetView>
  </sheetViews>
  <sheetFormatPr defaultColWidth="11.42578125" defaultRowHeight="15"/>
  <cols>
    <col min="1" max="1" width="3" style="1" customWidth="1"/>
    <col min="2" max="2" width="22.7109375" style="1" customWidth="1"/>
    <col min="3" max="3" width="67.85546875" style="1" customWidth="1"/>
    <col min="4" max="4" width="19.85546875" style="1" customWidth="1"/>
    <col min="5" max="5" width="7.7109375" style="1" customWidth="1"/>
    <col min="6" max="6" width="13.7109375" style="1" customWidth="1"/>
    <col min="7" max="7" width="16.85546875" style="1" customWidth="1"/>
    <col min="8" max="8" width="14.5703125" style="1" customWidth="1"/>
    <col min="9" max="9" width="19.85546875" style="1" customWidth="1"/>
    <col min="10" max="10" width="7.7109375" style="1" customWidth="1"/>
    <col min="11" max="12" width="11.42578125" style="1"/>
    <col min="13" max="13" width="12.7109375" style="1" bestFit="1" customWidth="1"/>
    <col min="14" max="16384" width="11.42578125" style="1"/>
  </cols>
  <sheetData>
    <row r="2" spans="1:13" ht="66" customHeight="1">
      <c r="B2" s="141" t="s">
        <v>28</v>
      </c>
      <c r="C2" s="141"/>
      <c r="D2" s="141"/>
      <c r="E2" s="141"/>
      <c r="F2" s="141"/>
      <c r="G2" s="141"/>
      <c r="H2" s="141"/>
      <c r="I2" s="141"/>
    </row>
    <row r="3" spans="1:13" ht="20.100000000000001" customHeight="1" thickBot="1"/>
    <row r="4" spans="1:13" ht="62.25" customHeight="1" thickBot="1">
      <c r="B4" s="31" t="str">
        <f>Ofertes!C2</f>
        <v>2025/2950/LIO_POR - 59</v>
      </c>
      <c r="C4" s="32" t="str">
        <f>Ofertes!C4</f>
        <v>Execució de 5 Projectes d'obra de rehabilitació de ferms de carreteres locals (Trams: LP-9221 de Lleida a Torre-Serona, LV-4241 Lladurs, LV-2031 de Talavera a Sant Antolí, L-324 de Tarroja de Segarra a Plans de Sió i LV-3341 de Bellpuig a Barbens)</v>
      </c>
      <c r="D4" s="33" t="s">
        <v>13</v>
      </c>
      <c r="E4" s="44"/>
      <c r="F4" s="115" t="s">
        <v>42</v>
      </c>
      <c r="G4" s="117" t="s">
        <v>43</v>
      </c>
      <c r="H4" s="146" t="s">
        <v>8</v>
      </c>
      <c r="I4" s="147"/>
      <c r="J4" s="44"/>
    </row>
    <row r="5" spans="1:13" ht="20.100000000000001" customHeight="1" thickBot="1"/>
    <row r="6" spans="1:13" ht="22.5" customHeight="1" thickBot="1">
      <c r="A6" s="9">
        <v>0.1</v>
      </c>
      <c r="B6" s="134" t="s">
        <v>16</v>
      </c>
      <c r="C6" s="135"/>
      <c r="D6" s="48">
        <f>Ofertes!D17</f>
        <v>1330398.3899999999</v>
      </c>
      <c r="E6" s="44"/>
      <c r="F6" s="142" t="s">
        <v>7</v>
      </c>
      <c r="G6" s="143"/>
      <c r="H6" s="143"/>
      <c r="I6" s="7">
        <f>AVERAGEIFS(F10:F17,F10:F17,"&lt;&gt;"&amp;100%)</f>
        <v>4.0258948298937669E-2</v>
      </c>
      <c r="J6" s="44"/>
    </row>
    <row r="7" spans="1:13" ht="15" customHeight="1" thickBot="1">
      <c r="E7" s="44"/>
      <c r="J7" s="44"/>
    </row>
    <row r="8" spans="1:13" ht="15" customHeight="1">
      <c r="B8" s="136" t="s">
        <v>3</v>
      </c>
      <c r="C8" s="138" t="s">
        <v>1</v>
      </c>
      <c r="D8" s="136" t="s">
        <v>2</v>
      </c>
      <c r="E8" s="44"/>
      <c r="F8" s="136" t="s">
        <v>4</v>
      </c>
      <c r="G8" s="136" t="s">
        <v>26</v>
      </c>
      <c r="H8" s="136" t="s">
        <v>21</v>
      </c>
      <c r="I8" s="136" t="s">
        <v>24</v>
      </c>
      <c r="J8" s="44"/>
      <c r="K8" s="74"/>
    </row>
    <row r="9" spans="1:13" ht="15" customHeight="1" thickBot="1">
      <c r="B9" s="137"/>
      <c r="C9" s="139"/>
      <c r="D9" s="137"/>
      <c r="E9" s="44"/>
      <c r="F9" s="137"/>
      <c r="G9" s="137"/>
      <c r="H9" s="140"/>
      <c r="I9" s="137"/>
      <c r="J9" s="44"/>
      <c r="K9" s="74"/>
      <c r="L9" s="65"/>
      <c r="M9" s="66"/>
    </row>
    <row r="10" spans="1:13" s="4" customFormat="1" ht="20.100000000000001" customHeight="1">
      <c r="A10" s="6" t="str">
        <f t="shared" ref="A10:A17" si="0">I10</f>
        <v>Acceptada</v>
      </c>
      <c r="B10" s="2">
        <v>1</v>
      </c>
      <c r="C10" s="110" t="str">
        <f>IF(Ofertes!C19="","",Ofertes!C19)</f>
        <v xml:space="preserve">AGUSTÍ Y MASOLIVER, S.A. </v>
      </c>
      <c r="D10" s="49">
        <f>IF(Ofertes!D19="","",Ofertes!D19)</f>
        <v>1304455.6200000001</v>
      </c>
      <c r="E10" s="44"/>
      <c r="F10" s="17">
        <f t="shared" ref="F10:F17" si="1">IF(D10="","",(1-(D10/$D$6)))</f>
        <v>1.950000104855798E-2</v>
      </c>
      <c r="G10" s="40" t="str">
        <f t="shared" ref="G10:G14" si="2">IF(D10="","",IF(D10&lt;$D$19*0.9,"Baixa desproporcionada","Acceptada"))</f>
        <v>Acceptada</v>
      </c>
      <c r="H10" s="72" t="str">
        <f t="shared" ref="H10:H14" si="3">IF(F10="","",IF(D10&gt;$D$19*1.1,"EXCLOURE","INCLOURE"))</f>
        <v>INCLOURE</v>
      </c>
      <c r="I10" s="72" t="str">
        <f t="shared" ref="I10:I14" si="4">IF(D10="","",IF(D10&lt;$H$19*0.9,"Baixa desproporcionada","Acceptada"))</f>
        <v>Acceptada</v>
      </c>
      <c r="J10" s="44"/>
      <c r="K10" s="11"/>
      <c r="L10" s="76"/>
      <c r="M10" s="67"/>
    </row>
    <row r="11" spans="1:13" s="4" customFormat="1" ht="20.100000000000001" customHeight="1">
      <c r="A11" s="6" t="str">
        <f t="shared" si="0"/>
        <v>Acceptada</v>
      </c>
      <c r="B11" s="3">
        <v>2</v>
      </c>
      <c r="C11" s="111" t="str">
        <f>IF(Ofertes!C20="","",Ofertes!C20)</f>
        <v>ARNÓ INFRAESTRUCTURAS,S.L.U</v>
      </c>
      <c r="D11" s="50">
        <f>IF(Ofertes!D20="","",Ofertes!D20)</f>
        <v>1253102.24</v>
      </c>
      <c r="E11" s="44"/>
      <c r="F11" s="15">
        <f t="shared" si="1"/>
        <v>5.8100002661608641E-2</v>
      </c>
      <c r="G11" s="78" t="str">
        <f t="shared" si="2"/>
        <v>Acceptada</v>
      </c>
      <c r="H11" s="73" t="str">
        <f t="shared" si="3"/>
        <v>INCLOURE</v>
      </c>
      <c r="I11" s="73" t="str">
        <f t="shared" si="4"/>
        <v>Acceptada</v>
      </c>
      <c r="J11" s="44"/>
      <c r="K11" s="11"/>
      <c r="L11" s="67"/>
    </row>
    <row r="12" spans="1:13" s="4" customFormat="1" ht="20.100000000000001" customHeight="1">
      <c r="A12" s="6" t="str">
        <f t="shared" si="0"/>
        <v>Acceptada</v>
      </c>
      <c r="B12" s="3">
        <v>3</v>
      </c>
      <c r="C12" s="111" t="str">
        <f>IF(Ofertes!C21="","",Ofertes!C21)</f>
        <v>M. I J. GRUAS, S.A.</v>
      </c>
      <c r="D12" s="50">
        <f>IF(Ofertes!D21="","",Ofertes!D21)</f>
        <v>1314566.6499999999</v>
      </c>
      <c r="E12" s="44"/>
      <c r="F12" s="15">
        <f t="shared" si="1"/>
        <v>1.1899999367858571E-2</v>
      </c>
      <c r="G12" s="78" t="str">
        <f t="shared" si="2"/>
        <v>Acceptada</v>
      </c>
      <c r="H12" s="73" t="str">
        <f t="shared" si="3"/>
        <v>INCLOURE</v>
      </c>
      <c r="I12" s="73" t="str">
        <f t="shared" si="4"/>
        <v>Acceptada</v>
      </c>
      <c r="J12" s="44"/>
      <c r="K12" s="11"/>
    </row>
    <row r="13" spans="1:13" s="4" customFormat="1" ht="20.100000000000001" customHeight="1">
      <c r="A13" s="6" t="str">
        <f t="shared" si="0"/>
        <v>Acceptada</v>
      </c>
      <c r="B13" s="3">
        <v>4</v>
      </c>
      <c r="C13" s="111" t="str">
        <f>IF(Ofertes!C22="","",Ofertes!C22)</f>
        <v>Sorigué, S.A.U.</v>
      </c>
      <c r="D13" s="50">
        <f>IF(Ofertes!D22="","",Ofertes!D22)</f>
        <v>1271328.7</v>
      </c>
      <c r="E13" s="44"/>
      <c r="F13" s="15">
        <f t="shared" si="1"/>
        <v>4.4400001115455279E-2</v>
      </c>
      <c r="G13" s="78" t="str">
        <f t="shared" si="2"/>
        <v>Acceptada</v>
      </c>
      <c r="H13" s="73" t="str">
        <f t="shared" si="3"/>
        <v>INCLOURE</v>
      </c>
      <c r="I13" s="73" t="str">
        <f t="shared" si="4"/>
        <v>Acceptada</v>
      </c>
      <c r="J13" s="44"/>
      <c r="K13" s="11"/>
    </row>
    <row r="14" spans="1:13" s="4" customFormat="1" ht="20.100000000000001" customHeight="1">
      <c r="A14" s="6" t="str">
        <f t="shared" si="0"/>
        <v>Acceptada</v>
      </c>
      <c r="B14" s="18">
        <v>5</v>
      </c>
      <c r="C14" s="112" t="str">
        <f>IF(Ofertes!C23="","",Ofertes!C23)</f>
        <v>JOSÉ ANTONIO ROMERO POLO, S.A.U.</v>
      </c>
      <c r="D14" s="113">
        <f>IF(Ofertes!D23="","",Ofertes!D23)</f>
        <v>1267000</v>
      </c>
      <c r="E14" s="44"/>
      <c r="F14" s="15">
        <f t="shared" si="1"/>
        <v>4.765368815577109E-2</v>
      </c>
      <c r="G14" s="78" t="str">
        <f t="shared" si="2"/>
        <v>Acceptada</v>
      </c>
      <c r="H14" s="73" t="str">
        <f t="shared" si="3"/>
        <v>INCLOURE</v>
      </c>
      <c r="I14" s="73" t="str">
        <f t="shared" si="4"/>
        <v>Acceptada</v>
      </c>
      <c r="J14" s="44"/>
      <c r="K14" s="11"/>
    </row>
    <row r="15" spans="1:13" s="4" customFormat="1" ht="20.100000000000001" customHeight="1">
      <c r="A15" s="6" t="str">
        <f t="shared" si="0"/>
        <v>Acceptada</v>
      </c>
      <c r="B15" s="18">
        <v>6</v>
      </c>
      <c r="C15" s="112" t="str">
        <f>IF(Ofertes!C24="","",Ofertes!C24)</f>
        <v>ROMÀ INFRAESTRUCTURES I SERVEIS, SAU</v>
      </c>
      <c r="D15" s="113">
        <f>IF(Ofertes!D24="","",Ofertes!D24)</f>
        <v>1250574.49</v>
      </c>
      <c r="E15" s="44"/>
      <c r="F15" s="15">
        <f t="shared" si="1"/>
        <v>5.9999997444374453E-2</v>
      </c>
      <c r="G15" s="78" t="str">
        <f>IF(D15="","",IF(D15&lt;$D$19*0.9,"Baixa desproporcionada","Acceptada"))</f>
        <v>Acceptada</v>
      </c>
      <c r="H15" s="73" t="str">
        <f t="shared" ref="H15:H17" si="5">IF(F15="","",IF(D15&gt;$D$19*1.1,"EXCLOURE","INCLOURE"))</f>
        <v>INCLOURE</v>
      </c>
      <c r="I15" s="73" t="str">
        <f>IF(D15="","",IF(D15&lt;$H$19*0.9,"Baixa desproporcionada","Acceptada"))</f>
        <v>Acceptada</v>
      </c>
      <c r="J15" s="44"/>
      <c r="K15" s="11"/>
    </row>
    <row r="16" spans="1:13" s="4" customFormat="1" ht="20.100000000000001" customHeight="1">
      <c r="A16" s="6" t="str">
        <f t="shared" si="0"/>
        <v/>
      </c>
      <c r="B16" s="18">
        <v>7</v>
      </c>
      <c r="C16" s="112" t="str">
        <f>IF(Ofertes!C25="","",Ofertes!C25)</f>
        <v/>
      </c>
      <c r="D16" s="113" t="str">
        <f>IF(Ofertes!D25="","",Ofertes!D25)</f>
        <v/>
      </c>
      <c r="E16" s="44"/>
      <c r="F16" s="15" t="str">
        <f t="shared" si="1"/>
        <v/>
      </c>
      <c r="G16" s="78" t="str">
        <f>IF(D16="","",IF(D16&lt;$D$19*0.9,"Baixa desproporcionada","Acceptada"))</f>
        <v/>
      </c>
      <c r="H16" s="73" t="str">
        <f t="shared" si="5"/>
        <v/>
      </c>
      <c r="I16" s="81" t="str">
        <f>IF(D16="","",IF(D16&lt;$H$19*0.9,"Baixa desproporcionada","Acceptada"))</f>
        <v/>
      </c>
      <c r="J16" s="44"/>
      <c r="K16" s="75"/>
    </row>
    <row r="17" spans="1:11" s="4" customFormat="1" ht="20.100000000000001" customHeight="1" thickBot="1">
      <c r="A17" s="6" t="str">
        <f t="shared" si="0"/>
        <v/>
      </c>
      <c r="B17" s="12">
        <v>8</v>
      </c>
      <c r="C17" s="114" t="str">
        <f>IF(Ofertes!C26="","",Ofertes!C26)</f>
        <v/>
      </c>
      <c r="D17" s="51" t="str">
        <f>IF(Ofertes!D26="","",Ofertes!D26)</f>
        <v/>
      </c>
      <c r="E17" s="44"/>
      <c r="F17" s="16" t="str">
        <f t="shared" si="1"/>
        <v/>
      </c>
      <c r="G17" s="41" t="str">
        <f>IF(D17="","",IF(D17&lt;$D$19*0.9,"Baixa desproporcionada","Acceptada"))</f>
        <v/>
      </c>
      <c r="H17" s="79" t="str">
        <f t="shared" si="5"/>
        <v/>
      </c>
      <c r="I17" s="82" t="str">
        <f>IF(D17="","",IF(D17&lt;$H$19*0.9,"Baixa desproporcionada","Acceptada"))</f>
        <v/>
      </c>
      <c r="J17" s="44"/>
      <c r="K17" s="75"/>
    </row>
    <row r="18" spans="1:11" s="4" customFormat="1" ht="20.100000000000001" customHeight="1" thickBot="1">
      <c r="A18" s="6">
        <f t="shared" ref="A18:A25" si="6">J18</f>
        <v>0</v>
      </c>
      <c r="B18" s="10"/>
      <c r="C18" s="19"/>
      <c r="D18" s="20"/>
      <c r="E18" s="44"/>
      <c r="F18" s="5"/>
      <c r="G18" s="68" t="s">
        <v>23</v>
      </c>
      <c r="H18" s="6">
        <f>COUNTIF(H10:H17,"INCLOURE")</f>
        <v>6</v>
      </c>
      <c r="J18" s="44"/>
      <c r="K18" s="5"/>
    </row>
    <row r="19" spans="1:11" s="4" customFormat="1" ht="20.100000000000001" customHeight="1" thickBot="1">
      <c r="A19" s="6">
        <f t="shared" si="6"/>
        <v>0</v>
      </c>
      <c r="B19" s="10"/>
      <c r="C19" s="77" t="s">
        <v>25</v>
      </c>
      <c r="D19" s="121">
        <f>AVERAGE(D10:D17)</f>
        <v>1276837.95</v>
      </c>
      <c r="E19" s="44"/>
      <c r="F19" s="144" t="s">
        <v>22</v>
      </c>
      <c r="G19" s="144"/>
      <c r="H19" s="124">
        <f>IF(H18&gt;=3,AVERAGEIF(H10:H17,"INCLOURE",D10:D17),AVERAGE(SMALL(D10:D17,1),SMALL(D10:D17,2),SMALL(D10:D17,3)))</f>
        <v>1276837.95</v>
      </c>
      <c r="I19" s="70"/>
      <c r="J19" s="44"/>
      <c r="K19" s="5"/>
    </row>
    <row r="20" spans="1:11" s="4" customFormat="1" ht="20.100000000000001" customHeight="1">
      <c r="A20" s="6">
        <f t="shared" si="6"/>
        <v>0</v>
      </c>
      <c r="B20" s="10"/>
      <c r="C20" s="19"/>
      <c r="D20" s="20"/>
      <c r="E20" s="20"/>
      <c r="F20" s="5"/>
      <c r="G20" s="11"/>
      <c r="I20" s="64"/>
      <c r="J20" s="20"/>
    </row>
    <row r="21" spans="1:11" s="4" customFormat="1" ht="20.100000000000001" customHeight="1">
      <c r="A21" s="6">
        <f t="shared" si="6"/>
        <v>0</v>
      </c>
      <c r="B21" s="10"/>
      <c r="C21" s="20"/>
      <c r="D21" s="20"/>
      <c r="E21" s="20"/>
      <c r="F21" s="5"/>
      <c r="G21" s="11"/>
      <c r="I21" s="64"/>
      <c r="J21" s="20"/>
    </row>
    <row r="22" spans="1:11" s="4" customFormat="1" ht="20.100000000000001" customHeight="1">
      <c r="A22" s="6">
        <f t="shared" si="6"/>
        <v>0</v>
      </c>
      <c r="B22" s="10"/>
      <c r="C22" s="19"/>
      <c r="D22" s="20"/>
      <c r="E22" s="20"/>
      <c r="F22" s="5"/>
      <c r="G22" s="11"/>
      <c r="I22" s="64"/>
      <c r="J22" s="20"/>
    </row>
    <row r="23" spans="1:11" s="4" customFormat="1" ht="20.100000000000001" customHeight="1">
      <c r="A23" s="6">
        <f t="shared" si="6"/>
        <v>0</v>
      </c>
      <c r="B23" s="10"/>
      <c r="C23" s="19"/>
      <c r="D23" s="20"/>
      <c r="E23" s="20"/>
      <c r="F23" s="5"/>
      <c r="G23" s="11"/>
      <c r="I23" s="64"/>
      <c r="J23" s="20"/>
    </row>
    <row r="24" spans="1:11" s="4" customFormat="1" ht="20.100000000000001" customHeight="1">
      <c r="A24" s="6">
        <f t="shared" si="6"/>
        <v>0</v>
      </c>
      <c r="B24" s="10"/>
      <c r="C24" s="19"/>
      <c r="D24" s="20"/>
      <c r="E24" s="20"/>
      <c r="F24" s="5"/>
      <c r="G24" s="11"/>
      <c r="I24" s="64"/>
      <c r="J24" s="20"/>
    </row>
    <row r="25" spans="1:11" s="4" customFormat="1" ht="20.100000000000001" customHeight="1">
      <c r="A25" s="6">
        <f t="shared" si="6"/>
        <v>0</v>
      </c>
      <c r="B25" s="10"/>
      <c r="C25" s="19"/>
      <c r="D25" s="20"/>
      <c r="E25" s="20"/>
      <c r="F25" s="5"/>
      <c r="G25" s="11"/>
      <c r="I25" s="64"/>
      <c r="J25" s="20"/>
    </row>
    <row r="26" spans="1:11" s="4" customFormat="1">
      <c r="I26" s="64"/>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H8:H9"/>
    <mergeCell ref="I8:I9"/>
    <mergeCell ref="B2:I2"/>
    <mergeCell ref="H4:I4"/>
    <mergeCell ref="F6:H6"/>
    <mergeCell ref="F19:G19"/>
    <mergeCell ref="B6:C6"/>
    <mergeCell ref="B8:B9"/>
    <mergeCell ref="C8:C9"/>
    <mergeCell ref="D8:D9"/>
    <mergeCell ref="F8:F9"/>
    <mergeCell ref="G8:G9"/>
  </mergeCells>
  <conditionalFormatting sqref="G10:G17">
    <cfRule type="cellIs" dxfId="29" priority="2" operator="equal">
      <formula>"Baixa desproporcionada"</formula>
    </cfRule>
    <cfRule type="cellIs" dxfId="28" priority="3" operator="equal">
      <formula>"Acceptada"</formula>
    </cfRule>
    <cfRule type="cellIs" dxfId="27" priority="4" operator="equal">
      <formula>"Baixa temerària"</formula>
    </cfRule>
  </conditionalFormatting>
  <conditionalFormatting sqref="H10:H17">
    <cfRule type="cellIs" dxfId="26" priority="7" operator="equal">
      <formula>"INCLOURE"</formula>
    </cfRule>
    <cfRule type="cellIs" dxfId="25" priority="8" operator="equal">
      <formula>"INCLOURE"</formula>
    </cfRule>
  </conditionalFormatting>
  <conditionalFormatting sqref="H18:I25">
    <cfRule type="cellIs" dxfId="24" priority="9" operator="equal">
      <formula>"SI"</formula>
    </cfRule>
    <cfRule type="cellIs" dxfId="23" priority="10" operator="equal">
      <formula>"NO"</formula>
    </cfRule>
  </conditionalFormatting>
  <conditionalFormatting sqref="I10:I17">
    <cfRule type="cellIs" dxfId="22" priority="1" operator="equal">
      <formula>"Baixa desproporcionada"</formula>
    </cfRule>
    <cfRule type="cellIs" dxfId="21" priority="5" operator="equal">
      <formula>"Baixa temerària"</formula>
    </cfRule>
    <cfRule type="cellIs" dxfId="20" priority="6" operator="equal">
      <formula>"Acceptada"</formula>
    </cfRule>
  </conditionalFormatting>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A6E74-8D0B-482F-9294-155FC27453F2}">
  <sheetPr>
    <tabColor theme="4" tint="-0.249977111117893"/>
  </sheetPr>
  <dimension ref="A2:M28"/>
  <sheetViews>
    <sheetView zoomScale="58" zoomScaleNormal="58" workbookViewId="0">
      <selection activeCell="C13" sqref="C13"/>
    </sheetView>
  </sheetViews>
  <sheetFormatPr defaultColWidth="11.42578125" defaultRowHeight="15"/>
  <cols>
    <col min="1" max="1" width="3" style="1" customWidth="1"/>
    <col min="2" max="2" width="22.7109375" style="1" customWidth="1"/>
    <col min="3" max="3" width="67.85546875" style="1" customWidth="1"/>
    <col min="4" max="4" width="19.85546875" style="1" customWidth="1"/>
    <col min="5" max="5" width="7.7109375" style="1" customWidth="1"/>
    <col min="6" max="6" width="13.7109375" style="1" customWidth="1"/>
    <col min="7" max="7" width="16.85546875" style="1" customWidth="1"/>
    <col min="8" max="8" width="14.5703125" style="1" customWidth="1"/>
    <col min="9" max="9" width="19.85546875" style="1" customWidth="1"/>
    <col min="10" max="10" width="14" style="1" bestFit="1" customWidth="1"/>
    <col min="11" max="12" width="11.42578125" style="1"/>
    <col min="13" max="13" width="12.7109375" style="1" bestFit="1" customWidth="1"/>
    <col min="14" max="16384" width="11.42578125" style="1"/>
  </cols>
  <sheetData>
    <row r="2" spans="1:13" ht="66" customHeight="1">
      <c r="B2" s="141" t="s">
        <v>28</v>
      </c>
      <c r="C2" s="141"/>
      <c r="D2" s="141"/>
      <c r="E2" s="141"/>
      <c r="F2" s="141"/>
      <c r="G2" s="141"/>
      <c r="H2" s="141"/>
      <c r="I2" s="141"/>
    </row>
    <row r="3" spans="1:13" ht="20.100000000000001" customHeight="1" thickBot="1"/>
    <row r="4" spans="1:13" ht="62.25" customHeight="1" thickBot="1">
      <c r="B4" s="31" t="str">
        <f>Ofertes!C2</f>
        <v>2025/2950/LIO_POR - 59</v>
      </c>
      <c r="C4" s="32" t="str">
        <f>Ofertes!C4</f>
        <v>Execució de 5 Projectes d'obra de rehabilitació de ferms de carreteres locals (Trams: LP-9221 de Lleida a Torre-Serona, LV-4241 Lladurs, LV-2031 de Talavera a Sant Antolí, L-324 de Tarroja de Segarra a Plans de Sió i LV-3341 de Bellpuig a Barbens)</v>
      </c>
      <c r="D4" s="33" t="s">
        <v>14</v>
      </c>
      <c r="E4" s="44"/>
      <c r="F4" s="115" t="s">
        <v>42</v>
      </c>
      <c r="G4" s="117" t="s">
        <v>43</v>
      </c>
      <c r="H4" s="146" t="s">
        <v>8</v>
      </c>
      <c r="I4" s="147"/>
    </row>
    <row r="5" spans="1:13" ht="20.100000000000001" customHeight="1" thickBot="1"/>
    <row r="6" spans="1:13" ht="22.5" customHeight="1" thickBot="1">
      <c r="A6" s="9">
        <v>0.1</v>
      </c>
      <c r="B6" s="134" t="s">
        <v>16</v>
      </c>
      <c r="C6" s="135"/>
      <c r="D6" s="48">
        <f>Ofertes!I17</f>
        <v>311932.92</v>
      </c>
      <c r="E6" s="44"/>
      <c r="F6" s="142" t="s">
        <v>7</v>
      </c>
      <c r="G6" s="143"/>
      <c r="H6" s="143"/>
      <c r="I6" s="7">
        <f>AVERAGEIFS(F10:F17,F10:F17,"&lt;&gt;"&amp;100%)</f>
        <v>2.8592743593718727E-2</v>
      </c>
    </row>
    <row r="7" spans="1:13" ht="15" customHeight="1" thickBot="1">
      <c r="E7" s="44"/>
    </row>
    <row r="8" spans="1:13" ht="15" customHeight="1">
      <c r="B8" s="136" t="s">
        <v>3</v>
      </c>
      <c r="C8" s="138" t="s">
        <v>1</v>
      </c>
      <c r="D8" s="136" t="s">
        <v>2</v>
      </c>
      <c r="E8" s="44"/>
      <c r="F8" s="136" t="s">
        <v>4</v>
      </c>
      <c r="G8" s="136" t="s">
        <v>26</v>
      </c>
      <c r="H8" s="136" t="s">
        <v>21</v>
      </c>
      <c r="I8" s="136" t="s">
        <v>24</v>
      </c>
      <c r="J8" s="44"/>
      <c r="K8" s="74"/>
    </row>
    <row r="9" spans="1:13" ht="15" customHeight="1" thickBot="1">
      <c r="B9" s="137"/>
      <c r="C9" s="139"/>
      <c r="D9" s="137"/>
      <c r="E9" s="44"/>
      <c r="F9" s="137"/>
      <c r="G9" s="137"/>
      <c r="H9" s="140"/>
      <c r="I9" s="137"/>
      <c r="J9" s="44"/>
      <c r="K9" s="74"/>
      <c r="L9" s="65"/>
      <c r="M9" s="66"/>
    </row>
    <row r="10" spans="1:13" s="4" customFormat="1" ht="20.100000000000001" customHeight="1">
      <c r="A10" s="6" t="str">
        <f t="shared" ref="A10:A17" si="0">I10</f>
        <v>Acceptada</v>
      </c>
      <c r="B10" s="2">
        <v>1</v>
      </c>
      <c r="C10" s="110" t="str">
        <f>IF(Ofertes!H19="","",Ofertes!H19)</f>
        <v xml:space="preserve">AGUSTÍ Y MASOLIVER, S.A. </v>
      </c>
      <c r="D10" s="49">
        <f>IF(Ofertes!I19="","",Ofertes!I19)</f>
        <v>306006.19</v>
      </c>
      <c r="E10" s="44"/>
      <c r="F10" s="17">
        <f t="shared" ref="F10:F17" si="1">IF(D10="","",(1-(D10/$D$6)))</f>
        <v>1.900001449029487E-2</v>
      </c>
      <c r="G10" s="40" t="str">
        <f t="shared" ref="G10:G14" si="2">IF(D10="","",IF(D10&lt;$D$19*0.9,"Baixa desproporcionada","Acceptada"))</f>
        <v>Acceptada</v>
      </c>
      <c r="H10" s="72" t="str">
        <f t="shared" ref="H10:H14" si="3">IF(F10="","",IF(D10&gt;$D$19*1.1,"EXCLOURE","INCLOURE"))</f>
        <v>INCLOURE</v>
      </c>
      <c r="I10" s="72" t="str">
        <f t="shared" ref="I10:I14" si="4">IF(D10="","",IF(D10&lt;$H$19*0.9,"Baixa desproporcionada","Acceptada"))</f>
        <v>Acceptada</v>
      </c>
      <c r="J10" s="44"/>
      <c r="K10" s="11"/>
      <c r="L10" s="76"/>
      <c r="M10" s="67"/>
    </row>
    <row r="11" spans="1:13" s="4" customFormat="1" ht="20.100000000000001" customHeight="1">
      <c r="A11" s="6" t="str">
        <f t="shared" si="0"/>
        <v>Acceptada</v>
      </c>
      <c r="B11" s="3">
        <v>2</v>
      </c>
      <c r="C11" s="111" t="str">
        <f>IF(Ofertes!H20="","",Ofertes!H20)</f>
        <v>ASFALTS i Equips de Vialitat S.L.</v>
      </c>
      <c r="D11" s="50">
        <f>IF(Ofertes!I20="","",Ofertes!I20)</f>
        <v>305538.3</v>
      </c>
      <c r="E11" s="44"/>
      <c r="F11" s="15">
        <f t="shared" si="1"/>
        <v>2.0499984419727113E-2</v>
      </c>
      <c r="G11" s="78" t="str">
        <f t="shared" si="2"/>
        <v>Acceptada</v>
      </c>
      <c r="H11" s="73" t="str">
        <f t="shared" si="3"/>
        <v>INCLOURE</v>
      </c>
      <c r="I11" s="73" t="str">
        <f t="shared" si="4"/>
        <v>Acceptada</v>
      </c>
      <c r="J11" s="44"/>
      <c r="K11" s="11"/>
      <c r="L11" s="67"/>
    </row>
    <row r="12" spans="1:13" s="4" customFormat="1" ht="20.100000000000001" customHeight="1">
      <c r="A12" s="6" t="str">
        <f t="shared" si="0"/>
        <v>Acceptada</v>
      </c>
      <c r="B12" s="3">
        <v>3</v>
      </c>
      <c r="C12" s="111" t="str">
        <f>IF(Ofertes!H21="","",Ofertes!H21)</f>
        <v>ARNÓ INFRAESTRUCTURAS,S.L.U</v>
      </c>
      <c r="D12" s="50">
        <f>IF(Ofertes!I21="","",Ofertes!I21)</f>
        <v>303042.83</v>
      </c>
      <c r="E12" s="44"/>
      <c r="F12" s="15">
        <f t="shared" si="1"/>
        <v>2.8500005706354914E-2</v>
      </c>
      <c r="G12" s="78" t="str">
        <f t="shared" si="2"/>
        <v>Acceptada</v>
      </c>
      <c r="H12" s="73" t="str">
        <f t="shared" si="3"/>
        <v>INCLOURE</v>
      </c>
      <c r="I12" s="73" t="str">
        <f t="shared" si="4"/>
        <v>Acceptada</v>
      </c>
      <c r="J12" s="44"/>
      <c r="K12" s="11"/>
    </row>
    <row r="13" spans="1:13" s="4" customFormat="1" ht="20.100000000000001" customHeight="1">
      <c r="A13" s="6" t="str">
        <f t="shared" si="0"/>
        <v>Acceptada</v>
      </c>
      <c r="B13" s="3">
        <v>4</v>
      </c>
      <c r="C13" s="111" t="str">
        <f>IF(Ofertes!H22="","",Ofertes!H22)</f>
        <v>Sorigué, S.A.U.</v>
      </c>
      <c r="D13" s="50">
        <f>IF(Ofertes!I22="","",Ofertes!I22)</f>
        <v>298582.19</v>
      </c>
      <c r="E13" s="44"/>
      <c r="F13" s="15">
        <f t="shared" si="1"/>
        <v>4.2800003282757015E-2</v>
      </c>
      <c r="G13" s="78" t="str">
        <f t="shared" si="2"/>
        <v>Acceptada</v>
      </c>
      <c r="H13" s="73" t="str">
        <f t="shared" si="3"/>
        <v>INCLOURE</v>
      </c>
      <c r="I13" s="73" t="str">
        <f t="shared" si="4"/>
        <v>Acceptada</v>
      </c>
      <c r="J13" s="44"/>
      <c r="K13" s="11"/>
    </row>
    <row r="14" spans="1:13" s="4" customFormat="1" ht="20.100000000000001" customHeight="1">
      <c r="A14" s="6" t="str">
        <f t="shared" si="0"/>
        <v>Acceptada</v>
      </c>
      <c r="B14" s="18">
        <v>5</v>
      </c>
      <c r="C14" s="112" t="str">
        <f>IF(Ofertes!H23="","",Ofertes!H23)</f>
        <v>JOSÉ ANTONIO ROMERO POLO, S.A.U.</v>
      </c>
      <c r="D14" s="113">
        <f>IF(Ofertes!I23="","",Ofertes!I23)</f>
        <v>301900</v>
      </c>
      <c r="E14" s="44"/>
      <c r="F14" s="15">
        <f t="shared" si="1"/>
        <v>3.2163710069459728E-2</v>
      </c>
      <c r="G14" s="78" t="str">
        <f t="shared" si="2"/>
        <v>Acceptada</v>
      </c>
      <c r="H14" s="73" t="str">
        <f t="shared" si="3"/>
        <v>INCLOURE</v>
      </c>
      <c r="I14" s="73" t="str">
        <f t="shared" si="4"/>
        <v>Acceptada</v>
      </c>
      <c r="J14" s="44"/>
      <c r="K14" s="11"/>
    </row>
    <row r="15" spans="1:13" s="4" customFormat="1" ht="20.100000000000001" customHeight="1">
      <c r="A15" s="6" t="str">
        <f t="shared" si="0"/>
        <v/>
      </c>
      <c r="B15" s="18">
        <v>6</v>
      </c>
      <c r="C15" s="112" t="str">
        <f>IF(Ofertes!H24="","",Ofertes!H24)</f>
        <v/>
      </c>
      <c r="D15" s="113" t="str">
        <f>IF(Ofertes!I24="","",Ofertes!I24)</f>
        <v/>
      </c>
      <c r="E15" s="44"/>
      <c r="F15" s="15" t="str">
        <f t="shared" si="1"/>
        <v/>
      </c>
      <c r="G15" s="78" t="str">
        <f>IF(D15="","",IF(D15&lt;$D$19*0.9,"Baixa desproporcionada","Acceptada"))</f>
        <v/>
      </c>
      <c r="H15" s="73" t="str">
        <f t="shared" ref="H15:H17" si="5">IF(F15="","",IF(D15&gt;$D$19*1.1,"EXCLOURE","INCLOURE"))</f>
        <v/>
      </c>
      <c r="I15" s="73" t="str">
        <f>IF(D15="","",IF(D15&lt;$H$19*0.9,"Baixa desproporcionada","Acceptada"))</f>
        <v/>
      </c>
      <c r="J15" s="44"/>
      <c r="K15" s="11"/>
    </row>
    <row r="16" spans="1:13" s="4" customFormat="1" ht="20.100000000000001" customHeight="1">
      <c r="A16" s="6" t="str">
        <f t="shared" si="0"/>
        <v/>
      </c>
      <c r="B16" s="18">
        <v>7</v>
      </c>
      <c r="C16" s="112" t="str">
        <f>IF(Ofertes!H25="","",Ofertes!H25)</f>
        <v/>
      </c>
      <c r="D16" s="113" t="str">
        <f>IF(Ofertes!I25="","",Ofertes!I25)</f>
        <v/>
      </c>
      <c r="E16" s="44"/>
      <c r="F16" s="15" t="str">
        <f t="shared" si="1"/>
        <v/>
      </c>
      <c r="G16" s="78" t="str">
        <f>IF(D16="","",IF(D16&lt;$D$19*0.9,"Baixa desproporcionada","Acceptada"))</f>
        <v/>
      </c>
      <c r="H16" s="73" t="str">
        <f t="shared" si="5"/>
        <v/>
      </c>
      <c r="I16" s="81" t="str">
        <f>IF(D16="","",IF(D16&lt;$H$19*0.9,"Baixa desproporcionada","Acceptada"))</f>
        <v/>
      </c>
      <c r="J16" s="44"/>
      <c r="K16" s="75"/>
    </row>
    <row r="17" spans="1:11" s="4" customFormat="1" ht="20.100000000000001" customHeight="1" thickBot="1">
      <c r="A17" s="6" t="str">
        <f t="shared" si="0"/>
        <v/>
      </c>
      <c r="B17" s="12">
        <v>8</v>
      </c>
      <c r="C17" s="114" t="str">
        <f>IF(Ofertes!H26="","",Ofertes!H26)</f>
        <v/>
      </c>
      <c r="D17" s="51" t="str">
        <f>IF(Ofertes!I26="","",Ofertes!I26)</f>
        <v/>
      </c>
      <c r="E17" s="44"/>
      <c r="F17" s="16" t="str">
        <f t="shared" si="1"/>
        <v/>
      </c>
      <c r="G17" s="41" t="str">
        <f>IF(D17="","",IF(D17&lt;$D$19*0.9,"Baixa desproporcionada","Acceptada"))</f>
        <v/>
      </c>
      <c r="H17" s="79" t="str">
        <f t="shared" si="5"/>
        <v/>
      </c>
      <c r="I17" s="82" t="str">
        <f>IF(D17="","",IF(D17&lt;$H$19*0.9,"Baixa desproporcionada","Acceptada"))</f>
        <v/>
      </c>
      <c r="J17" s="44"/>
      <c r="K17" s="75"/>
    </row>
    <row r="18" spans="1:11" s="4" customFormat="1" ht="20.100000000000001" customHeight="1" thickBot="1">
      <c r="A18" s="6">
        <f t="shared" ref="A18:A25" si="6">J18</f>
        <v>0</v>
      </c>
      <c r="B18" s="10"/>
      <c r="C18" s="19"/>
      <c r="D18" s="20"/>
      <c r="E18" s="44"/>
      <c r="F18" s="5"/>
      <c r="G18" s="68" t="s">
        <v>23</v>
      </c>
      <c r="H18" s="6">
        <f>COUNTIF(H10:H17,"INCLOURE")</f>
        <v>5</v>
      </c>
      <c r="K18" s="5"/>
    </row>
    <row r="19" spans="1:11" s="4" customFormat="1" ht="20.100000000000001" customHeight="1" thickBot="1">
      <c r="A19" s="6">
        <f t="shared" si="6"/>
        <v>0</v>
      </c>
      <c r="B19" s="10"/>
      <c r="C19" s="77" t="s">
        <v>25</v>
      </c>
      <c r="D19" s="121">
        <f>AVERAGE(D10:D17)</f>
        <v>303013.902</v>
      </c>
      <c r="E19" s="44"/>
      <c r="F19" s="144" t="s">
        <v>22</v>
      </c>
      <c r="G19" s="144"/>
      <c r="H19" s="124">
        <f>IF(H18&gt;=3,AVERAGEIF(H10:H17,"INCLOURE",D10:D17),AVERAGE(SMALL(D10:D17,1),SMALL(D10:D17,2),SMALL(D10:D17,3)))</f>
        <v>303013.902</v>
      </c>
      <c r="I19" s="70"/>
      <c r="J19" s="71"/>
      <c r="K19" s="5"/>
    </row>
    <row r="20" spans="1:11" s="4" customFormat="1" ht="20.100000000000001" customHeight="1">
      <c r="A20" s="6">
        <f t="shared" si="6"/>
        <v>0</v>
      </c>
      <c r="B20" s="10"/>
      <c r="C20" s="19"/>
      <c r="D20" s="20"/>
      <c r="E20" s="20"/>
      <c r="F20" s="5"/>
      <c r="G20" s="11"/>
      <c r="I20" s="64"/>
    </row>
    <row r="21" spans="1:11" s="4" customFormat="1" ht="20.100000000000001" customHeight="1">
      <c r="A21" s="6">
        <f t="shared" si="6"/>
        <v>0</v>
      </c>
      <c r="B21" s="10"/>
      <c r="C21" s="20"/>
      <c r="D21" s="20"/>
      <c r="E21" s="20"/>
      <c r="F21" s="5"/>
      <c r="G21" s="11"/>
      <c r="I21" s="64"/>
    </row>
    <row r="22" spans="1:11" s="4" customFormat="1" ht="20.100000000000001" customHeight="1">
      <c r="A22" s="6">
        <f t="shared" si="6"/>
        <v>0</v>
      </c>
      <c r="B22" s="10"/>
      <c r="C22" s="19"/>
      <c r="D22" s="20"/>
      <c r="E22" s="20"/>
      <c r="F22" s="5"/>
      <c r="G22" s="11"/>
      <c r="I22" s="64"/>
    </row>
    <row r="23" spans="1:11" s="4" customFormat="1" ht="20.100000000000001" customHeight="1">
      <c r="A23" s="6">
        <f t="shared" si="6"/>
        <v>0</v>
      </c>
      <c r="B23" s="10"/>
      <c r="C23" s="19"/>
      <c r="D23" s="20"/>
      <c r="E23" s="20"/>
      <c r="F23" s="5"/>
      <c r="G23" s="11"/>
      <c r="I23" s="64"/>
    </row>
    <row r="24" spans="1:11" s="4" customFormat="1" ht="20.100000000000001" customHeight="1">
      <c r="A24" s="6">
        <f t="shared" si="6"/>
        <v>0</v>
      </c>
      <c r="B24" s="10"/>
      <c r="C24" s="19"/>
      <c r="D24" s="20"/>
      <c r="E24" s="20"/>
      <c r="F24" s="5"/>
      <c r="G24" s="11"/>
      <c r="I24" s="64"/>
    </row>
    <row r="25" spans="1:11" s="4" customFormat="1" ht="20.100000000000001" customHeight="1">
      <c r="A25" s="6">
        <f t="shared" si="6"/>
        <v>0</v>
      </c>
      <c r="B25" s="10"/>
      <c r="C25" s="19"/>
      <c r="D25" s="20"/>
      <c r="E25" s="20"/>
      <c r="F25" s="5"/>
      <c r="G25" s="11"/>
      <c r="I25" s="64"/>
    </row>
    <row r="26" spans="1:11" s="4" customFormat="1">
      <c r="I26" s="64"/>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B2:I2"/>
    <mergeCell ref="F6:H6"/>
    <mergeCell ref="I8:I9"/>
    <mergeCell ref="F19:G19"/>
    <mergeCell ref="B6:C6"/>
    <mergeCell ref="H4:I4"/>
    <mergeCell ref="B8:B9"/>
    <mergeCell ref="C8:C9"/>
    <mergeCell ref="D8:D9"/>
    <mergeCell ref="F8:F9"/>
    <mergeCell ref="G8:G9"/>
    <mergeCell ref="H8:H9"/>
  </mergeCells>
  <conditionalFormatting sqref="G10:G17">
    <cfRule type="cellIs" dxfId="19" priority="2" operator="equal">
      <formula>"Baixa desproporcionada"</formula>
    </cfRule>
    <cfRule type="cellIs" dxfId="18" priority="3" operator="equal">
      <formula>"Acceptada"</formula>
    </cfRule>
    <cfRule type="cellIs" dxfId="17" priority="4" operator="equal">
      <formula>"Baixa temerària"</formula>
    </cfRule>
  </conditionalFormatting>
  <conditionalFormatting sqref="H10:H17">
    <cfRule type="cellIs" dxfId="16" priority="7" operator="equal">
      <formula>"INCLOURE"</formula>
    </cfRule>
    <cfRule type="cellIs" dxfId="15" priority="8" operator="equal">
      <formula>"INCLOURE"</formula>
    </cfRule>
  </conditionalFormatting>
  <conditionalFormatting sqref="H18:I25">
    <cfRule type="cellIs" dxfId="14" priority="9" operator="equal">
      <formula>"SI"</formula>
    </cfRule>
    <cfRule type="cellIs" dxfId="13" priority="10" operator="equal">
      <formula>"NO"</formula>
    </cfRule>
  </conditionalFormatting>
  <conditionalFormatting sqref="I10:I17">
    <cfRule type="cellIs" dxfId="12" priority="1" operator="equal">
      <formula>"Baixa desproporcionada"</formula>
    </cfRule>
    <cfRule type="cellIs" dxfId="11" priority="5" operator="equal">
      <formula>"Baixa temerària"</formula>
    </cfRule>
    <cfRule type="cellIs" dxfId="10" priority="6" operator="equal">
      <formula>"Acceptada"</formula>
    </cfRule>
  </conditionalFormatting>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F954-1846-4A98-BA35-01DFF12E7CC1}">
  <sheetPr>
    <tabColor theme="4" tint="-0.249977111117893"/>
  </sheetPr>
  <dimension ref="A2:M28"/>
  <sheetViews>
    <sheetView zoomScale="94" zoomScaleNormal="94" workbookViewId="0">
      <selection activeCell="D19" sqref="D19"/>
    </sheetView>
  </sheetViews>
  <sheetFormatPr defaultColWidth="11.42578125" defaultRowHeight="15"/>
  <cols>
    <col min="1" max="1" width="3" style="1" customWidth="1"/>
    <col min="2" max="2" width="22.7109375" style="1" customWidth="1"/>
    <col min="3" max="3" width="67.85546875" style="1" customWidth="1"/>
    <col min="4" max="4" width="19.85546875" style="1" customWidth="1"/>
    <col min="5" max="5" width="7.7109375" style="1" customWidth="1"/>
    <col min="6" max="6" width="13.7109375" style="1" customWidth="1"/>
    <col min="7" max="7" width="16.85546875" style="1" customWidth="1"/>
    <col min="8" max="8" width="14.5703125" style="1" customWidth="1"/>
    <col min="9" max="9" width="19.85546875" style="1" customWidth="1"/>
    <col min="10" max="10" width="14" style="1" bestFit="1" customWidth="1"/>
    <col min="11" max="12" width="11.42578125" style="1"/>
    <col min="13" max="13" width="12.7109375" style="1" bestFit="1" customWidth="1"/>
    <col min="14" max="16384" width="11.42578125" style="1"/>
  </cols>
  <sheetData>
    <row r="2" spans="1:13" ht="66" customHeight="1">
      <c r="B2" s="141" t="s">
        <v>28</v>
      </c>
      <c r="C2" s="141"/>
      <c r="D2" s="141"/>
      <c r="E2" s="141"/>
      <c r="F2" s="141"/>
      <c r="G2" s="141"/>
      <c r="H2" s="141"/>
      <c r="I2" s="141"/>
    </row>
    <row r="3" spans="1:13" ht="20.100000000000001" customHeight="1" thickBot="1"/>
    <row r="4" spans="1:13" ht="62.25" customHeight="1" thickBot="1">
      <c r="B4" s="31" t="str">
        <f>Ofertes!C2</f>
        <v>2025/2950/LIO_POR - 59</v>
      </c>
      <c r="C4" s="32" t="str">
        <f>Ofertes!C4</f>
        <v>Execució de 5 Projectes d'obra de rehabilitació de ferms de carreteres locals (Trams: LP-9221 de Lleida a Torre-Serona, LV-4241 Lladurs, LV-2031 de Talavera a Sant Antolí, L-324 de Tarroja de Segarra a Plans de Sió i LV-3341 de Bellpuig a Barbens)</v>
      </c>
      <c r="D4" s="33" t="s">
        <v>15</v>
      </c>
      <c r="E4" s="44"/>
      <c r="F4" s="115" t="s">
        <v>42</v>
      </c>
      <c r="G4" s="117" t="s">
        <v>43</v>
      </c>
      <c r="H4" s="146" t="s">
        <v>8</v>
      </c>
      <c r="I4" s="147"/>
    </row>
    <row r="5" spans="1:13" ht="20.100000000000001" customHeight="1" thickBot="1"/>
    <row r="6" spans="1:13" ht="22.5" customHeight="1" thickBot="1">
      <c r="A6" s="9">
        <v>0.1</v>
      </c>
      <c r="B6" s="134" t="s">
        <v>16</v>
      </c>
      <c r="C6" s="135"/>
      <c r="D6" s="48">
        <f>Ofertes!D28</f>
        <v>809665.95</v>
      </c>
      <c r="E6" s="44"/>
      <c r="F6" s="142" t="s">
        <v>7</v>
      </c>
      <c r="G6" s="143"/>
      <c r="H6" s="143"/>
      <c r="I6" s="7">
        <f>AVERAGEIFS(F10:F17,F10:F17,"&lt;&gt;"&amp;100%)</f>
        <v>3.639054888418275E-2</v>
      </c>
    </row>
    <row r="7" spans="1:13" ht="15" customHeight="1" thickBot="1">
      <c r="E7" s="44"/>
    </row>
    <row r="8" spans="1:13" ht="15" customHeight="1">
      <c r="B8" s="136" t="s">
        <v>3</v>
      </c>
      <c r="C8" s="138" t="s">
        <v>1</v>
      </c>
      <c r="D8" s="136" t="s">
        <v>2</v>
      </c>
      <c r="E8" s="44"/>
      <c r="F8" s="136" t="s">
        <v>4</v>
      </c>
      <c r="G8" s="136" t="s">
        <v>26</v>
      </c>
      <c r="H8" s="136" t="s">
        <v>21</v>
      </c>
      <c r="I8" s="136" t="s">
        <v>24</v>
      </c>
      <c r="K8" s="74"/>
    </row>
    <row r="9" spans="1:13" ht="15" customHeight="1" thickBot="1">
      <c r="B9" s="137"/>
      <c r="C9" s="139"/>
      <c r="D9" s="137"/>
      <c r="E9" s="44"/>
      <c r="F9" s="137"/>
      <c r="G9" s="137"/>
      <c r="H9" s="140"/>
      <c r="I9" s="137"/>
      <c r="K9" s="74"/>
      <c r="L9" s="65"/>
      <c r="M9" s="66"/>
    </row>
    <row r="10" spans="1:13" s="4" customFormat="1" ht="20.100000000000001" customHeight="1">
      <c r="A10" s="6" t="str">
        <f t="shared" ref="A10:A17" si="0">I10</f>
        <v>Acceptada</v>
      </c>
      <c r="B10" s="2">
        <v>1</v>
      </c>
      <c r="C10" s="110" t="str">
        <f>IF(Ofertes!C30="","",Ofertes!C30)</f>
        <v xml:space="preserve">AGUSTÍ Y MASOLIVER, S.A. </v>
      </c>
      <c r="D10" s="49">
        <f>IF(Ofertes!D30="","",Ofertes!D30)</f>
        <v>808324.4</v>
      </c>
      <c r="E10" s="44"/>
      <c r="F10" s="17">
        <f t="shared" ref="F10:F17" si="1">IF(D10="","",(1-(D10/$D$6)))</f>
        <v>1.6569178931137296E-3</v>
      </c>
      <c r="G10" s="40" t="str">
        <f t="shared" ref="G10:G13" si="2">IF(D10="","",IF(D10&lt;$D$19*0.9,"Baixa desproporcionada","Acceptada"))</f>
        <v>Acceptada</v>
      </c>
      <c r="H10" s="72" t="str">
        <f t="shared" ref="H10:H13" si="3">IF(F10="","",IF(D10&gt;$D$19*1.1,"EXCLOURE","INCLOURE"))</f>
        <v>INCLOURE</v>
      </c>
      <c r="I10" s="72" t="str">
        <f t="shared" ref="I10:I13" si="4">IF(D10="","",IF(D10&lt;$H$19*0.9,"Baixa desproporcionada","Acceptada"))</f>
        <v>Acceptada</v>
      </c>
      <c r="J10" s="1"/>
      <c r="K10" s="11"/>
      <c r="L10" s="76"/>
      <c r="M10" s="67"/>
    </row>
    <row r="11" spans="1:13" s="4" customFormat="1" ht="20.100000000000001" customHeight="1">
      <c r="A11" s="6" t="str">
        <f t="shared" si="0"/>
        <v>Acceptada</v>
      </c>
      <c r="B11" s="3">
        <v>2</v>
      </c>
      <c r="C11" s="111" t="str">
        <f>IF(Ofertes!C31="","",Ofertes!C31)</f>
        <v>ARNÓ INFRAESTRUCTURAS,S.L.U</v>
      </c>
      <c r="D11" s="50">
        <f>IF(Ofertes!D31="","",Ofertes!D31)</f>
        <v>776469.65</v>
      </c>
      <c r="E11" s="44"/>
      <c r="F11" s="15">
        <f t="shared" si="1"/>
        <v>4.0999995121444699E-2</v>
      </c>
      <c r="G11" s="78" t="str">
        <f t="shared" si="2"/>
        <v>Acceptada</v>
      </c>
      <c r="H11" s="73" t="str">
        <f t="shared" si="3"/>
        <v>INCLOURE</v>
      </c>
      <c r="I11" s="73" t="str">
        <f t="shared" si="4"/>
        <v>Acceptada</v>
      </c>
      <c r="J11" s="1"/>
      <c r="K11" s="11"/>
      <c r="L11" s="67"/>
    </row>
    <row r="12" spans="1:13" s="4" customFormat="1" ht="20.100000000000001" customHeight="1">
      <c r="A12" s="6" t="str">
        <f t="shared" si="0"/>
        <v>Acceptada</v>
      </c>
      <c r="B12" s="3">
        <v>3</v>
      </c>
      <c r="C12" s="111" t="str">
        <f>IF(Ofertes!C32="","",Ofertes!C32)</f>
        <v>M. I J. GRUAS, S.A.</v>
      </c>
      <c r="D12" s="50">
        <f>IF(Ofertes!D32="","",Ofertes!D32)</f>
        <v>767968.15</v>
      </c>
      <c r="E12" s="44"/>
      <c r="F12" s="15">
        <f t="shared" si="1"/>
        <v>5.1500004415401146E-2</v>
      </c>
      <c r="G12" s="78" t="str">
        <f t="shared" si="2"/>
        <v>Acceptada</v>
      </c>
      <c r="H12" s="73" t="str">
        <f t="shared" si="3"/>
        <v>INCLOURE</v>
      </c>
      <c r="I12" s="73" t="str">
        <f t="shared" si="4"/>
        <v>Acceptada</v>
      </c>
      <c r="J12" s="1"/>
      <c r="K12" s="11"/>
    </row>
    <row r="13" spans="1:13" s="4" customFormat="1" ht="20.100000000000001" customHeight="1">
      <c r="A13" s="6" t="str">
        <f t="shared" si="0"/>
        <v>Acceptada</v>
      </c>
      <c r="B13" s="3">
        <v>4</v>
      </c>
      <c r="C13" s="111" t="str">
        <f>IF(Ofertes!C33="","",Ofertes!C33)</f>
        <v>Sorigué, S.A.U.</v>
      </c>
      <c r="D13" s="50">
        <f>IF(Ofertes!D33="","",Ofertes!D33)</f>
        <v>772664.22</v>
      </c>
      <c r="E13" s="44"/>
      <c r="F13" s="15">
        <f t="shared" si="1"/>
        <v>4.5699995164672491E-2</v>
      </c>
      <c r="G13" s="78" t="str">
        <f t="shared" si="2"/>
        <v>Acceptada</v>
      </c>
      <c r="H13" s="73" t="str">
        <f t="shared" si="3"/>
        <v>INCLOURE</v>
      </c>
      <c r="I13" s="73" t="str">
        <f t="shared" si="4"/>
        <v>Acceptada</v>
      </c>
      <c r="J13" s="1"/>
      <c r="K13" s="11"/>
    </row>
    <row r="14" spans="1:13" s="4" customFormat="1" ht="20.100000000000001" customHeight="1">
      <c r="A14" s="6" t="str">
        <f t="shared" si="0"/>
        <v>Acceptada</v>
      </c>
      <c r="B14" s="18">
        <v>5</v>
      </c>
      <c r="C14" s="112" t="str">
        <f>IF(Ofertes!C34="","",Ofertes!C34)</f>
        <v>JOSÉ ANTONIO ROMERO POLO, S.A.U.</v>
      </c>
      <c r="D14" s="113">
        <f>IF(Ofertes!D34="","",Ofertes!D34)</f>
        <v>778100</v>
      </c>
      <c r="E14" s="44"/>
      <c r="F14" s="15">
        <f t="shared" si="1"/>
        <v>3.8986386916727733E-2</v>
      </c>
      <c r="G14" s="78" t="str">
        <f>IF(D14="","",IF(D14&lt;$D$19*0.9,"Baixa desproporcionada","Acceptada"))</f>
        <v>Acceptada</v>
      </c>
      <c r="H14" s="73" t="str">
        <f>IF(F14="","",IF(D14&gt;$D$19*1.1,"EXCLOURE","INCLOURE"))</f>
        <v>INCLOURE</v>
      </c>
      <c r="I14" s="73" t="str">
        <f>IF(D14="","",IF(D14&lt;$H$19*0.9,"Baixa desproporcionada","Acceptada"))</f>
        <v>Acceptada</v>
      </c>
      <c r="J14" s="1"/>
      <c r="K14" s="11"/>
    </row>
    <row r="15" spans="1:13" s="4" customFormat="1" ht="20.100000000000001" customHeight="1">
      <c r="A15" s="6" t="str">
        <f t="shared" si="0"/>
        <v>Acceptada</v>
      </c>
      <c r="B15" s="18">
        <v>6</v>
      </c>
      <c r="C15" s="112" t="str">
        <f>IF(Ofertes!C35="","",Ofertes!C35)</f>
        <v>ROMÀ INFRAESTRUCTURES I SERVEIS, SAU</v>
      </c>
      <c r="D15" s="113">
        <f>IF(Ofertes!D35="","",Ofertes!D35)</f>
        <v>777684.15</v>
      </c>
      <c r="E15" s="44"/>
      <c r="F15" s="15">
        <f t="shared" si="1"/>
        <v>3.9499993793736698E-2</v>
      </c>
      <c r="G15" s="78" t="str">
        <f>IF(D15="","",IF(D15&lt;$D$19*0.9,"Baixa desproporcionada","Acceptada"))</f>
        <v>Acceptada</v>
      </c>
      <c r="H15" s="73" t="str">
        <f t="shared" ref="H15:H17" si="5">IF(F15="","",IF(D15&gt;$D$19*1.1,"EXCLOURE","INCLOURE"))</f>
        <v>INCLOURE</v>
      </c>
      <c r="I15" s="73" t="str">
        <f>IF(D15="","",IF(D15&lt;$H$19*0.9,"Baixa desproporcionada","Acceptada"))</f>
        <v>Acceptada</v>
      </c>
      <c r="J15" s="1"/>
      <c r="K15" s="11"/>
    </row>
    <row r="16" spans="1:13" s="4" customFormat="1" ht="20.100000000000001" customHeight="1">
      <c r="A16" s="6" t="str">
        <f t="shared" si="0"/>
        <v/>
      </c>
      <c r="B16" s="18">
        <v>7</v>
      </c>
      <c r="C16" s="112" t="str">
        <f>IF(Ofertes!C36="","",Ofertes!C36)</f>
        <v/>
      </c>
      <c r="D16" s="113" t="str">
        <f>IF(Ofertes!D36="","",Ofertes!D36)</f>
        <v/>
      </c>
      <c r="E16" s="44"/>
      <c r="F16" s="15" t="str">
        <f t="shared" si="1"/>
        <v/>
      </c>
      <c r="G16" s="78" t="str">
        <f>IF(D16="","",IF(D16&lt;$D$19*0.9,"Baixa desproporcionada","Acceptada"))</f>
        <v/>
      </c>
      <c r="H16" s="73" t="str">
        <f t="shared" si="5"/>
        <v/>
      </c>
      <c r="I16" s="81" t="str">
        <f>IF(D16="","",IF(D16&lt;$H$19*0.9,"Baixa desproporcionada","Acceptada"))</f>
        <v/>
      </c>
      <c r="J16" s="1"/>
      <c r="K16" s="75"/>
    </row>
    <row r="17" spans="1:11" s="4" customFormat="1" ht="20.100000000000001" customHeight="1" thickBot="1">
      <c r="A17" s="6" t="str">
        <f t="shared" si="0"/>
        <v/>
      </c>
      <c r="B17" s="12">
        <v>8</v>
      </c>
      <c r="C17" s="114" t="str">
        <f>IF(Ofertes!C37="","",Ofertes!C37)</f>
        <v/>
      </c>
      <c r="D17" s="51" t="str">
        <f>IF(Ofertes!D37="","",Ofertes!D37)</f>
        <v/>
      </c>
      <c r="E17" s="44"/>
      <c r="F17" s="16" t="str">
        <f t="shared" si="1"/>
        <v/>
      </c>
      <c r="G17" s="41" t="str">
        <f>IF(D17="","",IF(D17&lt;$D$19*0.9,"Baixa desproporcionada","Acceptada"))</f>
        <v/>
      </c>
      <c r="H17" s="79" t="str">
        <f t="shared" si="5"/>
        <v/>
      </c>
      <c r="I17" s="82" t="str">
        <f>IF(D17="","",IF(D17&lt;$H$19*0.9,"Baixa desproporcionada","Acceptada"))</f>
        <v/>
      </c>
      <c r="J17" s="1"/>
      <c r="K17" s="75"/>
    </row>
    <row r="18" spans="1:11" s="4" customFormat="1" ht="20.100000000000001" customHeight="1" thickBot="1">
      <c r="A18" s="6">
        <f t="shared" ref="A18:A25" si="6">J18</f>
        <v>0</v>
      </c>
      <c r="B18" s="10"/>
      <c r="C18" s="19"/>
      <c r="D18" s="20"/>
      <c r="E18" s="44"/>
      <c r="F18" s="5"/>
      <c r="G18" s="68" t="s">
        <v>23</v>
      </c>
      <c r="H18" s="6">
        <f>COUNTIF(H10:H17,"INCLOURE")</f>
        <v>6</v>
      </c>
      <c r="K18" s="5"/>
    </row>
    <row r="19" spans="1:11" s="4" customFormat="1" ht="20.100000000000001" customHeight="1" thickBot="1">
      <c r="A19" s="6">
        <f t="shared" si="6"/>
        <v>0</v>
      </c>
      <c r="B19" s="10"/>
      <c r="C19" s="77" t="s">
        <v>25</v>
      </c>
      <c r="D19" s="121">
        <f>AVERAGE(D10:D17)</f>
        <v>780201.76166666672</v>
      </c>
      <c r="E19" s="44"/>
      <c r="F19" s="144" t="s">
        <v>22</v>
      </c>
      <c r="G19" s="144"/>
      <c r="H19" s="124">
        <f>IF(H18&gt;=3,AVERAGEIF(H10:H17,"INCLOURE",D10:D17),AVERAGE(SMALL(D10:D17,1),SMALL(D10:D17,2),SMALL(D10:D17,3)))</f>
        <v>780201.76166666672</v>
      </c>
      <c r="I19" s="70"/>
      <c r="J19" s="71"/>
      <c r="K19" s="5"/>
    </row>
    <row r="20" spans="1:11" s="4" customFormat="1" ht="20.100000000000001" customHeight="1">
      <c r="A20" s="6">
        <f t="shared" si="6"/>
        <v>0</v>
      </c>
      <c r="B20" s="10"/>
      <c r="C20" s="19"/>
      <c r="D20" s="20"/>
      <c r="E20" s="20"/>
      <c r="F20" s="5"/>
      <c r="G20" s="11"/>
      <c r="I20" s="64"/>
    </row>
    <row r="21" spans="1:11" s="4" customFormat="1" ht="20.100000000000001" customHeight="1">
      <c r="A21" s="6">
        <f t="shared" si="6"/>
        <v>0</v>
      </c>
      <c r="B21" s="10"/>
      <c r="C21" s="20"/>
      <c r="D21" s="20"/>
      <c r="E21" s="20"/>
      <c r="F21" s="5"/>
      <c r="G21" s="11"/>
      <c r="I21" s="64"/>
    </row>
    <row r="22" spans="1:11" s="4" customFormat="1" ht="20.100000000000001" customHeight="1">
      <c r="A22" s="6">
        <f t="shared" si="6"/>
        <v>0</v>
      </c>
      <c r="B22" s="10"/>
      <c r="C22" s="19"/>
      <c r="D22" s="20"/>
      <c r="E22" s="20"/>
      <c r="F22" s="5"/>
      <c r="G22" s="11"/>
      <c r="I22" s="64"/>
    </row>
    <row r="23" spans="1:11" s="4" customFormat="1" ht="20.100000000000001" customHeight="1">
      <c r="A23" s="6">
        <f t="shared" si="6"/>
        <v>0</v>
      </c>
      <c r="B23" s="10"/>
      <c r="C23" s="19"/>
      <c r="D23" s="20"/>
      <c r="E23" s="20"/>
      <c r="F23" s="5"/>
      <c r="G23" s="11"/>
      <c r="I23" s="64"/>
    </row>
    <row r="24" spans="1:11" s="4" customFormat="1" ht="20.100000000000001" customHeight="1">
      <c r="A24" s="6">
        <f t="shared" si="6"/>
        <v>0</v>
      </c>
      <c r="B24" s="10"/>
      <c r="C24" s="19"/>
      <c r="D24" s="20"/>
      <c r="E24" s="20"/>
      <c r="F24" s="5"/>
      <c r="G24" s="11"/>
      <c r="I24" s="64"/>
    </row>
    <row r="25" spans="1:11" s="4" customFormat="1" ht="20.100000000000001" customHeight="1">
      <c r="A25" s="6">
        <f t="shared" si="6"/>
        <v>0</v>
      </c>
      <c r="B25" s="10"/>
      <c r="C25" s="19"/>
      <c r="D25" s="20"/>
      <c r="E25" s="20"/>
      <c r="F25" s="5"/>
      <c r="G25" s="11"/>
      <c r="I25" s="64"/>
    </row>
    <row r="26" spans="1:11" s="4" customFormat="1">
      <c r="I26" s="64"/>
    </row>
    <row r="27" spans="1:11" s="4" customFormat="1"/>
    <row r="28" spans="1:11" s="4" customFormat="1"/>
  </sheetData>
  <sheetProtection algorithmName="SHA-512" hashValue="e6ZkLZJYm8NMf1HL7D71jv+/OEkk12WKo7F+msN60wgqgr668v6RrnATk+ZVAC+i0TbRvVup2ZSo7F/AvbiHRw==" saltValue="CmqXPfYsKPzquhHatquFWQ==" spinCount="100000" selectLockedCells="1"/>
  <mergeCells count="12">
    <mergeCell ref="B2:I2"/>
    <mergeCell ref="F6:H6"/>
    <mergeCell ref="I8:I9"/>
    <mergeCell ref="F19:G19"/>
    <mergeCell ref="B6:C6"/>
    <mergeCell ref="H4:I4"/>
    <mergeCell ref="B8:B9"/>
    <mergeCell ref="C8:C9"/>
    <mergeCell ref="D8:D9"/>
    <mergeCell ref="F8:F9"/>
    <mergeCell ref="G8:G9"/>
    <mergeCell ref="H8:H9"/>
  </mergeCells>
  <conditionalFormatting sqref="G10:G17">
    <cfRule type="cellIs" dxfId="9" priority="2" operator="equal">
      <formula>"Baixa desproporcionada"</formula>
    </cfRule>
    <cfRule type="cellIs" dxfId="8" priority="3" operator="equal">
      <formula>"Acceptada"</formula>
    </cfRule>
    <cfRule type="cellIs" dxfId="7" priority="4" operator="equal">
      <formula>"Baixa temerària"</formula>
    </cfRule>
  </conditionalFormatting>
  <conditionalFormatting sqref="H10:H17">
    <cfRule type="cellIs" dxfId="6" priority="7" operator="equal">
      <formula>"INCLOURE"</formula>
    </cfRule>
    <cfRule type="cellIs" dxfId="5" priority="8" operator="equal">
      <formula>"INCLOURE"</formula>
    </cfRule>
  </conditionalFormatting>
  <conditionalFormatting sqref="H18:I25">
    <cfRule type="cellIs" dxfId="4" priority="9" operator="equal">
      <formula>"SI"</formula>
    </cfRule>
    <cfRule type="cellIs" dxfId="3" priority="10" operator="equal">
      <formula>"NO"</formula>
    </cfRule>
  </conditionalFormatting>
  <conditionalFormatting sqref="I10:I17">
    <cfRule type="cellIs" dxfId="2" priority="1" operator="equal">
      <formula>"Baixa desproporcionada"</formula>
    </cfRule>
    <cfRule type="cellIs" dxfId="1" priority="5" operator="equal">
      <formula>"Baixa temerària"</formula>
    </cfRule>
    <cfRule type="cellIs" dxfId="0" priority="6" operator="equal">
      <formula>"Acceptada"</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7</vt:i4>
      </vt:variant>
    </vt:vector>
  </HeadingPairs>
  <TitlesOfParts>
    <vt:vector size="7" baseType="lpstr">
      <vt:lpstr>Ofertes</vt:lpstr>
      <vt:lpstr>RESULTAT</vt:lpstr>
      <vt:lpstr>4 O + licitadors - Lot 1</vt:lpstr>
      <vt:lpstr>4 O + licitadors - Lot 2</vt:lpstr>
      <vt:lpstr>4 O + licitadors - Lot 3</vt:lpstr>
      <vt:lpstr>4 O + licitadors - Lot 4</vt:lpstr>
      <vt:lpstr>4 O + licitadors - Lot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Sanz Martí</dc:creator>
  <cp:lastModifiedBy>Adriana Sanz Martí</cp:lastModifiedBy>
  <dcterms:created xsi:type="dcterms:W3CDTF">2021-11-05T11:07:34Z</dcterms:created>
  <dcterms:modified xsi:type="dcterms:W3CDTF">2025-07-31T11:18:29Z</dcterms:modified>
</cp:coreProperties>
</file>