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03"/>
  <workbookPr defaultThemeVersion="124226"/>
  <mc:AlternateContent xmlns:mc="http://schemas.openxmlformats.org/markup-compatibility/2006">
    <mc:Choice Requires="x15">
      <x15ac:absPath xmlns:x15ac="http://schemas.microsoft.com/office/spreadsheetml/2010/11/ac" url="D:\ENGICO2EN Dropbox\ENGICO2EN Team Folder\executius\_EXECUTIUS TANCATS\p445 - UDG CAMPUS MONTILIVI\02-POLITÈCNICA IV\REV 2024\5 PRESSUPOST\00 intern\"/>
    </mc:Choice>
  </mc:AlternateContent>
  <xr:revisionPtr revIDLastSave="0" documentId="13_ncr:1_{624AEA7D-8860-4EF1-ABB0-8DC856B57142}" xr6:coauthVersionLast="47" xr6:coauthVersionMax="47" xr10:uidLastSave="{00000000-0000-0000-0000-000000000000}"/>
  <bookViews>
    <workbookView xWindow="-120" yWindow="-120" windowWidth="29040" windowHeight="15840" xr2:uid="{00000000-000D-0000-FFFF-FFFF00000000}"/>
  </bookViews>
  <sheets>
    <sheet name="Full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2" i="1" l="1"/>
  <c r="K222" i="1"/>
  <c r="M222" i="1" s="1"/>
  <c r="L220" i="1"/>
  <c r="M220" i="1" s="1"/>
  <c r="L219" i="1"/>
  <c r="M219" i="1" s="1"/>
  <c r="L218" i="1"/>
  <c r="M218" i="1" s="1"/>
  <c r="L217" i="1"/>
  <c r="M217" i="1" s="1"/>
  <c r="K215" i="1"/>
  <c r="M213" i="1"/>
  <c r="L213" i="1"/>
  <c r="M212" i="1"/>
  <c r="L212" i="1"/>
  <c r="M211" i="1"/>
  <c r="L211" i="1"/>
  <c r="M210" i="1"/>
  <c r="L214" i="1" s="1"/>
  <c r="L210" i="1"/>
  <c r="K208" i="1"/>
  <c r="L206" i="1"/>
  <c r="M206" i="1" s="1"/>
  <c r="L205" i="1"/>
  <c r="M205" i="1" s="1"/>
  <c r="L204" i="1"/>
  <c r="M204" i="1" s="1"/>
  <c r="L207" i="1" s="1"/>
  <c r="K202" i="1"/>
  <c r="L198" i="1"/>
  <c r="K198" i="1"/>
  <c r="M198" i="1" s="1"/>
  <c r="L200" i="1" s="1"/>
  <c r="L192" i="1"/>
  <c r="M192" i="1" s="1"/>
  <c r="L191" i="1"/>
  <c r="M191" i="1" s="1"/>
  <c r="L190" i="1"/>
  <c r="M190" i="1" s="1"/>
  <c r="L189" i="1"/>
  <c r="M189" i="1" s="1"/>
  <c r="K187" i="1"/>
  <c r="M183" i="1"/>
  <c r="L183" i="1"/>
  <c r="M182" i="1"/>
  <c r="L182" i="1"/>
  <c r="M181" i="1"/>
  <c r="L181" i="1"/>
  <c r="M180" i="1"/>
  <c r="L184" i="1" s="1"/>
  <c r="L180" i="1"/>
  <c r="K178" i="1"/>
  <c r="L176" i="1"/>
  <c r="M176" i="1" s="1"/>
  <c r="L175" i="1"/>
  <c r="M175" i="1" s="1"/>
  <c r="L174" i="1"/>
  <c r="M174" i="1" s="1"/>
  <c r="L173" i="1"/>
  <c r="M173" i="1" s="1"/>
  <c r="K171" i="1"/>
  <c r="M169" i="1"/>
  <c r="L169" i="1"/>
  <c r="M168" i="1"/>
  <c r="L168" i="1"/>
  <c r="M167" i="1"/>
  <c r="L167" i="1"/>
  <c r="M166" i="1"/>
  <c r="L166" i="1"/>
  <c r="M165" i="1"/>
  <c r="L165" i="1"/>
  <c r="K163" i="1"/>
  <c r="L161" i="1"/>
  <c r="M161" i="1" s="1"/>
  <c r="L160" i="1"/>
  <c r="M160" i="1" s="1"/>
  <c r="L159" i="1"/>
  <c r="M159" i="1" s="1"/>
  <c r="L158" i="1"/>
  <c r="M158" i="1" s="1"/>
  <c r="L157" i="1"/>
  <c r="M157" i="1" s="1"/>
  <c r="L162" i="1" s="1"/>
  <c r="K155" i="1"/>
  <c r="M151" i="1"/>
  <c r="L151" i="1"/>
  <c r="K151" i="1"/>
  <c r="L149" i="1"/>
  <c r="K149" i="1"/>
  <c r="M149" i="1" s="1"/>
  <c r="M147" i="1"/>
  <c r="L147" i="1"/>
  <c r="M146" i="1"/>
  <c r="L146" i="1"/>
  <c r="M145" i="1"/>
  <c r="L145" i="1"/>
  <c r="M144" i="1"/>
  <c r="L148" i="1" s="1"/>
  <c r="L142" i="1" s="1"/>
  <c r="L144" i="1"/>
  <c r="K142" i="1"/>
  <c r="M142" i="1" s="1"/>
  <c r="L140" i="1"/>
  <c r="M140" i="1" s="1"/>
  <c r="L139" i="1"/>
  <c r="M139" i="1" s="1"/>
  <c r="L138" i="1"/>
  <c r="M138" i="1" s="1"/>
  <c r="L137" i="1"/>
  <c r="M137" i="1" s="1"/>
  <c r="L141" i="1" s="1"/>
  <c r="K135" i="1"/>
  <c r="M133" i="1"/>
  <c r="L133" i="1"/>
  <c r="M132" i="1"/>
  <c r="L132" i="1"/>
  <c r="M131" i="1"/>
  <c r="L131" i="1"/>
  <c r="M130" i="1"/>
  <c r="L130" i="1"/>
  <c r="K128" i="1"/>
  <c r="L126" i="1"/>
  <c r="M126" i="1" s="1"/>
  <c r="L125" i="1"/>
  <c r="M125" i="1" s="1"/>
  <c r="L124" i="1"/>
  <c r="M124" i="1" s="1"/>
  <c r="L123" i="1"/>
  <c r="M123" i="1" s="1"/>
  <c r="L127" i="1" s="1"/>
  <c r="K121" i="1"/>
  <c r="M119" i="1"/>
  <c r="L119" i="1"/>
  <c r="M118" i="1"/>
  <c r="L118" i="1"/>
  <c r="M117" i="1"/>
  <c r="L117" i="1"/>
  <c r="M116" i="1"/>
  <c r="L116" i="1"/>
  <c r="K114" i="1"/>
  <c r="L112" i="1"/>
  <c r="M112" i="1" s="1"/>
  <c r="L111" i="1"/>
  <c r="M111" i="1" s="1"/>
  <c r="L110" i="1"/>
  <c r="M110" i="1" s="1"/>
  <c r="L109" i="1"/>
  <c r="M109" i="1" s="1"/>
  <c r="L113" i="1" s="1"/>
  <c r="K107" i="1"/>
  <c r="M103" i="1"/>
  <c r="L103" i="1"/>
  <c r="M102" i="1"/>
  <c r="L102" i="1"/>
  <c r="M101" i="1"/>
  <c r="L101" i="1"/>
  <c r="M100" i="1"/>
  <c r="L100" i="1"/>
  <c r="K98" i="1"/>
  <c r="L96" i="1"/>
  <c r="M96" i="1" s="1"/>
  <c r="L95" i="1"/>
  <c r="M95" i="1" s="1"/>
  <c r="L94" i="1"/>
  <c r="M94" i="1" s="1"/>
  <c r="L93" i="1"/>
  <c r="M93" i="1" s="1"/>
  <c r="L97" i="1" s="1"/>
  <c r="K91" i="1"/>
  <c r="M90" i="1"/>
  <c r="M89" i="1"/>
  <c r="L89" i="1"/>
  <c r="M88" i="1"/>
  <c r="L90" i="1" s="1"/>
  <c r="L86" i="1" s="1"/>
  <c r="M86" i="1" s="1"/>
  <c r="L88" i="1"/>
  <c r="K86" i="1"/>
  <c r="L84" i="1"/>
  <c r="M84" i="1" s="1"/>
  <c r="L85" i="1" s="1"/>
  <c r="L83" i="1"/>
  <c r="M83" i="1" s="1"/>
  <c r="L82" i="1"/>
  <c r="M82" i="1" s="1"/>
  <c r="K80" i="1"/>
  <c r="M78" i="1"/>
  <c r="L78" i="1"/>
  <c r="M77" i="1"/>
  <c r="L77" i="1"/>
  <c r="M76" i="1"/>
  <c r="L76" i="1"/>
  <c r="K74" i="1"/>
  <c r="L72" i="1"/>
  <c r="M72" i="1" s="1"/>
  <c r="L71" i="1"/>
  <c r="M71" i="1" s="1"/>
  <c r="L70" i="1"/>
  <c r="M70" i="1" s="1"/>
  <c r="L69" i="1"/>
  <c r="M69" i="1" s="1"/>
  <c r="L73" i="1" s="1"/>
  <c r="K67" i="1"/>
  <c r="M65" i="1"/>
  <c r="L65" i="1"/>
  <c r="M64" i="1"/>
  <c r="L64" i="1"/>
  <c r="M63" i="1"/>
  <c r="L63" i="1"/>
  <c r="K61" i="1"/>
  <c r="L59" i="1"/>
  <c r="M59" i="1" s="1"/>
  <c r="L58" i="1"/>
  <c r="M58" i="1" s="1"/>
  <c r="L57" i="1"/>
  <c r="M57" i="1" s="1"/>
  <c r="L56" i="1"/>
  <c r="M56" i="1" s="1"/>
  <c r="L55" i="1"/>
  <c r="M55" i="1" s="1"/>
  <c r="L60" i="1" s="1"/>
  <c r="K53" i="1"/>
  <c r="M49" i="1"/>
  <c r="L49" i="1"/>
  <c r="K49" i="1"/>
  <c r="L47" i="1"/>
  <c r="M47" i="1" s="1"/>
  <c r="L46" i="1"/>
  <c r="M46" i="1" s="1"/>
  <c r="L45" i="1"/>
  <c r="M45" i="1" s="1"/>
  <c r="L44" i="1"/>
  <c r="M44" i="1" s="1"/>
  <c r="L48" i="1" s="1"/>
  <c r="K42" i="1"/>
  <c r="L40" i="1"/>
  <c r="K40" i="1"/>
  <c r="M40" i="1" s="1"/>
  <c r="L38" i="1"/>
  <c r="M38" i="1" s="1"/>
  <c r="L37" i="1"/>
  <c r="M37" i="1" s="1"/>
  <c r="L36" i="1"/>
  <c r="M36" i="1" s="1"/>
  <c r="L35" i="1"/>
  <c r="M35" i="1" s="1"/>
  <c r="L39" i="1" s="1"/>
  <c r="K33" i="1"/>
  <c r="M32" i="1"/>
  <c r="M31" i="1"/>
  <c r="L31" i="1"/>
  <c r="M30" i="1"/>
  <c r="L30" i="1"/>
  <c r="M29" i="1"/>
  <c r="L29" i="1"/>
  <c r="M28" i="1"/>
  <c r="L32" i="1" s="1"/>
  <c r="L26" i="1" s="1"/>
  <c r="M26" i="1" s="1"/>
  <c r="L28" i="1"/>
  <c r="K26" i="1"/>
  <c r="L24" i="1"/>
  <c r="M24" i="1" s="1"/>
  <c r="L23" i="1"/>
  <c r="M23" i="1" s="1"/>
  <c r="L22" i="1"/>
  <c r="M22" i="1" s="1"/>
  <c r="L21" i="1"/>
  <c r="M21" i="1" s="1"/>
  <c r="L25" i="1" s="1"/>
  <c r="K19" i="1"/>
  <c r="M12" i="1"/>
  <c r="M11" i="1"/>
  <c r="L11" i="1"/>
  <c r="M10" i="1"/>
  <c r="L12" i="1" s="1"/>
  <c r="L8" i="1" s="1"/>
  <c r="M8" i="1" s="1"/>
  <c r="L13" i="1" s="1"/>
  <c r="L10" i="1"/>
  <c r="K8" i="1"/>
  <c r="M13" i="1" l="1"/>
  <c r="L14" i="1" s="1"/>
  <c r="L7" i="1"/>
  <c r="M7" i="1" s="1"/>
  <c r="M73" i="1"/>
  <c r="L67" i="1"/>
  <c r="M67" i="1" s="1"/>
  <c r="M113" i="1"/>
  <c r="L107" i="1"/>
  <c r="M107" i="1" s="1"/>
  <c r="M85" i="1"/>
  <c r="L80" i="1"/>
  <c r="M80" i="1" s="1"/>
  <c r="M97" i="1"/>
  <c r="L91" i="1"/>
  <c r="M127" i="1"/>
  <c r="L121" i="1"/>
  <c r="M39" i="1"/>
  <c r="L33" i="1"/>
  <c r="M33" i="1" s="1"/>
  <c r="M141" i="1"/>
  <c r="L135" i="1"/>
  <c r="M135" i="1" s="1"/>
  <c r="M25" i="1"/>
  <c r="L19" i="1"/>
  <c r="M19" i="1" s="1"/>
  <c r="L51" i="1" s="1"/>
  <c r="M48" i="1"/>
  <c r="L42" i="1"/>
  <c r="M42" i="1" s="1"/>
  <c r="M60" i="1"/>
  <c r="L53" i="1"/>
  <c r="M53" i="1" s="1"/>
  <c r="M162" i="1"/>
  <c r="L155" i="1"/>
  <c r="M155" i="1" s="1"/>
  <c r="M91" i="1"/>
  <c r="L66" i="1"/>
  <c r="L79" i="1"/>
  <c r="M148" i="1"/>
  <c r="L177" i="1"/>
  <c r="L104" i="1"/>
  <c r="L120" i="1"/>
  <c r="M121" i="1"/>
  <c r="M207" i="1"/>
  <c r="L202" i="1"/>
  <c r="M202" i="1" s="1"/>
  <c r="L170" i="1"/>
  <c r="L178" i="1"/>
  <c r="M178" i="1" s="1"/>
  <c r="M184" i="1"/>
  <c r="L193" i="1"/>
  <c r="M200" i="1"/>
  <c r="L197" i="1"/>
  <c r="M197" i="1" s="1"/>
  <c r="L208" i="1"/>
  <c r="M208" i="1" s="1"/>
  <c r="M214" i="1"/>
  <c r="L221" i="1"/>
  <c r="L134" i="1"/>
  <c r="L18" i="1" l="1"/>
  <c r="M18" i="1" s="1"/>
  <c r="M51" i="1"/>
  <c r="L215" i="1"/>
  <c r="M215" i="1" s="1"/>
  <c r="L224" i="1" s="1"/>
  <c r="M221" i="1"/>
  <c r="M170" i="1"/>
  <c r="L163" i="1"/>
  <c r="M163" i="1" s="1"/>
  <c r="L74" i="1"/>
  <c r="M74" i="1" s="1"/>
  <c r="M79" i="1"/>
  <c r="L128" i="1"/>
  <c r="M128" i="1" s="1"/>
  <c r="M134" i="1"/>
  <c r="M177" i="1"/>
  <c r="L171" i="1"/>
  <c r="M171" i="1" s="1"/>
  <c r="L114" i="1"/>
  <c r="M114" i="1" s="1"/>
  <c r="L153" i="1" s="1"/>
  <c r="M120" i="1"/>
  <c r="L187" i="1"/>
  <c r="M187" i="1" s="1"/>
  <c r="L194" i="1" s="1"/>
  <c r="M193" i="1"/>
  <c r="L98" i="1"/>
  <c r="M98" i="1" s="1"/>
  <c r="M104" i="1"/>
  <c r="L61" i="1"/>
  <c r="M61" i="1" s="1"/>
  <c r="L105" i="1" s="1"/>
  <c r="M66" i="1"/>
  <c r="L185" i="1"/>
  <c r="L6" i="1"/>
  <c r="M6" i="1" s="1"/>
  <c r="M14" i="1"/>
  <c r="L15" i="1" s="1"/>
  <c r="L52" i="1" l="1"/>
  <c r="M52" i="1" s="1"/>
  <c r="M105" i="1"/>
  <c r="L195" i="1" s="1"/>
  <c r="L201" i="1"/>
  <c r="M201" i="1" s="1"/>
  <c r="M224" i="1"/>
  <c r="L106" i="1"/>
  <c r="M106" i="1" s="1"/>
  <c r="M153" i="1"/>
  <c r="M194" i="1"/>
  <c r="L186" i="1"/>
  <c r="M186" i="1" s="1"/>
  <c r="L154" i="1"/>
  <c r="M154" i="1" s="1"/>
  <c r="M185" i="1"/>
  <c r="M15" i="1"/>
  <c r="L5" i="1"/>
  <c r="M5" i="1" s="1"/>
  <c r="L17" i="1" l="1"/>
  <c r="M17" i="1" s="1"/>
  <c r="M195" i="1"/>
  <c r="L196" i="1" s="1"/>
  <c r="M196" i="1" l="1"/>
  <c r="L225" i="1" s="1"/>
  <c r="L16" i="1"/>
  <c r="M16" i="1" s="1"/>
  <c r="M225" i="1" l="1"/>
  <c r="L4" i="1"/>
  <c r="M4" i="1" s="1"/>
</calcChain>
</file>

<file path=xl/sharedStrings.xml><?xml version="1.0" encoding="utf-8"?>
<sst xmlns="http://schemas.openxmlformats.org/spreadsheetml/2006/main" count="641" uniqueCount="220">
  <si>
    <t>Obra:</t>
  </si>
  <si>
    <t>Suministre i instal·lació d'una instal·lació solar fotovoltaica en autoconsum instantani per l'edifici Politècnica IV de la Universitat de Girona (Campus Montilivi)</t>
  </si>
  <si>
    <t>Pressupost</t>
  </si>
  <si>
    <t>% C.I.</t>
  </si>
  <si>
    <t>Codi</t>
  </si>
  <si>
    <t>Tipus</t>
  </si>
  <si>
    <t>U</t>
  </si>
  <si>
    <t>Resum</t>
  </si>
  <si>
    <t>Quantitat</t>
  </si>
  <si>
    <t>Preu (€)</t>
  </si>
  <si>
    <t>Import (€)</t>
  </si>
  <si>
    <t>P445-UDG-02-PIV</t>
  </si>
  <si>
    <t>Capítol</t>
  </si>
  <si>
    <t>0</t>
  </si>
  <si>
    <t>Actuacions prèvies</t>
  </si>
  <si>
    <t>0X</t>
  </si>
  <si>
    <t>Bastides i maquinària d'elevació</t>
  </si>
  <si>
    <t>0XP</t>
  </si>
  <si>
    <t>Plataformes elevadores i Maquinària</t>
  </si>
  <si>
    <t>0XP010b</t>
  </si>
  <si>
    <t>Partida</t>
  </si>
  <si>
    <t>Lloguer diari de grua mòbil auto-propulsada, motor dièsel</t>
  </si>
  <si>
    <t>Lloguer diari de grua mòbil auto-propoulsada, motor dièsel</t>
  </si>
  <si>
    <t>mq07ple010bgbb</t>
  </si>
  <si>
    <t>Maquinària</t>
  </si>
  <si>
    <t>Lloguer de un dia de Grua autopropulsada de Braç Telescòpic per col·locació i ubicació de tots els materials a coberta. Inclús Manteniment, assegurança de Responsabilitat Civil i gestió de tall de Carrer</t>
  </si>
  <si>
    <t>%</t>
  </si>
  <si>
    <t>Costos directes complementaris</t>
  </si>
  <si>
    <t>I_01</t>
  </si>
  <si>
    <t>Instal·lacions de generació d'energia, elements mecànics, elèctrics, control i tramitació associada</t>
  </si>
  <si>
    <t>IEI_01</t>
  </si>
  <si>
    <t>Instal·lacions Elèctriques i estructures de fixació</t>
  </si>
  <si>
    <t>IEF01</t>
  </si>
  <si>
    <t>Instal·lació Generadora Solar fotovoltaica</t>
  </si>
  <si>
    <t>FV_EST_SOLB15</t>
  </si>
  <si>
    <t>Subministre i instal·lació d'estructura de formigó autoportant en sistema llastrat, del fabricant Pretensados Duran model Solarbloc Cubiertas 15º, o equivalent. Inclou llastres addicionals.</t>
  </si>
  <si>
    <t>Subministre i instal·lació d'estructura de formigó autoportant en sistema llastrat, del fabricant Pretensados Duran model Solarbloc Cubiertas 15º, o equivalent. Inclou llastres addicionals.
Descripció
SOLARBLOC 15º
Llastres Solarbloc
Conjunt omega d'alumini per panell + cargol
Conjunt grapa final per panell + cargol
Cojunt arandela + regleta
Llastres de 42kg enganxats als blocs de formigó (a l'extrem posterior o inferior) mitjançant adhesiu tipus massilla de poliuretà, tac químic o adhesius per materials petris, amb resistència a la tracció mínima de 12 kg/cm2.
Embalatge i transport
*S'ubicaran un màxim de 5 mòduls en fila. En cas de superar els 5 mòduls, es dividiran en files de menor llargada, segons indicacions del fabricant.</t>
  </si>
  <si>
    <t>SOLB15</t>
  </si>
  <si>
    <t>Material</t>
  </si>
  <si>
    <t>mo009</t>
  </si>
  <si>
    <t>Mà d'obra</t>
  </si>
  <si>
    <t>h</t>
  </si>
  <si>
    <t>Oficial 1ª instal·lador de captadors solars.</t>
  </si>
  <si>
    <t>mo108</t>
  </si>
  <si>
    <t>Ajudant instal·lador de captadors solars.</t>
  </si>
  <si>
    <t>NGU010</t>
  </si>
  <si>
    <t>m²</t>
  </si>
  <si>
    <t>Protecció de la coberta: geotèxtil no teixit.</t>
  </si>
  <si>
    <t>Protecció de la coberta: 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</si>
  <si>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mt14gsa010dg</t>
  </si>
  <si>
    <t>Geotèxtil no teixit sintètic, termosoldat, de polipropilè-polietilè, amb una resistència a la tracció longitudinal de 16 kN/m, una resistència a la tracció transversal de 16,5 kN/m, una obertura de con a l'assaig de perforació dinàmica segons UNE-EN ISO 13433 inferior a 18 mm, resistència CBR a punxonament 2,7 kN i una massa superficial de 200 g/m².</t>
  </si>
  <si>
    <t>FV_MOD_AXIT440</t>
  </si>
  <si>
    <t>Subministre i instal·lació de mòdul solar fotovoltaic de cèl·lules de silici monocristal·lí Axitec AC-440TGB/108WB o equivalent.</t>
  </si>
  <si>
    <t>Subministre i instal·lació de mòdul solar fotovoltaic de cèl·lules de silici monocristal·lí Axitec AC-440TGB/108WB o equivalent, potència màxima (Wp) 440, tensió a màxima potència (Vmp) 33,44 V, intensitat a màxima potència (Imp) 13,16 A, tensió en circuit obert (Voc) 40,31 V, intensitat de curtcircuit (Isc) 13,59 A, eficiència 22,02%. Dimensions (en mil·límetres) 1762x1134x30</t>
  </si>
  <si>
    <t>AXIT440</t>
  </si>
  <si>
    <t>IEH011FVb</t>
  </si>
  <si>
    <t>ut</t>
  </si>
  <si>
    <t>Partida alçada petit material per instal·lacions elèctriques</t>
  </si>
  <si>
    <t>Partida alçada de petit material per instal·lacions fotovoltaiques: Connectors tipus MC-4, terminals metàl·lics, brides de fixació, etc</t>
  </si>
  <si>
    <t>FV_INV_SMA110</t>
  </si>
  <si>
    <t>Subministre i instal·lació d'inversor trifàsic per a connexió a xarxa, SMA STP 110-60 TRIPOWER CORE2, del fabricant SMA o equivalent, potència nominal de 110kW - LIMITAT I CERTIFICAT A 100 kW PER PART DEL FABRICANT, voltatge d'entrada màxim 1.100 Vcc, eficiència màxima 98,6%.</t>
  </si>
  <si>
    <t>Subministre i instal·lació d'inversor trifàsic per a connexió a xarxa, SMA STP 110-60 TRIPOWER CORE2, del fabricant SMA o equivalent, potència nominal de 110kW - LIMITAT I CERTIFICAT A 100 kW PER PART DEL FABRICANT, voltatge d'entrada màxim 1.100 Vcc, eficiència màxima 98,6%. Principals Característiques
Garantia: 5 anys
Injecció trifàsica
Comunicació: Ethernet
Dimensions 1.117x682x363 mm
Grau d'estanquitat: IP-66</t>
  </si>
  <si>
    <t>SMA110</t>
  </si>
  <si>
    <t>mo003</t>
  </si>
  <si>
    <t>Oficial 1ª electricista.</t>
  </si>
  <si>
    <t>mo102</t>
  </si>
  <si>
    <t>Ajudant electricista.</t>
  </si>
  <si>
    <t>IEF060</t>
  </si>
  <si>
    <t>Partida alçada - programació i posta en marxa del sistema</t>
  </si>
  <si>
    <t>Partida en base a honoraris tècnics per la posta en marxa, i programació del sistema de visualització, monitorització i gestió de la injecció de l'energia a la xara</t>
  </si>
  <si>
    <t>IEI01</t>
  </si>
  <si>
    <t>Proteccions elètriques</t>
  </si>
  <si>
    <t>FV_PROT_FUS</t>
  </si>
  <si>
    <t>Subministre i instal·lació de fusible 16A 1000V i base de fusibles per a la protecció dels strings en corrent contínua. Inclou accessoris per el correcte muntatge i operació.</t>
  </si>
  <si>
    <t>PROT_FUS</t>
  </si>
  <si>
    <t>Subministre i instal·lació de fusible 16A 1000V per a la protecció dels strings en corrent contínua. 10x38</t>
  </si>
  <si>
    <t>PROT_BAS</t>
  </si>
  <si>
    <t>Subministre i instal·lació de base per a fusible per a la protecció dels strings en corrent contínua. 10x38</t>
  </si>
  <si>
    <t>IEX075c</t>
  </si>
  <si>
    <t>PSM3-40 / 1000 PV Protector contra sobretensions CC</t>
  </si>
  <si>
    <t>Protector contra sobretensions tipus PSM3-40 / 1000 PV o equivalent</t>
  </si>
  <si>
    <t>mt35amc300d</t>
  </si>
  <si>
    <t>Protector contra sobretensions permanents, de 1 mòdul, tetrapolar (3P+N), tensió de disparament retardat entre 265 i 300 V, llindar de desconnexió de disparament retardat 3,5 s, tensió de disparament directe major de 300 V, llindar de desconnexió de disparament directe 0,5 s, amb muntatge separat de l'interruptor automàtic, podent desconnectar l'interruptor mitjançant un senyal enviat a la bobina de disparament o mitjançant la derivació d'un corrent a terra, de 36x80x77,8 mm, grau de protecció IP20, muntatge sobre carril DIN (35 mm) i fixació a carril mitjançant grapes, segons UNE-EN 50550.</t>
  </si>
  <si>
    <t>FV_PROT_CX</t>
  </si>
  <si>
    <t>Subministre i instal·lació de Caixa modular de superfície per protecció elèctrica de doble aïllament 400x300x200 per la instal·lació de corrent contínua. Amb porta cega, IP66, IK10. Estanca, entrada inferior mitjançant premsaestopes "cap-top".</t>
  </si>
  <si>
    <t>Subministre i instal·lació de Caixa modular de superfície per protecció elèctrica de doble aïllament 400x300x200 per la instal·lació de corrent contínua. Amb porta cega, IP66, IK10. Del fabricant SCHNEIDER ELECTRIC o equivalent. 
Estanca, entrada inferior mitjançant premsaestopes "cap-top".
Inclou accessoris per el correcte muntatge i operació</t>
  </si>
  <si>
    <t>PROT_CX</t>
  </si>
  <si>
    <t>Subministre i instal·lació de Caixa modular de superfície per protecció elèctrica de doble aïllament 400x300x200 per la instal·lació de corrent contínua. Amb porta cega, IP66, IK10.</t>
  </si>
  <si>
    <t>IEX207</t>
  </si>
  <si>
    <t>Protecció en Corrent Alterna: Interruptor automàtic en caixa emmotllada, amb bloc diferencial, tetrapolar (3P+N,4P,3P+N/2), intensitat nominal 160 A, poder de tall 36 kA a 400 V</t>
  </si>
  <si>
    <t>Interruptor automàtic en caixa emmotllada, amb bloc diferencial, tetrapolar (3P+N,4P,3P+N/2), intensitat nominal 160 A, poder de tall 36 kA a 400 V, ajust de la intensitat de disparament per sobrecàrrega entre 0,4 i 1 x In, ajust de la intensitat de disparament de curt retard entre 1,5 i 10 x Ir, ajust de la intensitat de disparament de 0,03 a 10 A, ajust del temps de disparament de 0 a 310 ms, model Vigicompact NSX160F LV430980, "SCHNEIDER ELECTRIC" o equivalent, unitat de control electrònica Micrologic 2.2.</t>
  </si>
  <si>
    <t>mt35ase424r</t>
  </si>
  <si>
    <t>Interruptor automàtic en caixa emmotllada, amb bloc diferencial, tetrapolar (3P+N,4P,3P+N/2), intensitat nominal 160 A, poder de tall 36 kA a 400 V</t>
  </si>
  <si>
    <t>IEX210</t>
  </si>
  <si>
    <t>Comandament instal·lació FV: Interruptor-seccionador. 160A</t>
  </si>
  <si>
    <t>Interruptor-seccionador amb comandament rotatiu, tetrapolar (4P), intensitat nominal 160 A, amb fusible de 160 A.</t>
  </si>
  <si>
    <t>mt35amc551hh</t>
  </si>
  <si>
    <t>Interruptor-seccionador amb comandament rotatiu, tetrapolar (4P), intensitat nominal 160 A, amb fusible de 160 A, de 170x135x130 mm, segons UNE-EN 60947-3.</t>
  </si>
  <si>
    <t>SOBRET</t>
  </si>
  <si>
    <t>1</t>
  </si>
  <si>
    <t>Protector de sobretensions combinat 15kA 3p+N actuant sobre bobina d'emissió. MODEL model V-CHECK 4RPT 3P+N ref. codi 68090001000 ref. 77706415 40kA - In15kA</t>
  </si>
  <si>
    <t>Cirprotec
Protección contra sobretensiones para red eléctrica Cirprotec V-CHECK 4R 1,8kV 15kA 3P+N 4RPT bobina emisión
corriente nominal de descarga (In): 15 kA
máx. corriente de descarga (Imax): 40 kA
nivel de protección Up: 1,8 kV
categoría tipo 1: no
categoría tipo 2: sí
categoría tipo 3: no
número de polos (total): 4
número de polos protegidos: 3
info extra: bobina emisión</t>
  </si>
  <si>
    <t>mo003b</t>
  </si>
  <si>
    <t>PROT_01</t>
  </si>
  <si>
    <t>Sense classificar</t>
  </si>
  <si>
    <t>Protector de sobretensions combinat model actuant sobre bobina d'emissió model V-CHECK 4RPT 3P+N ref. codi 68090001000 ref. 77706415 40kA - In15kA</t>
  </si>
  <si>
    <t>FV_PROT_CXb</t>
  </si>
  <si>
    <t>Subministre i instal·lació de Caixa modular de superfície per protecció elèctrica de doble aïllament 400x600x200 per la instal·lació de corrent alterna. Amb porta cega, IP66, IK10.</t>
  </si>
  <si>
    <t>Subministre i instal·lació de Caixa modular de superfície per protecció elèctrica de doble aïllament 400x600x200 per la instal·lació de corrent alterna. Amb porta cega, IP66, IK10. Del fabricant SCHNEIDER ELECTRIC o equivalent. Inclou accessoris per el correcte muntatge i operació</t>
  </si>
  <si>
    <t>PROT_CXb</t>
  </si>
  <si>
    <t>IEX207b</t>
  </si>
  <si>
    <t>Nou interruptor general edifici: Interruptor automàtic en caixa emmotllada, amb bloc diferencial. 630A</t>
  </si>
  <si>
    <t>Interruptor automàtic en caixa emmotllada, tetrapolar (3P+N,4P,3P+N/2), intensitat nominal 630 A, poder de tall 50 kA a 400 V, ajust de la intensitat de disparament per sobrecàrrega entre 0,4 i 1 x In, ajust de la intensitat de disparament de curt retard entre 1,5 i 10 x Ir, ajust de la intensitat de disparament instantani entre 1,5 i 11 x In, model Compact NSX630N LV432808+LV432099, "SCHNEIDER ELECTRIC", unitat de control electrònica Micrologic 5.3 E, amb mesurament d'energia activa, reactiva i aparent, total i per fase, amb bloc diferencial per a interruptor automàtic en caixa emmotllada Compact NSX, tetrapolar (4P), ajust de la intensitat de disparament de 0,3 a 30 A, ajust del temps de disparament de 0 a 310 ms, model MH LV432456.</t>
  </si>
  <si>
    <t>mt35ase173a</t>
  </si>
  <si>
    <t>Interruptor automàtic en caixa emmotllada, tetrapolar (3P+N,4P,3P+N/2), intensitat nominal 630 A, poder de tall 50 kA a 400 V, ajust de la intensitat de disparament per sobrecàrrega entre 0,4 i 1 x In, ajust de la intensitat de disparament de curt retard entre 1,5 i 10 x Ir, ajust de la intensitat de disparament instantani entre 1,5 i 11 x In, model Compact NSX630N LV432808+LV432099, "SCHNEIDER ELECTRIC", unitat de control electrònica Micrologic 5.3 E, amb mesurament d'energia activa, reactiva i aparent, total i per fase, de 185x255x110 mm, segons UNE-EN 60947-2.</t>
  </si>
  <si>
    <t>mt35ase475a</t>
  </si>
  <si>
    <t>Bloc diferencial per a interruptor automàtic en caixa emmotllada Compact NSX, tetrapolar (4P), ajust de la intensitat de disparament de 0,3 a 30 A, ajust del temps de disparament de 0 a 310 ms, model MH LV432456 "SCHNEIDER ELECTRIC".</t>
  </si>
  <si>
    <t>IEH01</t>
  </si>
  <si>
    <t>Cables i accessoris</t>
  </si>
  <si>
    <t>FV_CAB_SOLN</t>
  </si>
  <si>
    <t>m</t>
  </si>
  <si>
    <t>Interconnexió strings a inversor: Cable unipolar RZ1-K (AS), 6 mm2 de secció, Especial per aplicacions fotovoltaiques,denominació comercial EXHZ SOLAR , color negre</t>
  </si>
  <si>
    <t>Cable unipolar RZ1-K (AS), Especial per aplicacions fotovoltaiques, denominació comercial EXHZ SOLAR , color negre,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Negre</t>
  </si>
  <si>
    <t>mt35cun010e1</t>
  </si>
  <si>
    <t>Cable unipolar RZ1-K (AS), sent la seva tensió assignada de 0,6/1 kV,color vermell , Especial per aplicacions fotovoltaiques,denominació comercial EXHZ SOLAR ,reacció al foc classe Cca-s1b,d1,a1 segons UNE-EN 50575, amb conductor de coure classe 5 (-K) de 6 mm² de secció, amb aïllament de polietilè reticulat (R) i coberta de compost termoplàstic a força de poliolefina lliure de halògens amb baixa emissió de fums i gasos corrosius (Z1). Segons UNE 21123-4.</t>
  </si>
  <si>
    <t>FV_CAB_SOLV</t>
  </si>
  <si>
    <t>Interconnexió strings a inversor: Cable unipolar RZ1-K (AS), 6 mm2 de secció, Especial per aplicacions fotovoltaiques,denominació comercial EXHZ SOLAR , color vermell</t>
  </si>
  <si>
    <t>Cable unipolar RZ1-K (AS), Especial per aplicacions fotovoltaiques, denominació comercial EXHZ SOLAR , color vermell, sent la seva tensió assignada de 0,6/1 kV, reacció al foc classe Cca-s1b,d1,a1, amb conductor de coure classe 5 (-K) de 6 mm² de secció, amb aïllament de polietilè reticulat (R) i coberta de compost termoplàstic a força de poliolefina lliure de halògens amb baixa emissió de fums i gasos corrosius (Z1). Color: Vermell</t>
  </si>
  <si>
    <t>IEH012g</t>
  </si>
  <si>
    <t>Interconnexió AC: Cable elèctric de 0,6/1 kV de tensió nominal, 95 mm2 de secció.</t>
  </si>
  <si>
    <t>Cable unipolar RZ1-K (AS), sent la seva tensió assignada de 0,6/1 kV, reacció al foc classe Cca-s1b,d1,a1, amb conductor de coure classe 5 (-K) de 95 mm² de secció, amb aïllament de polietilè reticulat (R) i coberta de compost termoplàstic a força de poliolefina lliure de halògens amb baixa emissió de fums i gasos corrosius (Z1). Inclús accessoris i elements de subjecció.</t>
  </si>
  <si>
    <t>mt35cun010l1</t>
  </si>
  <si>
    <t>Cable unipolar RZ1-K (AS), sent la seva tensió assignada de 0,6/1 kV, reacció al foc classe Cca-s1b,d1,a1 segons UNE-EN 50575, amb conductor de coure classe 5 (-K) de 95 mm² de secció, amb aïllament de polietilè reticulat (R) i coberta de compost termoplàstic a força de poliolefina lliure de halògens amb baixa emissió de fums i gasos corrosius (Z1). Segons UNE 21123-4.</t>
  </si>
  <si>
    <t>IEH012j</t>
  </si>
  <si>
    <t>Interconnexió AC: Cable elèctric de 0,6/1 kV de tensió nominal, 50 mm2 de secció.</t>
  </si>
  <si>
    <t>Cable unipolar RZ1-K (AS), sent la seva tensió assignada de 0,6/1 kV, reacció al foc classe Cca-s1b,d1,a1, amb conductor de coure classe 5 (-K) de 50 mm² de secció, amb aïllament de polietilè reticulat (R) i coberta de compost termoplàstic a força de poliolefina lliure de halògens amb baixa emissió de fums i gasos corrosius (Z1). Inclús accessoris i elements de subjecció.</t>
  </si>
  <si>
    <t>mt35cun010j1</t>
  </si>
  <si>
    <t>Cable unipolar RZ1-K (AS), sent la seva tensió assignada de 0,6/1 kV, reacció al foc classe Cca-s1b,d1,a1 segons UNE-EN 50575, amb conductor de coure classe 5 (-K) de 50 mm² de secció, amb aïllament de polietilè reticulat (R) i coberta de compost termoplàstic a força de poliolefina lliure de halògens amb baixa emissió de fums i gasos corrosius (Z1). Segons UNE 21123-4.</t>
  </si>
  <si>
    <t>IEH010c</t>
  </si>
  <si>
    <t>Referència de mesura: Cable unipolar ES07Z1-K (AS), reacció al foc classe Cca-s1b,d1,a1, amb conductor multifilar de coure classe 5 (-K) de 1,5 mm² de secció</t>
  </si>
  <si>
    <t>Cable unipolar ES07Z1-K (AS), reacció al foc classe Cca-s1b,d1,a1, amb conductor multifilar de coure classe 5 (-K) de 1,5 mm² de secció, amb aïllament de compost termoplàstic a força de poliolefina lliure de halògens amb baixa emissió de fums i gasos corrosius (Z1).</t>
  </si>
  <si>
    <t>mt35cun020a</t>
  </si>
  <si>
    <t>Cable unipolar ES07Z1-K (AS), sent la seva tensió assignada de 450/750 V, reacció al foc classe Cca-s1b,d1,a1 segons UNE-EN 50575, amb conductor multifilar de coure classe 5 (-K) de 1,5 mm² de secció, amb aïllament de compost termoplàstic a força de poliolefina lliure de halògens amb baixa emissió de fums i gasos corrosius (Z1). Segons UNE 211025.</t>
  </si>
  <si>
    <t>IAF070</t>
  </si>
  <si>
    <t>Cable rígid U/UTP no propagador de la flama de 4 parells trenats de coure, categoria 6, reacció al foc classe Dca-s2,d2,a2 segons UNE-EN 50575</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</si>
  <si>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Inclús accessoris i elements de subjecció.</t>
  </si>
  <si>
    <t>mt40cpt010c</t>
  </si>
  <si>
    <t>Cable rígid U/UTP no propagador de la flama de 4 parells trenats de coure, categoria 6, reacció al foc classe Dca-s2,d2,a2 segons UNE-EN 50575, amb conductor unifilar de coure, aïllament de polietilè i beina exterior de poliolefina termoplàstica LSFH lliure de halògens, amb baixa emissió de fums i gasos corrosius, de 6,2 mm de diàmetre, segons EN 50288-6-1.</t>
  </si>
  <si>
    <t>mo001</t>
  </si>
  <si>
    <t>Oficial 1ª instal·lador de telecomunicacions.</t>
  </si>
  <si>
    <t>mo056</t>
  </si>
  <si>
    <t>Ajudant instal·lador de telecomunicacions.</t>
  </si>
  <si>
    <t>IEH011FV</t>
  </si>
  <si>
    <t>IEH010R</t>
  </si>
  <si>
    <t>Embarrat</t>
  </si>
  <si>
    <t>IEO01</t>
  </si>
  <si>
    <t>Canalitzacions</t>
  </si>
  <si>
    <t>IEO037</t>
  </si>
  <si>
    <t>Safata galvanitzada en calent REJIBAND 60X60 GC C7 o equivalent, resistència a la corrosió Classe 7, amb tapa</t>
  </si>
  <si>
    <t>Safata galvanitzada en calent REJIBAND 60X60 GC C7 o equivalent, resistència a la corrosió Classe 7</t>
  </si>
  <si>
    <t>60x60</t>
  </si>
  <si>
    <t>tap60</t>
  </si>
  <si>
    <t>Tapa recta xapa 60</t>
  </si>
  <si>
    <t>IEO036</t>
  </si>
  <si>
    <t>Safata galvanitzada en calent REJIBAND 60X100 GC C7 o equivalent, resistència a la corrosió Classe 7, amb tapa</t>
  </si>
  <si>
    <t>Safata galvanitzada en calent REJIBAND 60X100 GC C7 o equivalent, resistència a la corrosió Classe 7</t>
  </si>
  <si>
    <t>60x100</t>
  </si>
  <si>
    <t>tap100_rej</t>
  </si>
  <si>
    <t>Tapa recta xapa 100 per safata tipus REJIBAND</t>
  </si>
  <si>
    <t>IEO010</t>
  </si>
  <si>
    <t>Canalització per baixants existents i sostre tècnic. DN50</t>
  </si>
  <si>
    <t>Canalització de tub corbable de poliamida, exempt d'halògens, transversalment elàstic, corrugat, de color gris, de 50 mm de diàmetre nominal, resistència a la compressió 320 N, amb grau de protecció IP547. Instal·lació encastada en element de construcció d'obra de fàbrica.</t>
  </si>
  <si>
    <t>mt35aia030f</t>
  </si>
  <si>
    <t>Tub corbable de poliamida, exempt d'halògens, transversalment elàstic, corrugat, de color gris, de 50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</si>
  <si>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IEO010b</t>
  </si>
  <si>
    <t>Canalització de poliamida DN 25 per connexions exteriors</t>
  </si>
  <si>
    <t>Canalització de tub corbable de poliamida, exempt d'halògens, transversalment elàstic, corrugat, de color gris, de 25 mm de diàmetre nominal, resistència a la compressió 320 N, amb grau de protecció IP547. Instal·lació encastada en element de construcció d'obra de fàbrica.</t>
  </si>
  <si>
    <t>mt35aia030c</t>
  </si>
  <si>
    <t>Tub corbable de poliamida, exempt d'halògens, transversalment elàstic, corrugat, de color gris, de 25 mm de diàmetre nominal, per a instal·lacions elèctriques en edificis públics i per a evitar emissions de fum i gasos àcids. Resistència a la compressió 320 N, resistència a l'impacte 2 joules, temperatura de treball -5°C fins 90°C, amb grau de protecció IP547 segons UNE 20324, no propagador de la flama. Segons UNE-EN 61386-1 i UNE-EN 61386-22.</t>
  </si>
  <si>
    <t>IEP01</t>
  </si>
  <si>
    <t>Connexió a terra per la instal·lació fotovoltaica</t>
  </si>
  <si>
    <t>IEH010e</t>
  </si>
  <si>
    <t>Cable unipolar H07V-K, bicolor, sent la seva tensió assignada de 450/750 V, reacció al foc classe Eca, amb conductor multifilar de coure classe 5 (-K) de 10 mm² de secció, amb aïllament de PVC (V).</t>
  </si>
  <si>
    <t>Cable unipolar H07V-K, sent la seva tensió assignada de 450/750 V, reacció al foc classe Eca, amb conductor multifilar de coure classe 5 (-K) de 10 mm² de secció, amb aïllament de PVC (V).</t>
  </si>
  <si>
    <t>mt35cun040ae</t>
  </si>
  <si>
    <t>Cable unipolar H07V-K, sent la seva tensió assignada de 450/750 V, reacció al foc classe Eca segons UNE-EN 50575, amb conductor multifilar de coure classe 5 (-K) de 10 mm² de secció, amb aïllament de PVC (V). Segons UNE 21031-3.</t>
  </si>
  <si>
    <t>IET01</t>
  </si>
  <si>
    <t>Legalització i inscripció de la instal·lació</t>
  </si>
  <si>
    <t>FV_LEG_SE</t>
  </si>
  <si>
    <t>Legalització elèctrica, com a instal·laicó generadora de P&lt;100kW sense excedents. Inclou: Incripció de la instal·lació (RITSIC i registre autoconsum). Justificant i pagament de taxes  (RITSIC i inscripció Autoconsum), Projecte Tècnic i visat. S'inclou també el cost de la inspecció per part d'una entitat col·laboradora de l'administració</t>
  </si>
  <si>
    <t>Y_01</t>
  </si>
  <si>
    <t>Seguretat</t>
  </si>
  <si>
    <t>EB71UC10</t>
  </si>
  <si>
    <t>Ml</t>
  </si>
  <si>
    <t>Cable acer inoxidable</t>
  </si>
  <si>
    <t>Subministre i col.locació de cable d'acer inoxidable 316, de 10 mm de diàmetre i composició 7x19+0, homologat per a línia de vida horitzontal segons UNE_EN 795/A1, fixat als terminals i als elements de suport intermig (separació &lt; 15 m). Inclou tesat, placa de senyalització, mitjans auxiliars i demés elements per una completa instal.lació.</t>
  </si>
  <si>
    <t>A012M000</t>
  </si>
  <si>
    <t>Oficial 1a montador</t>
  </si>
  <si>
    <t>B147UC10</t>
  </si>
  <si>
    <t>Cable d'acer inoxidable 316, de 10 mm de diàmetre i composició 7x19+0, homologat per a línia de vida</t>
  </si>
  <si>
    <t>%ZZ</t>
  </si>
  <si>
    <t>EB71UE30</t>
  </si>
  <si>
    <t>Ut</t>
  </si>
  <si>
    <t>Element extrem línia vida</t>
  </si>
  <si>
    <t>Subministre i col.locació de conjunt d'elements per als dos extrems d'una línia de vida horitzontal fixa, formats per dos terminals d'acer inoxidable, un d'ells amb element amortidor de caigudes, fixats amb cargols d'acer inoxidable, un tensor de forqueta per a regulació del cable i dos terminals de cable amb elements protectors, segons UNE_EN 795/A1. Inclós mitjans auxiliars i demés elements per una completa instal.lació.</t>
  </si>
  <si>
    <t>B147UE30</t>
  </si>
  <si>
    <t>Conjunt d'elements per als dos extrems d'una línia de vida horitzontal fixa</t>
  </si>
  <si>
    <t>B06A63H00</t>
  </si>
  <si>
    <t>Tac químic de diàmetre 12mm, amb cargol, volandera i femella</t>
  </si>
  <si>
    <t>EB71UH20</t>
  </si>
  <si>
    <t>Element suport intermedi</t>
  </si>
  <si>
    <t>Subministre i col.locació d'element de suport intermedi per a línia de vida horitzontal fixa, d'acer inoxidable, fixat amb cargols d'acer inoxidable, segons UNE_EN 795/A1. Inclós mitjans auxiliars i demés elements per una completa instal.lació.</t>
  </si>
  <si>
    <t>A0137000</t>
  </si>
  <si>
    <t>Ajudant col.locador</t>
  </si>
  <si>
    <t>B147UH20</t>
  </si>
  <si>
    <t>Element de suport intermedi per a línia de vida horitzontal fixa, d'acer inoxidable</t>
  </si>
  <si>
    <t>B0A63H00</t>
  </si>
  <si>
    <t>YCX010</t>
  </si>
  <si>
    <t>Conjunt de sistemes de protecció col·lectiva temporals, necessaris per al compliment de la normativa vigent en matèria de Seguretat i Salut en el Treball</t>
  </si>
  <si>
    <t>Conjunt de sistemes de protecció col·lectiva, necessaris per al compliment de la normativa vigent en matèria de Seguretat i Salut en el Treball. Inclús manteniment en condicions segures durant tot el període de temps que es requereixi, reparació o reposició i transport fins al lloc d'emmagatzematge o retirada a contenidor.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</si>
</sst>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s>
  <fills count="7">
    <fill>
      <patternFill patternType="none"/>
    </fill>
    <fill>
      <patternFill patternType="gray125"/>
    </fill>
    <fill>
      <patternFill patternType="solid">
        <fgColor rgb="FFDFFFBF"/>
      </patternFill>
    </fill>
    <fill>
      <patternFill patternType="solid">
        <fgColor rgb="FF269900"/>
      </patternFill>
    </fill>
    <fill>
      <patternFill patternType="solid">
        <fgColor rgb="FF3FB219"/>
      </patternFill>
    </fill>
    <fill>
      <patternFill patternType="solid">
        <fgColor rgb="FF58CB32"/>
      </patternFill>
    </fill>
    <fill>
      <patternFill patternType="solid">
        <fgColor rgb="FF71E44B"/>
      </patternFill>
    </fill>
  </fills>
  <borders count="4">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68">
    <xf numFmtId="0" fontId="0" fillId="0" borderId="0" xfId="0" applyAlignment="1">
      <alignment horizontal="left" vertical="center"/>
    </xf>
    <xf numFmtId="0" fontId="1" fillId="2" borderId="0" xfId="0" applyFont="1" applyFill="1" applyAlignment="1">
      <alignment horizontal="right" vertical="top" wrapText="1"/>
    </xf>
    <xf numFmtId="0" fontId="0" fillId="2" borderId="0" xfId="0" applyFill="1" applyAlignment="1">
      <alignment horizontal="left" vertical="top" wrapText="1"/>
    </xf>
    <xf numFmtId="0" fontId="2" fillId="2" borderId="0" xfId="0" applyFont="1" applyFill="1" applyAlignment="1">
      <alignment horizontal="right" vertical="top" wrapText="1"/>
    </xf>
    <xf numFmtId="0" fontId="2" fillId="0" borderId="0" xfId="0" applyFont="1" applyAlignment="1">
      <alignment horizontal="lef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2" borderId="1" xfId="0" applyFont="1" applyFill="1" applyBorder="1" applyAlignment="1">
      <alignment horizontal="right" vertical="top" wrapText="1"/>
    </xf>
    <xf numFmtId="0" fontId="4" fillId="0" borderId="0" xfId="0" applyFont="1" applyAlignment="1">
      <alignment horizontal="left" vertical="top" wrapText="1"/>
    </xf>
    <xf numFmtId="0" fontId="4" fillId="3" borderId="2" xfId="0" applyFont="1" applyFill="1" applyBorder="1" applyAlignment="1">
      <alignment horizontal="left" vertical="top" wrapText="1"/>
    </xf>
    <xf numFmtId="0" fontId="0" fillId="3" borderId="2" xfId="0" applyFill="1" applyBorder="1" applyAlignment="1">
      <alignment horizontal="left" vertical="top" wrapText="1"/>
    </xf>
    <xf numFmtId="4" fontId="4" fillId="3" borderId="2" xfId="0" applyNumberFormat="1" applyFont="1" applyFill="1" applyBorder="1" applyAlignment="1">
      <alignment horizontal="right" vertical="top" wrapText="1"/>
    </xf>
    <xf numFmtId="0" fontId="4" fillId="4" borderId="0" xfId="0" applyFont="1" applyFill="1" applyAlignment="1">
      <alignment horizontal="left" vertical="top" wrapText="1"/>
    </xf>
    <xf numFmtId="0" fontId="0" fillId="4" borderId="0" xfId="0" applyFill="1" applyAlignment="1">
      <alignment horizontal="left" vertical="top" wrapText="1"/>
    </xf>
    <xf numFmtId="4" fontId="4" fillId="4" borderId="0" xfId="0" applyNumberFormat="1" applyFont="1" applyFill="1" applyAlignment="1">
      <alignment horizontal="right" vertical="top" wrapText="1"/>
    </xf>
    <xf numFmtId="0" fontId="4" fillId="5" borderId="0" xfId="0" applyFont="1" applyFill="1" applyAlignment="1">
      <alignment horizontal="left" vertical="top" wrapText="1"/>
    </xf>
    <xf numFmtId="0" fontId="0" fillId="5" borderId="0" xfId="0" applyFill="1" applyAlignment="1">
      <alignment horizontal="left" vertical="top" wrapText="1"/>
    </xf>
    <xf numFmtId="4" fontId="4" fillId="5" borderId="0" xfId="0" applyNumberFormat="1" applyFont="1" applyFill="1" applyAlignment="1">
      <alignment horizontal="right" vertical="top" wrapText="1"/>
    </xf>
    <xf numFmtId="0" fontId="4" fillId="6" borderId="0" xfId="0" applyFont="1" applyFill="1" applyAlignment="1">
      <alignment horizontal="left" vertical="top" wrapText="1"/>
    </xf>
    <xf numFmtId="0" fontId="0" fillId="6" borderId="0" xfId="0" applyFill="1" applyAlignment="1">
      <alignment horizontal="left" vertical="top" wrapText="1"/>
    </xf>
    <xf numFmtId="4" fontId="4" fillId="6" borderId="0" xfId="0" applyNumberFormat="1" applyFont="1" applyFill="1" applyAlignment="1">
      <alignment horizontal="righ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left" vertical="top" wrapText="1"/>
    </xf>
    <xf numFmtId="164" fontId="4" fillId="0" borderId="1" xfId="0" applyNumberFormat="1" applyFont="1" applyBorder="1" applyAlignment="1">
      <alignment horizontal="right" vertical="top" wrapText="1"/>
    </xf>
    <xf numFmtId="4" fontId="4" fillId="0" borderId="1" xfId="0" applyNumberFormat="1" applyFont="1" applyBorder="1" applyAlignment="1">
      <alignment horizontal="right" vertical="top" wrapText="1"/>
    </xf>
    <xf numFmtId="0" fontId="0" fillId="0" borderId="3" xfId="0" applyBorder="1" applyAlignment="1">
      <alignment horizontal="center" vertical="center" wrapText="1"/>
    </xf>
    <xf numFmtId="0" fontId="4" fillId="6" borderId="3" xfId="0" applyFont="1" applyFill="1" applyBorder="1" applyAlignment="1">
      <alignment horizontal="left" vertical="top" wrapText="1"/>
    </xf>
    <xf numFmtId="0" fontId="0" fillId="6" borderId="3" xfId="0" applyFill="1" applyBorder="1" applyAlignment="1">
      <alignment horizontal="left" vertical="top" wrapText="1"/>
    </xf>
    <xf numFmtId="4" fontId="4" fillId="6" borderId="3" xfId="0" applyNumberFormat="1" applyFont="1" applyFill="1" applyBorder="1" applyAlignment="1">
      <alignment horizontal="right" vertical="top" wrapText="1"/>
    </xf>
    <xf numFmtId="0" fontId="4" fillId="5" borderId="3" xfId="0" applyFont="1" applyFill="1" applyBorder="1" applyAlignment="1">
      <alignment horizontal="left" vertical="top" wrapText="1"/>
    </xf>
    <xf numFmtId="0" fontId="0" fillId="5" borderId="3" xfId="0" applyFill="1" applyBorder="1" applyAlignment="1">
      <alignment horizontal="left" vertical="top" wrapText="1"/>
    </xf>
    <xf numFmtId="4" fontId="4" fillId="5" borderId="3" xfId="0" applyNumberFormat="1" applyFont="1" applyFill="1" applyBorder="1" applyAlignment="1">
      <alignment horizontal="right" vertical="top" wrapText="1"/>
    </xf>
    <xf numFmtId="0" fontId="4" fillId="4" borderId="3" xfId="0" applyFont="1" applyFill="1" applyBorder="1" applyAlignment="1">
      <alignment horizontal="left" vertical="top" wrapText="1"/>
    </xf>
    <xf numFmtId="0" fontId="0" fillId="4" borderId="3" xfId="0" applyFill="1" applyBorder="1" applyAlignment="1">
      <alignment horizontal="left" vertical="top" wrapText="1"/>
    </xf>
    <xf numFmtId="4" fontId="4" fillId="4" borderId="3" xfId="0" applyNumberFormat="1" applyFont="1" applyFill="1" applyBorder="1" applyAlignment="1">
      <alignment horizontal="right" vertical="top" wrapText="1"/>
    </xf>
    <xf numFmtId="0" fontId="4" fillId="4" borderId="2" xfId="0" applyFont="1" applyFill="1" applyBorder="1" applyAlignment="1">
      <alignment horizontal="left" vertical="top" wrapText="1"/>
    </xf>
    <xf numFmtId="0" fontId="0" fillId="4" borderId="2" xfId="0" applyFill="1" applyBorder="1" applyAlignment="1">
      <alignment horizontal="left" vertical="top" wrapText="1"/>
    </xf>
    <xf numFmtId="4" fontId="4" fillId="4" borderId="2" xfId="0" applyNumberFormat="1" applyFont="1" applyFill="1" applyBorder="1" applyAlignment="1">
      <alignment horizontal="right" vertical="top" wrapText="1"/>
    </xf>
    <xf numFmtId="0" fontId="4" fillId="0" borderId="2" xfId="0" applyFont="1" applyBorder="1" applyAlignment="1">
      <alignment horizontal="left" vertical="top" wrapText="1"/>
    </xf>
    <xf numFmtId="0" fontId="2" fillId="0" borderId="2" xfId="0" applyFont="1" applyBorder="1" applyAlignment="1">
      <alignment horizontal="left" vertical="top" wrapText="1"/>
    </xf>
    <xf numFmtId="164" fontId="2" fillId="0" borderId="2" xfId="0" applyNumberFormat="1" applyFont="1" applyBorder="1" applyAlignment="1">
      <alignment horizontal="right" vertical="top" wrapText="1"/>
    </xf>
    <xf numFmtId="4" fontId="2" fillId="0" borderId="2" xfId="0" applyNumberFormat="1" applyFont="1" applyBorder="1" applyAlignment="1">
      <alignment horizontal="right" vertical="top" wrapText="1"/>
    </xf>
    <xf numFmtId="0" fontId="4" fillId="6" borderId="1" xfId="0" applyFont="1" applyFill="1" applyBorder="1" applyAlignment="1">
      <alignment horizontal="left" vertical="top" wrapText="1"/>
    </xf>
    <xf numFmtId="0" fontId="0" fillId="6" borderId="1" xfId="0" applyFill="1" applyBorder="1" applyAlignment="1">
      <alignment horizontal="left" vertical="top" wrapText="1"/>
    </xf>
    <xf numFmtId="4" fontId="4" fillId="6" borderId="1" xfId="0" applyNumberFormat="1" applyFont="1" applyFill="1" applyBorder="1" applyAlignment="1">
      <alignment horizontal="right" vertical="top" wrapText="1"/>
    </xf>
    <xf numFmtId="0" fontId="4" fillId="6" borderId="2" xfId="0" applyFont="1" applyFill="1" applyBorder="1" applyAlignment="1">
      <alignment horizontal="left" vertical="top" wrapText="1"/>
    </xf>
    <xf numFmtId="0" fontId="0" fillId="6" borderId="2" xfId="0" applyFill="1" applyBorder="1" applyAlignment="1">
      <alignment horizontal="left" vertical="top" wrapText="1"/>
    </xf>
    <xf numFmtId="4" fontId="4" fillId="6" borderId="2"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0" fillId="4" borderId="1" xfId="0" applyFill="1" applyBorder="1" applyAlignment="1">
      <alignment horizontal="left" vertical="top" wrapText="1"/>
    </xf>
    <xf numFmtId="4" fontId="4" fillId="4" borderId="1" xfId="0" applyNumberFormat="1" applyFont="1" applyFill="1" applyBorder="1" applyAlignment="1">
      <alignment horizontal="right" vertical="top" wrapText="1"/>
    </xf>
    <xf numFmtId="0" fontId="4" fillId="3" borderId="3" xfId="0" applyFont="1" applyFill="1" applyBorder="1" applyAlignment="1">
      <alignment horizontal="left" vertical="top" wrapText="1"/>
    </xf>
    <xf numFmtId="0" fontId="0" fillId="3" borderId="3" xfId="0" applyFill="1" applyBorder="1" applyAlignment="1">
      <alignment horizontal="left" vertical="top" wrapText="1"/>
    </xf>
    <xf numFmtId="4" fontId="4" fillId="3" borderId="3" xfId="0" applyNumberFormat="1" applyFont="1" applyFill="1" applyBorder="1" applyAlignment="1">
      <alignment horizontal="right" vertical="top" wrapText="1"/>
    </xf>
    <xf numFmtId="0" fontId="2" fillId="0" borderId="0" xfId="0" applyFont="1" applyAlignment="1">
      <alignment vertical="top" wrapText="1"/>
    </xf>
    <xf numFmtId="0" fontId="2" fillId="0" borderId="2" xfId="0" applyFont="1" applyBorder="1" applyAlignment="1">
      <alignment vertical="top" wrapText="1"/>
    </xf>
    <xf numFmtId="0" fontId="4" fillId="4" borderId="2" xfId="0" applyFont="1" applyFill="1" applyBorder="1" applyAlignment="1">
      <alignment vertical="top" wrapText="1"/>
    </xf>
    <xf numFmtId="0" fontId="4" fillId="6" borderId="2" xfId="0" applyFont="1" applyFill="1" applyBorder="1" applyAlignment="1">
      <alignment vertical="top" wrapText="1"/>
    </xf>
    <xf numFmtId="0" fontId="4" fillId="5" borderId="0" xfId="0" applyFont="1" applyFill="1" applyAlignment="1">
      <alignment vertical="top" wrapText="1"/>
    </xf>
    <xf numFmtId="0" fontId="4" fillId="6" borderId="0" xfId="0" applyFont="1" applyFill="1" applyAlignment="1">
      <alignment vertical="top" wrapText="1"/>
    </xf>
    <xf numFmtId="0" fontId="1" fillId="2" borderId="0" xfId="0" applyFont="1" applyFill="1" applyAlignment="1">
      <alignment vertical="top" wrapText="1"/>
    </xf>
    <xf numFmtId="0" fontId="4" fillId="3" borderId="2" xfId="0" applyFont="1" applyFill="1" applyBorder="1" applyAlignment="1">
      <alignment vertical="top" wrapText="1"/>
    </xf>
    <xf numFmtId="0" fontId="4" fillId="4" borderId="0" xfId="0" applyFont="1" applyFill="1" applyAlignment="1">
      <alignment vertical="top" wrapText="1"/>
    </xf>
    <xf numFmtId="0" fontId="1" fillId="2" borderId="0" xfId="0" applyFont="1"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25"/>
  <sheetViews>
    <sheetView tabSelected="1" view="pageLayout" workbookViewId="0">
      <selection activeCell="D6" sqref="D6"/>
    </sheetView>
  </sheetViews>
  <sheetFormatPr defaultColWidth="11.19921875" defaultRowHeight="15"/>
  <cols>
    <col min="1" max="1" width="7.3984375" customWidth="1"/>
    <col min="2" max="2" width="6.59765625" customWidth="1"/>
    <col min="3" max="3" width="2.3984375" bestFit="1" customWidth="1"/>
    <col min="4" max="4" width="31.3984375" customWidth="1"/>
    <col min="5" max="5" width="10.296875" hidden="1" customWidth="1"/>
    <col min="6" max="7" width="5.59765625" hidden="1" customWidth="1"/>
    <col min="8" max="8" width="5.69921875" hidden="1" customWidth="1"/>
    <col min="9" max="9" width="4.8984375" hidden="1" customWidth="1"/>
    <col min="10" max="10" width="6.19921875" hidden="1" customWidth="1"/>
    <col min="11" max="11" width="6" bestFit="1" customWidth="1"/>
    <col min="12" max="12" width="6.5" bestFit="1" customWidth="1"/>
    <col min="13" max="13" width="6.296875" bestFit="1" customWidth="1"/>
  </cols>
  <sheetData>
    <row r="1" spans="1:13" ht="30" customHeight="1">
      <c r="A1" s="1" t="s">
        <v>0</v>
      </c>
      <c r="B1" s="67" t="s">
        <v>1</v>
      </c>
      <c r="C1" s="67"/>
      <c r="D1" s="67"/>
      <c r="E1" s="67"/>
      <c r="F1" s="67"/>
      <c r="G1" s="67"/>
      <c r="H1" s="67"/>
      <c r="I1" s="67"/>
      <c r="J1" s="67"/>
      <c r="K1" s="67"/>
      <c r="L1" s="67"/>
      <c r="M1" s="67"/>
    </row>
    <row r="2" spans="1:13" ht="25.5">
      <c r="A2" s="64" t="s">
        <v>2</v>
      </c>
      <c r="B2" s="64"/>
      <c r="C2" s="64"/>
      <c r="D2" s="2"/>
      <c r="E2" s="2"/>
      <c r="F2" s="2"/>
      <c r="G2" s="2"/>
      <c r="H2" s="2"/>
      <c r="I2" s="2"/>
      <c r="J2" s="2"/>
      <c r="K2" s="2"/>
      <c r="L2" s="3" t="s">
        <v>3</v>
      </c>
      <c r="M2" s="5">
        <v>3</v>
      </c>
    </row>
    <row r="3" spans="1:13">
      <c r="A3" s="6" t="s">
        <v>4</v>
      </c>
      <c r="B3" s="6" t="s">
        <v>5</v>
      </c>
      <c r="C3" s="6" t="s">
        <v>6</v>
      </c>
      <c r="D3" s="6" t="s">
        <v>7</v>
      </c>
      <c r="E3" s="7"/>
      <c r="F3" s="7"/>
      <c r="G3" s="7"/>
      <c r="H3" s="7"/>
      <c r="I3" s="7"/>
      <c r="J3" s="7"/>
      <c r="K3" s="8" t="s">
        <v>8</v>
      </c>
      <c r="L3" s="8" t="s">
        <v>9</v>
      </c>
      <c r="M3" s="8" t="s">
        <v>10</v>
      </c>
    </row>
    <row r="4" spans="1:13" ht="45">
      <c r="A4" s="10" t="s">
        <v>11</v>
      </c>
      <c r="B4" s="10" t="s">
        <v>12</v>
      </c>
      <c r="C4" s="11"/>
      <c r="D4" s="65" t="s">
        <v>1</v>
      </c>
      <c r="E4" s="65"/>
      <c r="F4" s="65"/>
      <c r="G4" s="65"/>
      <c r="H4" s="65"/>
      <c r="I4" s="65"/>
      <c r="J4" s="65"/>
      <c r="K4" s="11"/>
      <c r="L4" s="12">
        <f>L225</f>
        <v>72454.8</v>
      </c>
      <c r="M4" s="12">
        <f>ROUND(L4,2)</f>
        <v>72454.8</v>
      </c>
    </row>
    <row r="5" spans="1:13">
      <c r="A5" s="13" t="s">
        <v>13</v>
      </c>
      <c r="B5" s="13" t="s">
        <v>12</v>
      </c>
      <c r="C5" s="14"/>
      <c r="D5" s="66" t="s">
        <v>14</v>
      </c>
      <c r="E5" s="66"/>
      <c r="F5" s="66"/>
      <c r="G5" s="66"/>
      <c r="H5" s="66"/>
      <c r="I5" s="66"/>
      <c r="J5" s="66"/>
      <c r="K5" s="14"/>
      <c r="L5" s="15">
        <f>L15</f>
        <v>1523.37</v>
      </c>
      <c r="M5" s="15">
        <f>ROUND(L5,2)</f>
        <v>1523.37</v>
      </c>
    </row>
    <row r="6" spans="1:13">
      <c r="A6" s="16" t="s">
        <v>15</v>
      </c>
      <c r="B6" s="16" t="s">
        <v>12</v>
      </c>
      <c r="C6" s="17"/>
      <c r="D6" s="62" t="s">
        <v>16</v>
      </c>
      <c r="E6" s="62"/>
      <c r="F6" s="62"/>
      <c r="G6" s="62"/>
      <c r="H6" s="62"/>
      <c r="I6" s="62"/>
      <c r="J6" s="62"/>
      <c r="K6" s="17"/>
      <c r="L6" s="18">
        <f>L14</f>
        <v>1523.37</v>
      </c>
      <c r="M6" s="18">
        <f>ROUND(L6,2)</f>
        <v>1523.37</v>
      </c>
    </row>
    <row r="7" spans="1:13">
      <c r="A7" s="19" t="s">
        <v>17</v>
      </c>
      <c r="B7" s="19" t="s">
        <v>12</v>
      </c>
      <c r="C7" s="20"/>
      <c r="D7" s="63" t="s">
        <v>18</v>
      </c>
      <c r="E7" s="63"/>
      <c r="F7" s="63"/>
      <c r="G7" s="63"/>
      <c r="H7" s="63"/>
      <c r="I7" s="63"/>
      <c r="J7" s="63"/>
      <c r="K7" s="20"/>
      <c r="L7" s="21">
        <f>L13</f>
        <v>1523.37</v>
      </c>
      <c r="M7" s="21">
        <f>ROUND(L7,2)</f>
        <v>1523.37</v>
      </c>
    </row>
    <row r="8" spans="1:13">
      <c r="A8" s="9" t="s">
        <v>19</v>
      </c>
      <c r="B8" s="4" t="s">
        <v>20</v>
      </c>
      <c r="C8" s="4" t="s">
        <v>6</v>
      </c>
      <c r="D8" s="58" t="s">
        <v>21</v>
      </c>
      <c r="E8" s="58"/>
      <c r="F8" s="58"/>
      <c r="G8" s="58"/>
      <c r="H8" s="58"/>
      <c r="I8" s="58"/>
      <c r="J8" s="58"/>
      <c r="K8" s="22">
        <f>ROUND(1,2)</f>
        <v>1</v>
      </c>
      <c r="L8" s="23">
        <f>L12</f>
        <v>1523.37</v>
      </c>
      <c r="M8" s="23">
        <f>ROUND(K8*L8,2)</f>
        <v>1523.37</v>
      </c>
    </row>
    <row r="9" spans="1:13">
      <c r="A9" s="24"/>
      <c r="B9" s="24"/>
      <c r="C9" s="24"/>
      <c r="D9" s="58" t="s">
        <v>22</v>
      </c>
      <c r="E9" s="58"/>
      <c r="F9" s="58"/>
      <c r="G9" s="58"/>
      <c r="H9" s="58"/>
      <c r="I9" s="58"/>
      <c r="J9" s="58"/>
      <c r="K9" s="58"/>
      <c r="L9" s="58"/>
      <c r="M9" s="58"/>
    </row>
    <row r="10" spans="1:13" ht="45">
      <c r="A10" s="4" t="s">
        <v>23</v>
      </c>
      <c r="B10" s="4" t="s">
        <v>24</v>
      </c>
      <c r="C10" s="4" t="s">
        <v>6</v>
      </c>
      <c r="D10" s="58" t="s">
        <v>25</v>
      </c>
      <c r="E10" s="58"/>
      <c r="F10" s="58"/>
      <c r="G10" s="58"/>
      <c r="H10" s="58"/>
      <c r="I10" s="58"/>
      <c r="J10" s="58"/>
      <c r="K10" s="22">
        <v>1</v>
      </c>
      <c r="L10" s="22">
        <f>ROUND(1450,3)</f>
        <v>1450</v>
      </c>
      <c r="M10" s="23">
        <f>ROUND(K10*L10,2)</f>
        <v>1450</v>
      </c>
    </row>
    <row r="11" spans="1:13">
      <c r="A11" s="4" t="s">
        <v>26</v>
      </c>
      <c r="B11" s="4"/>
      <c r="C11" s="4" t="s">
        <v>26</v>
      </c>
      <c r="D11" s="58" t="s">
        <v>27</v>
      </c>
      <c r="E11" s="58"/>
      <c r="F11" s="58"/>
      <c r="G11" s="58"/>
      <c r="H11" s="58"/>
      <c r="I11" s="58"/>
      <c r="J11" s="58"/>
      <c r="K11" s="22">
        <v>2</v>
      </c>
      <c r="L11" s="22">
        <f>ROUND(1450,3)</f>
        <v>1450</v>
      </c>
      <c r="M11" s="23">
        <f>ROUND((K11*L11)/100,2)</f>
        <v>29</v>
      </c>
    </row>
    <row r="12" spans="1:13">
      <c r="A12" s="25"/>
      <c r="B12" s="25"/>
      <c r="C12" s="25"/>
      <c r="D12" s="26" t="s">
        <v>19</v>
      </c>
      <c r="E12" s="25"/>
      <c r="F12" s="25"/>
      <c r="G12" s="25"/>
      <c r="H12" s="25"/>
      <c r="I12" s="25"/>
      <c r="J12" s="25"/>
      <c r="K12" s="27">
        <v>1</v>
      </c>
      <c r="L12" s="28">
        <f>ROUND((M10+M11)*(1+M2/100),2)</f>
        <v>1523.37</v>
      </c>
      <c r="M12" s="28">
        <f>ROUND(K12*L12,2)</f>
        <v>1523.37</v>
      </c>
    </row>
    <row r="13" spans="1:13">
      <c r="A13" s="29"/>
      <c r="B13" s="29"/>
      <c r="C13" s="29"/>
      <c r="D13" s="30" t="s">
        <v>17</v>
      </c>
      <c r="E13" s="31"/>
      <c r="F13" s="31"/>
      <c r="G13" s="31"/>
      <c r="H13" s="31"/>
      <c r="I13" s="31"/>
      <c r="J13" s="31"/>
      <c r="K13" s="31"/>
      <c r="L13" s="32">
        <f>M8</f>
        <v>1523.37</v>
      </c>
      <c r="M13" s="32">
        <f t="shared" ref="M13:M18" si="0">ROUND(L13,2)</f>
        <v>1523.37</v>
      </c>
    </row>
    <row r="14" spans="1:13">
      <c r="A14" s="29"/>
      <c r="B14" s="29"/>
      <c r="C14" s="29"/>
      <c r="D14" s="33" t="s">
        <v>15</v>
      </c>
      <c r="E14" s="34"/>
      <c r="F14" s="34"/>
      <c r="G14" s="34"/>
      <c r="H14" s="34"/>
      <c r="I14" s="34"/>
      <c r="J14" s="34"/>
      <c r="K14" s="34"/>
      <c r="L14" s="35">
        <f>M13</f>
        <v>1523.37</v>
      </c>
      <c r="M14" s="35">
        <f t="shared" si="0"/>
        <v>1523.37</v>
      </c>
    </row>
    <row r="15" spans="1:13">
      <c r="A15" s="29"/>
      <c r="B15" s="29"/>
      <c r="C15" s="29"/>
      <c r="D15" s="36" t="s">
        <v>13</v>
      </c>
      <c r="E15" s="37"/>
      <c r="F15" s="37"/>
      <c r="G15" s="37"/>
      <c r="H15" s="37"/>
      <c r="I15" s="37"/>
      <c r="J15" s="37"/>
      <c r="K15" s="37"/>
      <c r="L15" s="38">
        <f>M14</f>
        <v>1523.37</v>
      </c>
      <c r="M15" s="38">
        <f t="shared" si="0"/>
        <v>1523.37</v>
      </c>
    </row>
    <row r="16" spans="1:13" ht="22.5">
      <c r="A16" s="39" t="s">
        <v>28</v>
      </c>
      <c r="B16" s="39" t="s">
        <v>12</v>
      </c>
      <c r="C16" s="40"/>
      <c r="D16" s="60" t="s">
        <v>29</v>
      </c>
      <c r="E16" s="60"/>
      <c r="F16" s="60"/>
      <c r="G16" s="60"/>
      <c r="H16" s="60"/>
      <c r="I16" s="60"/>
      <c r="J16" s="60"/>
      <c r="K16" s="40"/>
      <c r="L16" s="41">
        <f>L196</f>
        <v>61468.800000000003</v>
      </c>
      <c r="M16" s="41">
        <f t="shared" si="0"/>
        <v>61468.800000000003</v>
      </c>
    </row>
    <row r="17" spans="1:13">
      <c r="A17" s="16" t="s">
        <v>30</v>
      </c>
      <c r="B17" s="16" t="s">
        <v>12</v>
      </c>
      <c r="C17" s="17"/>
      <c r="D17" s="62" t="s">
        <v>31</v>
      </c>
      <c r="E17" s="62"/>
      <c r="F17" s="62"/>
      <c r="G17" s="62"/>
      <c r="H17" s="62"/>
      <c r="I17" s="62"/>
      <c r="J17" s="62"/>
      <c r="K17" s="17"/>
      <c r="L17" s="18">
        <f>L195</f>
        <v>61468.799999999996</v>
      </c>
      <c r="M17" s="18">
        <f t="shared" si="0"/>
        <v>61468.800000000003</v>
      </c>
    </row>
    <row r="18" spans="1:13">
      <c r="A18" s="19" t="s">
        <v>32</v>
      </c>
      <c r="B18" s="19" t="s">
        <v>12</v>
      </c>
      <c r="C18" s="20"/>
      <c r="D18" s="63" t="s">
        <v>33</v>
      </c>
      <c r="E18" s="63"/>
      <c r="F18" s="63"/>
      <c r="G18" s="63"/>
      <c r="H18" s="63"/>
      <c r="I18" s="63"/>
      <c r="J18" s="63"/>
      <c r="K18" s="20"/>
      <c r="L18" s="21">
        <f>L51</f>
        <v>36799.979999999996</v>
      </c>
      <c r="M18" s="21">
        <f t="shared" si="0"/>
        <v>36799.980000000003</v>
      </c>
    </row>
    <row r="19" spans="1:13" ht="45">
      <c r="A19" s="9" t="s">
        <v>34</v>
      </c>
      <c r="B19" s="4" t="s">
        <v>20</v>
      </c>
      <c r="C19" s="4" t="s">
        <v>6</v>
      </c>
      <c r="D19" s="58" t="s">
        <v>35</v>
      </c>
      <c r="E19" s="58"/>
      <c r="F19" s="58"/>
      <c r="G19" s="58"/>
      <c r="H19" s="58"/>
      <c r="I19" s="58"/>
      <c r="J19" s="58"/>
      <c r="K19" s="22">
        <f>ROUND(1,2)</f>
        <v>1</v>
      </c>
      <c r="L19" s="23">
        <f>L25</f>
        <v>11983.55</v>
      </c>
      <c r="M19" s="23">
        <f>ROUND(K19*L19,2)</f>
        <v>11983.55</v>
      </c>
    </row>
    <row r="20" spans="1:13" ht="213.75">
      <c r="A20" s="24"/>
      <c r="B20" s="24"/>
      <c r="C20" s="24"/>
      <c r="D20" s="58" t="s">
        <v>36</v>
      </c>
      <c r="E20" s="58"/>
      <c r="F20" s="58"/>
      <c r="G20" s="58"/>
      <c r="H20" s="58"/>
      <c r="I20" s="58"/>
      <c r="J20" s="58"/>
      <c r="K20" s="58"/>
      <c r="L20" s="58"/>
      <c r="M20" s="58"/>
    </row>
    <row r="21" spans="1:13" ht="45">
      <c r="A21" s="4" t="s">
        <v>37</v>
      </c>
      <c r="B21" s="4" t="s">
        <v>38</v>
      </c>
      <c r="C21" s="4" t="s">
        <v>6</v>
      </c>
      <c r="D21" s="58" t="s">
        <v>35</v>
      </c>
      <c r="E21" s="58"/>
      <c r="F21" s="58"/>
      <c r="G21" s="58"/>
      <c r="H21" s="58"/>
      <c r="I21" s="58"/>
      <c r="J21" s="58"/>
      <c r="K21" s="22">
        <v>1</v>
      </c>
      <c r="L21" s="22">
        <f>ROUND(9482.88,3)</f>
        <v>9482.8799999999992</v>
      </c>
      <c r="M21" s="23">
        <f>ROUND(K21*L21,2)</f>
        <v>9482.8799999999992</v>
      </c>
    </row>
    <row r="22" spans="1:13">
      <c r="A22" s="4" t="s">
        <v>39</v>
      </c>
      <c r="B22" s="4" t="s">
        <v>40</v>
      </c>
      <c r="C22" s="4" t="s">
        <v>41</v>
      </c>
      <c r="D22" s="58" t="s">
        <v>42</v>
      </c>
      <c r="E22" s="58"/>
      <c r="F22" s="58"/>
      <c r="G22" s="58"/>
      <c r="H22" s="58"/>
      <c r="I22" s="58"/>
      <c r="J22" s="58"/>
      <c r="K22" s="22">
        <v>50</v>
      </c>
      <c r="L22" s="22">
        <f>ROUND(20.76,3)</f>
        <v>20.76</v>
      </c>
      <c r="M22" s="23">
        <f>ROUND(K22*L22,2)</f>
        <v>1038</v>
      </c>
    </row>
    <row r="23" spans="1:13">
      <c r="A23" s="4" t="s">
        <v>43</v>
      </c>
      <c r="B23" s="4" t="s">
        <v>40</v>
      </c>
      <c r="C23" s="4" t="s">
        <v>41</v>
      </c>
      <c r="D23" s="58" t="s">
        <v>44</v>
      </c>
      <c r="E23" s="58"/>
      <c r="F23" s="58"/>
      <c r="G23" s="58"/>
      <c r="H23" s="58"/>
      <c r="I23" s="58"/>
      <c r="J23" s="58"/>
      <c r="K23" s="22">
        <v>50</v>
      </c>
      <c r="L23" s="22">
        <f>ROUND(17.71,3)</f>
        <v>17.71</v>
      </c>
      <c r="M23" s="23">
        <f>ROUND(K23*L23,2)</f>
        <v>885.5</v>
      </c>
    </row>
    <row r="24" spans="1:13">
      <c r="A24" s="4" t="s">
        <v>26</v>
      </c>
      <c r="B24" s="4"/>
      <c r="C24" s="4" t="s">
        <v>26</v>
      </c>
      <c r="D24" s="58" t="s">
        <v>27</v>
      </c>
      <c r="E24" s="58"/>
      <c r="F24" s="58"/>
      <c r="G24" s="58"/>
      <c r="H24" s="58"/>
      <c r="I24" s="58"/>
      <c r="J24" s="58"/>
      <c r="K24" s="22">
        <v>2</v>
      </c>
      <c r="L24" s="22">
        <f>ROUND(11406.38,3)</f>
        <v>11406.38</v>
      </c>
      <c r="M24" s="23">
        <f>ROUND((K24*L24)/100,2)</f>
        <v>228.13</v>
      </c>
    </row>
    <row r="25" spans="1:13">
      <c r="A25" s="25"/>
      <c r="B25" s="25"/>
      <c r="C25" s="25"/>
      <c r="D25" s="26" t="s">
        <v>34</v>
      </c>
      <c r="E25" s="25"/>
      <c r="F25" s="25"/>
      <c r="G25" s="25"/>
      <c r="H25" s="25"/>
      <c r="I25" s="25"/>
      <c r="J25" s="25"/>
      <c r="K25" s="27">
        <v>1</v>
      </c>
      <c r="L25" s="28">
        <f>ROUND((M21+M22+M23+M24)*(1+M2/100),2)</f>
        <v>11983.55</v>
      </c>
      <c r="M25" s="28">
        <f>ROUND(K25*L25,2)</f>
        <v>11983.55</v>
      </c>
    </row>
    <row r="26" spans="1:13">
      <c r="A26" s="42" t="s">
        <v>45</v>
      </c>
      <c r="B26" s="43" t="s">
        <v>20</v>
      </c>
      <c r="C26" s="43" t="s">
        <v>46</v>
      </c>
      <c r="D26" s="59" t="s">
        <v>47</v>
      </c>
      <c r="E26" s="59"/>
      <c r="F26" s="59"/>
      <c r="G26" s="59"/>
      <c r="H26" s="59"/>
      <c r="I26" s="59"/>
      <c r="J26" s="59"/>
      <c r="K26" s="44">
        <f>ROUND(53.5,2)</f>
        <v>53.5</v>
      </c>
      <c r="L26" s="45">
        <f>L32</f>
        <v>3.33</v>
      </c>
      <c r="M26" s="45">
        <f>ROUND(K26*L26,2)</f>
        <v>178.16</v>
      </c>
    </row>
    <row r="27" spans="1:13" ht="78.75">
      <c r="A27" s="24"/>
      <c r="B27" s="24"/>
      <c r="C27" s="24"/>
      <c r="D27" s="58" t="s">
        <v>48</v>
      </c>
      <c r="E27" s="58"/>
      <c r="F27" s="58"/>
      <c r="G27" s="58"/>
      <c r="H27" s="58"/>
      <c r="I27" s="58"/>
      <c r="J27" s="58"/>
      <c r="K27" s="58"/>
      <c r="L27" s="58"/>
      <c r="M27" s="58"/>
    </row>
    <row r="28" spans="1:13" ht="78.75">
      <c r="A28" s="4" t="s">
        <v>49</v>
      </c>
      <c r="B28" s="4" t="s">
        <v>38</v>
      </c>
      <c r="C28" s="4" t="s">
        <v>46</v>
      </c>
      <c r="D28" s="58" t="s">
        <v>50</v>
      </c>
      <c r="E28" s="58"/>
      <c r="F28" s="58"/>
      <c r="G28" s="58"/>
      <c r="H28" s="58"/>
      <c r="I28" s="58"/>
      <c r="J28" s="58"/>
      <c r="K28" s="22">
        <v>1.1000000000000001</v>
      </c>
      <c r="L28" s="22">
        <f>ROUND(2.3,3)</f>
        <v>2.2999999999999998</v>
      </c>
      <c r="M28" s="23">
        <f>ROUND(K28*L28,2)</f>
        <v>2.5299999999999998</v>
      </c>
    </row>
    <row r="29" spans="1:13">
      <c r="A29" s="4" t="s">
        <v>39</v>
      </c>
      <c r="B29" s="4" t="s">
        <v>40</v>
      </c>
      <c r="C29" s="4" t="s">
        <v>41</v>
      </c>
      <c r="D29" s="58" t="s">
        <v>42</v>
      </c>
      <c r="E29" s="58"/>
      <c r="F29" s="58"/>
      <c r="G29" s="58"/>
      <c r="H29" s="58"/>
      <c r="I29" s="58"/>
      <c r="J29" s="58"/>
      <c r="K29" s="22">
        <v>1.0999999999999999E-2</v>
      </c>
      <c r="L29" s="22">
        <f>ROUND(20.76,3)</f>
        <v>20.76</v>
      </c>
      <c r="M29" s="23">
        <f>ROUND(K29*L29,2)</f>
        <v>0.23</v>
      </c>
    </row>
    <row r="30" spans="1:13">
      <c r="A30" s="4" t="s">
        <v>43</v>
      </c>
      <c r="B30" s="4" t="s">
        <v>40</v>
      </c>
      <c r="C30" s="4" t="s">
        <v>41</v>
      </c>
      <c r="D30" s="58" t="s">
        <v>44</v>
      </c>
      <c r="E30" s="58"/>
      <c r="F30" s="58"/>
      <c r="G30" s="58"/>
      <c r="H30" s="58"/>
      <c r="I30" s="58"/>
      <c r="J30" s="58"/>
      <c r="K30" s="22">
        <v>2.3E-2</v>
      </c>
      <c r="L30" s="22">
        <f>ROUND(17.71,3)</f>
        <v>17.71</v>
      </c>
      <c r="M30" s="23">
        <f>ROUND(K30*L30,2)</f>
        <v>0.41</v>
      </c>
    </row>
    <row r="31" spans="1:13">
      <c r="A31" s="4" t="s">
        <v>26</v>
      </c>
      <c r="B31" s="4"/>
      <c r="C31" s="4" t="s">
        <v>26</v>
      </c>
      <c r="D31" s="58" t="s">
        <v>27</v>
      </c>
      <c r="E31" s="58"/>
      <c r="F31" s="58"/>
      <c r="G31" s="58"/>
      <c r="H31" s="58"/>
      <c r="I31" s="58"/>
      <c r="J31" s="58"/>
      <c r="K31" s="22">
        <v>2</v>
      </c>
      <c r="L31" s="22">
        <f>ROUND(3.17,3)</f>
        <v>3.17</v>
      </c>
      <c r="M31" s="23">
        <f>ROUND((K31*L31)/100,2)</f>
        <v>0.06</v>
      </c>
    </row>
    <row r="32" spans="1:13">
      <c r="A32" s="25"/>
      <c r="B32" s="25"/>
      <c r="C32" s="25"/>
      <c r="D32" s="26" t="s">
        <v>45</v>
      </c>
      <c r="E32" s="25"/>
      <c r="F32" s="25"/>
      <c r="G32" s="25"/>
      <c r="H32" s="25"/>
      <c r="I32" s="25"/>
      <c r="J32" s="25"/>
      <c r="K32" s="27">
        <v>53.5</v>
      </c>
      <c r="L32" s="28">
        <f>ROUND((M28+M29+M30+M31)*(1+M2/100),2)</f>
        <v>3.33</v>
      </c>
      <c r="M32" s="28">
        <f>ROUND(K32*L32,2)</f>
        <v>178.16</v>
      </c>
    </row>
    <row r="33" spans="1:13" ht="33.75">
      <c r="A33" s="42" t="s">
        <v>51</v>
      </c>
      <c r="B33" s="43" t="s">
        <v>20</v>
      </c>
      <c r="C33" s="43" t="s">
        <v>6</v>
      </c>
      <c r="D33" s="59" t="s">
        <v>52</v>
      </c>
      <c r="E33" s="59"/>
      <c r="F33" s="59"/>
      <c r="G33" s="59"/>
      <c r="H33" s="59"/>
      <c r="I33" s="59"/>
      <c r="J33" s="59"/>
      <c r="K33" s="44">
        <f>ROUND(220,2)</f>
        <v>220</v>
      </c>
      <c r="L33" s="45">
        <f>L39</f>
        <v>84.96</v>
      </c>
      <c r="M33" s="45">
        <f>ROUND(K33*L33,2)</f>
        <v>18691.2</v>
      </c>
    </row>
    <row r="34" spans="1:13" ht="78.75">
      <c r="A34" s="24"/>
      <c r="B34" s="24"/>
      <c r="C34" s="24"/>
      <c r="D34" s="58" t="s">
        <v>53</v>
      </c>
      <c r="E34" s="58"/>
      <c r="F34" s="58"/>
      <c r="G34" s="58"/>
      <c r="H34" s="58"/>
      <c r="I34" s="58"/>
      <c r="J34" s="58"/>
      <c r="K34" s="58"/>
      <c r="L34" s="58"/>
      <c r="M34" s="58"/>
    </row>
    <row r="35" spans="1:13" ht="33.75">
      <c r="A35" s="4" t="s">
        <v>54</v>
      </c>
      <c r="B35" s="4" t="s">
        <v>38</v>
      </c>
      <c r="C35" s="4" t="s">
        <v>6</v>
      </c>
      <c r="D35" s="58" t="s">
        <v>52</v>
      </c>
      <c r="E35" s="58"/>
      <c r="F35" s="58"/>
      <c r="G35" s="58"/>
      <c r="H35" s="58"/>
      <c r="I35" s="58"/>
      <c r="J35" s="58"/>
      <c r="K35" s="22">
        <v>1</v>
      </c>
      <c r="L35" s="22">
        <f>ROUND(71.25,3)</f>
        <v>71.25</v>
      </c>
      <c r="M35" s="23">
        <f>ROUND(K35*L35,2)</f>
        <v>71.25</v>
      </c>
    </row>
    <row r="36" spans="1:13">
      <c r="A36" s="4" t="s">
        <v>39</v>
      </c>
      <c r="B36" s="4" t="s">
        <v>40</v>
      </c>
      <c r="C36" s="4" t="s">
        <v>41</v>
      </c>
      <c r="D36" s="58" t="s">
        <v>42</v>
      </c>
      <c r="E36" s="58"/>
      <c r="F36" s="58"/>
      <c r="G36" s="58"/>
      <c r="H36" s="58"/>
      <c r="I36" s="58"/>
      <c r="J36" s="58"/>
      <c r="K36" s="22">
        <v>0.25</v>
      </c>
      <c r="L36" s="22">
        <f>ROUND(20.76,3)</f>
        <v>20.76</v>
      </c>
      <c r="M36" s="23">
        <f>ROUND(K36*L36,2)</f>
        <v>5.19</v>
      </c>
    </row>
    <row r="37" spans="1:13">
      <c r="A37" s="4" t="s">
        <v>43</v>
      </c>
      <c r="B37" s="4" t="s">
        <v>40</v>
      </c>
      <c r="C37" s="4" t="s">
        <v>41</v>
      </c>
      <c r="D37" s="58" t="s">
        <v>44</v>
      </c>
      <c r="E37" s="58"/>
      <c r="F37" s="58"/>
      <c r="G37" s="58"/>
      <c r="H37" s="58"/>
      <c r="I37" s="58"/>
      <c r="J37" s="58"/>
      <c r="K37" s="22">
        <v>0.25</v>
      </c>
      <c r="L37" s="22">
        <f>ROUND(17.71,3)</f>
        <v>17.71</v>
      </c>
      <c r="M37" s="23">
        <f>ROUND(K37*L37,2)</f>
        <v>4.43</v>
      </c>
    </row>
    <row r="38" spans="1:13">
      <c r="A38" s="4" t="s">
        <v>26</v>
      </c>
      <c r="B38" s="4"/>
      <c r="C38" s="4" t="s">
        <v>26</v>
      </c>
      <c r="D38" s="58" t="s">
        <v>27</v>
      </c>
      <c r="E38" s="58"/>
      <c r="F38" s="58"/>
      <c r="G38" s="58"/>
      <c r="H38" s="58"/>
      <c r="I38" s="58"/>
      <c r="J38" s="58"/>
      <c r="K38" s="22">
        <v>2</v>
      </c>
      <c r="L38" s="22">
        <f>ROUND(80.87,3)</f>
        <v>80.87</v>
      </c>
      <c r="M38" s="23">
        <f>ROUND((K38*L38)/100,2)</f>
        <v>1.62</v>
      </c>
    </row>
    <row r="39" spans="1:13">
      <c r="A39" s="25"/>
      <c r="B39" s="25"/>
      <c r="C39" s="25"/>
      <c r="D39" s="26" t="s">
        <v>51</v>
      </c>
      <c r="E39" s="25"/>
      <c r="F39" s="25"/>
      <c r="G39" s="25"/>
      <c r="H39" s="25"/>
      <c r="I39" s="25"/>
      <c r="J39" s="25"/>
      <c r="K39" s="27">
        <v>220</v>
      </c>
      <c r="L39" s="28">
        <f>ROUND((M35+M36+M37+M38)*(1+M2/100),2)</f>
        <v>84.96</v>
      </c>
      <c r="M39" s="28">
        <f>ROUND(K39*L39,2)</f>
        <v>18691.2</v>
      </c>
    </row>
    <row r="40" spans="1:13">
      <c r="A40" s="42" t="s">
        <v>55</v>
      </c>
      <c r="B40" s="43" t="s">
        <v>20</v>
      </c>
      <c r="C40" s="43" t="s">
        <v>56</v>
      </c>
      <c r="D40" s="59" t="s">
        <v>57</v>
      </c>
      <c r="E40" s="59"/>
      <c r="F40" s="59"/>
      <c r="G40" s="59"/>
      <c r="H40" s="59"/>
      <c r="I40" s="59"/>
      <c r="J40" s="59"/>
      <c r="K40" s="44">
        <f>ROUND(1,2)</f>
        <v>1</v>
      </c>
      <c r="L40" s="45">
        <f>ROUND(226.214*(1+M2/100),2)</f>
        <v>233</v>
      </c>
      <c r="M40" s="45">
        <f>ROUND(K40*L40,2)</f>
        <v>233</v>
      </c>
    </row>
    <row r="41" spans="1:13" ht="33.75">
      <c r="A41" s="24"/>
      <c r="B41" s="24"/>
      <c r="C41" s="24"/>
      <c r="D41" s="58" t="s">
        <v>58</v>
      </c>
      <c r="E41" s="58"/>
      <c r="F41" s="58"/>
      <c r="G41" s="58"/>
      <c r="H41" s="58"/>
      <c r="I41" s="58"/>
      <c r="J41" s="58"/>
      <c r="K41" s="58"/>
      <c r="L41" s="58"/>
      <c r="M41" s="58"/>
    </row>
    <row r="42" spans="1:13" ht="67.5">
      <c r="A42" s="9" t="s">
        <v>59</v>
      </c>
      <c r="B42" s="4" t="s">
        <v>20</v>
      </c>
      <c r="C42" s="4" t="s">
        <v>6</v>
      </c>
      <c r="D42" s="58" t="s">
        <v>60</v>
      </c>
      <c r="E42" s="58"/>
      <c r="F42" s="58"/>
      <c r="G42" s="58"/>
      <c r="H42" s="58"/>
      <c r="I42" s="58"/>
      <c r="J42" s="58"/>
      <c r="K42" s="22">
        <f>ROUND(1,2)</f>
        <v>1</v>
      </c>
      <c r="L42" s="23">
        <f>L48</f>
        <v>5114.07</v>
      </c>
      <c r="M42" s="23">
        <f>ROUND(K42*L42,2)</f>
        <v>5114.07</v>
      </c>
    </row>
    <row r="43" spans="1:13" ht="123.75">
      <c r="A43" s="24"/>
      <c r="B43" s="24"/>
      <c r="C43" s="24"/>
      <c r="D43" s="58" t="s">
        <v>61</v>
      </c>
      <c r="E43" s="58"/>
      <c r="F43" s="58"/>
      <c r="G43" s="58"/>
      <c r="H43" s="58"/>
      <c r="I43" s="58"/>
      <c r="J43" s="58"/>
      <c r="K43" s="58"/>
      <c r="L43" s="58"/>
      <c r="M43" s="58"/>
    </row>
    <row r="44" spans="1:13" ht="67.5">
      <c r="A44" s="4" t="s">
        <v>62</v>
      </c>
      <c r="B44" s="4" t="s">
        <v>38</v>
      </c>
      <c r="C44" s="4" t="s">
        <v>6</v>
      </c>
      <c r="D44" s="58" t="s">
        <v>60</v>
      </c>
      <c r="E44" s="58"/>
      <c r="F44" s="58"/>
      <c r="G44" s="58"/>
      <c r="H44" s="58"/>
      <c r="I44" s="58"/>
      <c r="J44" s="58"/>
      <c r="K44" s="22">
        <v>1</v>
      </c>
      <c r="L44" s="22">
        <f>ROUND(4560,3)</f>
        <v>4560</v>
      </c>
      <c r="M44" s="23">
        <f>ROUND(K44*L44,2)</f>
        <v>4560</v>
      </c>
    </row>
    <row r="45" spans="1:13">
      <c r="A45" s="4" t="s">
        <v>63</v>
      </c>
      <c r="B45" s="4" t="s">
        <v>40</v>
      </c>
      <c r="C45" s="4" t="s">
        <v>41</v>
      </c>
      <c r="D45" s="58" t="s">
        <v>64</v>
      </c>
      <c r="E45" s="58"/>
      <c r="F45" s="58"/>
      <c r="G45" s="58"/>
      <c r="H45" s="58"/>
      <c r="I45" s="58"/>
      <c r="J45" s="58"/>
      <c r="K45" s="22">
        <v>8</v>
      </c>
      <c r="L45" s="22">
        <f>ROUND(20.76,3)</f>
        <v>20.76</v>
      </c>
      <c r="M45" s="23">
        <f>ROUND(K45*L45,2)</f>
        <v>166.08</v>
      </c>
    </row>
    <row r="46" spans="1:13">
      <c r="A46" s="4" t="s">
        <v>65</v>
      </c>
      <c r="B46" s="4" t="s">
        <v>40</v>
      </c>
      <c r="C46" s="4" t="s">
        <v>41</v>
      </c>
      <c r="D46" s="58" t="s">
        <v>66</v>
      </c>
      <c r="E46" s="58"/>
      <c r="F46" s="58"/>
      <c r="G46" s="58"/>
      <c r="H46" s="58"/>
      <c r="I46" s="58"/>
      <c r="J46" s="58"/>
      <c r="K46" s="22">
        <v>8</v>
      </c>
      <c r="L46" s="22">
        <f>ROUND(17.71,3)</f>
        <v>17.71</v>
      </c>
      <c r="M46" s="23">
        <f>ROUND(K46*L46,2)</f>
        <v>141.68</v>
      </c>
    </row>
    <row r="47" spans="1:13">
      <c r="A47" s="4" t="s">
        <v>26</v>
      </c>
      <c r="B47" s="4"/>
      <c r="C47" s="4" t="s">
        <v>26</v>
      </c>
      <c r="D47" s="58" t="s">
        <v>27</v>
      </c>
      <c r="E47" s="58"/>
      <c r="F47" s="58"/>
      <c r="G47" s="58"/>
      <c r="H47" s="58"/>
      <c r="I47" s="58"/>
      <c r="J47" s="58"/>
      <c r="K47" s="22">
        <v>2</v>
      </c>
      <c r="L47" s="22">
        <f>ROUND(4867.76,3)</f>
        <v>4867.76</v>
      </c>
      <c r="M47" s="23">
        <f>ROUND((K47*L47)/100,2)</f>
        <v>97.36</v>
      </c>
    </row>
    <row r="48" spans="1:13">
      <c r="A48" s="25"/>
      <c r="B48" s="25"/>
      <c r="C48" s="25"/>
      <c r="D48" s="26" t="s">
        <v>59</v>
      </c>
      <c r="E48" s="25"/>
      <c r="F48" s="25"/>
      <c r="G48" s="25"/>
      <c r="H48" s="25"/>
      <c r="I48" s="25"/>
      <c r="J48" s="25"/>
      <c r="K48" s="27">
        <v>1</v>
      </c>
      <c r="L48" s="28">
        <f>ROUND((M44+M45+M46+M47)*(1+M2/100),2)</f>
        <v>5114.07</v>
      </c>
      <c r="M48" s="28">
        <f>ROUND(K48*L48,2)</f>
        <v>5114.07</v>
      </c>
    </row>
    <row r="49" spans="1:13">
      <c r="A49" s="42" t="s">
        <v>67</v>
      </c>
      <c r="B49" s="43" t="s">
        <v>20</v>
      </c>
      <c r="C49" s="43" t="s">
        <v>6</v>
      </c>
      <c r="D49" s="59" t="s">
        <v>68</v>
      </c>
      <c r="E49" s="59"/>
      <c r="F49" s="59"/>
      <c r="G49" s="59"/>
      <c r="H49" s="59"/>
      <c r="I49" s="59"/>
      <c r="J49" s="59"/>
      <c r="K49" s="44">
        <f>ROUND(1,2)</f>
        <v>1</v>
      </c>
      <c r="L49" s="45">
        <f>ROUND(582.524*(1+M2/100),2)</f>
        <v>600</v>
      </c>
      <c r="M49" s="45">
        <f>ROUND(K49*L49,2)</f>
        <v>600</v>
      </c>
    </row>
    <row r="50" spans="1:13" ht="33.75">
      <c r="A50" s="24"/>
      <c r="B50" s="24"/>
      <c r="C50" s="24"/>
      <c r="D50" s="58" t="s">
        <v>69</v>
      </c>
      <c r="E50" s="58"/>
      <c r="F50" s="58"/>
      <c r="G50" s="58"/>
      <c r="H50" s="58"/>
      <c r="I50" s="58"/>
      <c r="J50" s="58"/>
      <c r="K50" s="58"/>
      <c r="L50" s="58"/>
      <c r="M50" s="58"/>
    </row>
    <row r="51" spans="1:13">
      <c r="A51" s="25"/>
      <c r="B51" s="25"/>
      <c r="C51" s="25"/>
      <c r="D51" s="46" t="s">
        <v>32</v>
      </c>
      <c r="E51" s="47"/>
      <c r="F51" s="47"/>
      <c r="G51" s="47"/>
      <c r="H51" s="47"/>
      <c r="I51" s="47"/>
      <c r="J51" s="47"/>
      <c r="K51" s="47"/>
      <c r="L51" s="48">
        <f>M19+M26+M33+M40+M42+M49</f>
        <v>36799.979999999996</v>
      </c>
      <c r="M51" s="48">
        <f>ROUND(L51,2)</f>
        <v>36799.980000000003</v>
      </c>
    </row>
    <row r="52" spans="1:13">
      <c r="A52" s="49" t="s">
        <v>70</v>
      </c>
      <c r="B52" s="49" t="s">
        <v>12</v>
      </c>
      <c r="C52" s="50"/>
      <c r="D52" s="61" t="s">
        <v>71</v>
      </c>
      <c r="E52" s="61"/>
      <c r="F52" s="61"/>
      <c r="G52" s="61"/>
      <c r="H52" s="61"/>
      <c r="I52" s="61"/>
      <c r="J52" s="61"/>
      <c r="K52" s="50"/>
      <c r="L52" s="51">
        <f>L105</f>
        <v>15603.17</v>
      </c>
      <c r="M52" s="51">
        <f>ROUND(L52,2)</f>
        <v>15603.17</v>
      </c>
    </row>
    <row r="53" spans="1:13" ht="33.75">
      <c r="A53" s="9" t="s">
        <v>72</v>
      </c>
      <c r="B53" s="4" t="s">
        <v>20</v>
      </c>
      <c r="C53" s="4" t="s">
        <v>6</v>
      </c>
      <c r="D53" s="58" t="s">
        <v>73</v>
      </c>
      <c r="E53" s="58"/>
      <c r="F53" s="58"/>
      <c r="G53" s="58"/>
      <c r="H53" s="58"/>
      <c r="I53" s="58"/>
      <c r="J53" s="58"/>
      <c r="K53" s="22">
        <f>ROUND(22,2)</f>
        <v>22</v>
      </c>
      <c r="L53" s="23">
        <f>L60</f>
        <v>24.93</v>
      </c>
      <c r="M53" s="23">
        <f>ROUND(K53*L53,2)</f>
        <v>548.46</v>
      </c>
    </row>
    <row r="54" spans="1:13" ht="33.75">
      <c r="A54" s="24"/>
      <c r="B54" s="24"/>
      <c r="C54" s="24"/>
      <c r="D54" s="58" t="s">
        <v>73</v>
      </c>
      <c r="E54" s="58"/>
      <c r="F54" s="58"/>
      <c r="G54" s="58"/>
      <c r="H54" s="58"/>
      <c r="I54" s="58"/>
      <c r="J54" s="58"/>
      <c r="K54" s="58"/>
      <c r="L54" s="58"/>
      <c r="M54" s="58"/>
    </row>
    <row r="55" spans="1:13" ht="22.5">
      <c r="A55" s="4" t="s">
        <v>74</v>
      </c>
      <c r="B55" s="4" t="s">
        <v>38</v>
      </c>
      <c r="C55" s="4" t="s">
        <v>6</v>
      </c>
      <c r="D55" s="58" t="s">
        <v>75</v>
      </c>
      <c r="E55" s="58"/>
      <c r="F55" s="58"/>
      <c r="G55" s="58"/>
      <c r="H55" s="58"/>
      <c r="I55" s="58"/>
      <c r="J55" s="58"/>
      <c r="K55" s="22">
        <v>1</v>
      </c>
      <c r="L55" s="22">
        <f>ROUND(2.405,3)</f>
        <v>2.4049999999999998</v>
      </c>
      <c r="M55" s="23">
        <f>ROUND(K55*L55,2)</f>
        <v>2.41</v>
      </c>
    </row>
    <row r="56" spans="1:13" ht="22.5">
      <c r="A56" s="4" t="s">
        <v>76</v>
      </c>
      <c r="B56" s="4" t="s">
        <v>38</v>
      </c>
      <c r="C56" s="4" t="s">
        <v>6</v>
      </c>
      <c r="D56" s="58" t="s">
        <v>77</v>
      </c>
      <c r="E56" s="58"/>
      <c r="F56" s="58"/>
      <c r="G56" s="58"/>
      <c r="H56" s="58"/>
      <c r="I56" s="58"/>
      <c r="J56" s="58"/>
      <c r="K56" s="22">
        <v>1</v>
      </c>
      <c r="L56" s="22">
        <f>ROUND(2.08,3)</f>
        <v>2.08</v>
      </c>
      <c r="M56" s="23">
        <f>ROUND(K56*L56,2)</f>
        <v>2.08</v>
      </c>
    </row>
    <row r="57" spans="1:13">
      <c r="A57" s="4" t="s">
        <v>63</v>
      </c>
      <c r="B57" s="4" t="s">
        <v>40</v>
      </c>
      <c r="C57" s="4" t="s">
        <v>41</v>
      </c>
      <c r="D57" s="58" t="s">
        <v>64</v>
      </c>
      <c r="E57" s="58"/>
      <c r="F57" s="58"/>
      <c r="G57" s="58"/>
      <c r="H57" s="58"/>
      <c r="I57" s="58"/>
      <c r="J57" s="58"/>
      <c r="K57" s="22">
        <v>0.5</v>
      </c>
      <c r="L57" s="22">
        <f>ROUND(20.76,3)</f>
        <v>20.76</v>
      </c>
      <c r="M57" s="23">
        <f>ROUND(K57*L57,2)</f>
        <v>10.38</v>
      </c>
    </row>
    <row r="58" spans="1:13">
      <c r="A58" s="4" t="s">
        <v>65</v>
      </c>
      <c r="B58" s="4" t="s">
        <v>40</v>
      </c>
      <c r="C58" s="4" t="s">
        <v>41</v>
      </c>
      <c r="D58" s="58" t="s">
        <v>66</v>
      </c>
      <c r="E58" s="58"/>
      <c r="F58" s="58"/>
      <c r="G58" s="58"/>
      <c r="H58" s="58"/>
      <c r="I58" s="58"/>
      <c r="J58" s="58"/>
      <c r="K58" s="22">
        <v>0.5</v>
      </c>
      <c r="L58" s="22">
        <f>ROUND(17.71,3)</f>
        <v>17.71</v>
      </c>
      <c r="M58" s="23">
        <f>ROUND(K58*L58,2)</f>
        <v>8.86</v>
      </c>
    </row>
    <row r="59" spans="1:13">
      <c r="A59" s="4" t="s">
        <v>26</v>
      </c>
      <c r="B59" s="4"/>
      <c r="C59" s="4" t="s">
        <v>26</v>
      </c>
      <c r="D59" s="58" t="s">
        <v>27</v>
      </c>
      <c r="E59" s="58"/>
      <c r="F59" s="58"/>
      <c r="G59" s="58"/>
      <c r="H59" s="58"/>
      <c r="I59" s="58"/>
      <c r="J59" s="58"/>
      <c r="K59" s="22">
        <v>2</v>
      </c>
      <c r="L59" s="22">
        <f>ROUND(23.73,3)</f>
        <v>23.73</v>
      </c>
      <c r="M59" s="23">
        <f>ROUND((K59*L59)/100,2)</f>
        <v>0.47</v>
      </c>
    </row>
    <row r="60" spans="1:13">
      <c r="A60" s="25"/>
      <c r="B60" s="25"/>
      <c r="C60" s="25"/>
      <c r="D60" s="26" t="s">
        <v>72</v>
      </c>
      <c r="E60" s="25"/>
      <c r="F60" s="25"/>
      <c r="G60" s="25"/>
      <c r="H60" s="25"/>
      <c r="I60" s="25"/>
      <c r="J60" s="25"/>
      <c r="K60" s="27">
        <v>22</v>
      </c>
      <c r="L60" s="28">
        <f>ROUND((M55+M56+M57+M58+M59)*(1+M2/100),2)</f>
        <v>24.93</v>
      </c>
      <c r="M60" s="28">
        <f>ROUND(K60*L60,2)</f>
        <v>548.46</v>
      </c>
    </row>
    <row r="61" spans="1:13">
      <c r="A61" s="42" t="s">
        <v>78</v>
      </c>
      <c r="B61" s="43" t="s">
        <v>20</v>
      </c>
      <c r="C61" s="43" t="s">
        <v>6</v>
      </c>
      <c r="D61" s="59" t="s">
        <v>79</v>
      </c>
      <c r="E61" s="59"/>
      <c r="F61" s="59"/>
      <c r="G61" s="59"/>
      <c r="H61" s="59"/>
      <c r="I61" s="59"/>
      <c r="J61" s="59"/>
      <c r="K61" s="44">
        <f>ROUND(11,2)</f>
        <v>11</v>
      </c>
      <c r="L61" s="45">
        <f>L66</f>
        <v>117.12</v>
      </c>
      <c r="M61" s="45">
        <f>ROUND(K61*L61,2)</f>
        <v>1288.32</v>
      </c>
    </row>
    <row r="62" spans="1:13" ht="22.5">
      <c r="A62" s="24"/>
      <c r="B62" s="24"/>
      <c r="C62" s="24"/>
      <c r="D62" s="58" t="s">
        <v>80</v>
      </c>
      <c r="E62" s="58"/>
      <c r="F62" s="58"/>
      <c r="G62" s="58"/>
      <c r="H62" s="58"/>
      <c r="I62" s="58"/>
      <c r="J62" s="58"/>
      <c r="K62" s="58"/>
      <c r="L62" s="58"/>
      <c r="M62" s="58"/>
    </row>
    <row r="63" spans="1:13" ht="123.75">
      <c r="A63" s="4" t="s">
        <v>81</v>
      </c>
      <c r="B63" s="4" t="s">
        <v>38</v>
      </c>
      <c r="C63" s="4" t="s">
        <v>6</v>
      </c>
      <c r="D63" s="58" t="s">
        <v>82</v>
      </c>
      <c r="E63" s="58"/>
      <c r="F63" s="58"/>
      <c r="G63" s="58"/>
      <c r="H63" s="58"/>
      <c r="I63" s="58"/>
      <c r="J63" s="58"/>
      <c r="K63" s="22">
        <v>1</v>
      </c>
      <c r="L63" s="22">
        <f>ROUND(49.2,3)</f>
        <v>49.2</v>
      </c>
      <c r="M63" s="23">
        <f>ROUND(K63*L63,2)</f>
        <v>49.2</v>
      </c>
    </row>
    <row r="64" spans="1:13">
      <c r="A64" s="4" t="s">
        <v>63</v>
      </c>
      <c r="B64" s="4" t="s">
        <v>40</v>
      </c>
      <c r="C64" s="4" t="s">
        <v>41</v>
      </c>
      <c r="D64" s="58" t="s">
        <v>64</v>
      </c>
      <c r="E64" s="58"/>
      <c r="F64" s="58"/>
      <c r="G64" s="58"/>
      <c r="H64" s="58"/>
      <c r="I64" s="58"/>
      <c r="J64" s="58"/>
      <c r="K64" s="22">
        <v>3</v>
      </c>
      <c r="L64" s="22">
        <f>ROUND(20.76,3)</f>
        <v>20.76</v>
      </c>
      <c r="M64" s="23">
        <f>ROUND(K64*L64,2)</f>
        <v>62.28</v>
      </c>
    </row>
    <row r="65" spans="1:13">
      <c r="A65" s="4" t="s">
        <v>26</v>
      </c>
      <c r="B65" s="4"/>
      <c r="C65" s="4" t="s">
        <v>26</v>
      </c>
      <c r="D65" s="58" t="s">
        <v>27</v>
      </c>
      <c r="E65" s="58"/>
      <c r="F65" s="58"/>
      <c r="G65" s="58"/>
      <c r="H65" s="58"/>
      <c r="I65" s="58"/>
      <c r="J65" s="58"/>
      <c r="K65" s="22">
        <v>2</v>
      </c>
      <c r="L65" s="22">
        <f>ROUND(111.48,3)</f>
        <v>111.48</v>
      </c>
      <c r="M65" s="23">
        <f>ROUND((K65*L65)/100,2)</f>
        <v>2.23</v>
      </c>
    </row>
    <row r="66" spans="1:13">
      <c r="A66" s="25"/>
      <c r="B66" s="25"/>
      <c r="C66" s="25"/>
      <c r="D66" s="26" t="s">
        <v>78</v>
      </c>
      <c r="E66" s="25"/>
      <c r="F66" s="25"/>
      <c r="G66" s="25"/>
      <c r="H66" s="25"/>
      <c r="I66" s="25"/>
      <c r="J66" s="25"/>
      <c r="K66" s="27">
        <v>11</v>
      </c>
      <c r="L66" s="28">
        <f>ROUND((M63+M64+M65)*(1+M2/100),2)</f>
        <v>117.12</v>
      </c>
      <c r="M66" s="28">
        <f>ROUND(K66*L66,2)</f>
        <v>1288.32</v>
      </c>
    </row>
    <row r="67" spans="1:13" ht="56.25">
      <c r="A67" s="42" t="s">
        <v>83</v>
      </c>
      <c r="B67" s="43" t="s">
        <v>20</v>
      </c>
      <c r="C67" s="43" t="s">
        <v>6</v>
      </c>
      <c r="D67" s="59" t="s">
        <v>84</v>
      </c>
      <c r="E67" s="59"/>
      <c r="F67" s="59"/>
      <c r="G67" s="59"/>
      <c r="H67" s="59"/>
      <c r="I67" s="59"/>
      <c r="J67" s="59"/>
      <c r="K67" s="44">
        <f>ROUND(1,2)</f>
        <v>1</v>
      </c>
      <c r="L67" s="45">
        <f>L73</f>
        <v>238.42</v>
      </c>
      <c r="M67" s="45">
        <f>ROUND(K67*L67,2)</f>
        <v>238.42</v>
      </c>
    </row>
    <row r="68" spans="1:13" ht="78.75">
      <c r="A68" s="24"/>
      <c r="B68" s="24"/>
      <c r="C68" s="24"/>
      <c r="D68" s="58" t="s">
        <v>85</v>
      </c>
      <c r="E68" s="58"/>
      <c r="F68" s="58"/>
      <c r="G68" s="58"/>
      <c r="H68" s="58"/>
      <c r="I68" s="58"/>
      <c r="J68" s="58"/>
      <c r="K68" s="58"/>
      <c r="L68" s="58"/>
      <c r="M68" s="58"/>
    </row>
    <row r="69" spans="1:13" ht="33.75">
      <c r="A69" s="4" t="s">
        <v>86</v>
      </c>
      <c r="B69" s="4" t="s">
        <v>38</v>
      </c>
      <c r="C69" s="4" t="s">
        <v>6</v>
      </c>
      <c r="D69" s="58" t="s">
        <v>87</v>
      </c>
      <c r="E69" s="58"/>
      <c r="F69" s="58"/>
      <c r="G69" s="58"/>
      <c r="H69" s="58"/>
      <c r="I69" s="58"/>
      <c r="J69" s="58"/>
      <c r="K69" s="22">
        <v>1</v>
      </c>
      <c r="L69" s="22">
        <f>ROUND(150,3)</f>
        <v>150</v>
      </c>
      <c r="M69" s="23">
        <f>ROUND(K69*L69,2)</f>
        <v>150</v>
      </c>
    </row>
    <row r="70" spans="1:13">
      <c r="A70" s="4" t="s">
        <v>63</v>
      </c>
      <c r="B70" s="4" t="s">
        <v>40</v>
      </c>
      <c r="C70" s="4" t="s">
        <v>41</v>
      </c>
      <c r="D70" s="58" t="s">
        <v>64</v>
      </c>
      <c r="E70" s="58"/>
      <c r="F70" s="58"/>
      <c r="G70" s="58"/>
      <c r="H70" s="58"/>
      <c r="I70" s="58"/>
      <c r="J70" s="58"/>
      <c r="K70" s="22">
        <v>2</v>
      </c>
      <c r="L70" s="22">
        <f>ROUND(20.76,3)</f>
        <v>20.76</v>
      </c>
      <c r="M70" s="23">
        <f>ROUND(K70*L70,2)</f>
        <v>41.52</v>
      </c>
    </row>
    <row r="71" spans="1:13">
      <c r="A71" s="4" t="s">
        <v>65</v>
      </c>
      <c r="B71" s="4" t="s">
        <v>40</v>
      </c>
      <c r="C71" s="4" t="s">
        <v>41</v>
      </c>
      <c r="D71" s="58" t="s">
        <v>66</v>
      </c>
      <c r="E71" s="58"/>
      <c r="F71" s="58"/>
      <c r="G71" s="58"/>
      <c r="H71" s="58"/>
      <c r="I71" s="58"/>
      <c r="J71" s="58"/>
      <c r="K71" s="22">
        <v>2</v>
      </c>
      <c r="L71" s="22">
        <f>ROUND(17.71,3)</f>
        <v>17.71</v>
      </c>
      <c r="M71" s="23">
        <f>ROUND(K71*L71,2)</f>
        <v>35.42</v>
      </c>
    </row>
    <row r="72" spans="1:13">
      <c r="A72" s="4" t="s">
        <v>26</v>
      </c>
      <c r="B72" s="4"/>
      <c r="C72" s="4" t="s">
        <v>26</v>
      </c>
      <c r="D72" s="58" t="s">
        <v>27</v>
      </c>
      <c r="E72" s="58"/>
      <c r="F72" s="58"/>
      <c r="G72" s="58"/>
      <c r="H72" s="58"/>
      <c r="I72" s="58"/>
      <c r="J72" s="58"/>
      <c r="K72" s="22">
        <v>2</v>
      </c>
      <c r="L72" s="22">
        <f>ROUND(226.94,3)</f>
        <v>226.94</v>
      </c>
      <c r="M72" s="23">
        <f>ROUND((K72*L72)/100,2)</f>
        <v>4.54</v>
      </c>
    </row>
    <row r="73" spans="1:13">
      <c r="A73" s="25"/>
      <c r="B73" s="25"/>
      <c r="C73" s="25"/>
      <c r="D73" s="26" t="s">
        <v>83</v>
      </c>
      <c r="E73" s="25"/>
      <c r="F73" s="25"/>
      <c r="G73" s="25"/>
      <c r="H73" s="25"/>
      <c r="I73" s="25"/>
      <c r="J73" s="25"/>
      <c r="K73" s="27">
        <v>1</v>
      </c>
      <c r="L73" s="28">
        <f>ROUND((M69+M70+M71+M72)*(1+M2/100),2)</f>
        <v>238.42</v>
      </c>
      <c r="M73" s="28">
        <f>ROUND(K73*L73,2)</f>
        <v>238.42</v>
      </c>
    </row>
    <row r="74" spans="1:13" ht="45">
      <c r="A74" s="42" t="s">
        <v>88</v>
      </c>
      <c r="B74" s="43" t="s">
        <v>20</v>
      </c>
      <c r="C74" s="43" t="s">
        <v>6</v>
      </c>
      <c r="D74" s="59" t="s">
        <v>89</v>
      </c>
      <c r="E74" s="59"/>
      <c r="F74" s="59"/>
      <c r="G74" s="59"/>
      <c r="H74" s="59"/>
      <c r="I74" s="59"/>
      <c r="J74" s="59"/>
      <c r="K74" s="44">
        <f>ROUND(1,2)</f>
        <v>1</v>
      </c>
      <c r="L74" s="45">
        <f>L79</f>
        <v>3245.81</v>
      </c>
      <c r="M74" s="45">
        <f>ROUND(K74*L74,2)</f>
        <v>3245.81</v>
      </c>
    </row>
    <row r="75" spans="1:13" ht="101.25">
      <c r="A75" s="24"/>
      <c r="B75" s="24"/>
      <c r="C75" s="24"/>
      <c r="D75" s="58" t="s">
        <v>90</v>
      </c>
      <c r="E75" s="58"/>
      <c r="F75" s="58"/>
      <c r="G75" s="58"/>
      <c r="H75" s="58"/>
      <c r="I75" s="58"/>
      <c r="J75" s="58"/>
      <c r="K75" s="58"/>
      <c r="L75" s="58"/>
      <c r="M75" s="58"/>
    </row>
    <row r="76" spans="1:13" ht="33.75">
      <c r="A76" s="4" t="s">
        <v>91</v>
      </c>
      <c r="B76" s="4" t="s">
        <v>38</v>
      </c>
      <c r="C76" s="4" t="s">
        <v>6</v>
      </c>
      <c r="D76" s="58" t="s">
        <v>92</v>
      </c>
      <c r="E76" s="58"/>
      <c r="F76" s="58"/>
      <c r="G76" s="58"/>
      <c r="H76" s="58"/>
      <c r="I76" s="58"/>
      <c r="J76" s="58"/>
      <c r="K76" s="22">
        <v>1</v>
      </c>
      <c r="L76" s="22">
        <f>ROUND(2757.32,3)</f>
        <v>2757.32</v>
      </c>
      <c r="M76" s="23">
        <f>ROUND(K76*L76,2)</f>
        <v>2757.32</v>
      </c>
    </row>
    <row r="77" spans="1:13">
      <c r="A77" s="4" t="s">
        <v>63</v>
      </c>
      <c r="B77" s="4" t="s">
        <v>40</v>
      </c>
      <c r="C77" s="4" t="s">
        <v>41</v>
      </c>
      <c r="D77" s="58" t="s">
        <v>64</v>
      </c>
      <c r="E77" s="58"/>
      <c r="F77" s="58"/>
      <c r="G77" s="58"/>
      <c r="H77" s="58"/>
      <c r="I77" s="58"/>
      <c r="J77" s="58"/>
      <c r="K77" s="22">
        <v>16</v>
      </c>
      <c r="L77" s="22">
        <f>ROUND(20.76,3)</f>
        <v>20.76</v>
      </c>
      <c r="M77" s="23">
        <f>ROUND(K77*L77,2)</f>
        <v>332.16</v>
      </c>
    </row>
    <row r="78" spans="1:13">
      <c r="A78" s="4" t="s">
        <v>26</v>
      </c>
      <c r="B78" s="4"/>
      <c r="C78" s="4" t="s">
        <v>26</v>
      </c>
      <c r="D78" s="58" t="s">
        <v>27</v>
      </c>
      <c r="E78" s="58"/>
      <c r="F78" s="58"/>
      <c r="G78" s="58"/>
      <c r="H78" s="58"/>
      <c r="I78" s="58"/>
      <c r="J78" s="58"/>
      <c r="K78" s="22">
        <v>2</v>
      </c>
      <c r="L78" s="22">
        <f>ROUND(3089.48,3)</f>
        <v>3089.48</v>
      </c>
      <c r="M78" s="23">
        <f>ROUND((K78*L78)/100,2)</f>
        <v>61.79</v>
      </c>
    </row>
    <row r="79" spans="1:13">
      <c r="A79" s="25"/>
      <c r="B79" s="25"/>
      <c r="C79" s="25"/>
      <c r="D79" s="26" t="s">
        <v>88</v>
      </c>
      <c r="E79" s="25"/>
      <c r="F79" s="25"/>
      <c r="G79" s="25"/>
      <c r="H79" s="25"/>
      <c r="I79" s="25"/>
      <c r="J79" s="25"/>
      <c r="K79" s="27">
        <v>1</v>
      </c>
      <c r="L79" s="28">
        <f>ROUND((M76+M77+M78)*(1+M2/100),2)</f>
        <v>3245.81</v>
      </c>
      <c r="M79" s="28">
        <f>ROUND(K79*L79,2)</f>
        <v>3245.81</v>
      </c>
    </row>
    <row r="80" spans="1:13">
      <c r="A80" s="42" t="s">
        <v>93</v>
      </c>
      <c r="B80" s="43" t="s">
        <v>20</v>
      </c>
      <c r="C80" s="43" t="s">
        <v>6</v>
      </c>
      <c r="D80" s="59" t="s">
        <v>94</v>
      </c>
      <c r="E80" s="59"/>
      <c r="F80" s="59"/>
      <c r="G80" s="59"/>
      <c r="H80" s="59"/>
      <c r="I80" s="59"/>
      <c r="J80" s="59"/>
      <c r="K80" s="44">
        <f>ROUND(1,2)</f>
        <v>1</v>
      </c>
      <c r="L80" s="45">
        <f>L85</f>
        <v>166.07</v>
      </c>
      <c r="M80" s="45">
        <f>ROUND(K80*L80,2)</f>
        <v>166.07</v>
      </c>
    </row>
    <row r="81" spans="1:13" ht="22.5">
      <c r="A81" s="24"/>
      <c r="B81" s="24"/>
      <c r="C81" s="24"/>
      <c r="D81" s="58" t="s">
        <v>95</v>
      </c>
      <c r="E81" s="58"/>
      <c r="F81" s="58"/>
      <c r="G81" s="58"/>
      <c r="H81" s="58"/>
      <c r="I81" s="58"/>
      <c r="J81" s="58"/>
      <c r="K81" s="58"/>
      <c r="L81" s="58"/>
      <c r="M81" s="58"/>
    </row>
    <row r="82" spans="1:13" ht="33.75">
      <c r="A82" s="4" t="s">
        <v>96</v>
      </c>
      <c r="B82" s="4" t="s">
        <v>38</v>
      </c>
      <c r="C82" s="4" t="s">
        <v>6</v>
      </c>
      <c r="D82" s="58" t="s">
        <v>97</v>
      </c>
      <c r="E82" s="58"/>
      <c r="F82" s="58"/>
      <c r="G82" s="58"/>
      <c r="H82" s="58"/>
      <c r="I82" s="58"/>
      <c r="J82" s="58"/>
      <c r="K82" s="22">
        <v>1</v>
      </c>
      <c r="L82" s="22">
        <f>ROUND(142.6,3)</f>
        <v>142.6</v>
      </c>
      <c r="M82" s="23">
        <f>ROUND(K82*L82,2)</f>
        <v>142.6</v>
      </c>
    </row>
    <row r="83" spans="1:13">
      <c r="A83" s="4" t="s">
        <v>63</v>
      </c>
      <c r="B83" s="4" t="s">
        <v>40</v>
      </c>
      <c r="C83" s="4" t="s">
        <v>41</v>
      </c>
      <c r="D83" s="58" t="s">
        <v>64</v>
      </c>
      <c r="E83" s="58"/>
      <c r="F83" s="58"/>
      <c r="G83" s="58"/>
      <c r="H83" s="58"/>
      <c r="I83" s="58"/>
      <c r="J83" s="58"/>
      <c r="K83" s="22">
        <v>0.745</v>
      </c>
      <c r="L83" s="22">
        <f>ROUND(20.76,3)</f>
        <v>20.76</v>
      </c>
      <c r="M83" s="23">
        <f>ROUND(K83*L83,2)</f>
        <v>15.47</v>
      </c>
    </row>
    <row r="84" spans="1:13">
      <c r="A84" s="4" t="s">
        <v>26</v>
      </c>
      <c r="B84" s="4"/>
      <c r="C84" s="4" t="s">
        <v>26</v>
      </c>
      <c r="D84" s="58" t="s">
        <v>27</v>
      </c>
      <c r="E84" s="58"/>
      <c r="F84" s="58"/>
      <c r="G84" s="58"/>
      <c r="H84" s="58"/>
      <c r="I84" s="58"/>
      <c r="J84" s="58"/>
      <c r="K84" s="22">
        <v>2</v>
      </c>
      <c r="L84" s="22">
        <f>ROUND(158.07,3)</f>
        <v>158.07</v>
      </c>
      <c r="M84" s="23">
        <f>ROUND((K84*L84)/100,2)</f>
        <v>3.16</v>
      </c>
    </row>
    <row r="85" spans="1:13">
      <c r="A85" s="25"/>
      <c r="B85" s="25"/>
      <c r="C85" s="25"/>
      <c r="D85" s="26" t="s">
        <v>93</v>
      </c>
      <c r="E85" s="25"/>
      <c r="F85" s="25"/>
      <c r="G85" s="25"/>
      <c r="H85" s="25"/>
      <c r="I85" s="25"/>
      <c r="J85" s="25"/>
      <c r="K85" s="27">
        <v>1</v>
      </c>
      <c r="L85" s="28">
        <f>ROUND((M82+M83+M84)*(1+M2/100),2)</f>
        <v>166.07</v>
      </c>
      <c r="M85" s="28">
        <f>ROUND(K85*L85,2)</f>
        <v>166.07</v>
      </c>
    </row>
    <row r="86" spans="1:13" ht="33.75">
      <c r="A86" s="42" t="s">
        <v>98</v>
      </c>
      <c r="B86" s="43" t="s">
        <v>20</v>
      </c>
      <c r="C86" s="43" t="s">
        <v>99</v>
      </c>
      <c r="D86" s="59" t="s">
        <v>100</v>
      </c>
      <c r="E86" s="59"/>
      <c r="F86" s="59"/>
      <c r="G86" s="59"/>
      <c r="H86" s="59"/>
      <c r="I86" s="59"/>
      <c r="J86" s="59"/>
      <c r="K86" s="44">
        <f>ROUND(1,2)</f>
        <v>1</v>
      </c>
      <c r="L86" s="45">
        <f>L90</f>
        <v>444.59</v>
      </c>
      <c r="M86" s="45">
        <f>ROUND(K86*L86,2)</f>
        <v>444.59</v>
      </c>
    </row>
    <row r="87" spans="1:13" ht="146.25">
      <c r="A87" s="24"/>
      <c r="B87" s="24"/>
      <c r="C87" s="24"/>
      <c r="D87" s="58" t="s">
        <v>101</v>
      </c>
      <c r="E87" s="58"/>
      <c r="F87" s="58"/>
      <c r="G87" s="58"/>
      <c r="H87" s="58"/>
      <c r="I87" s="58"/>
      <c r="J87" s="58"/>
      <c r="K87" s="58"/>
      <c r="L87" s="58"/>
      <c r="M87" s="58"/>
    </row>
    <row r="88" spans="1:13">
      <c r="A88" s="4" t="s">
        <v>102</v>
      </c>
      <c r="B88" s="4" t="s">
        <v>40</v>
      </c>
      <c r="C88" s="4" t="s">
        <v>41</v>
      </c>
      <c r="D88" s="58" t="s">
        <v>64</v>
      </c>
      <c r="E88" s="58"/>
      <c r="F88" s="58"/>
      <c r="G88" s="58"/>
      <c r="H88" s="58"/>
      <c r="I88" s="58"/>
      <c r="J88" s="58"/>
      <c r="K88" s="22">
        <v>1.88</v>
      </c>
      <c r="L88" s="22">
        <f>ROUND(20.76,3)</f>
        <v>20.76</v>
      </c>
      <c r="M88" s="23">
        <f>ROUND(K88*L88,2)</f>
        <v>39.03</v>
      </c>
    </row>
    <row r="89" spans="1:13" ht="33.75">
      <c r="A89" s="4" t="s">
        <v>103</v>
      </c>
      <c r="B89" s="4" t="s">
        <v>104</v>
      </c>
      <c r="C89" s="4" t="s">
        <v>99</v>
      </c>
      <c r="D89" s="58" t="s">
        <v>105</v>
      </c>
      <c r="E89" s="58"/>
      <c r="F89" s="58"/>
      <c r="G89" s="58"/>
      <c r="H89" s="58"/>
      <c r="I89" s="58"/>
      <c r="J89" s="58"/>
      <c r="K89" s="22">
        <v>1</v>
      </c>
      <c r="L89" s="22">
        <f>ROUND(392.608,3)</f>
        <v>392.608</v>
      </c>
      <c r="M89" s="23">
        <f>ROUND(K89*L89,2)</f>
        <v>392.61</v>
      </c>
    </row>
    <row r="90" spans="1:13">
      <c r="A90" s="25"/>
      <c r="B90" s="25"/>
      <c r="C90" s="25"/>
      <c r="D90" s="26" t="s">
        <v>98</v>
      </c>
      <c r="E90" s="25"/>
      <c r="F90" s="25"/>
      <c r="G90" s="25"/>
      <c r="H90" s="25"/>
      <c r="I90" s="25"/>
      <c r="J90" s="25"/>
      <c r="K90" s="27">
        <v>1</v>
      </c>
      <c r="L90" s="28">
        <f>ROUND((M88+M89)*(1+M2/100),2)</f>
        <v>444.59</v>
      </c>
      <c r="M90" s="28">
        <f>ROUND(K90*L90,2)</f>
        <v>444.59</v>
      </c>
    </row>
    <row r="91" spans="1:13" ht="33.75">
      <c r="A91" s="42" t="s">
        <v>106</v>
      </c>
      <c r="B91" s="43" t="s">
        <v>20</v>
      </c>
      <c r="C91" s="43" t="s">
        <v>6</v>
      </c>
      <c r="D91" s="59" t="s">
        <v>107</v>
      </c>
      <c r="E91" s="59"/>
      <c r="F91" s="59"/>
      <c r="G91" s="59"/>
      <c r="H91" s="59"/>
      <c r="I91" s="59"/>
      <c r="J91" s="59"/>
      <c r="K91" s="44">
        <f>ROUND(2,2)</f>
        <v>2</v>
      </c>
      <c r="L91" s="45">
        <f>L97</f>
        <v>416.22</v>
      </c>
      <c r="M91" s="45">
        <f>ROUND(K91*L91,2)</f>
        <v>832.44</v>
      </c>
    </row>
    <row r="92" spans="1:13" ht="56.25">
      <c r="A92" s="24"/>
      <c r="B92" s="24"/>
      <c r="C92" s="24"/>
      <c r="D92" s="58" t="s">
        <v>108</v>
      </c>
      <c r="E92" s="58"/>
      <c r="F92" s="58"/>
      <c r="G92" s="58"/>
      <c r="H92" s="58"/>
      <c r="I92" s="58"/>
      <c r="J92" s="58"/>
      <c r="K92" s="58"/>
      <c r="L92" s="58"/>
      <c r="M92" s="58"/>
    </row>
    <row r="93" spans="1:13" ht="33.75">
      <c r="A93" s="4" t="s">
        <v>109</v>
      </c>
      <c r="B93" s="4" t="s">
        <v>38</v>
      </c>
      <c r="C93" s="4" t="s">
        <v>6</v>
      </c>
      <c r="D93" s="58" t="s">
        <v>107</v>
      </c>
      <c r="E93" s="58"/>
      <c r="F93" s="58"/>
      <c r="G93" s="58"/>
      <c r="H93" s="58"/>
      <c r="I93" s="58"/>
      <c r="J93" s="58"/>
      <c r="K93" s="22">
        <v>1</v>
      </c>
      <c r="L93" s="22">
        <f>ROUND(300,3)</f>
        <v>300</v>
      </c>
      <c r="M93" s="23">
        <f>ROUND(K93*L93,2)</f>
        <v>300</v>
      </c>
    </row>
    <row r="94" spans="1:13">
      <c r="A94" s="4" t="s">
        <v>63</v>
      </c>
      <c r="B94" s="4" t="s">
        <v>40</v>
      </c>
      <c r="C94" s="4" t="s">
        <v>41</v>
      </c>
      <c r="D94" s="58" t="s">
        <v>64</v>
      </c>
      <c r="E94" s="58"/>
      <c r="F94" s="58"/>
      <c r="G94" s="58"/>
      <c r="H94" s="58"/>
      <c r="I94" s="58"/>
      <c r="J94" s="58"/>
      <c r="K94" s="22">
        <v>2.5</v>
      </c>
      <c r="L94" s="22">
        <f>ROUND(20.76,3)</f>
        <v>20.76</v>
      </c>
      <c r="M94" s="23">
        <f>ROUND(K94*L94,2)</f>
        <v>51.9</v>
      </c>
    </row>
    <row r="95" spans="1:13">
      <c r="A95" s="4" t="s">
        <v>65</v>
      </c>
      <c r="B95" s="4" t="s">
        <v>40</v>
      </c>
      <c r="C95" s="4" t="s">
        <v>41</v>
      </c>
      <c r="D95" s="58" t="s">
        <v>66</v>
      </c>
      <c r="E95" s="58"/>
      <c r="F95" s="58"/>
      <c r="G95" s="58"/>
      <c r="H95" s="58"/>
      <c r="I95" s="58"/>
      <c r="J95" s="58"/>
      <c r="K95" s="22">
        <v>2.5</v>
      </c>
      <c r="L95" s="22">
        <f>ROUND(17.71,3)</f>
        <v>17.71</v>
      </c>
      <c r="M95" s="23">
        <f>ROUND(K95*L95,2)</f>
        <v>44.28</v>
      </c>
    </row>
    <row r="96" spans="1:13">
      <c r="A96" s="4" t="s">
        <v>26</v>
      </c>
      <c r="B96" s="4"/>
      <c r="C96" s="4" t="s">
        <v>26</v>
      </c>
      <c r="D96" s="58" t="s">
        <v>27</v>
      </c>
      <c r="E96" s="58"/>
      <c r="F96" s="58"/>
      <c r="G96" s="58"/>
      <c r="H96" s="58"/>
      <c r="I96" s="58"/>
      <c r="J96" s="58"/>
      <c r="K96" s="22">
        <v>2</v>
      </c>
      <c r="L96" s="22">
        <f>ROUND(396.18,3)</f>
        <v>396.18</v>
      </c>
      <c r="M96" s="23">
        <f>ROUND((K96*L96)/100,2)</f>
        <v>7.92</v>
      </c>
    </row>
    <row r="97" spans="1:13">
      <c r="A97" s="25"/>
      <c r="B97" s="25"/>
      <c r="C97" s="25"/>
      <c r="D97" s="26" t="s">
        <v>106</v>
      </c>
      <c r="E97" s="25"/>
      <c r="F97" s="25"/>
      <c r="G97" s="25"/>
      <c r="H97" s="25"/>
      <c r="I97" s="25"/>
      <c r="J97" s="25"/>
      <c r="K97" s="27">
        <v>2</v>
      </c>
      <c r="L97" s="28">
        <f>ROUND((M93+M94+M95+M96)*(1+M2/100),2)</f>
        <v>416.22</v>
      </c>
      <c r="M97" s="28">
        <f>ROUND(K97*L97,2)</f>
        <v>832.44</v>
      </c>
    </row>
    <row r="98" spans="1:13" ht="22.5">
      <c r="A98" s="42" t="s">
        <v>110</v>
      </c>
      <c r="B98" s="43" t="s">
        <v>20</v>
      </c>
      <c r="C98" s="43" t="s">
        <v>6</v>
      </c>
      <c r="D98" s="59" t="s">
        <v>111</v>
      </c>
      <c r="E98" s="59"/>
      <c r="F98" s="59"/>
      <c r="G98" s="59"/>
      <c r="H98" s="59"/>
      <c r="I98" s="59"/>
      <c r="J98" s="59"/>
      <c r="K98" s="44">
        <f>ROUND(1,2)</f>
        <v>1</v>
      </c>
      <c r="L98" s="45">
        <f>L104</f>
        <v>8839.06</v>
      </c>
      <c r="M98" s="45">
        <f>ROUND(K98*L98,2)</f>
        <v>8839.06</v>
      </c>
    </row>
    <row r="99" spans="1:13" ht="146.25">
      <c r="A99" s="24"/>
      <c r="B99" s="24"/>
      <c r="C99" s="24"/>
      <c r="D99" s="58" t="s">
        <v>112</v>
      </c>
      <c r="E99" s="58"/>
      <c r="F99" s="58"/>
      <c r="G99" s="58"/>
      <c r="H99" s="58"/>
      <c r="I99" s="58"/>
      <c r="J99" s="58"/>
      <c r="K99" s="58"/>
      <c r="L99" s="58"/>
      <c r="M99" s="58"/>
    </row>
    <row r="100" spans="1:13" ht="112.5">
      <c r="A100" s="4" t="s">
        <v>113</v>
      </c>
      <c r="B100" s="4" t="s">
        <v>38</v>
      </c>
      <c r="C100" s="4" t="s">
        <v>6</v>
      </c>
      <c r="D100" s="58" t="s">
        <v>114</v>
      </c>
      <c r="E100" s="58"/>
      <c r="F100" s="58"/>
      <c r="G100" s="58"/>
      <c r="H100" s="58"/>
      <c r="I100" s="58"/>
      <c r="J100" s="58"/>
      <c r="K100" s="22">
        <v>1</v>
      </c>
      <c r="L100" s="22">
        <f>ROUND(5812.91,3)</f>
        <v>5812.91</v>
      </c>
      <c r="M100" s="23">
        <f>ROUND(K100*L100,2)</f>
        <v>5812.91</v>
      </c>
    </row>
    <row r="101" spans="1:13" ht="56.25">
      <c r="A101" s="4" t="s">
        <v>115</v>
      </c>
      <c r="B101" s="4" t="s">
        <v>38</v>
      </c>
      <c r="C101" s="4" t="s">
        <v>6</v>
      </c>
      <c r="D101" s="58" t="s">
        <v>116</v>
      </c>
      <c r="E101" s="58"/>
      <c r="F101" s="58"/>
      <c r="G101" s="58"/>
      <c r="H101" s="58"/>
      <c r="I101" s="58"/>
      <c r="J101" s="58"/>
      <c r="K101" s="22">
        <v>1</v>
      </c>
      <c r="L101" s="22">
        <f>ROUND(2587.16,3)</f>
        <v>2587.16</v>
      </c>
      <c r="M101" s="23">
        <f>ROUND(K101*L101,2)</f>
        <v>2587.16</v>
      </c>
    </row>
    <row r="102" spans="1:13">
      <c r="A102" s="4" t="s">
        <v>63</v>
      </c>
      <c r="B102" s="4" t="s">
        <v>40</v>
      </c>
      <c r="C102" s="4" t="s">
        <v>41</v>
      </c>
      <c r="D102" s="58" t="s">
        <v>64</v>
      </c>
      <c r="E102" s="58"/>
      <c r="F102" s="58"/>
      <c r="G102" s="58"/>
      <c r="H102" s="58"/>
      <c r="I102" s="58"/>
      <c r="J102" s="58"/>
      <c r="K102" s="22">
        <v>0.63900000000000001</v>
      </c>
      <c r="L102" s="22">
        <f>ROUND(20.76,3)</f>
        <v>20.76</v>
      </c>
      <c r="M102" s="23">
        <f>ROUND(K102*L102,2)</f>
        <v>13.27</v>
      </c>
    </row>
    <row r="103" spans="1:13">
      <c r="A103" s="4" t="s">
        <v>26</v>
      </c>
      <c r="B103" s="4"/>
      <c r="C103" s="4" t="s">
        <v>26</v>
      </c>
      <c r="D103" s="58" t="s">
        <v>27</v>
      </c>
      <c r="E103" s="58"/>
      <c r="F103" s="58"/>
      <c r="G103" s="58"/>
      <c r="H103" s="58"/>
      <c r="I103" s="58"/>
      <c r="J103" s="58"/>
      <c r="K103" s="22">
        <v>2</v>
      </c>
      <c r="L103" s="22">
        <f>ROUND(8413.34,3)</f>
        <v>8413.34</v>
      </c>
      <c r="M103" s="23">
        <f>ROUND((K103*L103)/100,2)</f>
        <v>168.27</v>
      </c>
    </row>
    <row r="104" spans="1:13">
      <c r="A104" s="25"/>
      <c r="B104" s="25"/>
      <c r="C104" s="25"/>
      <c r="D104" s="26" t="s">
        <v>110</v>
      </c>
      <c r="E104" s="25"/>
      <c r="F104" s="25"/>
      <c r="G104" s="25"/>
      <c r="H104" s="25"/>
      <c r="I104" s="25"/>
      <c r="J104" s="25"/>
      <c r="K104" s="27">
        <v>1</v>
      </c>
      <c r="L104" s="28">
        <f>ROUND((M100+M101+M102+M103)*(1+M2/100),2)</f>
        <v>8839.06</v>
      </c>
      <c r="M104" s="28">
        <f>ROUND(K104*L104,2)</f>
        <v>8839.06</v>
      </c>
    </row>
    <row r="105" spans="1:13">
      <c r="A105" s="29"/>
      <c r="B105" s="29"/>
      <c r="C105" s="29"/>
      <c r="D105" s="30" t="s">
        <v>70</v>
      </c>
      <c r="E105" s="31"/>
      <c r="F105" s="31"/>
      <c r="G105" s="31"/>
      <c r="H105" s="31"/>
      <c r="I105" s="31"/>
      <c r="J105" s="31"/>
      <c r="K105" s="31"/>
      <c r="L105" s="32">
        <f>M53+M61+M67+M74+M80+M86+M91+M98</f>
        <v>15603.17</v>
      </c>
      <c r="M105" s="32">
        <f>ROUND(L105,2)</f>
        <v>15603.17</v>
      </c>
    </row>
    <row r="106" spans="1:13">
      <c r="A106" s="49" t="s">
        <v>117</v>
      </c>
      <c r="B106" s="49" t="s">
        <v>12</v>
      </c>
      <c r="C106" s="50"/>
      <c r="D106" s="61" t="s">
        <v>118</v>
      </c>
      <c r="E106" s="61"/>
      <c r="F106" s="61"/>
      <c r="G106" s="61"/>
      <c r="H106" s="61"/>
      <c r="I106" s="61"/>
      <c r="J106" s="61"/>
      <c r="K106" s="50"/>
      <c r="L106" s="51">
        <f>L153</f>
        <v>6391.4499999999989</v>
      </c>
      <c r="M106" s="51">
        <f>ROUND(L106,2)</f>
        <v>6391.45</v>
      </c>
    </row>
    <row r="107" spans="1:13" ht="45">
      <c r="A107" s="9" t="s">
        <v>119</v>
      </c>
      <c r="B107" s="4" t="s">
        <v>20</v>
      </c>
      <c r="C107" s="4" t="s">
        <v>120</v>
      </c>
      <c r="D107" s="58" t="s">
        <v>121</v>
      </c>
      <c r="E107" s="58"/>
      <c r="F107" s="58"/>
      <c r="G107" s="58"/>
      <c r="H107" s="58"/>
      <c r="I107" s="58"/>
      <c r="J107" s="58"/>
      <c r="K107" s="22">
        <f>ROUND(600,2)</f>
        <v>600</v>
      </c>
      <c r="L107" s="23">
        <f>L113</f>
        <v>2.87</v>
      </c>
      <c r="M107" s="23">
        <f>ROUND(K107*L107,2)</f>
        <v>1722</v>
      </c>
    </row>
    <row r="108" spans="1:13" ht="90">
      <c r="A108" s="24"/>
      <c r="B108" s="24"/>
      <c r="C108" s="24"/>
      <c r="D108" s="58" t="s">
        <v>122</v>
      </c>
      <c r="E108" s="58"/>
      <c r="F108" s="58"/>
      <c r="G108" s="58"/>
      <c r="H108" s="58"/>
      <c r="I108" s="58"/>
      <c r="J108" s="58"/>
      <c r="K108" s="58"/>
      <c r="L108" s="58"/>
      <c r="M108" s="58"/>
    </row>
    <row r="109" spans="1:13" ht="101.25">
      <c r="A109" s="4" t="s">
        <v>123</v>
      </c>
      <c r="B109" s="4" t="s">
        <v>38</v>
      </c>
      <c r="C109" s="4" t="s">
        <v>120</v>
      </c>
      <c r="D109" s="58" t="s">
        <v>124</v>
      </c>
      <c r="E109" s="58"/>
      <c r="F109" s="58"/>
      <c r="G109" s="58"/>
      <c r="H109" s="58"/>
      <c r="I109" s="58"/>
      <c r="J109" s="58"/>
      <c r="K109" s="22">
        <v>1</v>
      </c>
      <c r="L109" s="22">
        <f>ROUND(1.05,3)</f>
        <v>1.05</v>
      </c>
      <c r="M109" s="23">
        <f>ROUND(K109*L109,2)</f>
        <v>1.05</v>
      </c>
    </row>
    <row r="110" spans="1:13">
      <c r="A110" s="4" t="s">
        <v>63</v>
      </c>
      <c r="B110" s="4" t="s">
        <v>40</v>
      </c>
      <c r="C110" s="4" t="s">
        <v>41</v>
      </c>
      <c r="D110" s="58" t="s">
        <v>64</v>
      </c>
      <c r="E110" s="58"/>
      <c r="F110" s="58"/>
      <c r="G110" s="58"/>
      <c r="H110" s="58"/>
      <c r="I110" s="58"/>
      <c r="J110" s="58"/>
      <c r="K110" s="22">
        <v>4.3999999999999997E-2</v>
      </c>
      <c r="L110" s="22">
        <f>ROUND(20.76,3)</f>
        <v>20.76</v>
      </c>
      <c r="M110" s="23">
        <f>ROUND(K110*L110,2)</f>
        <v>0.91</v>
      </c>
    </row>
    <row r="111" spans="1:13">
      <c r="A111" s="4" t="s">
        <v>65</v>
      </c>
      <c r="B111" s="4" t="s">
        <v>40</v>
      </c>
      <c r="C111" s="4" t="s">
        <v>41</v>
      </c>
      <c r="D111" s="58" t="s">
        <v>66</v>
      </c>
      <c r="E111" s="58"/>
      <c r="F111" s="58"/>
      <c r="G111" s="58"/>
      <c r="H111" s="58"/>
      <c r="I111" s="58"/>
      <c r="J111" s="58"/>
      <c r="K111" s="22">
        <v>4.3999999999999997E-2</v>
      </c>
      <c r="L111" s="22">
        <f>ROUND(17.71,3)</f>
        <v>17.71</v>
      </c>
      <c r="M111" s="23">
        <f>ROUND(K111*L111,2)</f>
        <v>0.78</v>
      </c>
    </row>
    <row r="112" spans="1:13">
      <c r="A112" s="4" t="s">
        <v>26</v>
      </c>
      <c r="B112" s="4"/>
      <c r="C112" s="4" t="s">
        <v>26</v>
      </c>
      <c r="D112" s="58" t="s">
        <v>27</v>
      </c>
      <c r="E112" s="58"/>
      <c r="F112" s="58"/>
      <c r="G112" s="58"/>
      <c r="H112" s="58"/>
      <c r="I112" s="58"/>
      <c r="J112" s="58"/>
      <c r="K112" s="22">
        <v>2</v>
      </c>
      <c r="L112" s="22">
        <f>ROUND(2.74,3)</f>
        <v>2.74</v>
      </c>
      <c r="M112" s="23">
        <f>ROUND((K112*L112)/100,2)</f>
        <v>0.05</v>
      </c>
    </row>
    <row r="113" spans="1:13">
      <c r="A113" s="25"/>
      <c r="B113" s="25"/>
      <c r="C113" s="25"/>
      <c r="D113" s="26" t="s">
        <v>119</v>
      </c>
      <c r="E113" s="25"/>
      <c r="F113" s="25"/>
      <c r="G113" s="25"/>
      <c r="H113" s="25"/>
      <c r="I113" s="25"/>
      <c r="J113" s="25"/>
      <c r="K113" s="27">
        <v>600</v>
      </c>
      <c r="L113" s="28">
        <f>ROUND((M109+M110+M111+M112)*(1+M2/100),2)</f>
        <v>2.87</v>
      </c>
      <c r="M113" s="28">
        <f>ROUND(K113*L113,2)</f>
        <v>1722</v>
      </c>
    </row>
    <row r="114" spans="1:13" ht="45">
      <c r="A114" s="42" t="s">
        <v>125</v>
      </c>
      <c r="B114" s="43" t="s">
        <v>20</v>
      </c>
      <c r="C114" s="43" t="s">
        <v>120</v>
      </c>
      <c r="D114" s="59" t="s">
        <v>126</v>
      </c>
      <c r="E114" s="59"/>
      <c r="F114" s="59"/>
      <c r="G114" s="59"/>
      <c r="H114" s="59"/>
      <c r="I114" s="59"/>
      <c r="J114" s="59"/>
      <c r="K114" s="44">
        <f>ROUND(600,2)</f>
        <v>600</v>
      </c>
      <c r="L114" s="45">
        <f>L120</f>
        <v>2.87</v>
      </c>
      <c r="M114" s="45">
        <f>ROUND(K114*L114,2)</f>
        <v>1722</v>
      </c>
    </row>
    <row r="115" spans="1:13" ht="90">
      <c r="A115" s="24"/>
      <c r="B115" s="24"/>
      <c r="C115" s="24"/>
      <c r="D115" s="58" t="s">
        <v>127</v>
      </c>
      <c r="E115" s="58"/>
      <c r="F115" s="58"/>
      <c r="G115" s="58"/>
      <c r="H115" s="58"/>
      <c r="I115" s="58"/>
      <c r="J115" s="58"/>
      <c r="K115" s="58"/>
      <c r="L115" s="58"/>
      <c r="M115" s="58"/>
    </row>
    <row r="116" spans="1:13" ht="101.25">
      <c r="A116" s="4" t="s">
        <v>123</v>
      </c>
      <c r="B116" s="4" t="s">
        <v>38</v>
      </c>
      <c r="C116" s="4" t="s">
        <v>120</v>
      </c>
      <c r="D116" s="58" t="s">
        <v>124</v>
      </c>
      <c r="E116" s="58"/>
      <c r="F116" s="58"/>
      <c r="G116" s="58"/>
      <c r="H116" s="58"/>
      <c r="I116" s="58"/>
      <c r="J116" s="58"/>
      <c r="K116" s="22">
        <v>1</v>
      </c>
      <c r="L116" s="22">
        <f>ROUND(1.05,3)</f>
        <v>1.05</v>
      </c>
      <c r="M116" s="23">
        <f>ROUND(K116*L116,2)</f>
        <v>1.05</v>
      </c>
    </row>
    <row r="117" spans="1:13">
      <c r="A117" s="4" t="s">
        <v>63</v>
      </c>
      <c r="B117" s="4" t="s">
        <v>40</v>
      </c>
      <c r="C117" s="4" t="s">
        <v>41</v>
      </c>
      <c r="D117" s="58" t="s">
        <v>64</v>
      </c>
      <c r="E117" s="58"/>
      <c r="F117" s="58"/>
      <c r="G117" s="58"/>
      <c r="H117" s="58"/>
      <c r="I117" s="58"/>
      <c r="J117" s="58"/>
      <c r="K117" s="22">
        <v>4.3999999999999997E-2</v>
      </c>
      <c r="L117" s="22">
        <f>ROUND(20.76,3)</f>
        <v>20.76</v>
      </c>
      <c r="M117" s="23">
        <f>ROUND(K117*L117,2)</f>
        <v>0.91</v>
      </c>
    </row>
    <row r="118" spans="1:13">
      <c r="A118" s="4" t="s">
        <v>65</v>
      </c>
      <c r="B118" s="4" t="s">
        <v>40</v>
      </c>
      <c r="C118" s="4" t="s">
        <v>41</v>
      </c>
      <c r="D118" s="58" t="s">
        <v>66</v>
      </c>
      <c r="E118" s="58"/>
      <c r="F118" s="58"/>
      <c r="G118" s="58"/>
      <c r="H118" s="58"/>
      <c r="I118" s="58"/>
      <c r="J118" s="58"/>
      <c r="K118" s="22">
        <v>4.3999999999999997E-2</v>
      </c>
      <c r="L118" s="22">
        <f>ROUND(17.71,3)</f>
        <v>17.71</v>
      </c>
      <c r="M118" s="23">
        <f>ROUND(K118*L118,2)</f>
        <v>0.78</v>
      </c>
    </row>
    <row r="119" spans="1:13">
      <c r="A119" s="4" t="s">
        <v>26</v>
      </c>
      <c r="B119" s="4"/>
      <c r="C119" s="4" t="s">
        <v>26</v>
      </c>
      <c r="D119" s="58" t="s">
        <v>27</v>
      </c>
      <c r="E119" s="58"/>
      <c r="F119" s="58"/>
      <c r="G119" s="58"/>
      <c r="H119" s="58"/>
      <c r="I119" s="58"/>
      <c r="J119" s="58"/>
      <c r="K119" s="22">
        <v>2</v>
      </c>
      <c r="L119" s="22">
        <f>ROUND(2.74,3)</f>
        <v>2.74</v>
      </c>
      <c r="M119" s="23">
        <f>ROUND((K119*L119)/100,2)</f>
        <v>0.05</v>
      </c>
    </row>
    <row r="120" spans="1:13">
      <c r="A120" s="25"/>
      <c r="B120" s="25"/>
      <c r="C120" s="25"/>
      <c r="D120" s="26" t="s">
        <v>125</v>
      </c>
      <c r="E120" s="25"/>
      <c r="F120" s="25"/>
      <c r="G120" s="25"/>
      <c r="H120" s="25"/>
      <c r="I120" s="25"/>
      <c r="J120" s="25"/>
      <c r="K120" s="27">
        <v>600</v>
      </c>
      <c r="L120" s="28">
        <f>ROUND((M116+M117+M118+M119)*(1+M2/100),2)</f>
        <v>2.87</v>
      </c>
      <c r="M120" s="28">
        <f>ROUND(K120*L120,2)</f>
        <v>1722</v>
      </c>
    </row>
    <row r="121" spans="1:13" ht="22.5">
      <c r="A121" s="42" t="s">
        <v>128</v>
      </c>
      <c r="B121" s="43" t="s">
        <v>20</v>
      </c>
      <c r="C121" s="43" t="s">
        <v>120</v>
      </c>
      <c r="D121" s="59" t="s">
        <v>129</v>
      </c>
      <c r="E121" s="59"/>
      <c r="F121" s="59"/>
      <c r="G121" s="59"/>
      <c r="H121" s="59"/>
      <c r="I121" s="59"/>
      <c r="J121" s="59"/>
      <c r="K121" s="44">
        <f>ROUND(100,2)</f>
        <v>100</v>
      </c>
      <c r="L121" s="45">
        <f>L127</f>
        <v>16.64</v>
      </c>
      <c r="M121" s="45">
        <f>ROUND(K121*L121,2)</f>
        <v>1664</v>
      </c>
    </row>
    <row r="122" spans="1:13" ht="78.75">
      <c r="A122" s="24"/>
      <c r="B122" s="24"/>
      <c r="C122" s="24"/>
      <c r="D122" s="58" t="s">
        <v>130</v>
      </c>
      <c r="E122" s="58"/>
      <c r="F122" s="58"/>
      <c r="G122" s="58"/>
      <c r="H122" s="58"/>
      <c r="I122" s="58"/>
      <c r="J122" s="58"/>
      <c r="K122" s="58"/>
      <c r="L122" s="58"/>
      <c r="M122" s="58"/>
    </row>
    <row r="123" spans="1:13" ht="78.75">
      <c r="A123" s="4" t="s">
        <v>131</v>
      </c>
      <c r="B123" s="4" t="s">
        <v>38</v>
      </c>
      <c r="C123" s="4" t="s">
        <v>120</v>
      </c>
      <c r="D123" s="58" t="s">
        <v>132</v>
      </c>
      <c r="E123" s="58"/>
      <c r="F123" s="58"/>
      <c r="G123" s="58"/>
      <c r="H123" s="58"/>
      <c r="I123" s="58"/>
      <c r="J123" s="58"/>
      <c r="K123" s="22">
        <v>1</v>
      </c>
      <c r="L123" s="22">
        <f>ROUND(12.15,3)</f>
        <v>12.15</v>
      </c>
      <c r="M123" s="23">
        <f>ROUND(K123*L123,2)</f>
        <v>12.15</v>
      </c>
    </row>
    <row r="124" spans="1:13">
      <c r="A124" s="4" t="s">
        <v>63</v>
      </c>
      <c r="B124" s="4" t="s">
        <v>40</v>
      </c>
      <c r="C124" s="4" t="s">
        <v>41</v>
      </c>
      <c r="D124" s="58" t="s">
        <v>64</v>
      </c>
      <c r="E124" s="58"/>
      <c r="F124" s="58"/>
      <c r="G124" s="58"/>
      <c r="H124" s="58"/>
      <c r="I124" s="58"/>
      <c r="J124" s="58"/>
      <c r="K124" s="22">
        <v>9.6000000000000002E-2</v>
      </c>
      <c r="L124" s="22">
        <f>ROUND(20.76,3)</f>
        <v>20.76</v>
      </c>
      <c r="M124" s="23">
        <f>ROUND(K124*L124,2)</f>
        <v>1.99</v>
      </c>
    </row>
    <row r="125" spans="1:13">
      <c r="A125" s="4" t="s">
        <v>65</v>
      </c>
      <c r="B125" s="4" t="s">
        <v>40</v>
      </c>
      <c r="C125" s="4" t="s">
        <v>41</v>
      </c>
      <c r="D125" s="58" t="s">
        <v>66</v>
      </c>
      <c r="E125" s="58"/>
      <c r="F125" s="58"/>
      <c r="G125" s="58"/>
      <c r="H125" s="58"/>
      <c r="I125" s="58"/>
      <c r="J125" s="58"/>
      <c r="K125" s="22">
        <v>9.6000000000000002E-2</v>
      </c>
      <c r="L125" s="22">
        <f>ROUND(17.71,3)</f>
        <v>17.71</v>
      </c>
      <c r="M125" s="23">
        <f>ROUND(K125*L125,2)</f>
        <v>1.7</v>
      </c>
    </row>
    <row r="126" spans="1:13">
      <c r="A126" s="4" t="s">
        <v>26</v>
      </c>
      <c r="B126" s="4"/>
      <c r="C126" s="4" t="s">
        <v>26</v>
      </c>
      <c r="D126" s="58" t="s">
        <v>27</v>
      </c>
      <c r="E126" s="58"/>
      <c r="F126" s="58"/>
      <c r="G126" s="58"/>
      <c r="H126" s="58"/>
      <c r="I126" s="58"/>
      <c r="J126" s="58"/>
      <c r="K126" s="22">
        <v>2</v>
      </c>
      <c r="L126" s="22">
        <f>ROUND(15.84,3)</f>
        <v>15.84</v>
      </c>
      <c r="M126" s="23">
        <f>ROUND((K126*L126)/100,2)</f>
        <v>0.32</v>
      </c>
    </row>
    <row r="127" spans="1:13">
      <c r="A127" s="25"/>
      <c r="B127" s="25"/>
      <c r="C127" s="25"/>
      <c r="D127" s="26" t="s">
        <v>128</v>
      </c>
      <c r="E127" s="25"/>
      <c r="F127" s="25"/>
      <c r="G127" s="25"/>
      <c r="H127" s="25"/>
      <c r="I127" s="25"/>
      <c r="J127" s="25"/>
      <c r="K127" s="27">
        <v>100</v>
      </c>
      <c r="L127" s="28">
        <f>ROUND((M123+M124+M125+M126)*(1+M2/100),2)</f>
        <v>16.64</v>
      </c>
      <c r="M127" s="28">
        <f>ROUND(K127*L127,2)</f>
        <v>1664</v>
      </c>
    </row>
    <row r="128" spans="1:13" ht="22.5">
      <c r="A128" s="42" t="s">
        <v>133</v>
      </c>
      <c r="B128" s="43" t="s">
        <v>20</v>
      </c>
      <c r="C128" s="43" t="s">
        <v>120</v>
      </c>
      <c r="D128" s="59" t="s">
        <v>134</v>
      </c>
      <c r="E128" s="59"/>
      <c r="F128" s="59"/>
      <c r="G128" s="59"/>
      <c r="H128" s="59"/>
      <c r="I128" s="59"/>
      <c r="J128" s="59"/>
      <c r="K128" s="44">
        <f>ROUND(40,2)</f>
        <v>40</v>
      </c>
      <c r="L128" s="45">
        <f>L134</f>
        <v>9.4600000000000009</v>
      </c>
      <c r="M128" s="45">
        <f>ROUND(K128*L128,2)</f>
        <v>378.4</v>
      </c>
    </row>
    <row r="129" spans="1:13" ht="78.75">
      <c r="A129" s="24"/>
      <c r="B129" s="24"/>
      <c r="C129" s="24"/>
      <c r="D129" s="58" t="s">
        <v>135</v>
      </c>
      <c r="E129" s="58"/>
      <c r="F129" s="58"/>
      <c r="G129" s="58"/>
      <c r="H129" s="58"/>
      <c r="I129" s="58"/>
      <c r="J129" s="58"/>
      <c r="K129" s="58"/>
      <c r="L129" s="58"/>
      <c r="M129" s="58"/>
    </row>
    <row r="130" spans="1:13" ht="78.75">
      <c r="A130" s="4" t="s">
        <v>136</v>
      </c>
      <c r="B130" s="4" t="s">
        <v>38</v>
      </c>
      <c r="C130" s="4" t="s">
        <v>120</v>
      </c>
      <c r="D130" s="58" t="s">
        <v>137</v>
      </c>
      <c r="E130" s="58"/>
      <c r="F130" s="58"/>
      <c r="G130" s="58"/>
      <c r="H130" s="58"/>
      <c r="I130" s="58"/>
      <c r="J130" s="58"/>
      <c r="K130" s="22">
        <v>1</v>
      </c>
      <c r="L130" s="22">
        <f>ROUND(6.35,3)</f>
        <v>6.35</v>
      </c>
      <c r="M130" s="23">
        <f>ROUND(K130*L130,2)</f>
        <v>6.35</v>
      </c>
    </row>
    <row r="131" spans="1:13">
      <c r="A131" s="4" t="s">
        <v>63</v>
      </c>
      <c r="B131" s="4" t="s">
        <v>40</v>
      </c>
      <c r="C131" s="4" t="s">
        <v>41</v>
      </c>
      <c r="D131" s="58" t="s">
        <v>64</v>
      </c>
      <c r="E131" s="58"/>
      <c r="F131" s="58"/>
      <c r="G131" s="58"/>
      <c r="H131" s="58"/>
      <c r="I131" s="58"/>
      <c r="J131" s="58"/>
      <c r="K131" s="22">
        <v>6.9000000000000006E-2</v>
      </c>
      <c r="L131" s="22">
        <f>ROUND(20.76,3)</f>
        <v>20.76</v>
      </c>
      <c r="M131" s="23">
        <f>ROUND(K131*L131,2)</f>
        <v>1.43</v>
      </c>
    </row>
    <row r="132" spans="1:13">
      <c r="A132" s="4" t="s">
        <v>65</v>
      </c>
      <c r="B132" s="4" t="s">
        <v>40</v>
      </c>
      <c r="C132" s="4" t="s">
        <v>41</v>
      </c>
      <c r="D132" s="58" t="s">
        <v>66</v>
      </c>
      <c r="E132" s="58"/>
      <c r="F132" s="58"/>
      <c r="G132" s="58"/>
      <c r="H132" s="58"/>
      <c r="I132" s="58"/>
      <c r="J132" s="58"/>
      <c r="K132" s="22">
        <v>6.9000000000000006E-2</v>
      </c>
      <c r="L132" s="22">
        <f>ROUND(17.71,3)</f>
        <v>17.71</v>
      </c>
      <c r="M132" s="23">
        <f>ROUND(K132*L132,2)</f>
        <v>1.22</v>
      </c>
    </row>
    <row r="133" spans="1:13">
      <c r="A133" s="4" t="s">
        <v>26</v>
      </c>
      <c r="B133" s="4"/>
      <c r="C133" s="4" t="s">
        <v>26</v>
      </c>
      <c r="D133" s="58" t="s">
        <v>27</v>
      </c>
      <c r="E133" s="58"/>
      <c r="F133" s="58"/>
      <c r="G133" s="58"/>
      <c r="H133" s="58"/>
      <c r="I133" s="58"/>
      <c r="J133" s="58"/>
      <c r="K133" s="22">
        <v>2</v>
      </c>
      <c r="L133" s="22">
        <f>ROUND(9,3)</f>
        <v>9</v>
      </c>
      <c r="M133" s="23">
        <f>ROUND((K133*L133)/100,2)</f>
        <v>0.18</v>
      </c>
    </row>
    <row r="134" spans="1:13">
      <c r="A134" s="25"/>
      <c r="B134" s="25"/>
      <c r="C134" s="25"/>
      <c r="D134" s="26" t="s">
        <v>133</v>
      </c>
      <c r="E134" s="25"/>
      <c r="F134" s="25"/>
      <c r="G134" s="25"/>
      <c r="H134" s="25"/>
      <c r="I134" s="25"/>
      <c r="J134" s="25"/>
      <c r="K134" s="27">
        <v>40</v>
      </c>
      <c r="L134" s="28">
        <f>ROUND((M130+M131+M132+M133)*(1+M2/100),2)</f>
        <v>9.4600000000000009</v>
      </c>
      <c r="M134" s="28">
        <f>ROUND(K134*L134,2)</f>
        <v>378.4</v>
      </c>
    </row>
    <row r="135" spans="1:13" ht="33.75">
      <c r="A135" s="42" t="s">
        <v>138</v>
      </c>
      <c r="B135" s="43" t="s">
        <v>20</v>
      </c>
      <c r="C135" s="43" t="s">
        <v>120</v>
      </c>
      <c r="D135" s="59" t="s">
        <v>139</v>
      </c>
      <c r="E135" s="59"/>
      <c r="F135" s="59"/>
      <c r="G135" s="59"/>
      <c r="H135" s="59"/>
      <c r="I135" s="59"/>
      <c r="J135" s="59"/>
      <c r="K135" s="44">
        <f>ROUND(30,2)</f>
        <v>30</v>
      </c>
      <c r="L135" s="45">
        <f>L141</f>
        <v>0.88</v>
      </c>
      <c r="M135" s="45">
        <f>ROUND(K135*L135,2)</f>
        <v>26.4</v>
      </c>
    </row>
    <row r="136" spans="1:13" ht="56.25">
      <c r="A136" s="24"/>
      <c r="B136" s="24"/>
      <c r="C136" s="24"/>
      <c r="D136" s="58" t="s">
        <v>140</v>
      </c>
      <c r="E136" s="58"/>
      <c r="F136" s="58"/>
      <c r="G136" s="58"/>
      <c r="H136" s="58"/>
      <c r="I136" s="58"/>
      <c r="J136" s="58"/>
      <c r="K136" s="58"/>
      <c r="L136" s="58"/>
      <c r="M136" s="58"/>
    </row>
    <row r="137" spans="1:13" ht="78.75">
      <c r="A137" s="4" t="s">
        <v>141</v>
      </c>
      <c r="B137" s="4" t="s">
        <v>38</v>
      </c>
      <c r="C137" s="4" t="s">
        <v>120</v>
      </c>
      <c r="D137" s="58" t="s">
        <v>142</v>
      </c>
      <c r="E137" s="58"/>
      <c r="F137" s="58"/>
      <c r="G137" s="58"/>
      <c r="H137" s="58"/>
      <c r="I137" s="58"/>
      <c r="J137" s="58"/>
      <c r="K137" s="22">
        <v>1</v>
      </c>
      <c r="L137" s="22">
        <f>ROUND(0.41,3)</f>
        <v>0.41</v>
      </c>
      <c r="M137" s="23">
        <f>ROUND(K137*L137,2)</f>
        <v>0.41</v>
      </c>
    </row>
    <row r="138" spans="1:13">
      <c r="A138" s="4" t="s">
        <v>63</v>
      </c>
      <c r="B138" s="4" t="s">
        <v>40</v>
      </c>
      <c r="C138" s="4" t="s">
        <v>41</v>
      </c>
      <c r="D138" s="58" t="s">
        <v>64</v>
      </c>
      <c r="E138" s="58"/>
      <c r="F138" s="58"/>
      <c r="G138" s="58"/>
      <c r="H138" s="58"/>
      <c r="I138" s="58"/>
      <c r="J138" s="58"/>
      <c r="K138" s="22">
        <v>1.0999999999999999E-2</v>
      </c>
      <c r="L138" s="22">
        <f>ROUND(20.76,3)</f>
        <v>20.76</v>
      </c>
      <c r="M138" s="23">
        <f>ROUND(K138*L138,2)</f>
        <v>0.23</v>
      </c>
    </row>
    <row r="139" spans="1:13">
      <c r="A139" s="4" t="s">
        <v>65</v>
      </c>
      <c r="B139" s="4" t="s">
        <v>40</v>
      </c>
      <c r="C139" s="4" t="s">
        <v>41</v>
      </c>
      <c r="D139" s="58" t="s">
        <v>66</v>
      </c>
      <c r="E139" s="58"/>
      <c r="F139" s="58"/>
      <c r="G139" s="58"/>
      <c r="H139" s="58"/>
      <c r="I139" s="58"/>
      <c r="J139" s="58"/>
      <c r="K139" s="22">
        <v>1.0999999999999999E-2</v>
      </c>
      <c r="L139" s="22">
        <f>ROUND(17.71,3)</f>
        <v>17.71</v>
      </c>
      <c r="M139" s="23">
        <f>ROUND(K139*L139,2)</f>
        <v>0.19</v>
      </c>
    </row>
    <row r="140" spans="1:13">
      <c r="A140" s="4" t="s">
        <v>26</v>
      </c>
      <c r="B140" s="4"/>
      <c r="C140" s="4" t="s">
        <v>26</v>
      </c>
      <c r="D140" s="58" t="s">
        <v>27</v>
      </c>
      <c r="E140" s="58"/>
      <c r="F140" s="58"/>
      <c r="G140" s="58"/>
      <c r="H140" s="58"/>
      <c r="I140" s="58"/>
      <c r="J140" s="58"/>
      <c r="K140" s="22">
        <v>2</v>
      </c>
      <c r="L140" s="22">
        <f>ROUND(0.83,3)</f>
        <v>0.83</v>
      </c>
      <c r="M140" s="23">
        <f>ROUND((K140*L140)/100,2)</f>
        <v>0.02</v>
      </c>
    </row>
    <row r="141" spans="1:13">
      <c r="A141" s="25"/>
      <c r="B141" s="25"/>
      <c r="C141" s="25"/>
      <c r="D141" s="26" t="s">
        <v>138</v>
      </c>
      <c r="E141" s="25"/>
      <c r="F141" s="25"/>
      <c r="G141" s="25"/>
      <c r="H141" s="25"/>
      <c r="I141" s="25"/>
      <c r="J141" s="25"/>
      <c r="K141" s="27">
        <v>30</v>
      </c>
      <c r="L141" s="28">
        <f>ROUND((M137+M138+M139+M140)*(1+M2/100),2)</f>
        <v>0.88</v>
      </c>
      <c r="M141" s="28">
        <f>ROUND(K141*L141,2)</f>
        <v>26.4</v>
      </c>
    </row>
    <row r="142" spans="1:13" ht="33.75">
      <c r="A142" s="42" t="s">
        <v>143</v>
      </c>
      <c r="B142" s="43" t="s">
        <v>20</v>
      </c>
      <c r="C142" s="43" t="s">
        <v>120</v>
      </c>
      <c r="D142" s="59" t="s">
        <v>144</v>
      </c>
      <c r="E142" s="59"/>
      <c r="F142" s="59"/>
      <c r="G142" s="59"/>
      <c r="H142" s="59"/>
      <c r="I142" s="59"/>
      <c r="J142" s="59"/>
      <c r="K142" s="44">
        <f>ROUND(100,2)</f>
        <v>100</v>
      </c>
      <c r="L142" s="45">
        <f>L148</f>
        <v>2.19</v>
      </c>
      <c r="M142" s="45">
        <f>ROUND(K142*L142,2)</f>
        <v>219</v>
      </c>
    </row>
    <row r="143" spans="1:13" ht="78.75">
      <c r="A143" s="24"/>
      <c r="B143" s="24"/>
      <c r="C143" s="24"/>
      <c r="D143" s="58" t="s">
        <v>145</v>
      </c>
      <c r="E143" s="58"/>
      <c r="F143" s="58"/>
      <c r="G143" s="58"/>
      <c r="H143" s="58"/>
      <c r="I143" s="58"/>
      <c r="J143" s="58"/>
      <c r="K143" s="58"/>
      <c r="L143" s="58"/>
      <c r="M143" s="58"/>
    </row>
    <row r="144" spans="1:13" ht="78.75">
      <c r="A144" s="4" t="s">
        <v>146</v>
      </c>
      <c r="B144" s="4" t="s">
        <v>38</v>
      </c>
      <c r="C144" s="4" t="s">
        <v>120</v>
      </c>
      <c r="D144" s="58" t="s">
        <v>147</v>
      </c>
      <c r="E144" s="58"/>
      <c r="F144" s="58"/>
      <c r="G144" s="58"/>
      <c r="H144" s="58"/>
      <c r="I144" s="58"/>
      <c r="J144" s="58"/>
      <c r="K144" s="22">
        <v>1</v>
      </c>
      <c r="L144" s="22">
        <f>ROUND(1.43,3)</f>
        <v>1.43</v>
      </c>
      <c r="M144" s="23">
        <f>ROUND(K144*L144,2)</f>
        <v>1.43</v>
      </c>
    </row>
    <row r="145" spans="1:13">
      <c r="A145" s="4" t="s">
        <v>148</v>
      </c>
      <c r="B145" s="4" t="s">
        <v>40</v>
      </c>
      <c r="C145" s="4" t="s">
        <v>41</v>
      </c>
      <c r="D145" s="58" t="s">
        <v>149</v>
      </c>
      <c r="E145" s="58"/>
      <c r="F145" s="58"/>
      <c r="G145" s="58"/>
      <c r="H145" s="58"/>
      <c r="I145" s="58"/>
      <c r="J145" s="58"/>
      <c r="K145" s="22">
        <v>1.6E-2</v>
      </c>
      <c r="L145" s="22">
        <f>ROUND(21.9,3)</f>
        <v>21.9</v>
      </c>
      <c r="M145" s="23">
        <f>ROUND(K145*L145,2)</f>
        <v>0.35</v>
      </c>
    </row>
    <row r="146" spans="1:13">
      <c r="A146" s="4" t="s">
        <v>150</v>
      </c>
      <c r="B146" s="4" t="s">
        <v>40</v>
      </c>
      <c r="C146" s="4" t="s">
        <v>41</v>
      </c>
      <c r="D146" s="58" t="s">
        <v>151</v>
      </c>
      <c r="E146" s="58"/>
      <c r="F146" s="58"/>
      <c r="G146" s="58"/>
      <c r="H146" s="58"/>
      <c r="I146" s="58"/>
      <c r="J146" s="58"/>
      <c r="K146" s="22">
        <v>1.6E-2</v>
      </c>
      <c r="L146" s="22">
        <f>ROUND(19.19,3)</f>
        <v>19.190000000000001</v>
      </c>
      <c r="M146" s="23">
        <f>ROUND(K146*L146,2)</f>
        <v>0.31</v>
      </c>
    </row>
    <row r="147" spans="1:13">
      <c r="A147" s="4" t="s">
        <v>26</v>
      </c>
      <c r="B147" s="4"/>
      <c r="C147" s="4" t="s">
        <v>26</v>
      </c>
      <c r="D147" s="58" t="s">
        <v>27</v>
      </c>
      <c r="E147" s="58"/>
      <c r="F147" s="58"/>
      <c r="G147" s="58"/>
      <c r="H147" s="58"/>
      <c r="I147" s="58"/>
      <c r="J147" s="58"/>
      <c r="K147" s="22">
        <v>2</v>
      </c>
      <c r="L147" s="22">
        <f>ROUND(2.09,3)</f>
        <v>2.09</v>
      </c>
      <c r="M147" s="23">
        <f>ROUND((K147*L147)/100,2)</f>
        <v>0.04</v>
      </c>
    </row>
    <row r="148" spans="1:13">
      <c r="A148" s="25"/>
      <c r="B148" s="25"/>
      <c r="C148" s="25"/>
      <c r="D148" s="26" t="s">
        <v>143</v>
      </c>
      <c r="E148" s="25"/>
      <c r="F148" s="25"/>
      <c r="G148" s="25"/>
      <c r="H148" s="25"/>
      <c r="I148" s="25"/>
      <c r="J148" s="25"/>
      <c r="K148" s="27">
        <v>100</v>
      </c>
      <c r="L148" s="28">
        <f>ROUND((M144+M145+M146+M147)*(1+M2/100),2)</f>
        <v>2.19</v>
      </c>
      <c r="M148" s="28">
        <f>ROUND(K148*L148,2)</f>
        <v>219</v>
      </c>
    </row>
    <row r="149" spans="1:13">
      <c r="A149" s="42" t="s">
        <v>152</v>
      </c>
      <c r="B149" s="43" t="s">
        <v>20</v>
      </c>
      <c r="C149" s="43" t="s">
        <v>56</v>
      </c>
      <c r="D149" s="59" t="s">
        <v>57</v>
      </c>
      <c r="E149" s="59"/>
      <c r="F149" s="59"/>
      <c r="G149" s="59"/>
      <c r="H149" s="59"/>
      <c r="I149" s="59"/>
      <c r="J149" s="59"/>
      <c r="K149" s="44">
        <f>ROUND(1,2)</f>
        <v>1</v>
      </c>
      <c r="L149" s="45">
        <f>ROUND(155*(1+M2/100),2)</f>
        <v>159.65</v>
      </c>
      <c r="M149" s="45">
        <f>ROUND(K149*L149,2)</f>
        <v>159.65</v>
      </c>
    </row>
    <row r="150" spans="1:13" ht="33.75">
      <c r="A150" s="24"/>
      <c r="B150" s="24"/>
      <c r="C150" s="24"/>
      <c r="D150" s="58" t="s">
        <v>58</v>
      </c>
      <c r="E150" s="58"/>
      <c r="F150" s="58"/>
      <c r="G150" s="58"/>
      <c r="H150" s="58"/>
      <c r="I150" s="58"/>
      <c r="J150" s="58"/>
      <c r="K150" s="58"/>
      <c r="L150" s="58"/>
      <c r="M150" s="58"/>
    </row>
    <row r="151" spans="1:13">
      <c r="A151" s="9" t="s">
        <v>153</v>
      </c>
      <c r="B151" s="4" t="s">
        <v>20</v>
      </c>
      <c r="C151" s="4" t="s">
        <v>56</v>
      </c>
      <c r="D151" s="58" t="s">
        <v>154</v>
      </c>
      <c r="E151" s="58"/>
      <c r="F151" s="58"/>
      <c r="G151" s="58"/>
      <c r="H151" s="58"/>
      <c r="I151" s="58"/>
      <c r="J151" s="58"/>
      <c r="K151" s="22">
        <f>ROUND(1,2)</f>
        <v>1</v>
      </c>
      <c r="L151" s="23">
        <f>ROUND(485.437*(1+M2/100),2)</f>
        <v>500</v>
      </c>
      <c r="M151" s="23">
        <f>ROUND(K151*L151,2)</f>
        <v>500</v>
      </c>
    </row>
    <row r="152" spans="1:13">
      <c r="A152" s="24"/>
      <c r="B152" s="24"/>
      <c r="C152" s="24"/>
      <c r="D152" s="58" t="s">
        <v>154</v>
      </c>
      <c r="E152" s="58"/>
      <c r="F152" s="58"/>
      <c r="G152" s="58"/>
      <c r="H152" s="58"/>
      <c r="I152" s="58"/>
      <c r="J152" s="58"/>
      <c r="K152" s="58"/>
      <c r="L152" s="58"/>
      <c r="M152" s="58"/>
    </row>
    <row r="153" spans="1:13">
      <c r="A153" s="25"/>
      <c r="B153" s="25"/>
      <c r="C153" s="25"/>
      <c r="D153" s="46" t="s">
        <v>117</v>
      </c>
      <c r="E153" s="47"/>
      <c r="F153" s="47"/>
      <c r="G153" s="47"/>
      <c r="H153" s="47"/>
      <c r="I153" s="47"/>
      <c r="J153" s="47"/>
      <c r="K153" s="47"/>
      <c r="L153" s="48">
        <f>M107+M114+M121+M128+M135+M142+M149+M151</f>
        <v>6391.4499999999989</v>
      </c>
      <c r="M153" s="48">
        <f>ROUND(L153,2)</f>
        <v>6391.45</v>
      </c>
    </row>
    <row r="154" spans="1:13">
      <c r="A154" s="49" t="s">
        <v>155</v>
      </c>
      <c r="B154" s="49" t="s">
        <v>12</v>
      </c>
      <c r="C154" s="50"/>
      <c r="D154" s="61" t="s">
        <v>156</v>
      </c>
      <c r="E154" s="61"/>
      <c r="F154" s="61"/>
      <c r="G154" s="61"/>
      <c r="H154" s="61"/>
      <c r="I154" s="61"/>
      <c r="J154" s="61"/>
      <c r="K154" s="50"/>
      <c r="L154" s="51">
        <f>L185</f>
        <v>2054.1999999999998</v>
      </c>
      <c r="M154" s="51">
        <f>ROUND(L154,2)</f>
        <v>2054.1999999999998</v>
      </c>
    </row>
    <row r="155" spans="1:13" ht="22.5">
      <c r="A155" s="9" t="s">
        <v>157</v>
      </c>
      <c r="B155" s="4" t="s">
        <v>20</v>
      </c>
      <c r="C155" s="4" t="s">
        <v>120</v>
      </c>
      <c r="D155" s="58" t="s">
        <v>158</v>
      </c>
      <c r="E155" s="58"/>
      <c r="F155" s="58"/>
      <c r="G155" s="58"/>
      <c r="H155" s="58"/>
      <c r="I155" s="58"/>
      <c r="J155" s="58"/>
      <c r="K155" s="22">
        <f>ROUND(100,2)</f>
        <v>100</v>
      </c>
      <c r="L155" s="23">
        <f>L162</f>
        <v>9.6199999999999992</v>
      </c>
      <c r="M155" s="23">
        <f>ROUND(K155*L155,2)</f>
        <v>962</v>
      </c>
    </row>
    <row r="156" spans="1:13" ht="22.5">
      <c r="A156" s="24"/>
      <c r="B156" s="24"/>
      <c r="C156" s="24"/>
      <c r="D156" s="58" t="s">
        <v>159</v>
      </c>
      <c r="E156" s="58"/>
      <c r="F156" s="58"/>
      <c r="G156" s="58"/>
      <c r="H156" s="58"/>
      <c r="I156" s="58"/>
      <c r="J156" s="58"/>
      <c r="K156" s="58"/>
      <c r="L156" s="58"/>
      <c r="M156" s="58"/>
    </row>
    <row r="157" spans="1:13" ht="22.5">
      <c r="A157" s="4" t="s">
        <v>160</v>
      </c>
      <c r="B157" s="4" t="s">
        <v>38</v>
      </c>
      <c r="C157" s="4" t="s">
        <v>120</v>
      </c>
      <c r="D157" s="58" t="s">
        <v>159</v>
      </c>
      <c r="E157" s="58"/>
      <c r="F157" s="58"/>
      <c r="G157" s="58"/>
      <c r="H157" s="58"/>
      <c r="I157" s="58"/>
      <c r="J157" s="58"/>
      <c r="K157" s="22">
        <v>1</v>
      </c>
      <c r="L157" s="22">
        <f>ROUND(2,3)</f>
        <v>2</v>
      </c>
      <c r="M157" s="23">
        <f>ROUND(K157*L157,2)</f>
        <v>2</v>
      </c>
    </row>
    <row r="158" spans="1:13">
      <c r="A158" s="4" t="s">
        <v>161</v>
      </c>
      <c r="B158" s="4" t="s">
        <v>38</v>
      </c>
      <c r="C158" s="4" t="s">
        <v>120</v>
      </c>
      <c r="D158" s="58" t="s">
        <v>162</v>
      </c>
      <c r="E158" s="58"/>
      <c r="F158" s="58"/>
      <c r="G158" s="58"/>
      <c r="H158" s="58"/>
      <c r="I158" s="58"/>
      <c r="J158" s="58"/>
      <c r="K158" s="22">
        <v>1</v>
      </c>
      <c r="L158" s="22">
        <f>ROUND(2.64,3)</f>
        <v>2.64</v>
      </c>
      <c r="M158" s="23">
        <f>ROUND(K158*L158,2)</f>
        <v>2.64</v>
      </c>
    </row>
    <row r="159" spans="1:13">
      <c r="A159" s="4" t="s">
        <v>63</v>
      </c>
      <c r="B159" s="4" t="s">
        <v>40</v>
      </c>
      <c r="C159" s="4" t="s">
        <v>41</v>
      </c>
      <c r="D159" s="58" t="s">
        <v>64</v>
      </c>
      <c r="E159" s="58"/>
      <c r="F159" s="58"/>
      <c r="G159" s="58"/>
      <c r="H159" s="58"/>
      <c r="I159" s="58"/>
      <c r="J159" s="58"/>
      <c r="K159" s="22">
        <v>0.152</v>
      </c>
      <c r="L159" s="22">
        <f>ROUND(20.76,3)</f>
        <v>20.76</v>
      </c>
      <c r="M159" s="23">
        <f>ROUND(K159*L159,2)</f>
        <v>3.16</v>
      </c>
    </row>
    <row r="160" spans="1:13">
      <c r="A160" s="4" t="s">
        <v>65</v>
      </c>
      <c r="B160" s="4" t="s">
        <v>40</v>
      </c>
      <c r="C160" s="4" t="s">
        <v>41</v>
      </c>
      <c r="D160" s="58" t="s">
        <v>66</v>
      </c>
      <c r="E160" s="58"/>
      <c r="F160" s="58"/>
      <c r="G160" s="58"/>
      <c r="H160" s="58"/>
      <c r="I160" s="58"/>
      <c r="J160" s="58"/>
      <c r="K160" s="22">
        <v>7.6999999999999999E-2</v>
      </c>
      <c r="L160" s="22">
        <f>ROUND(17.71,3)</f>
        <v>17.71</v>
      </c>
      <c r="M160" s="23">
        <f>ROUND(K160*L160,2)</f>
        <v>1.36</v>
      </c>
    </row>
    <row r="161" spans="1:13">
      <c r="A161" s="4" t="s">
        <v>26</v>
      </c>
      <c r="B161" s="4"/>
      <c r="C161" s="4" t="s">
        <v>26</v>
      </c>
      <c r="D161" s="58" t="s">
        <v>27</v>
      </c>
      <c r="E161" s="58"/>
      <c r="F161" s="58"/>
      <c r="G161" s="58"/>
      <c r="H161" s="58"/>
      <c r="I161" s="58"/>
      <c r="J161" s="58"/>
      <c r="K161" s="22">
        <v>2</v>
      </c>
      <c r="L161" s="22">
        <f>ROUND(9.16,3)</f>
        <v>9.16</v>
      </c>
      <c r="M161" s="23">
        <f>ROUND((K161*L161)/100,2)</f>
        <v>0.18</v>
      </c>
    </row>
    <row r="162" spans="1:13">
      <c r="A162" s="25"/>
      <c r="B162" s="25"/>
      <c r="C162" s="25"/>
      <c r="D162" s="26" t="s">
        <v>157</v>
      </c>
      <c r="E162" s="25"/>
      <c r="F162" s="25"/>
      <c r="G162" s="25"/>
      <c r="H162" s="25"/>
      <c r="I162" s="25"/>
      <c r="J162" s="25"/>
      <c r="K162" s="27">
        <v>100</v>
      </c>
      <c r="L162" s="28">
        <f>ROUND((M157+M158+M159+M160+M161)*(1+M2/100),2)</f>
        <v>9.6199999999999992</v>
      </c>
      <c r="M162" s="28">
        <f>ROUND(K162*L162,2)</f>
        <v>962</v>
      </c>
    </row>
    <row r="163" spans="1:13" ht="22.5">
      <c r="A163" s="42" t="s">
        <v>163</v>
      </c>
      <c r="B163" s="43" t="s">
        <v>20</v>
      </c>
      <c r="C163" s="43" t="s">
        <v>120</v>
      </c>
      <c r="D163" s="59" t="s">
        <v>164</v>
      </c>
      <c r="E163" s="59"/>
      <c r="F163" s="59"/>
      <c r="G163" s="59"/>
      <c r="H163" s="59"/>
      <c r="I163" s="59"/>
      <c r="J163" s="59"/>
      <c r="K163" s="44">
        <f>ROUND(40,2)</f>
        <v>40</v>
      </c>
      <c r="L163" s="45">
        <f>L170</f>
        <v>12.65</v>
      </c>
      <c r="M163" s="45">
        <f>ROUND(K163*L163,2)</f>
        <v>506</v>
      </c>
    </row>
    <row r="164" spans="1:13" ht="22.5">
      <c r="A164" s="24"/>
      <c r="B164" s="24"/>
      <c r="C164" s="24"/>
      <c r="D164" s="58" t="s">
        <v>165</v>
      </c>
      <c r="E164" s="58"/>
      <c r="F164" s="58"/>
      <c r="G164" s="58"/>
      <c r="H164" s="58"/>
      <c r="I164" s="58"/>
      <c r="J164" s="58"/>
      <c r="K164" s="58"/>
      <c r="L164" s="58"/>
      <c r="M164" s="58"/>
    </row>
    <row r="165" spans="1:13" ht="22.5">
      <c r="A165" s="4" t="s">
        <v>166</v>
      </c>
      <c r="B165" s="4" t="s">
        <v>38</v>
      </c>
      <c r="C165" s="4" t="s">
        <v>120</v>
      </c>
      <c r="D165" s="58" t="s">
        <v>165</v>
      </c>
      <c r="E165" s="58"/>
      <c r="F165" s="58"/>
      <c r="G165" s="58"/>
      <c r="H165" s="58"/>
      <c r="I165" s="58"/>
      <c r="J165" s="58"/>
      <c r="K165" s="22">
        <v>1</v>
      </c>
      <c r="L165" s="22">
        <f>ROUND(4.596,3)</f>
        <v>4.5960000000000001</v>
      </c>
      <c r="M165" s="23">
        <f>ROUND(K165*L165,2)</f>
        <v>4.5999999999999996</v>
      </c>
    </row>
    <row r="166" spans="1:13">
      <c r="A166" s="4" t="s">
        <v>167</v>
      </c>
      <c r="B166" s="4" t="s">
        <v>38</v>
      </c>
      <c r="C166" s="4" t="s">
        <v>120</v>
      </c>
      <c r="D166" s="58" t="s">
        <v>168</v>
      </c>
      <c r="E166" s="58"/>
      <c r="F166" s="58"/>
      <c r="G166" s="58"/>
      <c r="H166" s="58"/>
      <c r="I166" s="58"/>
      <c r="J166" s="58"/>
      <c r="K166" s="22">
        <v>1</v>
      </c>
      <c r="L166" s="22">
        <f>ROUND(2.92,3)</f>
        <v>2.92</v>
      </c>
      <c r="M166" s="23">
        <f>ROUND(K166*L166,2)</f>
        <v>2.92</v>
      </c>
    </row>
    <row r="167" spans="1:13">
      <c r="A167" s="4" t="s">
        <v>63</v>
      </c>
      <c r="B167" s="4" t="s">
        <v>40</v>
      </c>
      <c r="C167" s="4" t="s">
        <v>41</v>
      </c>
      <c r="D167" s="58" t="s">
        <v>64</v>
      </c>
      <c r="E167" s="58"/>
      <c r="F167" s="58"/>
      <c r="G167" s="58"/>
      <c r="H167" s="58"/>
      <c r="I167" s="58"/>
      <c r="J167" s="58"/>
      <c r="K167" s="22">
        <v>0.152</v>
      </c>
      <c r="L167" s="22">
        <f>ROUND(20.76,3)</f>
        <v>20.76</v>
      </c>
      <c r="M167" s="23">
        <f>ROUND(K167*L167,2)</f>
        <v>3.16</v>
      </c>
    </row>
    <row r="168" spans="1:13">
      <c r="A168" s="4" t="s">
        <v>65</v>
      </c>
      <c r="B168" s="4" t="s">
        <v>40</v>
      </c>
      <c r="C168" s="4" t="s">
        <v>41</v>
      </c>
      <c r="D168" s="58" t="s">
        <v>66</v>
      </c>
      <c r="E168" s="58"/>
      <c r="F168" s="58"/>
      <c r="G168" s="58"/>
      <c r="H168" s="58"/>
      <c r="I168" s="58"/>
      <c r="J168" s="58"/>
      <c r="K168" s="22">
        <v>7.6999999999999999E-2</v>
      </c>
      <c r="L168" s="22">
        <f>ROUND(17.71,3)</f>
        <v>17.71</v>
      </c>
      <c r="M168" s="23">
        <f>ROUND(K168*L168,2)</f>
        <v>1.36</v>
      </c>
    </row>
    <row r="169" spans="1:13">
      <c r="A169" s="4" t="s">
        <v>26</v>
      </c>
      <c r="B169" s="4"/>
      <c r="C169" s="4" t="s">
        <v>26</v>
      </c>
      <c r="D169" s="58" t="s">
        <v>27</v>
      </c>
      <c r="E169" s="58"/>
      <c r="F169" s="58"/>
      <c r="G169" s="58"/>
      <c r="H169" s="58"/>
      <c r="I169" s="58"/>
      <c r="J169" s="58"/>
      <c r="K169" s="22">
        <v>2</v>
      </c>
      <c r="L169" s="22">
        <f>ROUND(12.04,3)</f>
        <v>12.04</v>
      </c>
      <c r="M169" s="23">
        <f>ROUND((K169*L169)/100,2)</f>
        <v>0.24</v>
      </c>
    </row>
    <row r="170" spans="1:13">
      <c r="A170" s="25"/>
      <c r="B170" s="25"/>
      <c r="C170" s="25"/>
      <c r="D170" s="26" t="s">
        <v>163</v>
      </c>
      <c r="E170" s="25"/>
      <c r="F170" s="25"/>
      <c r="G170" s="25"/>
      <c r="H170" s="25"/>
      <c r="I170" s="25"/>
      <c r="J170" s="25"/>
      <c r="K170" s="27">
        <v>40</v>
      </c>
      <c r="L170" s="28">
        <f>ROUND((M165+M166+M167+M168+M169)*(1+M2/100),2)</f>
        <v>12.65</v>
      </c>
      <c r="M170" s="28">
        <f>ROUND(K170*L170,2)</f>
        <v>506</v>
      </c>
    </row>
    <row r="171" spans="1:13">
      <c r="A171" s="42" t="s">
        <v>169</v>
      </c>
      <c r="B171" s="43" t="s">
        <v>20</v>
      </c>
      <c r="C171" s="43" t="s">
        <v>120</v>
      </c>
      <c r="D171" s="59" t="s">
        <v>170</v>
      </c>
      <c r="E171" s="59"/>
      <c r="F171" s="59"/>
      <c r="G171" s="59"/>
      <c r="H171" s="59"/>
      <c r="I171" s="59"/>
      <c r="J171" s="59"/>
      <c r="K171" s="44">
        <f>ROUND(30,2)</f>
        <v>30</v>
      </c>
      <c r="L171" s="45">
        <f>L177</f>
        <v>4.9400000000000004</v>
      </c>
      <c r="M171" s="45">
        <f>ROUND(K171*L171,2)</f>
        <v>148.19999999999999</v>
      </c>
    </row>
    <row r="172" spans="1:13" ht="56.25">
      <c r="A172" s="24"/>
      <c r="B172" s="24"/>
      <c r="C172" s="24"/>
      <c r="D172" s="58" t="s">
        <v>171</v>
      </c>
      <c r="E172" s="58"/>
      <c r="F172" s="58"/>
      <c r="G172" s="58"/>
      <c r="H172" s="58"/>
      <c r="I172" s="58"/>
      <c r="J172" s="58"/>
      <c r="K172" s="58"/>
      <c r="L172" s="58"/>
      <c r="M172" s="58"/>
    </row>
    <row r="173" spans="1:13" ht="90">
      <c r="A173" s="4" t="s">
        <v>172</v>
      </c>
      <c r="B173" s="4" t="s">
        <v>38</v>
      </c>
      <c r="C173" s="4" t="s">
        <v>120</v>
      </c>
      <c r="D173" s="58" t="s">
        <v>173</v>
      </c>
      <c r="E173" s="58"/>
      <c r="F173" s="58"/>
      <c r="G173" s="58"/>
      <c r="H173" s="58"/>
      <c r="I173" s="58"/>
      <c r="J173" s="58"/>
      <c r="K173" s="22">
        <v>1</v>
      </c>
      <c r="L173" s="22">
        <f>ROUND(3.99,3)</f>
        <v>3.99</v>
      </c>
      <c r="M173" s="23">
        <f>ROUND(K173*L173,2)</f>
        <v>3.99</v>
      </c>
    </row>
    <row r="174" spans="1:13">
      <c r="A174" s="4" t="s">
        <v>63</v>
      </c>
      <c r="B174" s="4" t="s">
        <v>40</v>
      </c>
      <c r="C174" s="4" t="s">
        <v>41</v>
      </c>
      <c r="D174" s="58" t="s">
        <v>64</v>
      </c>
      <c r="E174" s="58"/>
      <c r="F174" s="58"/>
      <c r="G174" s="58"/>
      <c r="H174" s="58"/>
      <c r="I174" s="58"/>
      <c r="J174" s="58"/>
      <c r="K174" s="22">
        <v>1.7000000000000001E-2</v>
      </c>
      <c r="L174" s="22">
        <f>ROUND(20.76,3)</f>
        <v>20.76</v>
      </c>
      <c r="M174" s="23">
        <f>ROUND(K174*L174,2)</f>
        <v>0.35</v>
      </c>
    </row>
    <row r="175" spans="1:13">
      <c r="A175" s="4" t="s">
        <v>65</v>
      </c>
      <c r="B175" s="4" t="s">
        <v>40</v>
      </c>
      <c r="C175" s="4" t="s">
        <v>41</v>
      </c>
      <c r="D175" s="58" t="s">
        <v>66</v>
      </c>
      <c r="E175" s="58"/>
      <c r="F175" s="58"/>
      <c r="G175" s="58"/>
      <c r="H175" s="58"/>
      <c r="I175" s="58"/>
      <c r="J175" s="58"/>
      <c r="K175" s="22">
        <v>2.1000000000000001E-2</v>
      </c>
      <c r="L175" s="22">
        <f>ROUND(17.71,3)</f>
        <v>17.71</v>
      </c>
      <c r="M175" s="23">
        <f>ROUND(K175*L175,2)</f>
        <v>0.37</v>
      </c>
    </row>
    <row r="176" spans="1:13">
      <c r="A176" s="4" t="s">
        <v>26</v>
      </c>
      <c r="B176" s="4"/>
      <c r="C176" s="4" t="s">
        <v>26</v>
      </c>
      <c r="D176" s="58" t="s">
        <v>27</v>
      </c>
      <c r="E176" s="58"/>
      <c r="F176" s="58"/>
      <c r="G176" s="58"/>
      <c r="H176" s="58"/>
      <c r="I176" s="58"/>
      <c r="J176" s="58"/>
      <c r="K176" s="22">
        <v>2</v>
      </c>
      <c r="L176" s="22">
        <f>ROUND(4.71,3)</f>
        <v>4.71</v>
      </c>
      <c r="M176" s="23">
        <f>ROUND((K176*L176)/100,2)</f>
        <v>0.09</v>
      </c>
    </row>
    <row r="177" spans="1:13">
      <c r="A177" s="25"/>
      <c r="B177" s="25"/>
      <c r="C177" s="25"/>
      <c r="D177" s="26" t="s">
        <v>169</v>
      </c>
      <c r="E177" s="25"/>
      <c r="F177" s="25"/>
      <c r="G177" s="25"/>
      <c r="H177" s="25"/>
      <c r="I177" s="25"/>
      <c r="J177" s="25"/>
      <c r="K177" s="27">
        <v>30</v>
      </c>
      <c r="L177" s="28">
        <f>ROUND((M173+M174+M175+M176)*(1+M2/100),2)</f>
        <v>4.9400000000000004</v>
      </c>
      <c r="M177" s="28">
        <f>ROUND(K177*L177,2)</f>
        <v>148.19999999999999</v>
      </c>
    </row>
    <row r="178" spans="1:13">
      <c r="A178" s="42" t="s">
        <v>174</v>
      </c>
      <c r="B178" s="43" t="s">
        <v>20</v>
      </c>
      <c r="C178" s="43" t="s">
        <v>120</v>
      </c>
      <c r="D178" s="59" t="s">
        <v>175</v>
      </c>
      <c r="E178" s="59"/>
      <c r="F178" s="59"/>
      <c r="G178" s="59"/>
      <c r="H178" s="59"/>
      <c r="I178" s="59"/>
      <c r="J178" s="59"/>
      <c r="K178" s="44">
        <f>ROUND(200,2)</f>
        <v>200</v>
      </c>
      <c r="L178" s="45">
        <f>L184</f>
        <v>2.19</v>
      </c>
      <c r="M178" s="45">
        <f>ROUND(K178*L178,2)</f>
        <v>438</v>
      </c>
    </row>
    <row r="179" spans="1:13" ht="56.25">
      <c r="A179" s="24"/>
      <c r="B179" s="24"/>
      <c r="C179" s="24"/>
      <c r="D179" s="58" t="s">
        <v>176</v>
      </c>
      <c r="E179" s="58"/>
      <c r="F179" s="58"/>
      <c r="G179" s="58"/>
      <c r="H179" s="58"/>
      <c r="I179" s="58"/>
      <c r="J179" s="58"/>
      <c r="K179" s="58"/>
      <c r="L179" s="58"/>
      <c r="M179" s="58"/>
    </row>
    <row r="180" spans="1:13" ht="90">
      <c r="A180" s="4" t="s">
        <v>177</v>
      </c>
      <c r="B180" s="4" t="s">
        <v>38</v>
      </c>
      <c r="C180" s="4" t="s">
        <v>120</v>
      </c>
      <c r="D180" s="58" t="s">
        <v>178</v>
      </c>
      <c r="E180" s="58"/>
      <c r="F180" s="58"/>
      <c r="G180" s="58"/>
      <c r="H180" s="58"/>
      <c r="I180" s="58"/>
      <c r="J180" s="58"/>
      <c r="K180" s="22">
        <v>1</v>
      </c>
      <c r="L180" s="22">
        <f>ROUND(1.37,3)</f>
        <v>1.37</v>
      </c>
      <c r="M180" s="23">
        <f>ROUND(K180*L180,2)</f>
        <v>1.37</v>
      </c>
    </row>
    <row r="181" spans="1:13">
      <c r="A181" s="4" t="s">
        <v>63</v>
      </c>
      <c r="B181" s="4" t="s">
        <v>40</v>
      </c>
      <c r="C181" s="4" t="s">
        <v>41</v>
      </c>
      <c r="D181" s="58" t="s">
        <v>64</v>
      </c>
      <c r="E181" s="58"/>
      <c r="F181" s="58"/>
      <c r="G181" s="58"/>
      <c r="H181" s="58"/>
      <c r="I181" s="58"/>
      <c r="J181" s="58"/>
      <c r="K181" s="22">
        <v>1.7000000000000001E-2</v>
      </c>
      <c r="L181" s="22">
        <f>ROUND(20.76,3)</f>
        <v>20.76</v>
      </c>
      <c r="M181" s="23">
        <f>ROUND(K181*L181,2)</f>
        <v>0.35</v>
      </c>
    </row>
    <row r="182" spans="1:13">
      <c r="A182" s="4" t="s">
        <v>65</v>
      </c>
      <c r="B182" s="4" t="s">
        <v>40</v>
      </c>
      <c r="C182" s="4" t="s">
        <v>41</v>
      </c>
      <c r="D182" s="58" t="s">
        <v>66</v>
      </c>
      <c r="E182" s="58"/>
      <c r="F182" s="58"/>
      <c r="G182" s="58"/>
      <c r="H182" s="58"/>
      <c r="I182" s="58"/>
      <c r="J182" s="58"/>
      <c r="K182" s="22">
        <v>2.1000000000000001E-2</v>
      </c>
      <c r="L182" s="22">
        <f>ROUND(17.71,3)</f>
        <v>17.71</v>
      </c>
      <c r="M182" s="23">
        <f>ROUND(K182*L182,2)</f>
        <v>0.37</v>
      </c>
    </row>
    <row r="183" spans="1:13">
      <c r="A183" s="4" t="s">
        <v>26</v>
      </c>
      <c r="B183" s="4"/>
      <c r="C183" s="4" t="s">
        <v>26</v>
      </c>
      <c r="D183" s="58" t="s">
        <v>27</v>
      </c>
      <c r="E183" s="58"/>
      <c r="F183" s="58"/>
      <c r="G183" s="58"/>
      <c r="H183" s="58"/>
      <c r="I183" s="58"/>
      <c r="J183" s="58"/>
      <c r="K183" s="22">
        <v>2</v>
      </c>
      <c r="L183" s="22">
        <f>ROUND(2.09,3)</f>
        <v>2.09</v>
      </c>
      <c r="M183" s="23">
        <f>ROUND((K183*L183)/100,2)</f>
        <v>0.04</v>
      </c>
    </row>
    <row r="184" spans="1:13">
      <c r="A184" s="25"/>
      <c r="B184" s="25"/>
      <c r="C184" s="25"/>
      <c r="D184" s="26" t="s">
        <v>174</v>
      </c>
      <c r="E184" s="25"/>
      <c r="F184" s="25"/>
      <c r="G184" s="25"/>
      <c r="H184" s="25"/>
      <c r="I184" s="25"/>
      <c r="J184" s="25"/>
      <c r="K184" s="27">
        <v>200</v>
      </c>
      <c r="L184" s="28">
        <f>ROUND((M180+M181+M182+M183)*(1+M2/100),2)</f>
        <v>2.19</v>
      </c>
      <c r="M184" s="28">
        <f>ROUND(K184*L184,2)</f>
        <v>438</v>
      </c>
    </row>
    <row r="185" spans="1:13">
      <c r="A185" s="29"/>
      <c r="B185" s="29"/>
      <c r="C185" s="29"/>
      <c r="D185" s="30" t="s">
        <v>155</v>
      </c>
      <c r="E185" s="31"/>
      <c r="F185" s="31"/>
      <c r="G185" s="31"/>
      <c r="H185" s="31"/>
      <c r="I185" s="31"/>
      <c r="J185" s="31"/>
      <c r="K185" s="31"/>
      <c r="L185" s="32">
        <f>M155+M163+M171+M178</f>
        <v>2054.1999999999998</v>
      </c>
      <c r="M185" s="32">
        <f>ROUND(L185,2)</f>
        <v>2054.1999999999998</v>
      </c>
    </row>
    <row r="186" spans="1:13">
      <c r="A186" s="49" t="s">
        <v>179</v>
      </c>
      <c r="B186" s="49" t="s">
        <v>12</v>
      </c>
      <c r="C186" s="50"/>
      <c r="D186" s="61" t="s">
        <v>180</v>
      </c>
      <c r="E186" s="61"/>
      <c r="F186" s="61"/>
      <c r="G186" s="61"/>
      <c r="H186" s="61"/>
      <c r="I186" s="61"/>
      <c r="J186" s="61"/>
      <c r="K186" s="50"/>
      <c r="L186" s="51">
        <f>L194</f>
        <v>620</v>
      </c>
      <c r="M186" s="51">
        <f>ROUND(L186,2)</f>
        <v>620</v>
      </c>
    </row>
    <row r="187" spans="1:13" ht="45">
      <c r="A187" s="9" t="s">
        <v>181</v>
      </c>
      <c r="B187" s="4" t="s">
        <v>20</v>
      </c>
      <c r="C187" s="4" t="s">
        <v>120</v>
      </c>
      <c r="D187" s="58" t="s">
        <v>182</v>
      </c>
      <c r="E187" s="58"/>
      <c r="F187" s="58"/>
      <c r="G187" s="58"/>
      <c r="H187" s="58"/>
      <c r="I187" s="58"/>
      <c r="J187" s="58"/>
      <c r="K187" s="22">
        <f>ROUND(250,2)</f>
        <v>250</v>
      </c>
      <c r="L187" s="23">
        <f>L193</f>
        <v>2.48</v>
      </c>
      <c r="M187" s="23">
        <f>ROUND(K187*L187,2)</f>
        <v>620</v>
      </c>
    </row>
    <row r="188" spans="1:13" ht="45">
      <c r="A188" s="24"/>
      <c r="B188" s="24"/>
      <c r="C188" s="24"/>
      <c r="D188" s="58" t="s">
        <v>183</v>
      </c>
      <c r="E188" s="58"/>
      <c r="F188" s="58"/>
      <c r="G188" s="58"/>
      <c r="H188" s="58"/>
      <c r="I188" s="58"/>
      <c r="J188" s="58"/>
      <c r="K188" s="58"/>
      <c r="L188" s="58"/>
      <c r="M188" s="58"/>
    </row>
    <row r="189" spans="1:13" ht="45">
      <c r="A189" s="4" t="s">
        <v>184</v>
      </c>
      <c r="B189" s="4" t="s">
        <v>38</v>
      </c>
      <c r="C189" s="4" t="s">
        <v>120</v>
      </c>
      <c r="D189" s="58" t="s">
        <v>185</v>
      </c>
      <c r="E189" s="58"/>
      <c r="F189" s="58"/>
      <c r="G189" s="58"/>
      <c r="H189" s="58"/>
      <c r="I189" s="58"/>
      <c r="J189" s="58"/>
      <c r="K189" s="22">
        <v>1</v>
      </c>
      <c r="L189" s="22">
        <f>ROUND(1.75,3)</f>
        <v>1.75</v>
      </c>
      <c r="M189" s="23">
        <f>ROUND(K189*L189,2)</f>
        <v>1.75</v>
      </c>
    </row>
    <row r="190" spans="1:13">
      <c r="A190" s="4" t="s">
        <v>63</v>
      </c>
      <c r="B190" s="4" t="s">
        <v>40</v>
      </c>
      <c r="C190" s="4" t="s">
        <v>41</v>
      </c>
      <c r="D190" s="58" t="s">
        <v>64</v>
      </c>
      <c r="E190" s="58"/>
      <c r="F190" s="58"/>
      <c r="G190" s="58"/>
      <c r="H190" s="58"/>
      <c r="I190" s="58"/>
      <c r="J190" s="58"/>
      <c r="K190" s="22">
        <v>1.6E-2</v>
      </c>
      <c r="L190" s="22">
        <f>ROUND(20.76,3)</f>
        <v>20.76</v>
      </c>
      <c r="M190" s="23">
        <f>ROUND(K190*L190,2)</f>
        <v>0.33</v>
      </c>
    </row>
    <row r="191" spans="1:13">
      <c r="A191" s="4" t="s">
        <v>65</v>
      </c>
      <c r="B191" s="4" t="s">
        <v>40</v>
      </c>
      <c r="C191" s="4" t="s">
        <v>41</v>
      </c>
      <c r="D191" s="58" t="s">
        <v>66</v>
      </c>
      <c r="E191" s="58"/>
      <c r="F191" s="58"/>
      <c r="G191" s="58"/>
      <c r="H191" s="58"/>
      <c r="I191" s="58"/>
      <c r="J191" s="58"/>
      <c r="K191" s="22">
        <v>1.6E-2</v>
      </c>
      <c r="L191" s="22">
        <f>ROUND(17.71,3)</f>
        <v>17.71</v>
      </c>
      <c r="M191" s="23">
        <f>ROUND(K191*L191,2)</f>
        <v>0.28000000000000003</v>
      </c>
    </row>
    <row r="192" spans="1:13">
      <c r="A192" s="4" t="s">
        <v>26</v>
      </c>
      <c r="B192" s="4"/>
      <c r="C192" s="4" t="s">
        <v>26</v>
      </c>
      <c r="D192" s="58" t="s">
        <v>27</v>
      </c>
      <c r="E192" s="58"/>
      <c r="F192" s="58"/>
      <c r="G192" s="58"/>
      <c r="H192" s="58"/>
      <c r="I192" s="58"/>
      <c r="J192" s="58"/>
      <c r="K192" s="22">
        <v>2</v>
      </c>
      <c r="L192" s="22">
        <f>ROUND(2.36,3)</f>
        <v>2.36</v>
      </c>
      <c r="M192" s="23">
        <f>ROUND((K192*L192)/100,2)</f>
        <v>0.05</v>
      </c>
    </row>
    <row r="193" spans="1:13">
      <c r="A193" s="25"/>
      <c r="B193" s="25"/>
      <c r="C193" s="25"/>
      <c r="D193" s="26" t="s">
        <v>181</v>
      </c>
      <c r="E193" s="25"/>
      <c r="F193" s="25"/>
      <c r="G193" s="25"/>
      <c r="H193" s="25"/>
      <c r="I193" s="25"/>
      <c r="J193" s="25"/>
      <c r="K193" s="27">
        <v>250</v>
      </c>
      <c r="L193" s="28">
        <f>ROUND((M189+M190+M191+M192)*(1+M2/100),2)</f>
        <v>2.48</v>
      </c>
      <c r="M193" s="28">
        <f>ROUND(K193*L193,2)</f>
        <v>620</v>
      </c>
    </row>
    <row r="194" spans="1:13">
      <c r="A194" s="29"/>
      <c r="B194" s="29"/>
      <c r="C194" s="29"/>
      <c r="D194" s="30" t="s">
        <v>179</v>
      </c>
      <c r="E194" s="31"/>
      <c r="F194" s="31"/>
      <c r="G194" s="31"/>
      <c r="H194" s="31"/>
      <c r="I194" s="31"/>
      <c r="J194" s="31"/>
      <c r="K194" s="31"/>
      <c r="L194" s="32">
        <f>M187</f>
        <v>620</v>
      </c>
      <c r="M194" s="32">
        <f>ROUND(L194,2)</f>
        <v>620</v>
      </c>
    </row>
    <row r="195" spans="1:13">
      <c r="A195" s="29"/>
      <c r="B195" s="29"/>
      <c r="C195" s="29"/>
      <c r="D195" s="33" t="s">
        <v>30</v>
      </c>
      <c r="E195" s="34"/>
      <c r="F195" s="34"/>
      <c r="G195" s="34"/>
      <c r="H195" s="34"/>
      <c r="I195" s="34"/>
      <c r="J195" s="34"/>
      <c r="K195" s="34"/>
      <c r="L195" s="35">
        <f>M51+M105+M153+M185+M194</f>
        <v>61468.799999999996</v>
      </c>
      <c r="M195" s="35">
        <f>ROUND(L195,2)</f>
        <v>61468.800000000003</v>
      </c>
    </row>
    <row r="196" spans="1:13">
      <c r="A196" s="29"/>
      <c r="B196" s="29"/>
      <c r="C196" s="29"/>
      <c r="D196" s="36" t="s">
        <v>28</v>
      </c>
      <c r="E196" s="37"/>
      <c r="F196" s="37"/>
      <c r="G196" s="37"/>
      <c r="H196" s="37"/>
      <c r="I196" s="37"/>
      <c r="J196" s="37"/>
      <c r="K196" s="37"/>
      <c r="L196" s="38">
        <f>M195</f>
        <v>61468.800000000003</v>
      </c>
      <c r="M196" s="38">
        <f>ROUND(L196,2)</f>
        <v>61468.800000000003</v>
      </c>
    </row>
    <row r="197" spans="1:13">
      <c r="A197" s="39" t="s">
        <v>186</v>
      </c>
      <c r="B197" s="39" t="s">
        <v>12</v>
      </c>
      <c r="C197" s="40"/>
      <c r="D197" s="60" t="s">
        <v>187</v>
      </c>
      <c r="E197" s="60"/>
      <c r="F197" s="60"/>
      <c r="G197" s="60"/>
      <c r="H197" s="60"/>
      <c r="I197" s="60"/>
      <c r="J197" s="60"/>
      <c r="K197" s="40"/>
      <c r="L197" s="41">
        <f>L200</f>
        <v>2160</v>
      </c>
      <c r="M197" s="41">
        <f>ROUND(L197,2)</f>
        <v>2160</v>
      </c>
    </row>
    <row r="198" spans="1:13" ht="78.75">
      <c r="A198" s="9" t="s">
        <v>188</v>
      </c>
      <c r="B198" s="4" t="s">
        <v>20</v>
      </c>
      <c r="C198" s="4" t="s">
        <v>6</v>
      </c>
      <c r="D198" s="58" t="s">
        <v>189</v>
      </c>
      <c r="E198" s="58"/>
      <c r="F198" s="58"/>
      <c r="G198" s="58"/>
      <c r="H198" s="58"/>
      <c r="I198" s="58"/>
      <c r="J198" s="58"/>
      <c r="K198" s="22">
        <f>ROUND(1,2)</f>
        <v>1</v>
      </c>
      <c r="L198" s="23">
        <f>ROUND(2097.087*(1+M2/100),2)</f>
        <v>2160</v>
      </c>
      <c r="M198" s="23">
        <f>ROUND(K198*L198,2)</f>
        <v>2160</v>
      </c>
    </row>
    <row r="199" spans="1:13" ht="78.75">
      <c r="A199" s="24"/>
      <c r="B199" s="24"/>
      <c r="C199" s="24"/>
      <c r="D199" s="58" t="s">
        <v>189</v>
      </c>
      <c r="E199" s="58"/>
      <c r="F199" s="58"/>
      <c r="G199" s="58"/>
      <c r="H199" s="58"/>
      <c r="I199" s="58"/>
      <c r="J199" s="58"/>
      <c r="K199" s="58"/>
      <c r="L199" s="58"/>
      <c r="M199" s="58"/>
    </row>
    <row r="200" spans="1:13">
      <c r="A200" s="25"/>
      <c r="B200" s="25"/>
      <c r="C200" s="25"/>
      <c r="D200" s="52" t="s">
        <v>186</v>
      </c>
      <c r="E200" s="53"/>
      <c r="F200" s="53"/>
      <c r="G200" s="53"/>
      <c r="H200" s="53"/>
      <c r="I200" s="53"/>
      <c r="J200" s="53"/>
      <c r="K200" s="53"/>
      <c r="L200" s="54">
        <f>M198</f>
        <v>2160</v>
      </c>
      <c r="M200" s="54">
        <f>ROUND(L200,2)</f>
        <v>2160</v>
      </c>
    </row>
    <row r="201" spans="1:13">
      <c r="A201" s="39" t="s">
        <v>190</v>
      </c>
      <c r="B201" s="39" t="s">
        <v>12</v>
      </c>
      <c r="C201" s="40"/>
      <c r="D201" s="60" t="s">
        <v>191</v>
      </c>
      <c r="E201" s="60"/>
      <c r="F201" s="60"/>
      <c r="G201" s="60"/>
      <c r="H201" s="60"/>
      <c r="I201" s="60"/>
      <c r="J201" s="60"/>
      <c r="K201" s="40"/>
      <c r="L201" s="41">
        <f>L224</f>
        <v>7302.63</v>
      </c>
      <c r="M201" s="41">
        <f>ROUND(L201,2)</f>
        <v>7302.63</v>
      </c>
    </row>
    <row r="202" spans="1:13">
      <c r="A202" s="9" t="s">
        <v>192</v>
      </c>
      <c r="B202" s="4" t="s">
        <v>20</v>
      </c>
      <c r="C202" s="4" t="s">
        <v>193</v>
      </c>
      <c r="D202" s="58" t="s">
        <v>194</v>
      </c>
      <c r="E202" s="58"/>
      <c r="F202" s="58"/>
      <c r="G202" s="58"/>
      <c r="H202" s="58"/>
      <c r="I202" s="58"/>
      <c r="J202" s="58"/>
      <c r="K202" s="22">
        <f>ROUND(85,2)</f>
        <v>85</v>
      </c>
      <c r="L202" s="23">
        <f>L207</f>
        <v>5.55</v>
      </c>
      <c r="M202" s="23">
        <f>ROUND(K202*L202,2)</f>
        <v>471.75</v>
      </c>
    </row>
    <row r="203" spans="1:13" ht="67.5">
      <c r="A203" s="24"/>
      <c r="B203" s="24"/>
      <c r="C203" s="24"/>
      <c r="D203" s="58" t="s">
        <v>195</v>
      </c>
      <c r="E203" s="58"/>
      <c r="F203" s="58"/>
      <c r="G203" s="58"/>
      <c r="H203" s="58"/>
      <c r="I203" s="58"/>
      <c r="J203" s="58"/>
      <c r="K203" s="58"/>
      <c r="L203" s="58"/>
      <c r="M203" s="58"/>
    </row>
    <row r="204" spans="1:13">
      <c r="A204" s="4" t="s">
        <v>196</v>
      </c>
      <c r="B204" s="4" t="s">
        <v>40</v>
      </c>
      <c r="C204" s="4" t="s">
        <v>41</v>
      </c>
      <c r="D204" s="58" t="s">
        <v>197</v>
      </c>
      <c r="E204" s="58"/>
      <c r="F204" s="58"/>
      <c r="G204" s="58"/>
      <c r="H204" s="58"/>
      <c r="I204" s="58"/>
      <c r="J204" s="58"/>
      <c r="K204" s="22">
        <v>0.03</v>
      </c>
      <c r="L204" s="22">
        <f>ROUND(22.07,3)</f>
        <v>22.07</v>
      </c>
      <c r="M204" s="23">
        <f>ROUND(K204*L204,2)</f>
        <v>0.66</v>
      </c>
    </row>
    <row r="205" spans="1:13" ht="22.5">
      <c r="A205" s="4" t="s">
        <v>198</v>
      </c>
      <c r="B205" s="4" t="s">
        <v>38</v>
      </c>
      <c r="C205" s="4" t="s">
        <v>193</v>
      </c>
      <c r="D205" s="58" t="s">
        <v>199</v>
      </c>
      <c r="E205" s="58"/>
      <c r="F205" s="58"/>
      <c r="G205" s="58"/>
      <c r="H205" s="58"/>
      <c r="I205" s="58"/>
      <c r="J205" s="58"/>
      <c r="K205" s="22">
        <v>1.05</v>
      </c>
      <c r="L205" s="22">
        <f>ROUND(4.4,3)</f>
        <v>4.4000000000000004</v>
      </c>
      <c r="M205" s="23">
        <f>ROUND(K205*L205,2)</f>
        <v>4.62</v>
      </c>
    </row>
    <row r="206" spans="1:13">
      <c r="A206" s="4" t="s">
        <v>200</v>
      </c>
      <c r="B206" s="4"/>
      <c r="C206" s="4" t="s">
        <v>26</v>
      </c>
      <c r="D206" s="58" t="s">
        <v>27</v>
      </c>
      <c r="E206" s="58"/>
      <c r="F206" s="58"/>
      <c r="G206" s="58"/>
      <c r="H206" s="58"/>
      <c r="I206" s="58"/>
      <c r="J206" s="58"/>
      <c r="K206" s="22">
        <v>2</v>
      </c>
      <c r="L206" s="22">
        <f>ROUND(5.28,3)</f>
        <v>5.28</v>
      </c>
      <c r="M206" s="23">
        <f>ROUND((K206*L206)/100,2)</f>
        <v>0.11</v>
      </c>
    </row>
    <row r="207" spans="1:13">
      <c r="A207" s="25"/>
      <c r="B207" s="25"/>
      <c r="C207" s="25"/>
      <c r="D207" s="26" t="s">
        <v>192</v>
      </c>
      <c r="E207" s="25"/>
      <c r="F207" s="25"/>
      <c r="G207" s="25"/>
      <c r="H207" s="25"/>
      <c r="I207" s="25"/>
      <c r="J207" s="25"/>
      <c r="K207" s="27">
        <v>85</v>
      </c>
      <c r="L207" s="28">
        <f>ROUND((M204+M205+M206)*(1+M2/100),2)</f>
        <v>5.55</v>
      </c>
      <c r="M207" s="28">
        <f>ROUND(K207*L207,2)</f>
        <v>471.75</v>
      </c>
    </row>
    <row r="208" spans="1:13">
      <c r="A208" s="42" t="s">
        <v>201</v>
      </c>
      <c r="B208" s="43" t="s">
        <v>20</v>
      </c>
      <c r="C208" s="43" t="s">
        <v>202</v>
      </c>
      <c r="D208" s="59" t="s">
        <v>203</v>
      </c>
      <c r="E208" s="59"/>
      <c r="F208" s="59"/>
      <c r="G208" s="59"/>
      <c r="H208" s="59"/>
      <c r="I208" s="59"/>
      <c r="J208" s="59"/>
      <c r="K208" s="44">
        <f>ROUND(14,2)</f>
        <v>14</v>
      </c>
      <c r="L208" s="45">
        <f>L214</f>
        <v>398.59</v>
      </c>
      <c r="M208" s="45">
        <f>ROUND(K208*L208,2)</f>
        <v>5580.26</v>
      </c>
    </row>
    <row r="209" spans="1:13" ht="90">
      <c r="A209" s="24"/>
      <c r="B209" s="24"/>
      <c r="C209" s="24"/>
      <c r="D209" s="58" t="s">
        <v>204</v>
      </c>
      <c r="E209" s="58"/>
      <c r="F209" s="58"/>
      <c r="G209" s="58"/>
      <c r="H209" s="58"/>
      <c r="I209" s="58"/>
      <c r="J209" s="58"/>
      <c r="K209" s="58"/>
      <c r="L209" s="58"/>
      <c r="M209" s="58"/>
    </row>
    <row r="210" spans="1:13">
      <c r="A210" s="4" t="s">
        <v>196</v>
      </c>
      <c r="B210" s="4" t="s">
        <v>40</v>
      </c>
      <c r="C210" s="4" t="s">
        <v>41</v>
      </c>
      <c r="D210" s="58" t="s">
        <v>197</v>
      </c>
      <c r="E210" s="58"/>
      <c r="F210" s="58"/>
      <c r="G210" s="58"/>
      <c r="H210" s="58"/>
      <c r="I210" s="58"/>
      <c r="J210" s="58"/>
      <c r="K210" s="22">
        <v>0.5</v>
      </c>
      <c r="L210" s="22">
        <f>ROUND(22.07,3)</f>
        <v>22.07</v>
      </c>
      <c r="M210" s="23">
        <f>ROUND(K210*L210,2)</f>
        <v>11.04</v>
      </c>
    </row>
    <row r="211" spans="1:13" ht="22.5">
      <c r="A211" s="4" t="s">
        <v>205</v>
      </c>
      <c r="B211" s="4" t="s">
        <v>38</v>
      </c>
      <c r="C211" s="4" t="s">
        <v>202</v>
      </c>
      <c r="D211" s="58" t="s">
        <v>206</v>
      </c>
      <c r="E211" s="58"/>
      <c r="F211" s="58"/>
      <c r="G211" s="58"/>
      <c r="H211" s="58"/>
      <c r="I211" s="58"/>
      <c r="J211" s="58"/>
      <c r="K211" s="22">
        <v>1</v>
      </c>
      <c r="L211" s="22">
        <f>ROUND(332.35,3)</f>
        <v>332.35</v>
      </c>
      <c r="M211" s="23">
        <f>ROUND(K211*L211,2)</f>
        <v>332.35</v>
      </c>
    </row>
    <row r="212" spans="1:13" ht="22.5">
      <c r="A212" s="4" t="s">
        <v>207</v>
      </c>
      <c r="B212" s="4" t="s">
        <v>38</v>
      </c>
      <c r="C212" s="4" t="s">
        <v>202</v>
      </c>
      <c r="D212" s="58" t="s">
        <v>208</v>
      </c>
      <c r="E212" s="58"/>
      <c r="F212" s="58"/>
      <c r="G212" s="58"/>
      <c r="H212" s="58"/>
      <c r="I212" s="58"/>
      <c r="J212" s="58"/>
      <c r="K212" s="22">
        <v>8</v>
      </c>
      <c r="L212" s="22">
        <f>ROUND(4.5,3)</f>
        <v>4.5</v>
      </c>
      <c r="M212" s="23">
        <f>ROUND(K212*L212,2)</f>
        <v>36</v>
      </c>
    </row>
    <row r="213" spans="1:13">
      <c r="A213" s="4" t="s">
        <v>200</v>
      </c>
      <c r="B213" s="4"/>
      <c r="C213" s="4" t="s">
        <v>26</v>
      </c>
      <c r="D213" s="58" t="s">
        <v>27</v>
      </c>
      <c r="E213" s="58"/>
      <c r="F213" s="58"/>
      <c r="G213" s="58"/>
      <c r="H213" s="58"/>
      <c r="I213" s="58"/>
      <c r="J213" s="58"/>
      <c r="K213" s="22">
        <v>2</v>
      </c>
      <c r="L213" s="22">
        <f>ROUND(379.39,3)</f>
        <v>379.39</v>
      </c>
      <c r="M213" s="23">
        <f>ROUND((K213*L213)/100,2)</f>
        <v>7.59</v>
      </c>
    </row>
    <row r="214" spans="1:13">
      <c r="A214" s="25"/>
      <c r="B214" s="25"/>
      <c r="C214" s="25"/>
      <c r="D214" s="26" t="s">
        <v>201</v>
      </c>
      <c r="E214" s="25"/>
      <c r="F214" s="25"/>
      <c r="G214" s="25"/>
      <c r="H214" s="25"/>
      <c r="I214" s="25"/>
      <c r="J214" s="25"/>
      <c r="K214" s="27">
        <v>14</v>
      </c>
      <c r="L214" s="28">
        <f>ROUND((M210+M211+M212+M213)*(1+M2/100),2)</f>
        <v>398.59</v>
      </c>
      <c r="M214" s="28">
        <f>ROUND(K214*L214,2)</f>
        <v>5580.26</v>
      </c>
    </row>
    <row r="215" spans="1:13">
      <c r="A215" s="42" t="s">
        <v>209</v>
      </c>
      <c r="B215" s="43" t="s">
        <v>20</v>
      </c>
      <c r="C215" s="43" t="s">
        <v>202</v>
      </c>
      <c r="D215" s="59" t="s">
        <v>210</v>
      </c>
      <c r="E215" s="59"/>
      <c r="F215" s="59"/>
      <c r="G215" s="59"/>
      <c r="H215" s="59"/>
      <c r="I215" s="59"/>
      <c r="J215" s="59"/>
      <c r="K215" s="44">
        <f>ROUND(3,2)</f>
        <v>3</v>
      </c>
      <c r="L215" s="45">
        <f>L221</f>
        <v>73.540000000000006</v>
      </c>
      <c r="M215" s="45">
        <f>ROUND(K215*L215,2)</f>
        <v>220.62</v>
      </c>
    </row>
    <row r="216" spans="1:13" ht="56.25">
      <c r="A216" s="24"/>
      <c r="B216" s="24"/>
      <c r="C216" s="24"/>
      <c r="D216" s="58" t="s">
        <v>211</v>
      </c>
      <c r="E216" s="58"/>
      <c r="F216" s="58"/>
      <c r="G216" s="58"/>
      <c r="H216" s="58"/>
      <c r="I216" s="58"/>
      <c r="J216" s="58"/>
      <c r="K216" s="58"/>
      <c r="L216" s="58"/>
      <c r="M216" s="58"/>
    </row>
    <row r="217" spans="1:13">
      <c r="A217" s="4" t="s">
        <v>212</v>
      </c>
      <c r="B217" s="4" t="s">
        <v>40</v>
      </c>
      <c r="C217" s="4" t="s">
        <v>202</v>
      </c>
      <c r="D217" s="58" t="s">
        <v>213</v>
      </c>
      <c r="E217" s="58"/>
      <c r="F217" s="58"/>
      <c r="G217" s="58"/>
      <c r="H217" s="58"/>
      <c r="I217" s="58"/>
      <c r="J217" s="58"/>
      <c r="K217" s="22">
        <v>0.3</v>
      </c>
      <c r="L217" s="22">
        <f>ROUND(18.44,3)</f>
        <v>18.440000000000001</v>
      </c>
      <c r="M217" s="23">
        <f>ROUND(K217*L217,2)</f>
        <v>5.53</v>
      </c>
    </row>
    <row r="218" spans="1:13" ht="22.5">
      <c r="A218" s="4" t="s">
        <v>214</v>
      </c>
      <c r="B218" s="4" t="s">
        <v>38</v>
      </c>
      <c r="C218" s="4" t="s">
        <v>202</v>
      </c>
      <c r="D218" s="58" t="s">
        <v>215</v>
      </c>
      <c r="E218" s="58"/>
      <c r="F218" s="58"/>
      <c r="G218" s="58"/>
      <c r="H218" s="58"/>
      <c r="I218" s="58"/>
      <c r="J218" s="58"/>
      <c r="K218" s="22">
        <v>1</v>
      </c>
      <c r="L218" s="22">
        <f>ROUND(55.47,3)</f>
        <v>55.47</v>
      </c>
      <c r="M218" s="23">
        <f>ROUND(K218*L218,2)</f>
        <v>55.47</v>
      </c>
    </row>
    <row r="219" spans="1:13" ht="22.5">
      <c r="A219" s="4" t="s">
        <v>216</v>
      </c>
      <c r="B219" s="4" t="s">
        <v>38</v>
      </c>
      <c r="C219" s="4" t="s">
        <v>202</v>
      </c>
      <c r="D219" s="58" t="s">
        <v>208</v>
      </c>
      <c r="E219" s="58"/>
      <c r="F219" s="58"/>
      <c r="G219" s="58"/>
      <c r="H219" s="58"/>
      <c r="I219" s="58"/>
      <c r="J219" s="58"/>
      <c r="K219" s="22">
        <v>2</v>
      </c>
      <c r="L219" s="22">
        <f>ROUND(4.5,3)</f>
        <v>4.5</v>
      </c>
      <c r="M219" s="23">
        <f>ROUND(K219*L219,2)</f>
        <v>9</v>
      </c>
    </row>
    <row r="220" spans="1:13">
      <c r="A220" s="4" t="s">
        <v>200</v>
      </c>
      <c r="B220" s="4"/>
      <c r="C220" s="4" t="s">
        <v>26</v>
      </c>
      <c r="D220" s="58" t="s">
        <v>27</v>
      </c>
      <c r="E220" s="58"/>
      <c r="F220" s="58"/>
      <c r="G220" s="58"/>
      <c r="H220" s="58"/>
      <c r="I220" s="58"/>
      <c r="J220" s="58"/>
      <c r="K220" s="22">
        <v>2</v>
      </c>
      <c r="L220" s="22">
        <f>ROUND(70,3)</f>
        <v>70</v>
      </c>
      <c r="M220" s="23">
        <f>ROUND((K220*L220)/100,2)</f>
        <v>1.4</v>
      </c>
    </row>
    <row r="221" spans="1:13">
      <c r="A221" s="25"/>
      <c r="B221" s="25"/>
      <c r="C221" s="25"/>
      <c r="D221" s="26" t="s">
        <v>209</v>
      </c>
      <c r="E221" s="25"/>
      <c r="F221" s="25"/>
      <c r="G221" s="25"/>
      <c r="H221" s="25"/>
      <c r="I221" s="25"/>
      <c r="J221" s="25"/>
      <c r="K221" s="27">
        <v>3</v>
      </c>
      <c r="L221" s="28">
        <f>ROUND((M217+M218+M219+M220)*(1+M2/100),2)</f>
        <v>73.540000000000006</v>
      </c>
      <c r="M221" s="28">
        <f>ROUND(K221*L221,2)</f>
        <v>220.62</v>
      </c>
    </row>
    <row r="222" spans="1:13" ht="33.75">
      <c r="A222" s="42" t="s">
        <v>217</v>
      </c>
      <c r="B222" s="43" t="s">
        <v>20</v>
      </c>
      <c r="C222" s="43" t="s">
        <v>6</v>
      </c>
      <c r="D222" s="59" t="s">
        <v>218</v>
      </c>
      <c r="E222" s="59"/>
      <c r="F222" s="59"/>
      <c r="G222" s="59"/>
      <c r="H222" s="59"/>
      <c r="I222" s="59"/>
      <c r="J222" s="59"/>
      <c r="K222" s="44">
        <f>ROUND(1,2)</f>
        <v>1</v>
      </c>
      <c r="L222" s="45">
        <f>ROUND(1000*(1+M2/100),2)</f>
        <v>1030</v>
      </c>
      <c r="M222" s="45">
        <f>ROUND(K222*L222,2)</f>
        <v>1030</v>
      </c>
    </row>
    <row r="223" spans="1:13" ht="67.5">
      <c r="A223" s="24"/>
      <c r="B223" s="24"/>
      <c r="C223" s="24"/>
      <c r="D223" s="58" t="s">
        <v>219</v>
      </c>
      <c r="E223" s="58"/>
      <c r="F223" s="58"/>
      <c r="G223" s="58"/>
      <c r="H223" s="58"/>
      <c r="I223" s="58"/>
      <c r="J223" s="58"/>
      <c r="K223" s="58"/>
      <c r="L223" s="58"/>
      <c r="M223" s="58"/>
    </row>
    <row r="224" spans="1:13">
      <c r="A224" s="25"/>
      <c r="B224" s="25"/>
      <c r="C224" s="25"/>
      <c r="D224" s="52" t="s">
        <v>190</v>
      </c>
      <c r="E224" s="53"/>
      <c r="F224" s="53"/>
      <c r="G224" s="53"/>
      <c r="H224" s="53"/>
      <c r="I224" s="53"/>
      <c r="J224" s="53"/>
      <c r="K224" s="53"/>
      <c r="L224" s="54">
        <f>M202+M208+M215+M222</f>
        <v>7302.63</v>
      </c>
      <c r="M224" s="54">
        <f>ROUND(L224,2)</f>
        <v>7302.63</v>
      </c>
    </row>
    <row r="225" spans="1:13">
      <c r="A225" s="29"/>
      <c r="B225" s="29"/>
      <c r="C225" s="29"/>
      <c r="D225" s="55" t="s">
        <v>11</v>
      </c>
      <c r="E225" s="56"/>
      <c r="F225" s="56"/>
      <c r="G225" s="56"/>
      <c r="H225" s="56"/>
      <c r="I225" s="56"/>
      <c r="J225" s="56"/>
      <c r="K225" s="56"/>
      <c r="L225" s="57">
        <f>M15+M196+M200+M224</f>
        <v>72454.8</v>
      </c>
      <c r="M225" s="57">
        <f>ROUND(L225,2)</f>
        <v>72454.8</v>
      </c>
    </row>
  </sheetData>
  <mergeCells count="1">
    <mergeCell ref="B1:M1"/>
  </mergeCells>
  <pageMargins left="0.62007900000000005" right="0.472441" top="0.472441" bottom="0.472441" header="0" footer="0"/>
  <pageSetup paperSize="9" orientation="portrait" r:id="rId1"/>
  <rowBreaks count="2" manualBreakCount="2">
    <brk max="16383" man="1"/>
    <brk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533fe98-637b-41e3-b4e5-192b01abd74a" xsi:nil="true"/>
    <lcf76f155ced4ddcb4097134ff3c332f xmlns="568191d0-d435-4ecf-a655-4eb19406690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1FF07117BD4554E84E361BA4085705B" ma:contentTypeVersion="12" ma:contentTypeDescription="Crea un document nou" ma:contentTypeScope="" ma:versionID="7aab1e479837bd09ccd19031cc706733">
  <xsd:schema xmlns:xsd="http://www.w3.org/2001/XMLSchema" xmlns:xs="http://www.w3.org/2001/XMLSchema" xmlns:p="http://schemas.microsoft.com/office/2006/metadata/properties" xmlns:ns2="568191d0-d435-4ecf-a655-4eb194066908" xmlns:ns3="4533fe98-637b-41e3-b4e5-192b01abd74a" targetNamespace="http://schemas.microsoft.com/office/2006/metadata/properties" ma:root="true" ma:fieldsID="f7cbd34c8d48162d30cd00c5949fb448" ns2:_="" ns3:_="">
    <xsd:import namespace="568191d0-d435-4ecf-a655-4eb194066908"/>
    <xsd:import namespace="4533fe98-637b-41e3-b4e5-192b01abd7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8191d0-d435-4ecf-a655-4eb1940669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es de la imatge" ma:readOnly="false" ma:fieldId="{5cf76f15-5ced-4ddc-b409-7134ff3c332f}" ma:taxonomyMulti="true" ma:sspId="0b67b547-ee38-46e8-9337-86456358d8c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33fe98-637b-41e3-b4e5-192b01abd74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416a153b-6ed1-440a-bbec-6502a16d4004}" ma:internalName="TaxCatchAll" ma:showField="CatchAllData" ma:web="4533fe98-637b-41e3-b4e5-192b01abd7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FACD6A-FEA1-49F9-96C2-4DDB075F6382}"/>
</file>

<file path=customXml/itemProps2.xml><?xml version="1.0" encoding="utf-8"?>
<ds:datastoreItem xmlns:ds="http://schemas.openxmlformats.org/officeDocument/2006/customXml" ds:itemID="{1B80EB8E-A5CF-45A1-A6F6-417A2EF1C3DD}"/>
</file>

<file path=customXml/itemProps3.xml><?xml version="1.0" encoding="utf-8"?>
<ds:datastoreItem xmlns:ds="http://schemas.openxmlformats.org/officeDocument/2006/customXml" ds:itemID="{55412575-4B76-4727-925E-A1BF989BB6F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Santi Farrés Ramos</cp:lastModifiedBy>
  <cp:revision/>
  <dcterms:created xsi:type="dcterms:W3CDTF">2025-07-11T10:42:06Z</dcterms:created>
  <dcterms:modified xsi:type="dcterms:W3CDTF">2025-07-11T10:42:06Z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0x01010071FF07117BD4554E84E361BA4085705B</vt:lpwstr>
  </property>
  <property fmtid="{D5CDD505-2E9C-101B-9397-08002B2CF9AE}" pid="3" name="MediaServiceImageTags">
    <vt:lpwstr/>
  </property>
</Properties>
</file>