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U:\GSEIUPA\VVBBTecnic\Anoia 1\Manteniment (2025-21534)\1 - Documents\"/>
    </mc:Choice>
  </mc:AlternateContent>
  <xr:revisionPtr revIDLastSave="0" documentId="8_{7E73A4D7-C893-451D-A95F-237A1275DD5B}" xr6:coauthVersionLast="47" xr6:coauthVersionMax="47" xr10:uidLastSave="{00000000-0000-0000-0000-000000000000}"/>
  <bookViews>
    <workbookView xWindow="28680" yWindow="-120" windowWidth="29040" windowHeight="15720" firstSheet="3" activeTab="3" xr2:uid="{D0E72A3C-EE65-44F6-B4E6-B47A631C01A3}"/>
  </bookViews>
  <sheets>
    <sheet name="versio 20-06-2025" sheetId="5" state="hidden" r:id="rId1"/>
    <sheet name="versio 22-05-2025" sheetId="6" state="hidden" r:id="rId2"/>
    <sheet name="versio 03-07-2025" sheetId="7" state="hidden" r:id="rId3"/>
    <sheet name="oferta económica" sheetId="10" r:id="rId4"/>
  </sheets>
  <definedNames>
    <definedName name="_Hlk198200677" localSheetId="3">'oferta económica'!$A$54</definedName>
    <definedName name="_xlnm.Print_Area" localSheetId="2">'versio 03-07-2025'!$A$1:$R$89</definedName>
    <definedName name="_xlnm.Print_Area" localSheetId="1">'versio 22-05-2025'!$A$1:$K$88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7" l="1"/>
  <c r="E49" i="7"/>
  <c r="E50" i="7"/>
  <c r="E51" i="7"/>
  <c r="E52" i="7"/>
  <c r="E53" i="7"/>
  <c r="E47" i="7"/>
  <c r="E48" i="7"/>
  <c r="E39" i="7"/>
  <c r="E40" i="7"/>
  <c r="E41" i="7"/>
  <c r="E42" i="7"/>
  <c r="E43" i="7"/>
  <c r="E44" i="7"/>
  <c r="E45" i="7"/>
  <c r="E46" i="7"/>
  <c r="E38" i="7"/>
  <c r="E37" i="7"/>
  <c r="E36" i="7"/>
  <c r="E32" i="7"/>
  <c r="E29" i="7"/>
  <c r="E20" i="7"/>
  <c r="E21" i="7"/>
  <c r="E22" i="7"/>
  <c r="E23" i="7"/>
  <c r="E24" i="7"/>
  <c r="E25" i="7"/>
  <c r="E26" i="7"/>
  <c r="E16" i="7"/>
  <c r="E17" i="7"/>
  <c r="E18" i="7"/>
  <c r="E19" i="7"/>
  <c r="E14" i="7"/>
  <c r="E15" i="7"/>
  <c r="E4" i="7"/>
  <c r="E5" i="7"/>
  <c r="E6" i="7"/>
  <c r="E7" i="7"/>
  <c r="E8" i="7"/>
  <c r="E9" i="7"/>
  <c r="E10" i="7"/>
  <c r="E11" i="7"/>
  <c r="E12" i="7"/>
  <c r="E13" i="7"/>
  <c r="E3" i="7"/>
  <c r="H50" i="7"/>
  <c r="I50" i="7" s="1"/>
  <c r="H51" i="7"/>
  <c r="I51" i="7" s="1"/>
  <c r="H52" i="7"/>
  <c r="I52" i="7" s="1"/>
  <c r="H53" i="7"/>
  <c r="I53" i="7" s="1"/>
  <c r="H43" i="7"/>
  <c r="I43" i="7" s="1"/>
  <c r="H44" i="7"/>
  <c r="I44" i="7" s="1"/>
  <c r="H45" i="7"/>
  <c r="I45" i="7" s="1"/>
  <c r="H46" i="7"/>
  <c r="I46" i="7" s="1"/>
  <c r="H47" i="7"/>
  <c r="I47" i="7" s="1"/>
  <c r="H48" i="7"/>
  <c r="I48" i="7" s="1"/>
  <c r="H49" i="7"/>
  <c r="I49" i="7" s="1"/>
  <c r="H37" i="7"/>
  <c r="I37" i="7" s="1"/>
  <c r="H38" i="7"/>
  <c r="I38" i="7" s="1"/>
  <c r="H39" i="7"/>
  <c r="I39" i="7" s="1"/>
  <c r="H40" i="7"/>
  <c r="I40" i="7" s="1"/>
  <c r="H41" i="7"/>
  <c r="I41" i="7" s="1"/>
  <c r="H42" i="7"/>
  <c r="I42" i="7" s="1"/>
  <c r="H33" i="7"/>
  <c r="I33" i="7" s="1"/>
  <c r="H34" i="7"/>
  <c r="I34" i="7" s="1"/>
  <c r="H35" i="7"/>
  <c r="I35" i="7" s="1"/>
  <c r="H36" i="7"/>
  <c r="I36" i="7" s="1"/>
  <c r="I29" i="7"/>
  <c r="H27" i="7"/>
  <c r="I27" i="7" s="1"/>
  <c r="H28" i="7"/>
  <c r="I28" i="7" s="1"/>
  <c r="H29" i="7"/>
  <c r="H30" i="7"/>
  <c r="I30" i="7" s="1"/>
  <c r="H31" i="7"/>
  <c r="I31" i="7" s="1"/>
  <c r="H32" i="7"/>
  <c r="I32" i="7" s="1"/>
  <c r="H22" i="7"/>
  <c r="I22" i="7" s="1"/>
  <c r="H23" i="7"/>
  <c r="I23" i="7" s="1"/>
  <c r="H24" i="7"/>
  <c r="I24" i="7" s="1"/>
  <c r="H25" i="7"/>
  <c r="I25" i="7" s="1"/>
  <c r="H26" i="7"/>
  <c r="I26" i="7" s="1"/>
  <c r="H17" i="7"/>
  <c r="I17" i="7" s="1"/>
  <c r="H18" i="7"/>
  <c r="I18" i="7" s="1"/>
  <c r="H19" i="7"/>
  <c r="I19" i="7" s="1"/>
  <c r="H20" i="7"/>
  <c r="I20" i="7" s="1"/>
  <c r="H21" i="7"/>
  <c r="I21" i="7" s="1"/>
  <c r="H3" i="7"/>
  <c r="I3" i="7" s="1"/>
  <c r="H4" i="7"/>
  <c r="I4" i="7" s="1"/>
  <c r="H5" i="7"/>
  <c r="I5" i="7" s="1"/>
  <c r="H6" i="7"/>
  <c r="I6" i="7" s="1"/>
  <c r="H7" i="7"/>
  <c r="I7" i="7" s="1"/>
  <c r="H9" i="7"/>
  <c r="I9" i="7" s="1"/>
  <c r="H10" i="7"/>
  <c r="I10" i="7" s="1"/>
  <c r="H11" i="7"/>
  <c r="I11" i="7" s="1"/>
  <c r="H12" i="7"/>
  <c r="I12" i="7" s="1"/>
  <c r="H13" i="7"/>
  <c r="I13" i="7" s="1"/>
  <c r="H14" i="7"/>
  <c r="I14" i="7" s="1"/>
  <c r="H15" i="7"/>
  <c r="I15" i="7" s="1"/>
  <c r="H16" i="7"/>
  <c r="I16" i="7" s="1"/>
  <c r="H8" i="7"/>
  <c r="I8" i="7" s="1"/>
  <c r="O3" i="7"/>
  <c r="O4" i="7"/>
  <c r="O5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49" i="7"/>
  <c r="O50" i="7"/>
  <c r="O51" i="7"/>
  <c r="O52" i="7"/>
  <c r="O53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32" i="7"/>
  <c r="R2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19" i="7"/>
  <c r="G20" i="7"/>
  <c r="G21" i="7"/>
  <c r="G22" i="7"/>
  <c r="G23" i="7"/>
  <c r="G24" i="7"/>
  <c r="G25" i="7"/>
  <c r="G26" i="7"/>
  <c r="G27" i="7"/>
  <c r="G28" i="7"/>
  <c r="G29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3" i="7"/>
  <c r="M88" i="7"/>
  <c r="K88" i="7"/>
  <c r="M86" i="7"/>
  <c r="K86" i="7"/>
  <c r="K81" i="7"/>
  <c r="K77" i="7"/>
  <c r="K73" i="7"/>
  <c r="M73" i="7" s="1"/>
  <c r="M69" i="7"/>
  <c r="M70" i="7" s="1"/>
  <c r="M71" i="7" s="1"/>
  <c r="K68" i="7"/>
  <c r="K67" i="7"/>
  <c r="M63" i="7"/>
  <c r="K62" i="7"/>
  <c r="K61" i="7"/>
  <c r="K58" i="7"/>
  <c r="M58" i="7" s="1"/>
  <c r="O58" i="7" s="1"/>
  <c r="K57" i="7"/>
  <c r="M57" i="7" s="1"/>
  <c r="M55" i="7"/>
  <c r="O55" i="7" s="1"/>
  <c r="J53" i="7"/>
  <c r="K53" i="7" s="1"/>
  <c r="J52" i="7"/>
  <c r="K52" i="7" s="1"/>
  <c r="M52" i="7" s="1"/>
  <c r="J51" i="7"/>
  <c r="K51" i="7" s="1"/>
  <c r="M51" i="7" s="1"/>
  <c r="J50" i="7"/>
  <c r="K50" i="7" s="1"/>
  <c r="M50" i="7" s="1"/>
  <c r="J49" i="7"/>
  <c r="K49" i="7" s="1"/>
  <c r="M49" i="7" s="1"/>
  <c r="J48" i="7"/>
  <c r="K48" i="7" s="1"/>
  <c r="M48" i="7" s="1"/>
  <c r="J47" i="7"/>
  <c r="K47" i="7" s="1"/>
  <c r="M47" i="7" s="1"/>
  <c r="J46" i="7"/>
  <c r="K46" i="7" s="1"/>
  <c r="M46" i="7" s="1"/>
  <c r="J45" i="7"/>
  <c r="K45" i="7" s="1"/>
  <c r="M45" i="7" s="1"/>
  <c r="J44" i="7"/>
  <c r="K44" i="7" s="1"/>
  <c r="M44" i="7" s="1"/>
  <c r="J43" i="7"/>
  <c r="K43" i="7" s="1"/>
  <c r="M43" i="7" s="1"/>
  <c r="J42" i="7"/>
  <c r="K42" i="7" s="1"/>
  <c r="M42" i="7" s="1"/>
  <c r="J41" i="7"/>
  <c r="K41" i="7" s="1"/>
  <c r="M41" i="7" s="1"/>
  <c r="J40" i="7"/>
  <c r="K40" i="7" s="1"/>
  <c r="M40" i="7" s="1"/>
  <c r="J39" i="7"/>
  <c r="K39" i="7" s="1"/>
  <c r="M39" i="7" s="1"/>
  <c r="J38" i="7"/>
  <c r="K38" i="7" s="1"/>
  <c r="M38" i="7" s="1"/>
  <c r="J37" i="7"/>
  <c r="K37" i="7" s="1"/>
  <c r="M37" i="7" s="1"/>
  <c r="J36" i="7"/>
  <c r="K36" i="7" s="1"/>
  <c r="M36" i="7" s="1"/>
  <c r="J35" i="7"/>
  <c r="K35" i="7" s="1"/>
  <c r="M35" i="7" s="1"/>
  <c r="J34" i="7"/>
  <c r="K34" i="7" s="1"/>
  <c r="M34" i="7" s="1"/>
  <c r="J33" i="7"/>
  <c r="K33" i="7" s="1"/>
  <c r="M33" i="7" s="1"/>
  <c r="J32" i="7"/>
  <c r="K32" i="7" s="1"/>
  <c r="M32" i="7" s="1"/>
  <c r="J31" i="7"/>
  <c r="K31" i="7" s="1"/>
  <c r="M31" i="7" s="1"/>
  <c r="J30" i="7"/>
  <c r="K30" i="7" s="1"/>
  <c r="M30" i="7" s="1"/>
  <c r="J29" i="7"/>
  <c r="K29" i="7" s="1"/>
  <c r="M29" i="7" s="1"/>
  <c r="J28" i="7"/>
  <c r="K28" i="7" s="1"/>
  <c r="J27" i="7"/>
  <c r="K27" i="7" s="1"/>
  <c r="J26" i="7"/>
  <c r="K26" i="7" s="1"/>
  <c r="J25" i="7"/>
  <c r="K25" i="7" s="1"/>
  <c r="J24" i="7"/>
  <c r="K24" i="7" s="1"/>
  <c r="J23" i="7"/>
  <c r="K23" i="7" s="1"/>
  <c r="J22" i="7"/>
  <c r="K22" i="7" s="1"/>
  <c r="J21" i="7"/>
  <c r="K21" i="7" s="1"/>
  <c r="J20" i="7"/>
  <c r="K20" i="7" s="1"/>
  <c r="J19" i="7"/>
  <c r="J18" i="7"/>
  <c r="K18" i="7" s="1"/>
  <c r="J17" i="7"/>
  <c r="K17" i="7" s="1"/>
  <c r="J16" i="7"/>
  <c r="K16" i="7" s="1"/>
  <c r="J15" i="7"/>
  <c r="K15" i="7" s="1"/>
  <c r="J14" i="7"/>
  <c r="K14" i="7" s="1"/>
  <c r="J13" i="7"/>
  <c r="K13" i="7" s="1"/>
  <c r="J12" i="7"/>
  <c r="K12" i="7" s="1"/>
  <c r="J11" i="7"/>
  <c r="K11" i="7" s="1"/>
  <c r="J10" i="7"/>
  <c r="K10" i="7" s="1"/>
  <c r="J9" i="7"/>
  <c r="K9" i="7" s="1"/>
  <c r="J8" i="7"/>
  <c r="K8" i="7" s="1"/>
  <c r="J7" i="7"/>
  <c r="J6" i="7"/>
  <c r="K6" i="7" s="1"/>
  <c r="J5" i="7"/>
  <c r="K5" i="7" s="1"/>
  <c r="J4" i="7"/>
  <c r="K4" i="7" s="1"/>
  <c r="K3" i="7"/>
  <c r="F90" i="5"/>
  <c r="F84" i="5"/>
  <c r="F82" i="5"/>
  <c r="F81" i="5"/>
  <c r="H87" i="6"/>
  <c r="F87" i="6"/>
  <c r="H85" i="6"/>
  <c r="F85" i="6"/>
  <c r="F80" i="6"/>
  <c r="F76" i="6"/>
  <c r="F72" i="6"/>
  <c r="H72" i="6" s="1"/>
  <c r="H68" i="6"/>
  <c r="H69" i="6" s="1"/>
  <c r="H70" i="6" s="1"/>
  <c r="F67" i="6"/>
  <c r="F66" i="6"/>
  <c r="F68" i="6" s="1"/>
  <c r="F63" i="6"/>
  <c r="F64" i="6" s="1"/>
  <c r="H62" i="6"/>
  <c r="F62" i="6"/>
  <c r="F61" i="6"/>
  <c r="F60" i="6"/>
  <c r="F57" i="6"/>
  <c r="H57" i="6" s="1"/>
  <c r="J57" i="6" s="1"/>
  <c r="F56" i="6"/>
  <c r="H56" i="6" s="1"/>
  <c r="J54" i="6"/>
  <c r="H54" i="6"/>
  <c r="F52" i="6"/>
  <c r="F73" i="6" s="1"/>
  <c r="F77" i="6" s="1"/>
  <c r="F78" i="6" s="1"/>
  <c r="F82" i="6" s="1"/>
  <c r="E52" i="6"/>
  <c r="E51" i="6"/>
  <c r="F51" i="6" s="1"/>
  <c r="H51" i="6" s="1"/>
  <c r="E50" i="6"/>
  <c r="F50" i="6" s="1"/>
  <c r="H50" i="6" s="1"/>
  <c r="E49" i="6"/>
  <c r="F49" i="6" s="1"/>
  <c r="H49" i="6" s="1"/>
  <c r="F48" i="6"/>
  <c r="H48" i="6" s="1"/>
  <c r="E48" i="6"/>
  <c r="E47" i="6"/>
  <c r="F47" i="6" s="1"/>
  <c r="H47" i="6" s="1"/>
  <c r="E46" i="6"/>
  <c r="F46" i="6" s="1"/>
  <c r="H46" i="6" s="1"/>
  <c r="E45" i="6"/>
  <c r="F45" i="6" s="1"/>
  <c r="H45" i="6" s="1"/>
  <c r="F44" i="6"/>
  <c r="H44" i="6" s="1"/>
  <c r="E44" i="6"/>
  <c r="E43" i="6"/>
  <c r="F43" i="6" s="1"/>
  <c r="H43" i="6" s="1"/>
  <c r="E42" i="6"/>
  <c r="F42" i="6" s="1"/>
  <c r="H42" i="6" s="1"/>
  <c r="E41" i="6"/>
  <c r="F41" i="6" s="1"/>
  <c r="H41" i="6" s="1"/>
  <c r="F40" i="6"/>
  <c r="H40" i="6" s="1"/>
  <c r="E40" i="6"/>
  <c r="E39" i="6"/>
  <c r="F39" i="6" s="1"/>
  <c r="H39" i="6" s="1"/>
  <c r="E38" i="6"/>
  <c r="F38" i="6" s="1"/>
  <c r="H38" i="6" s="1"/>
  <c r="E37" i="6"/>
  <c r="F37" i="6" s="1"/>
  <c r="H37" i="6" s="1"/>
  <c r="F36" i="6"/>
  <c r="H36" i="6" s="1"/>
  <c r="E36" i="6"/>
  <c r="E35" i="6"/>
  <c r="F35" i="6" s="1"/>
  <c r="H35" i="6" s="1"/>
  <c r="E34" i="6"/>
  <c r="F34" i="6" s="1"/>
  <c r="H34" i="6" s="1"/>
  <c r="E33" i="6"/>
  <c r="F33" i="6" s="1"/>
  <c r="H33" i="6" s="1"/>
  <c r="F32" i="6"/>
  <c r="H32" i="6" s="1"/>
  <c r="E32" i="6"/>
  <c r="E31" i="6"/>
  <c r="F31" i="6" s="1"/>
  <c r="H31" i="6" s="1"/>
  <c r="E30" i="6"/>
  <c r="F30" i="6" s="1"/>
  <c r="H30" i="6" s="1"/>
  <c r="E29" i="6"/>
  <c r="F29" i="6" s="1"/>
  <c r="H29" i="6" s="1"/>
  <c r="F28" i="6"/>
  <c r="H28" i="6" s="1"/>
  <c r="E28" i="6"/>
  <c r="E27" i="6"/>
  <c r="F27" i="6" s="1"/>
  <c r="H27" i="6" s="1"/>
  <c r="E26" i="6"/>
  <c r="F26" i="6" s="1"/>
  <c r="H26" i="6" s="1"/>
  <c r="E25" i="6"/>
  <c r="F25" i="6" s="1"/>
  <c r="H25" i="6" s="1"/>
  <c r="F24" i="6"/>
  <c r="H24" i="6" s="1"/>
  <c r="E24" i="6"/>
  <c r="E23" i="6"/>
  <c r="F23" i="6" s="1"/>
  <c r="H23" i="6" s="1"/>
  <c r="E22" i="6"/>
  <c r="F22" i="6" s="1"/>
  <c r="H22" i="6" s="1"/>
  <c r="E21" i="6"/>
  <c r="F21" i="6" s="1"/>
  <c r="H21" i="6" s="1"/>
  <c r="F20" i="6"/>
  <c r="H20" i="6" s="1"/>
  <c r="E20" i="6"/>
  <c r="E19" i="6"/>
  <c r="F19" i="6" s="1"/>
  <c r="H19" i="6" s="1"/>
  <c r="E18" i="6"/>
  <c r="F18" i="6" s="1"/>
  <c r="H18" i="6" s="1"/>
  <c r="E17" i="6"/>
  <c r="F17" i="6" s="1"/>
  <c r="H17" i="6" s="1"/>
  <c r="F16" i="6"/>
  <c r="H16" i="6" s="1"/>
  <c r="E16" i="6"/>
  <c r="E15" i="6"/>
  <c r="F15" i="6" s="1"/>
  <c r="H15" i="6" s="1"/>
  <c r="E14" i="6"/>
  <c r="F14" i="6" s="1"/>
  <c r="H14" i="6" s="1"/>
  <c r="E13" i="6"/>
  <c r="F13" i="6" s="1"/>
  <c r="H13" i="6" s="1"/>
  <c r="F12" i="6"/>
  <c r="H12" i="6" s="1"/>
  <c r="E12" i="6"/>
  <c r="E11" i="6"/>
  <c r="F11" i="6" s="1"/>
  <c r="H11" i="6" s="1"/>
  <c r="E10" i="6"/>
  <c r="F10" i="6" s="1"/>
  <c r="H10" i="6" s="1"/>
  <c r="E9" i="6"/>
  <c r="F9" i="6" s="1"/>
  <c r="H9" i="6" s="1"/>
  <c r="F8" i="6"/>
  <c r="H8" i="6" s="1"/>
  <c r="E8" i="6"/>
  <c r="E7" i="6"/>
  <c r="F7" i="6" s="1"/>
  <c r="H7" i="6" s="1"/>
  <c r="E6" i="6"/>
  <c r="F6" i="6" s="1"/>
  <c r="H6" i="6" s="1"/>
  <c r="E5" i="6"/>
  <c r="F5" i="6" s="1"/>
  <c r="H5" i="6" s="1"/>
  <c r="F4" i="6"/>
  <c r="H4" i="6" s="1"/>
  <c r="E4" i="6"/>
  <c r="E3" i="6"/>
  <c r="F3" i="6" s="1"/>
  <c r="H3" i="6" s="1"/>
  <c r="E2" i="6"/>
  <c r="F2" i="6" s="1"/>
  <c r="F92" i="5"/>
  <c r="F57" i="5"/>
  <c r="I57" i="5" s="1"/>
  <c r="F56" i="5"/>
  <c r="I56" i="5" s="1"/>
  <c r="I54" i="5"/>
  <c r="F76" i="5"/>
  <c r="F72" i="5"/>
  <c r="F67" i="5"/>
  <c r="F66" i="5"/>
  <c r="F61" i="5"/>
  <c r="F60" i="5"/>
  <c r="F62" i="5" s="1"/>
  <c r="E52" i="5"/>
  <c r="F52" i="5" s="1"/>
  <c r="E51" i="5"/>
  <c r="F51" i="5" s="1"/>
  <c r="E50" i="5"/>
  <c r="F50" i="5" s="1"/>
  <c r="E49" i="5"/>
  <c r="F49" i="5" s="1"/>
  <c r="E48" i="5"/>
  <c r="F48" i="5" s="1"/>
  <c r="E47" i="5"/>
  <c r="F47" i="5" s="1"/>
  <c r="E46" i="5"/>
  <c r="F46" i="5" s="1"/>
  <c r="E45" i="5"/>
  <c r="F45" i="5" s="1"/>
  <c r="E44" i="5"/>
  <c r="F44" i="5" s="1"/>
  <c r="E43" i="5"/>
  <c r="F43" i="5" s="1"/>
  <c r="E42" i="5"/>
  <c r="F42" i="5" s="1"/>
  <c r="E41" i="5"/>
  <c r="F41" i="5" s="1"/>
  <c r="E40" i="5"/>
  <c r="F40" i="5" s="1"/>
  <c r="E39" i="5"/>
  <c r="F39" i="5" s="1"/>
  <c r="E38" i="5"/>
  <c r="F38" i="5" s="1"/>
  <c r="E37" i="5"/>
  <c r="F37" i="5" s="1"/>
  <c r="E36" i="5"/>
  <c r="F36" i="5" s="1"/>
  <c r="E35" i="5"/>
  <c r="F35" i="5" s="1"/>
  <c r="E34" i="5"/>
  <c r="F34" i="5" s="1"/>
  <c r="E33" i="5"/>
  <c r="F33" i="5" s="1"/>
  <c r="E32" i="5"/>
  <c r="F32" i="5" s="1"/>
  <c r="E31" i="5"/>
  <c r="F31" i="5" s="1"/>
  <c r="E30" i="5"/>
  <c r="F30" i="5" s="1"/>
  <c r="E29" i="5"/>
  <c r="F29" i="5" s="1"/>
  <c r="E28" i="5"/>
  <c r="F28" i="5" s="1"/>
  <c r="E27" i="5"/>
  <c r="F27" i="5" s="1"/>
  <c r="E26" i="5"/>
  <c r="F26" i="5" s="1"/>
  <c r="E25" i="5"/>
  <c r="F25" i="5" s="1"/>
  <c r="E24" i="5"/>
  <c r="F24" i="5" s="1"/>
  <c r="E23" i="5"/>
  <c r="F23" i="5" s="1"/>
  <c r="E22" i="5"/>
  <c r="F22" i="5" s="1"/>
  <c r="E21" i="5"/>
  <c r="F21" i="5" s="1"/>
  <c r="E20" i="5"/>
  <c r="F20" i="5" s="1"/>
  <c r="E19" i="5"/>
  <c r="F19" i="5" s="1"/>
  <c r="E18" i="5"/>
  <c r="F18" i="5" s="1"/>
  <c r="E17" i="5"/>
  <c r="F17" i="5" s="1"/>
  <c r="E16" i="5"/>
  <c r="F16" i="5" s="1"/>
  <c r="E15" i="5"/>
  <c r="F15" i="5" s="1"/>
  <c r="E14" i="5"/>
  <c r="F14" i="5" s="1"/>
  <c r="E13" i="5"/>
  <c r="F13" i="5" s="1"/>
  <c r="E12" i="5"/>
  <c r="F12" i="5" s="1"/>
  <c r="E11" i="5"/>
  <c r="F11" i="5" s="1"/>
  <c r="E10" i="5"/>
  <c r="F10" i="5" s="1"/>
  <c r="E9" i="5"/>
  <c r="F9" i="5" s="1"/>
  <c r="E8" i="5"/>
  <c r="F8" i="5" s="1"/>
  <c r="E7" i="5"/>
  <c r="F7" i="5" s="1"/>
  <c r="E6" i="5"/>
  <c r="F6" i="5" s="1"/>
  <c r="E5" i="5"/>
  <c r="F5" i="5" s="1"/>
  <c r="E4" i="5"/>
  <c r="F4" i="5" s="1"/>
  <c r="E3" i="5"/>
  <c r="F3" i="5" s="1"/>
  <c r="E2" i="5"/>
  <c r="F2" i="5" s="1"/>
  <c r="K69" i="7" l="1"/>
  <c r="K70" i="7" s="1"/>
  <c r="K71" i="7" s="1"/>
  <c r="G2" i="7"/>
  <c r="M28" i="7"/>
  <c r="M27" i="7"/>
  <c r="M5" i="7"/>
  <c r="M26" i="7"/>
  <c r="K19" i="7"/>
  <c r="M19" i="7" s="1"/>
  <c r="K7" i="7"/>
  <c r="M7" i="7" s="1"/>
  <c r="M8" i="7"/>
  <c r="G54" i="7"/>
  <c r="M6" i="7"/>
  <c r="M17" i="7"/>
  <c r="K63" i="7"/>
  <c r="K64" i="7" s="1"/>
  <c r="K65" i="7" s="1"/>
  <c r="M25" i="7"/>
  <c r="M20" i="7"/>
  <c r="M18" i="7"/>
  <c r="M14" i="7"/>
  <c r="M13" i="7"/>
  <c r="M15" i="7"/>
  <c r="M4" i="7"/>
  <c r="M16" i="7"/>
  <c r="M9" i="7"/>
  <c r="M21" i="7"/>
  <c r="M10" i="7"/>
  <c r="M22" i="7"/>
  <c r="M11" i="7"/>
  <c r="M23" i="7"/>
  <c r="M12" i="7"/>
  <c r="M24" i="7"/>
  <c r="M77" i="7"/>
  <c r="O57" i="7"/>
  <c r="M59" i="7"/>
  <c r="M3" i="7"/>
  <c r="M53" i="7"/>
  <c r="M74" i="7" s="1"/>
  <c r="M78" i="7" s="1"/>
  <c r="K74" i="7"/>
  <c r="K78" i="7" s="1"/>
  <c r="K79" i="7" s="1"/>
  <c r="K83" i="7" s="1"/>
  <c r="K59" i="7"/>
  <c r="M64" i="7"/>
  <c r="M65" i="7" s="1"/>
  <c r="F68" i="5"/>
  <c r="F69" i="5" s="1"/>
  <c r="F70" i="5" s="1"/>
  <c r="H76" i="6"/>
  <c r="H78" i="6" s="1"/>
  <c r="H74" i="6"/>
  <c r="H58" i="6"/>
  <c r="J56" i="6"/>
  <c r="H64" i="6"/>
  <c r="F53" i="6"/>
  <c r="H2" i="6"/>
  <c r="H53" i="6" s="1"/>
  <c r="J53" i="6" s="1"/>
  <c r="F69" i="6"/>
  <c r="F70" i="6" s="1"/>
  <c r="F74" i="6"/>
  <c r="F58" i="6"/>
  <c r="H52" i="6"/>
  <c r="H73" i="6" s="1"/>
  <c r="H77" i="6" s="1"/>
  <c r="H63" i="6"/>
  <c r="F73" i="5"/>
  <c r="F74" i="5" s="1"/>
  <c r="F63" i="5"/>
  <c r="F64" i="5" s="1"/>
  <c r="F53" i="5"/>
  <c r="K54" i="7" l="1"/>
  <c r="M2" i="7"/>
  <c r="K2" i="7"/>
  <c r="T2" i="7" s="1"/>
  <c r="M54" i="7"/>
  <c r="O54" i="7" s="1"/>
  <c r="T54" i="7"/>
  <c r="D54" i="7"/>
  <c r="D56" i="7" s="1"/>
  <c r="M75" i="7"/>
  <c r="M79" i="7"/>
  <c r="K75" i="7"/>
  <c r="I53" i="5"/>
  <c r="D53" i="5"/>
  <c r="D55" i="5" s="1"/>
  <c r="M53" i="5"/>
  <c r="D53" i="6"/>
  <c r="D55" i="6" s="1"/>
  <c r="N53" i="6"/>
  <c r="F77" i="5"/>
  <c r="F78" i="5" s="1"/>
  <c r="T55" i="7" l="1"/>
  <c r="T56" i="7"/>
  <c r="M55" i="5"/>
  <c r="M54" i="5"/>
  <c r="N55" i="6"/>
  <c r="N54" i="6"/>
  <c r="N56" i="6"/>
  <c r="F58" i="5"/>
  <c r="T57" i="7" l="1"/>
  <c r="F83" i="5"/>
  <c r="M56" i="5"/>
  <c r="F85" i="5" l="1"/>
  <c r="F86" i="5" s="1"/>
  <c r="F87" i="5" l="1"/>
  <c r="F88" i="5" l="1"/>
</calcChain>
</file>

<file path=xl/sharedStrings.xml><?xml version="1.0" encoding="utf-8"?>
<sst xmlns="http://schemas.openxmlformats.org/spreadsheetml/2006/main" count="526" uniqueCount="109">
  <si>
    <t>Amidament</t>
  </si>
  <si>
    <t>Preu s/ 19%</t>
  </si>
  <si>
    <t>Preu amb 19%</t>
  </si>
  <si>
    <t>Total</t>
  </si>
  <si>
    <t>m2</t>
  </si>
  <si>
    <t>Retirada de terres esllavissades i despreniments de materials (P - 1)</t>
  </si>
  <si>
    <t>m3</t>
  </si>
  <si>
    <t>Excavació de terreny no classificat (P - 2)</t>
  </si>
  <si>
    <t>Excavació de terreny compacte (P - 3)</t>
  </si>
  <si>
    <t>Reposició de mota  (P - 4)</t>
  </si>
  <si>
    <t>Terraplenada i piconatge per a nucli de terraplè  (P - 5)</t>
  </si>
  <si>
    <t>Terraplenat i piconatge per a esplanada  (P - 6)</t>
  </si>
  <si>
    <t>Referfilat i piconatge de capa de ferm (P - 7)</t>
  </si>
  <si>
    <t>Barreja de tot-u artificial i sauló (P - 8)</t>
  </si>
  <si>
    <t>Estabilització d'esplanada ´´in situ´´  (P - 9)</t>
  </si>
  <si>
    <t>m</t>
  </si>
  <si>
    <t>Encintat amb tauló de fusta de pi  (P - 10)</t>
  </si>
  <si>
    <t>Encintat amb fusta de castanyer o similar (P - 11)</t>
  </si>
  <si>
    <t>Neteja de paviment de franja blava, tàlveg o paviment formigonat (P - 12)</t>
  </si>
  <si>
    <t>Base de formigó en massa HM - 20 / B / 40 / X0  (P - 13)</t>
  </si>
  <si>
    <t>Pintat d'estructures d'acer amb sistemes de protecció  (P - 14)</t>
  </si>
  <si>
    <t>Neteja i reperfilat de cuneta en terres (P - 15)</t>
  </si>
  <si>
    <t>u</t>
  </si>
  <si>
    <t>Neteja i desembussament d'elements de drenatge transversal, tubs o guals (P - 16)</t>
  </si>
  <si>
    <t>Formació de cuneta en terres de secció triangular (P - 17)</t>
  </si>
  <si>
    <t>Subministre i instal·lació de geomalla  (P - 18)</t>
  </si>
  <si>
    <t>Barana de fusta de 1,10cm d'alçada (P - 19)</t>
  </si>
  <si>
    <t>Barana de fusta de 1,40cm d'alçada (P - 20)</t>
  </si>
  <si>
    <t>Pantalla de protecció de talussos de 2,5m d'alçada (P - 21)</t>
  </si>
  <si>
    <t>Reposició de barana de fusta (P - 22)</t>
  </si>
  <si>
    <t>Placa triangular per a senyals de trànsit (P - 23)</t>
  </si>
  <si>
    <t>Placa circular per a senyals de trànsit (P - 24)</t>
  </si>
  <si>
    <t>Placa octogonal per a senyals de trànsit (P - 25)</t>
  </si>
  <si>
    <t>Placa complementària per a senyals de trànsit (P - 26)</t>
  </si>
  <si>
    <t>Suport rectangular de tub d'acer galvanitzat (P - 27)</t>
  </si>
  <si>
    <t>Subministrament i col·locació de placa d'alumini  (P - 28)</t>
  </si>
  <si>
    <t>Vinil autoadhesiu amb diferents pictogrames (P - 29)</t>
  </si>
  <si>
    <t>Suport de fusta de pi rectangular u octogonal  (P - 30)</t>
  </si>
  <si>
    <t>ut</t>
  </si>
  <si>
    <t>Subministre i instal·lació de separador vial de carril bici  (P - 31)</t>
  </si>
  <si>
    <t>Actuacions puntuals de mitja jornada en superfície &lt;= 25 m2 (P - 32)</t>
  </si>
  <si>
    <t>Actuacions puntuals de jornada completa en superfície &lt;= 50 m2 (P - 33)</t>
  </si>
  <si>
    <t>Reposició o col·locació de placa de senyalització (P - 34)</t>
  </si>
  <si>
    <t>Neteja de senyals i plaques complementàries (P - 35)</t>
  </si>
  <si>
    <t>Esborrat de pintades en senyals i plaques complementàries (P - 36)</t>
  </si>
  <si>
    <t>Banc de taulons de pi tractat en autoclau (P - 37)</t>
  </si>
  <si>
    <t>Mòdul per a aparcament de bicicletes  (P - 38)</t>
  </si>
  <si>
    <t>Pilona de fusta tractada en autoclau de d'alçària 1100 mm (P - 39)</t>
  </si>
  <si>
    <t>Col·locació de banc de fusta o aparcabici de fusta (P - 40)</t>
  </si>
  <si>
    <t>Col·locació de pilona fixa o abatible  (P - 41)</t>
  </si>
  <si>
    <t>Sega de capa herbàcia amb esbrossadora de capçal de fil (P - 42)</t>
  </si>
  <si>
    <t>Esbrossada de plantes i herbes (P - 43)</t>
  </si>
  <si>
    <t>Esbrossada de canya americana (Arundo donax)  (P - 44)</t>
  </si>
  <si>
    <t>Poda o tallada controlada d'arbre de diàmetre inferior a 25 cm (mesurat a 50cm del terra) (P - 45)</t>
  </si>
  <si>
    <t>Poda o tallada controlada d'arbre de diàmetre superior a 25 cm (mesurat a 50cm del terra) (P - 46)</t>
  </si>
  <si>
    <t>Aigua per a reg de manteniment de plantacions  (P - 47)</t>
  </si>
  <si>
    <t>t</t>
  </si>
  <si>
    <t>Classificació, càrrega i transport amb camió a abocador o centre de selecció (P - 48)</t>
  </si>
  <si>
    <t>Jornada d'inspecció visual de la traça de la Via Blava Anoia fase-1 (P - 49)</t>
  </si>
  <si>
    <t>h</t>
  </si>
  <si>
    <t>Hora d'equip per actuacions puntuals amb brigada de dos operaris (P - 50)</t>
  </si>
  <si>
    <t>pa</t>
  </si>
  <si>
    <t>Partida alçada d'abonament íntegre per la Seguretat i Salut  (P - 51)</t>
  </si>
  <si>
    <t>Total amb IVA</t>
  </si>
  <si>
    <t>1 trimestre</t>
  </si>
  <si>
    <t>3 trimestres</t>
  </si>
  <si>
    <t>Conservació</t>
  </si>
  <si>
    <t>Seguretat</t>
  </si>
  <si>
    <t>Anual</t>
  </si>
  <si>
    <t>4 anys</t>
  </si>
  <si>
    <t>IVA</t>
  </si>
  <si>
    <t>1 Trimestre</t>
  </si>
  <si>
    <t>anualitat *1,5 (iva inclos)</t>
  </si>
  <si>
    <t>anualitat 70% (iva inclos)</t>
  </si>
  <si>
    <t>entrada manual</t>
  </si>
  <si>
    <t>3 Trimestres</t>
  </si>
  <si>
    <t>Iva</t>
  </si>
  <si>
    <t xml:space="preserve">   </t>
  </si>
  <si>
    <t>Base</t>
  </si>
  <si>
    <t>iva</t>
  </si>
  <si>
    <t>Modificació Any 1</t>
  </si>
  <si>
    <t>5% de 99.46,70 €</t>
  </si>
  <si>
    <t>Modificació prorroga 1</t>
  </si>
  <si>
    <t>5% de 104.314,04 €</t>
  </si>
  <si>
    <t>Import total any 1</t>
  </si>
  <si>
    <t>Import total any  2</t>
  </si>
  <si>
    <t>Modificació prorroga 2</t>
  </si>
  <si>
    <t>5% de 109.529,74 €</t>
  </si>
  <si>
    <t>Import total any  3</t>
  </si>
  <si>
    <t>Import total any  4</t>
  </si>
  <si>
    <t>Modificació prorroga 3</t>
  </si>
  <si>
    <t>1r any</t>
  </si>
  <si>
    <t>2n any</t>
  </si>
  <si>
    <t>3r any</t>
  </si>
  <si>
    <t>4 any</t>
  </si>
  <si>
    <t>5% de 115.006,23 €</t>
  </si>
  <si>
    <t>OFERTA LICITADOR</t>
  </si>
  <si>
    <t>Ut</t>
  </si>
  <si>
    <t>Concepte</t>
  </si>
  <si>
    <t>Preus unitaris màxims de licitació (IVA exclòs)</t>
  </si>
  <si>
    <t xml:space="preserve">Amid </t>
  </si>
  <si>
    <t>Preu unitari ofert (IVA exclòs)</t>
  </si>
  <si>
    <t>Tipus %</t>
  </si>
  <si>
    <t>Import IVA</t>
  </si>
  <si>
    <t>Total preu unitari ofert (IVA inclòs)</t>
  </si>
  <si>
    <t>Reperfilat i piconatge de capa de ferm (P - 7)</t>
  </si>
  <si>
    <t>Poda o tallada controlada d'arbre de diàmetre &lt; a 25 cm (a 50cm del terra) (P - 45)</t>
  </si>
  <si>
    <t>Poda o tallada controlada d'arbre de diàmetre &gt; a 25 cm (a 50cm del terra) (P - 46)</t>
  </si>
  <si>
    <t>TOTAL PRESSUPOST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</si>
</sst>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#,##0.000\ &quot;€&quot;"/>
    <numFmt numFmtId="166" formatCode="#,##0.0000\ &quot;€&quot;"/>
    <numFmt numFmtId="173" formatCode="_-* #,##0.00\ [$€-403]_-;\-* #,##0.00\ [$€-403]_-;_-* &quot;-&quot;??\ [$€-403]_-;_-@_-"/>
  </numFmts>
  <fonts count="17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7"/>
      <color rgb="FF323130"/>
      <name val="Segoe UI"/>
      <family val="2"/>
    </font>
    <font>
      <sz val="8"/>
      <name val="Arial"/>
      <family val="2"/>
    </font>
    <font>
      <sz val="8"/>
      <color rgb="FF0070C0"/>
      <name val="Aptos Narrow"/>
      <family val="2"/>
      <scheme val="minor"/>
    </font>
    <font>
      <b/>
      <sz val="8"/>
      <color rgb="FF0070C0"/>
      <name val="Arial"/>
      <family val="2"/>
    </font>
    <font>
      <sz val="8"/>
      <color rgb="FF0070C0"/>
      <name val="Arial"/>
      <family val="2"/>
    </font>
    <font>
      <sz val="8"/>
      <color rgb="FFFF0000"/>
      <name val="Arial"/>
      <family val="2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0" applyFont="1" applyAlignment="1">
      <alignment horizontal="left" vertical="top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left" vertical="top"/>
    </xf>
    <xf numFmtId="2" fontId="3" fillId="0" borderId="0" xfId="0" applyNumberFormat="1" applyFont="1"/>
    <xf numFmtId="165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 vertical="top" wrapText="1"/>
    </xf>
    <xf numFmtId="165" fontId="2" fillId="0" borderId="0" xfId="0" applyNumberFormat="1" applyFont="1" applyAlignment="1">
      <alignment horizontal="right" vertical="center" wrapText="1"/>
    </xf>
    <xf numFmtId="165" fontId="1" fillId="0" borderId="2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/>
    <xf numFmtId="165" fontId="1" fillId="0" borderId="0" xfId="0" applyNumberFormat="1" applyFont="1" applyAlignment="1">
      <alignment horizontal="center" vertical="center" wrapText="1"/>
    </xf>
    <xf numFmtId="165" fontId="3" fillId="0" borderId="0" xfId="0" applyNumberFormat="1" applyFont="1"/>
    <xf numFmtId="165" fontId="1" fillId="0" borderId="2" xfId="0" applyNumberFormat="1" applyFont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9" fontId="3" fillId="0" borderId="0" xfId="0" applyNumberFormat="1" applyFont="1"/>
    <xf numFmtId="0" fontId="3" fillId="0" borderId="0" xfId="0" applyFont="1" applyAlignment="1">
      <alignment wrapText="1"/>
    </xf>
    <xf numFmtId="165" fontId="1" fillId="0" borderId="2" xfId="0" applyNumberFormat="1" applyFont="1" applyBorder="1" applyAlignment="1">
      <alignment horizontal="right"/>
    </xf>
    <xf numFmtId="0" fontId="5" fillId="0" borderId="0" xfId="0" applyFont="1"/>
    <xf numFmtId="2" fontId="6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7" fillId="0" borderId="0" xfId="0" applyFont="1"/>
    <xf numFmtId="164" fontId="8" fillId="0" borderId="0" xfId="0" applyNumberFormat="1" applyFont="1" applyAlignment="1">
      <alignment horizontal="center" vertical="center" wrapText="1"/>
    </xf>
    <xf numFmtId="165" fontId="7" fillId="0" borderId="0" xfId="0" applyNumberFormat="1" applyFont="1"/>
    <xf numFmtId="164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9" fontId="1" fillId="0" borderId="0" xfId="0" applyNumberFormat="1" applyFont="1" applyAlignment="1">
      <alignment horizontal="left" vertical="top" wrapText="1"/>
    </xf>
    <xf numFmtId="165" fontId="9" fillId="0" borderId="0" xfId="0" applyNumberFormat="1" applyFont="1" applyAlignment="1">
      <alignment horizontal="right"/>
    </xf>
    <xf numFmtId="165" fontId="9" fillId="0" borderId="2" xfId="0" applyNumberFormat="1" applyFont="1" applyBorder="1" applyAlignment="1">
      <alignment horizontal="right"/>
    </xf>
    <xf numFmtId="165" fontId="8" fillId="0" borderId="0" xfId="0" applyNumberFormat="1" applyFont="1" applyAlignment="1">
      <alignment horizontal="right" vertical="center" wrapText="1"/>
    </xf>
    <xf numFmtId="165" fontId="9" fillId="0" borderId="2" xfId="0" applyNumberFormat="1" applyFont="1" applyBorder="1" applyAlignment="1">
      <alignment horizontal="right" vertical="top" wrapText="1"/>
    </xf>
    <xf numFmtId="165" fontId="9" fillId="0" borderId="0" xfId="0" applyNumberFormat="1" applyFont="1" applyAlignment="1">
      <alignment horizontal="right" vertical="top" wrapText="1"/>
    </xf>
    <xf numFmtId="2" fontId="1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164" fontId="3" fillId="0" borderId="1" xfId="0" applyNumberFormat="1" applyFont="1" applyBorder="1"/>
    <xf numFmtId="0" fontId="3" fillId="0" borderId="3" xfId="0" applyFont="1" applyBorder="1"/>
    <xf numFmtId="2" fontId="3" fillId="0" borderId="4" xfId="0" applyNumberFormat="1" applyFont="1" applyBorder="1"/>
    <xf numFmtId="165" fontId="3" fillId="0" borderId="4" xfId="0" applyNumberFormat="1" applyFont="1" applyBorder="1"/>
    <xf numFmtId="165" fontId="3" fillId="0" borderId="5" xfId="0" applyNumberFormat="1" applyFont="1" applyBorder="1"/>
    <xf numFmtId="0" fontId="3" fillId="0" borderId="6" xfId="0" applyFont="1" applyBorder="1" applyAlignment="1">
      <alignment horizontal="center" wrapText="1"/>
    </xf>
    <xf numFmtId="165" fontId="3" fillId="0" borderId="7" xfId="0" applyNumberFormat="1" applyFont="1" applyBorder="1"/>
    <xf numFmtId="0" fontId="3" fillId="0" borderId="8" xfId="0" applyFont="1" applyBorder="1" applyAlignment="1">
      <alignment horizontal="center" wrapText="1"/>
    </xf>
    <xf numFmtId="0" fontId="3" fillId="0" borderId="9" xfId="0" applyFont="1" applyBorder="1"/>
    <xf numFmtId="165" fontId="3" fillId="0" borderId="9" xfId="0" applyNumberFormat="1" applyFont="1" applyBorder="1"/>
    <xf numFmtId="165" fontId="3" fillId="0" borderId="10" xfId="0" applyNumberFormat="1" applyFont="1" applyBorder="1"/>
    <xf numFmtId="164" fontId="3" fillId="0" borderId="0" xfId="0" applyNumberFormat="1" applyFont="1"/>
    <xf numFmtId="164" fontId="3" fillId="0" borderId="9" xfId="0" applyNumberFormat="1" applyFont="1" applyBorder="1"/>
    <xf numFmtId="166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top" wrapText="1"/>
    </xf>
    <xf numFmtId="2" fontId="1" fillId="2" borderId="0" xfId="0" applyNumberFormat="1" applyFont="1" applyFill="1" applyAlignment="1">
      <alignment horizontal="center" vertical="center" wrapText="1"/>
    </xf>
    <xf numFmtId="165" fontId="1" fillId="2" borderId="0" xfId="0" applyNumberFormat="1" applyFont="1" applyFill="1" applyAlignment="1">
      <alignment horizontal="center" vertical="center" wrapText="1"/>
    </xf>
    <xf numFmtId="166" fontId="1" fillId="2" borderId="0" xfId="0" applyNumberFormat="1" applyFont="1" applyFill="1" applyAlignment="1">
      <alignment horizontal="center" vertical="center" wrapText="1"/>
    </xf>
    <xf numFmtId="165" fontId="3" fillId="2" borderId="0" xfId="0" applyNumberFormat="1" applyFont="1" applyFill="1"/>
    <xf numFmtId="0" fontId="3" fillId="2" borderId="0" xfId="0" applyFont="1" applyFill="1"/>
    <xf numFmtId="165" fontId="1" fillId="2" borderId="2" xfId="0" applyNumberFormat="1" applyFont="1" applyFill="1" applyBorder="1" applyAlignment="1">
      <alignment horizontal="center" vertical="center" wrapText="1"/>
    </xf>
    <xf numFmtId="2" fontId="10" fillId="2" borderId="0" xfId="0" applyNumberFormat="1" applyFont="1" applyFill="1" applyAlignment="1">
      <alignment horizontal="center" vertical="center" wrapText="1"/>
    </xf>
    <xf numFmtId="166" fontId="1" fillId="3" borderId="0" xfId="0" applyNumberFormat="1" applyFont="1" applyFill="1" applyAlignment="1">
      <alignment horizontal="center" vertical="center" wrapText="1"/>
    </xf>
    <xf numFmtId="2" fontId="1" fillId="3" borderId="0" xfId="0" applyNumberFormat="1" applyFont="1" applyFill="1" applyAlignment="1">
      <alignment horizontal="center" vertical="center" wrapText="1"/>
    </xf>
    <xf numFmtId="2" fontId="1" fillId="4" borderId="0" xfId="0" applyNumberFormat="1" applyFon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12" fillId="5" borderId="9" xfId="0" applyFont="1" applyFill="1" applyBorder="1" applyAlignment="1">
      <alignment horizontal="right" vertical="center" wrapText="1"/>
    </xf>
    <xf numFmtId="0" fontId="12" fillId="5" borderId="11" xfId="0" applyFont="1" applyFill="1" applyBorder="1" applyAlignment="1">
      <alignment horizontal="right" vertical="center" wrapText="1"/>
    </xf>
    <xf numFmtId="0" fontId="13" fillId="0" borderId="9" xfId="0" applyFont="1" applyBorder="1" applyAlignment="1">
      <alignment horizontal="justify" vertical="center" wrapText="1"/>
    </xf>
    <xf numFmtId="0" fontId="13" fillId="0" borderId="0" xfId="0" applyFont="1" applyAlignment="1">
      <alignment horizontal="center" vertical="top" wrapText="1"/>
    </xf>
    <xf numFmtId="0" fontId="16" fillId="5" borderId="13" xfId="0" applyFont="1" applyFill="1" applyBorder="1" applyAlignment="1">
      <alignment horizontal="center" vertical="top" wrapText="1"/>
    </xf>
    <xf numFmtId="0" fontId="12" fillId="5" borderId="8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16" fillId="5" borderId="10" xfId="0" applyFont="1" applyFill="1" applyBorder="1" applyAlignment="1">
      <alignment horizontal="left" vertical="top" wrapText="1"/>
    </xf>
    <xf numFmtId="0" fontId="15" fillId="5" borderId="9" xfId="0" applyFont="1" applyFill="1" applyBorder="1" applyAlignment="1">
      <alignment horizontal="left" vertical="top" wrapText="1"/>
    </xf>
    <xf numFmtId="0" fontId="0" fillId="0" borderId="0" xfId="0" applyAlignment="1">
      <alignment vertical="top"/>
    </xf>
    <xf numFmtId="0" fontId="15" fillId="5" borderId="12" xfId="0" applyFont="1" applyFill="1" applyBorder="1" applyAlignment="1">
      <alignment horizontal="center" wrapText="1"/>
    </xf>
    <xf numFmtId="0" fontId="15" fillId="5" borderId="12" xfId="0" applyFont="1" applyFill="1" applyBorder="1" applyAlignment="1">
      <alignment horizontal="justify" wrapText="1"/>
    </xf>
    <xf numFmtId="0" fontId="15" fillId="5" borderId="13" xfId="0" applyFont="1" applyFill="1" applyBorder="1" applyAlignment="1">
      <alignment horizontal="center" wrapText="1"/>
    </xf>
    <xf numFmtId="0" fontId="15" fillId="5" borderId="13" xfId="0" applyFont="1" applyFill="1" applyBorder="1" applyAlignment="1">
      <alignment horizontal="justify" wrapText="1"/>
    </xf>
    <xf numFmtId="0" fontId="15" fillId="5" borderId="7" xfId="0" applyFont="1" applyFill="1" applyBorder="1" applyAlignment="1">
      <alignment horizontal="center" wrapText="1"/>
    </xf>
    <xf numFmtId="0" fontId="15" fillId="5" borderId="10" xfId="0" applyFont="1" applyFill="1" applyBorder="1" applyAlignment="1">
      <alignment horizontal="center" wrapText="1"/>
    </xf>
    <xf numFmtId="173" fontId="16" fillId="5" borderId="10" xfId="1" applyNumberFormat="1" applyFont="1" applyFill="1" applyBorder="1" applyAlignment="1">
      <alignment horizontal="right" vertical="center" wrapText="1"/>
    </xf>
    <xf numFmtId="173" fontId="0" fillId="0" borderId="0" xfId="0" applyNumberFormat="1"/>
    <xf numFmtId="0" fontId="13" fillId="0" borderId="9" xfId="0" applyFont="1" applyBorder="1" applyAlignment="1">
      <alignment horizontal="justify" vertical="center" wrapText="1"/>
    </xf>
    <xf numFmtId="0" fontId="15" fillId="5" borderId="3" xfId="0" applyFont="1" applyFill="1" applyBorder="1" applyAlignment="1">
      <alignment horizontal="center" wrapText="1"/>
    </xf>
    <xf numFmtId="0" fontId="15" fillId="5" borderId="8" xfId="0" applyFont="1" applyFill="1" applyBorder="1" applyAlignment="1">
      <alignment horizontal="center" wrapText="1"/>
    </xf>
    <xf numFmtId="2" fontId="16" fillId="5" borderId="9" xfId="0" applyNumberFormat="1" applyFont="1" applyFill="1" applyBorder="1" applyAlignment="1">
      <alignment horizontal="right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2" fontId="12" fillId="0" borderId="10" xfId="0" applyNumberFormat="1" applyFont="1" applyBorder="1" applyAlignment="1">
      <alignment horizontal="center" vertical="center" wrapText="1"/>
    </xf>
    <xf numFmtId="2" fontId="12" fillId="0" borderId="13" xfId="0" applyNumberFormat="1" applyFont="1" applyBorder="1" applyAlignment="1">
      <alignment horizontal="right" vertical="center" wrapText="1"/>
    </xf>
    <xf numFmtId="2" fontId="12" fillId="0" borderId="15" xfId="0" applyNumberFormat="1" applyFont="1" applyBorder="1" applyAlignment="1">
      <alignment horizontal="right" vertical="center" wrapText="1"/>
    </xf>
    <xf numFmtId="2" fontId="12" fillId="0" borderId="15" xfId="0" applyNumberFormat="1" applyFont="1" applyBorder="1" applyAlignment="1">
      <alignment horizontal="center" vertical="center" wrapText="1"/>
    </xf>
    <xf numFmtId="2" fontId="12" fillId="0" borderId="16" xfId="0" applyNumberFormat="1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A7761-296C-4103-95A8-DE76FB2B352B}">
  <dimension ref="A1:M92"/>
  <sheetViews>
    <sheetView zoomScale="115" zoomScaleNormal="115" workbookViewId="0">
      <selection activeCell="E2" sqref="E2"/>
    </sheetView>
  </sheetViews>
  <sheetFormatPr defaultRowHeight="10.5" x14ac:dyDescent="0.25"/>
  <cols>
    <col min="1" max="1" width="4.81640625" style="6" customWidth="1"/>
    <col min="2" max="2" width="33.1796875" style="7" customWidth="1"/>
    <col min="3" max="3" width="8.7265625" style="8"/>
    <col min="4" max="4" width="11.7265625" style="8" customWidth="1"/>
    <col min="5" max="5" width="11.7265625" style="6" customWidth="1"/>
    <col min="6" max="6" width="11.453125" style="16" customWidth="1"/>
    <col min="7" max="7" width="1.54296875" style="16" customWidth="1"/>
    <col min="8" max="8" width="1.08984375" style="6" customWidth="1"/>
    <col min="9" max="9" width="11" style="6" customWidth="1"/>
    <col min="10" max="10" width="1.1796875" style="6" customWidth="1"/>
    <col min="11" max="11" width="8.7265625" style="6"/>
    <col min="12" max="12" width="4.7265625" style="6" customWidth="1"/>
    <col min="13" max="13" width="9.26953125" style="6" bestFit="1" customWidth="1"/>
    <col min="14" max="16384" width="8.7265625" style="6"/>
  </cols>
  <sheetData>
    <row r="1" spans="1:11" x14ac:dyDescent="0.25">
      <c r="C1" s="5" t="s">
        <v>0</v>
      </c>
      <c r="D1" s="5" t="s">
        <v>1</v>
      </c>
      <c r="E1" s="5" t="s">
        <v>2</v>
      </c>
      <c r="F1" s="13" t="s">
        <v>3</v>
      </c>
      <c r="G1" s="14"/>
    </row>
    <row r="2" spans="1:11" ht="20" x14ac:dyDescent="0.25">
      <c r="A2" s="1" t="s">
        <v>4</v>
      </c>
      <c r="B2" s="1" t="s">
        <v>5</v>
      </c>
      <c r="C2" s="2">
        <v>600</v>
      </c>
      <c r="D2" s="2">
        <v>2.85</v>
      </c>
      <c r="E2" s="4">
        <f>D2*1.19</f>
        <v>3.3914999999999997</v>
      </c>
      <c r="F2" s="15">
        <f>C2*E2</f>
        <v>2034.8999999999999</v>
      </c>
    </row>
    <row r="3" spans="1:11" x14ac:dyDescent="0.25">
      <c r="A3" s="3" t="s">
        <v>6</v>
      </c>
      <c r="B3" s="1" t="s">
        <v>7</v>
      </c>
      <c r="C3" s="2">
        <v>240</v>
      </c>
      <c r="D3" s="2">
        <v>3.79</v>
      </c>
      <c r="E3" s="4">
        <f t="shared" ref="E3:E52" si="0">D3*1.19</f>
        <v>4.5100999999999996</v>
      </c>
      <c r="F3" s="15">
        <f t="shared" ref="F3:F52" si="1">C3*E3</f>
        <v>1082.424</v>
      </c>
    </row>
    <row r="4" spans="1:11" x14ac:dyDescent="0.25">
      <c r="A4" s="3" t="s">
        <v>6</v>
      </c>
      <c r="B4" s="1" t="s">
        <v>8</v>
      </c>
      <c r="C4" s="2">
        <v>90</v>
      </c>
      <c r="D4" s="2">
        <v>3.44</v>
      </c>
      <c r="E4" s="4">
        <f t="shared" si="0"/>
        <v>4.0935999999999995</v>
      </c>
      <c r="F4" s="15">
        <f t="shared" si="1"/>
        <v>368.42399999999998</v>
      </c>
    </row>
    <row r="5" spans="1:11" x14ac:dyDescent="0.25">
      <c r="A5" s="3" t="s">
        <v>6</v>
      </c>
      <c r="B5" s="1" t="s">
        <v>9</v>
      </c>
      <c r="C5" s="2">
        <v>50</v>
      </c>
      <c r="D5" s="2">
        <v>6.28</v>
      </c>
      <c r="E5" s="4">
        <f t="shared" si="0"/>
        <v>7.4732000000000003</v>
      </c>
      <c r="F5" s="15">
        <f t="shared" si="1"/>
        <v>373.66</v>
      </c>
      <c r="K5" s="6" t="s">
        <v>77</v>
      </c>
    </row>
    <row r="6" spans="1:11" ht="20" x14ac:dyDescent="0.25">
      <c r="A6" s="3" t="s">
        <v>6</v>
      </c>
      <c r="B6" s="1" t="s">
        <v>10</v>
      </c>
      <c r="C6" s="2">
        <v>90</v>
      </c>
      <c r="D6" s="2">
        <v>7.59</v>
      </c>
      <c r="E6" s="4">
        <f t="shared" si="0"/>
        <v>9.0320999999999998</v>
      </c>
      <c r="F6" s="15">
        <f t="shared" si="1"/>
        <v>812.88900000000001</v>
      </c>
    </row>
    <row r="7" spans="1:11" x14ac:dyDescent="0.25">
      <c r="A7" s="3" t="s">
        <v>6</v>
      </c>
      <c r="B7" s="1" t="s">
        <v>11</v>
      </c>
      <c r="C7" s="2">
        <v>120</v>
      </c>
      <c r="D7" s="2">
        <v>32.49</v>
      </c>
      <c r="E7" s="4">
        <f t="shared" si="0"/>
        <v>38.6631</v>
      </c>
      <c r="F7" s="15">
        <f t="shared" si="1"/>
        <v>4639.5720000000001</v>
      </c>
    </row>
    <row r="8" spans="1:11" x14ac:dyDescent="0.25">
      <c r="A8" s="3" t="s">
        <v>4</v>
      </c>
      <c r="B8" s="1" t="s">
        <v>12</v>
      </c>
      <c r="C8" s="2">
        <v>1500</v>
      </c>
      <c r="D8" s="2">
        <v>2.2999999999999998</v>
      </c>
      <c r="E8" s="4">
        <f t="shared" si="0"/>
        <v>2.7369999999999997</v>
      </c>
      <c r="F8" s="15">
        <f t="shared" si="1"/>
        <v>4105.4999999999991</v>
      </c>
    </row>
    <row r="9" spans="1:11" x14ac:dyDescent="0.25">
      <c r="A9" s="3" t="s">
        <v>6</v>
      </c>
      <c r="B9" s="1" t="s">
        <v>13</v>
      </c>
      <c r="C9" s="2">
        <v>120</v>
      </c>
      <c r="D9" s="2">
        <v>34.409999999999997</v>
      </c>
      <c r="E9" s="4">
        <f t="shared" si="0"/>
        <v>40.947899999999997</v>
      </c>
      <c r="F9" s="15">
        <f t="shared" si="1"/>
        <v>4913.7479999999996</v>
      </c>
    </row>
    <row r="10" spans="1:11" x14ac:dyDescent="0.25">
      <c r="A10" s="3" t="s">
        <v>6</v>
      </c>
      <c r="B10" s="1" t="s">
        <v>14</v>
      </c>
      <c r="C10" s="2">
        <v>30</v>
      </c>
      <c r="D10" s="2">
        <v>19.86</v>
      </c>
      <c r="E10" s="4">
        <f t="shared" si="0"/>
        <v>23.633399999999998</v>
      </c>
      <c r="F10" s="15">
        <f t="shared" si="1"/>
        <v>709.00199999999995</v>
      </c>
    </row>
    <row r="11" spans="1:11" x14ac:dyDescent="0.25">
      <c r="A11" s="3" t="s">
        <v>15</v>
      </c>
      <c r="B11" s="1" t="s">
        <v>16</v>
      </c>
      <c r="C11" s="2">
        <v>50</v>
      </c>
      <c r="D11" s="2">
        <v>33.74</v>
      </c>
      <c r="E11" s="4">
        <f t="shared" si="0"/>
        <v>40.150599999999997</v>
      </c>
      <c r="F11" s="15">
        <f t="shared" si="1"/>
        <v>2007.5299999999997</v>
      </c>
    </row>
    <row r="12" spans="1:11" x14ac:dyDescent="0.25">
      <c r="A12" s="3" t="s">
        <v>15</v>
      </c>
      <c r="B12" s="1" t="s">
        <v>17</v>
      </c>
      <c r="C12" s="2">
        <v>10</v>
      </c>
      <c r="D12" s="2">
        <v>75.02</v>
      </c>
      <c r="E12" s="4">
        <f t="shared" si="0"/>
        <v>89.273799999999994</v>
      </c>
      <c r="F12" s="15">
        <f t="shared" si="1"/>
        <v>892.73799999999994</v>
      </c>
    </row>
    <row r="13" spans="1:11" ht="20" x14ac:dyDescent="0.25">
      <c r="A13" s="3" t="s">
        <v>4</v>
      </c>
      <c r="B13" s="1" t="s">
        <v>18</v>
      </c>
      <c r="C13" s="2">
        <v>200</v>
      </c>
      <c r="D13" s="2">
        <v>2.85</v>
      </c>
      <c r="E13" s="4">
        <f t="shared" si="0"/>
        <v>3.3914999999999997</v>
      </c>
      <c r="F13" s="15">
        <f t="shared" si="1"/>
        <v>678.3</v>
      </c>
    </row>
    <row r="14" spans="1:11" ht="20" x14ac:dyDescent="0.25">
      <c r="A14" s="3" t="s">
        <v>6</v>
      </c>
      <c r="B14" s="1" t="s">
        <v>19</v>
      </c>
      <c r="C14" s="2">
        <v>10</v>
      </c>
      <c r="D14" s="2">
        <v>146.07</v>
      </c>
      <c r="E14" s="4">
        <f t="shared" si="0"/>
        <v>173.82329999999999</v>
      </c>
      <c r="F14" s="15">
        <f t="shared" si="1"/>
        <v>1738.2329999999999</v>
      </c>
    </row>
    <row r="15" spans="1:11" ht="20" x14ac:dyDescent="0.25">
      <c r="A15" s="3" t="s">
        <v>4</v>
      </c>
      <c r="B15" s="1" t="s">
        <v>20</v>
      </c>
      <c r="C15" s="2">
        <v>10</v>
      </c>
      <c r="D15" s="2">
        <v>19.68</v>
      </c>
      <c r="E15" s="4">
        <f t="shared" si="0"/>
        <v>23.4192</v>
      </c>
      <c r="F15" s="15">
        <f t="shared" si="1"/>
        <v>234.19200000000001</v>
      </c>
    </row>
    <row r="16" spans="1:11" x14ac:dyDescent="0.25">
      <c r="A16" s="3" t="s">
        <v>15</v>
      </c>
      <c r="B16" s="1" t="s">
        <v>21</v>
      </c>
      <c r="C16" s="2">
        <v>1000</v>
      </c>
      <c r="D16" s="2">
        <v>2.84</v>
      </c>
      <c r="E16" s="4">
        <f t="shared" si="0"/>
        <v>3.3795999999999995</v>
      </c>
      <c r="F16" s="15">
        <f t="shared" si="1"/>
        <v>3379.5999999999995</v>
      </c>
    </row>
    <row r="17" spans="1:11" ht="20" x14ac:dyDescent="0.3">
      <c r="A17" s="3" t="s">
        <v>22</v>
      </c>
      <c r="B17" s="1" t="s">
        <v>23</v>
      </c>
      <c r="C17" s="2">
        <v>10</v>
      </c>
      <c r="D17" s="2">
        <v>284.29000000000002</v>
      </c>
      <c r="E17" s="4">
        <f t="shared" si="0"/>
        <v>338.30509999999998</v>
      </c>
      <c r="F17" s="15">
        <f t="shared" si="1"/>
        <v>3383.0509999999999</v>
      </c>
      <c r="K17" s="22"/>
    </row>
    <row r="18" spans="1:11" ht="20" x14ac:dyDescent="0.25">
      <c r="A18" s="3" t="s">
        <v>15</v>
      </c>
      <c r="B18" s="1" t="s">
        <v>24</v>
      </c>
      <c r="C18" s="2">
        <v>500</v>
      </c>
      <c r="D18" s="2">
        <v>7.11</v>
      </c>
      <c r="E18" s="4">
        <f t="shared" si="0"/>
        <v>8.4609000000000005</v>
      </c>
      <c r="F18" s="15">
        <f t="shared" si="1"/>
        <v>4230.45</v>
      </c>
    </row>
    <row r="19" spans="1:11" x14ac:dyDescent="0.25">
      <c r="A19" s="3" t="s">
        <v>4</v>
      </c>
      <c r="B19" s="1" t="s">
        <v>25</v>
      </c>
      <c r="C19" s="2">
        <v>50</v>
      </c>
      <c r="D19" s="2">
        <v>13.43</v>
      </c>
      <c r="E19" s="4">
        <f t="shared" si="0"/>
        <v>15.981699999999998</v>
      </c>
      <c r="F19" s="15">
        <f t="shared" si="1"/>
        <v>799.08499999999992</v>
      </c>
    </row>
    <row r="20" spans="1:11" x14ac:dyDescent="0.25">
      <c r="A20" s="3" t="s">
        <v>15</v>
      </c>
      <c r="B20" s="1" t="s">
        <v>26</v>
      </c>
      <c r="C20" s="2">
        <v>100</v>
      </c>
      <c r="D20" s="2">
        <v>56.67</v>
      </c>
      <c r="E20" s="4">
        <f t="shared" si="0"/>
        <v>67.437299999999993</v>
      </c>
      <c r="F20" s="15">
        <f t="shared" si="1"/>
        <v>6743.73</v>
      </c>
    </row>
    <row r="21" spans="1:11" x14ac:dyDescent="0.25">
      <c r="A21" s="3" t="s">
        <v>15</v>
      </c>
      <c r="B21" s="1" t="s">
        <v>27</v>
      </c>
      <c r="C21" s="2">
        <v>20</v>
      </c>
      <c r="D21" s="2">
        <v>113.92</v>
      </c>
      <c r="E21" s="4">
        <f t="shared" si="0"/>
        <v>135.56479999999999</v>
      </c>
      <c r="F21" s="15">
        <f t="shared" si="1"/>
        <v>2711.2959999999998</v>
      </c>
    </row>
    <row r="22" spans="1:11" ht="20" x14ac:dyDescent="0.25">
      <c r="A22" s="3" t="s">
        <v>4</v>
      </c>
      <c r="B22" s="1" t="s">
        <v>28</v>
      </c>
      <c r="C22" s="2">
        <v>30</v>
      </c>
      <c r="D22" s="2">
        <v>128.18</v>
      </c>
      <c r="E22" s="4">
        <f t="shared" si="0"/>
        <v>152.5342</v>
      </c>
      <c r="F22" s="15">
        <f t="shared" si="1"/>
        <v>4576.0259999999998</v>
      </c>
    </row>
    <row r="23" spans="1:11" x14ac:dyDescent="0.25">
      <c r="A23" s="3" t="s">
        <v>15</v>
      </c>
      <c r="B23" s="1" t="s">
        <v>29</v>
      </c>
      <c r="C23" s="2">
        <v>100</v>
      </c>
      <c r="D23" s="2">
        <v>25.98</v>
      </c>
      <c r="E23" s="4">
        <f t="shared" si="0"/>
        <v>30.9162</v>
      </c>
      <c r="F23" s="15">
        <f t="shared" si="1"/>
        <v>3091.62</v>
      </c>
    </row>
    <row r="24" spans="1:11" x14ac:dyDescent="0.25">
      <c r="A24" s="3" t="s">
        <v>22</v>
      </c>
      <c r="B24" s="1" t="s">
        <v>30</v>
      </c>
      <c r="C24" s="2">
        <v>10</v>
      </c>
      <c r="D24" s="2">
        <v>80.94</v>
      </c>
      <c r="E24" s="4">
        <f t="shared" si="0"/>
        <v>96.318599999999989</v>
      </c>
      <c r="F24" s="15">
        <f t="shared" si="1"/>
        <v>963.18599999999992</v>
      </c>
    </row>
    <row r="25" spans="1:11" x14ac:dyDescent="0.25">
      <c r="A25" s="3" t="s">
        <v>22</v>
      </c>
      <c r="B25" s="1" t="s">
        <v>31</v>
      </c>
      <c r="C25" s="2">
        <v>5</v>
      </c>
      <c r="D25" s="2">
        <v>94.18</v>
      </c>
      <c r="E25" s="4">
        <f t="shared" si="0"/>
        <v>112.0742</v>
      </c>
      <c r="F25" s="15">
        <f t="shared" si="1"/>
        <v>560.37099999999998</v>
      </c>
    </row>
    <row r="26" spans="1:11" x14ac:dyDescent="0.25">
      <c r="A26" s="3" t="s">
        <v>22</v>
      </c>
      <c r="B26" s="1" t="s">
        <v>32</v>
      </c>
      <c r="C26" s="2">
        <v>1</v>
      </c>
      <c r="D26" s="2">
        <v>106.57</v>
      </c>
      <c r="E26" s="4">
        <f t="shared" si="0"/>
        <v>126.81829999999998</v>
      </c>
      <c r="F26" s="15">
        <f t="shared" si="1"/>
        <v>126.81829999999998</v>
      </c>
    </row>
    <row r="27" spans="1:11" ht="20" x14ac:dyDescent="0.25">
      <c r="A27" s="3" t="s">
        <v>22</v>
      </c>
      <c r="B27" s="1" t="s">
        <v>33</v>
      </c>
      <c r="C27" s="2">
        <v>5</v>
      </c>
      <c r="D27" s="2">
        <v>87.53</v>
      </c>
      <c r="E27" s="4">
        <f t="shared" si="0"/>
        <v>104.16069999999999</v>
      </c>
      <c r="F27" s="15">
        <f t="shared" si="1"/>
        <v>520.80349999999999</v>
      </c>
    </row>
    <row r="28" spans="1:11" ht="20" x14ac:dyDescent="0.25">
      <c r="A28" s="3" t="s">
        <v>22</v>
      </c>
      <c r="B28" s="1" t="s">
        <v>34</v>
      </c>
      <c r="C28" s="2">
        <v>20</v>
      </c>
      <c r="D28" s="2">
        <v>72.84</v>
      </c>
      <c r="E28" s="4">
        <f t="shared" si="0"/>
        <v>86.679599999999994</v>
      </c>
      <c r="F28" s="15">
        <f t="shared" si="1"/>
        <v>1733.5919999999999</v>
      </c>
    </row>
    <row r="29" spans="1:11" ht="20" x14ac:dyDescent="0.25">
      <c r="A29" s="3" t="s">
        <v>4</v>
      </c>
      <c r="B29" s="1" t="s">
        <v>35</v>
      </c>
      <c r="C29" s="2">
        <v>1</v>
      </c>
      <c r="D29" s="2">
        <v>755.37</v>
      </c>
      <c r="E29" s="4">
        <f t="shared" si="0"/>
        <v>898.89029999999991</v>
      </c>
      <c r="F29" s="15">
        <f t="shared" si="1"/>
        <v>898.89029999999991</v>
      </c>
    </row>
    <row r="30" spans="1:11" ht="20" x14ac:dyDescent="0.25">
      <c r="A30" s="3" t="s">
        <v>4</v>
      </c>
      <c r="B30" s="1" t="s">
        <v>36</v>
      </c>
      <c r="C30" s="2">
        <v>1</v>
      </c>
      <c r="D30" s="2">
        <v>441.01</v>
      </c>
      <c r="E30" s="4">
        <f t="shared" si="0"/>
        <v>524.80189999999993</v>
      </c>
      <c r="F30" s="15">
        <f t="shared" si="1"/>
        <v>524.80189999999993</v>
      </c>
    </row>
    <row r="31" spans="1:11" ht="20" x14ac:dyDescent="0.25">
      <c r="A31" s="3" t="s">
        <v>15</v>
      </c>
      <c r="B31" s="1" t="s">
        <v>37</v>
      </c>
      <c r="C31" s="2">
        <v>20</v>
      </c>
      <c r="D31" s="2">
        <v>67.569999999999993</v>
      </c>
      <c r="E31" s="4">
        <f t="shared" si="0"/>
        <v>80.408299999999983</v>
      </c>
      <c r="F31" s="15">
        <f t="shared" si="1"/>
        <v>1608.1659999999997</v>
      </c>
    </row>
    <row r="32" spans="1:11" ht="20" x14ac:dyDescent="0.25">
      <c r="A32" s="3" t="s">
        <v>38</v>
      </c>
      <c r="B32" s="1" t="s">
        <v>39</v>
      </c>
      <c r="C32" s="2">
        <v>5</v>
      </c>
      <c r="D32" s="2">
        <v>36.89</v>
      </c>
      <c r="E32" s="4">
        <f t="shared" si="0"/>
        <v>43.899099999999997</v>
      </c>
      <c r="F32" s="15">
        <f t="shared" si="1"/>
        <v>219.49549999999999</v>
      </c>
    </row>
    <row r="33" spans="1:6" ht="20" x14ac:dyDescent="0.25">
      <c r="A33" s="3" t="s">
        <v>22</v>
      </c>
      <c r="B33" s="1" t="s">
        <v>40</v>
      </c>
      <c r="C33" s="2">
        <v>1</v>
      </c>
      <c r="D33" s="2">
        <v>639.75</v>
      </c>
      <c r="E33" s="4">
        <f t="shared" si="0"/>
        <v>761.30250000000001</v>
      </c>
      <c r="F33" s="15">
        <f t="shared" si="1"/>
        <v>761.30250000000001</v>
      </c>
    </row>
    <row r="34" spans="1:6" ht="20" x14ac:dyDescent="0.25">
      <c r="A34" s="3" t="s">
        <v>22</v>
      </c>
      <c r="B34" s="1" t="s">
        <v>41</v>
      </c>
      <c r="C34" s="2">
        <v>1</v>
      </c>
      <c r="D34" s="2">
        <v>1159.18</v>
      </c>
      <c r="E34" s="4">
        <f t="shared" si="0"/>
        <v>1379.4241999999999</v>
      </c>
      <c r="F34" s="15">
        <f t="shared" si="1"/>
        <v>1379.4241999999999</v>
      </c>
    </row>
    <row r="35" spans="1:6" ht="20" x14ac:dyDescent="0.25">
      <c r="A35" s="3" t="s">
        <v>22</v>
      </c>
      <c r="B35" s="1" t="s">
        <v>42</v>
      </c>
      <c r="C35" s="2">
        <v>20</v>
      </c>
      <c r="D35" s="2">
        <v>71.34</v>
      </c>
      <c r="E35" s="4">
        <f t="shared" si="0"/>
        <v>84.894599999999997</v>
      </c>
      <c r="F35" s="15">
        <f t="shared" si="1"/>
        <v>1697.8919999999998</v>
      </c>
    </row>
    <row r="36" spans="1:6" ht="20" x14ac:dyDescent="0.25">
      <c r="A36" s="3" t="s">
        <v>22</v>
      </c>
      <c r="B36" s="1" t="s">
        <v>43</v>
      </c>
      <c r="C36" s="2">
        <v>50</v>
      </c>
      <c r="D36" s="2">
        <v>5.6</v>
      </c>
      <c r="E36" s="4">
        <f t="shared" si="0"/>
        <v>6.6639999999999997</v>
      </c>
      <c r="F36" s="15">
        <f t="shared" si="1"/>
        <v>333.2</v>
      </c>
    </row>
    <row r="37" spans="1:6" ht="20" x14ac:dyDescent="0.25">
      <c r="A37" s="3" t="s">
        <v>22</v>
      </c>
      <c r="B37" s="1" t="s">
        <v>44</v>
      </c>
      <c r="C37" s="2">
        <v>50</v>
      </c>
      <c r="D37" s="2">
        <v>9.8000000000000007</v>
      </c>
      <c r="E37" s="4">
        <f t="shared" si="0"/>
        <v>11.662000000000001</v>
      </c>
      <c r="F37" s="15">
        <f t="shared" si="1"/>
        <v>583.1</v>
      </c>
    </row>
    <row r="38" spans="1:6" x14ac:dyDescent="0.25">
      <c r="A38" s="3" t="s">
        <v>22</v>
      </c>
      <c r="B38" s="1" t="s">
        <v>45</v>
      </c>
      <c r="C38" s="2">
        <v>1</v>
      </c>
      <c r="D38" s="2">
        <v>1979.06</v>
      </c>
      <c r="E38" s="4">
        <f t="shared" si="0"/>
        <v>2355.0814</v>
      </c>
      <c r="F38" s="15">
        <f t="shared" si="1"/>
        <v>2355.0814</v>
      </c>
    </row>
    <row r="39" spans="1:6" x14ac:dyDescent="0.25">
      <c r="A39" s="3" t="s">
        <v>22</v>
      </c>
      <c r="B39" s="1" t="s">
        <v>46</v>
      </c>
      <c r="C39" s="2">
        <v>1</v>
      </c>
      <c r="D39" s="2">
        <v>133.38</v>
      </c>
      <c r="E39" s="4">
        <f t="shared" si="0"/>
        <v>158.72219999999999</v>
      </c>
      <c r="F39" s="15">
        <f t="shared" si="1"/>
        <v>158.72219999999999</v>
      </c>
    </row>
    <row r="40" spans="1:6" ht="20" x14ac:dyDescent="0.25">
      <c r="A40" s="3" t="s">
        <v>22</v>
      </c>
      <c r="B40" s="1" t="s">
        <v>47</v>
      </c>
      <c r="C40" s="2">
        <v>5</v>
      </c>
      <c r="D40" s="2">
        <v>127.1</v>
      </c>
      <c r="E40" s="4">
        <f t="shared" si="0"/>
        <v>151.249</v>
      </c>
      <c r="F40" s="15">
        <f t="shared" si="1"/>
        <v>756.245</v>
      </c>
    </row>
    <row r="41" spans="1:6" ht="20" x14ac:dyDescent="0.25">
      <c r="A41" s="3" t="s">
        <v>22</v>
      </c>
      <c r="B41" s="1" t="s">
        <v>48</v>
      </c>
      <c r="C41" s="2">
        <v>1</v>
      </c>
      <c r="D41" s="2">
        <v>119.9</v>
      </c>
      <c r="E41" s="4">
        <f t="shared" si="0"/>
        <v>142.68100000000001</v>
      </c>
      <c r="F41" s="15">
        <f t="shared" si="1"/>
        <v>142.68100000000001</v>
      </c>
    </row>
    <row r="42" spans="1:6" x14ac:dyDescent="0.25">
      <c r="A42" s="3" t="s">
        <v>22</v>
      </c>
      <c r="B42" s="1" t="s">
        <v>49</v>
      </c>
      <c r="C42" s="2">
        <v>5</v>
      </c>
      <c r="D42" s="2">
        <v>72.66</v>
      </c>
      <c r="E42" s="4">
        <f t="shared" si="0"/>
        <v>86.465399999999988</v>
      </c>
      <c r="F42" s="15">
        <f t="shared" si="1"/>
        <v>432.32699999999994</v>
      </c>
    </row>
    <row r="43" spans="1:6" ht="20" x14ac:dyDescent="0.25">
      <c r="A43" s="3" t="s">
        <v>4</v>
      </c>
      <c r="B43" s="1" t="s">
        <v>50</v>
      </c>
      <c r="C43" s="2">
        <v>20000</v>
      </c>
      <c r="D43" s="2">
        <v>0.2</v>
      </c>
      <c r="E43" s="4">
        <f t="shared" si="0"/>
        <v>0.23799999999999999</v>
      </c>
      <c r="F43" s="15">
        <f t="shared" si="1"/>
        <v>4760</v>
      </c>
    </row>
    <row r="44" spans="1:6" x14ac:dyDescent="0.25">
      <c r="A44" s="3" t="s">
        <v>4</v>
      </c>
      <c r="B44" s="1" t="s">
        <v>51</v>
      </c>
      <c r="C44" s="2">
        <v>1000</v>
      </c>
      <c r="D44" s="2">
        <v>1.88</v>
      </c>
      <c r="E44" s="4">
        <f t="shared" si="0"/>
        <v>2.2371999999999996</v>
      </c>
      <c r="F44" s="15">
        <f t="shared" si="1"/>
        <v>2237.1999999999998</v>
      </c>
    </row>
    <row r="45" spans="1:6" ht="20" x14ac:dyDescent="0.25">
      <c r="A45" s="3" t="s">
        <v>4</v>
      </c>
      <c r="B45" s="1" t="s">
        <v>52</v>
      </c>
      <c r="C45" s="2">
        <v>500</v>
      </c>
      <c r="D45" s="2">
        <v>5.49</v>
      </c>
      <c r="E45" s="4">
        <f t="shared" si="0"/>
        <v>6.5331000000000001</v>
      </c>
      <c r="F45" s="15">
        <f t="shared" si="1"/>
        <v>3266.55</v>
      </c>
    </row>
    <row r="46" spans="1:6" ht="30" x14ac:dyDescent="0.25">
      <c r="A46" s="3" t="s">
        <v>22</v>
      </c>
      <c r="B46" s="1" t="s">
        <v>53</v>
      </c>
      <c r="C46" s="2">
        <v>10</v>
      </c>
      <c r="D46" s="2">
        <v>73.88</v>
      </c>
      <c r="E46" s="4">
        <f t="shared" si="0"/>
        <v>87.917199999999994</v>
      </c>
      <c r="F46" s="15">
        <f t="shared" si="1"/>
        <v>879.17199999999991</v>
      </c>
    </row>
    <row r="47" spans="1:6" ht="26" customHeight="1" x14ac:dyDescent="0.25">
      <c r="A47" s="3" t="s">
        <v>22</v>
      </c>
      <c r="B47" s="1" t="s">
        <v>54</v>
      </c>
      <c r="C47" s="2">
        <v>10</v>
      </c>
      <c r="D47" s="2">
        <v>147.77000000000001</v>
      </c>
      <c r="E47" s="4">
        <f t="shared" si="0"/>
        <v>175.84630000000001</v>
      </c>
      <c r="F47" s="15">
        <f t="shared" si="1"/>
        <v>1758.4630000000002</v>
      </c>
    </row>
    <row r="48" spans="1:6" ht="20" x14ac:dyDescent="0.25">
      <c r="A48" s="3" t="s">
        <v>6</v>
      </c>
      <c r="B48" s="1" t="s">
        <v>55</v>
      </c>
      <c r="C48" s="2">
        <v>100</v>
      </c>
      <c r="D48" s="2">
        <v>26.93</v>
      </c>
      <c r="E48" s="4">
        <f t="shared" si="0"/>
        <v>32.046700000000001</v>
      </c>
      <c r="F48" s="15">
        <f t="shared" si="1"/>
        <v>3204.67</v>
      </c>
    </row>
    <row r="49" spans="1:13" ht="20" x14ac:dyDescent="0.25">
      <c r="A49" s="3" t="s">
        <v>56</v>
      </c>
      <c r="B49" s="1" t="s">
        <v>57</v>
      </c>
      <c r="C49" s="2">
        <v>10</v>
      </c>
      <c r="D49" s="2">
        <v>237.63</v>
      </c>
      <c r="E49" s="4">
        <f t="shared" si="0"/>
        <v>282.77969999999999</v>
      </c>
      <c r="F49" s="15">
        <f t="shared" si="1"/>
        <v>2827.797</v>
      </c>
    </row>
    <row r="50" spans="1:13" ht="20" x14ac:dyDescent="0.25">
      <c r="A50" s="3" t="s">
        <v>22</v>
      </c>
      <c r="B50" s="1" t="s">
        <v>58</v>
      </c>
      <c r="C50" s="2">
        <v>52</v>
      </c>
      <c r="D50" s="2">
        <v>100</v>
      </c>
      <c r="E50" s="4">
        <f t="shared" si="0"/>
        <v>119</v>
      </c>
      <c r="F50" s="15">
        <f t="shared" si="1"/>
        <v>6188</v>
      </c>
    </row>
    <row r="51" spans="1:13" ht="20" x14ac:dyDescent="0.25">
      <c r="A51" s="3" t="s">
        <v>59</v>
      </c>
      <c r="B51" s="1" t="s">
        <v>60</v>
      </c>
      <c r="C51" s="23">
        <v>40</v>
      </c>
      <c r="D51" s="2">
        <v>66.760000000000005</v>
      </c>
      <c r="E51" s="4">
        <f t="shared" si="0"/>
        <v>79.444400000000002</v>
      </c>
      <c r="F51" s="15">
        <f t="shared" si="1"/>
        <v>3177.7759999999998</v>
      </c>
    </row>
    <row r="52" spans="1:13" ht="20.5" thickBot="1" x14ac:dyDescent="0.3">
      <c r="A52" s="3" t="s">
        <v>61</v>
      </c>
      <c r="B52" s="1" t="s">
        <v>62</v>
      </c>
      <c r="C52" s="2">
        <v>1</v>
      </c>
      <c r="D52" s="2">
        <v>1500</v>
      </c>
      <c r="E52" s="4">
        <f t="shared" si="0"/>
        <v>1785</v>
      </c>
      <c r="F52" s="17">
        <f t="shared" si="1"/>
        <v>1785</v>
      </c>
      <c r="I52" s="2" t="s">
        <v>70</v>
      </c>
    </row>
    <row r="53" spans="1:13" ht="11" thickTop="1" x14ac:dyDescent="0.25">
      <c r="D53" s="8">
        <f>F53/1.19</f>
        <v>83484.62</v>
      </c>
      <c r="F53" s="18">
        <f>SUM(F2:F52)</f>
        <v>99346.697799999994</v>
      </c>
      <c r="H53" s="16"/>
      <c r="I53" s="18" t="e">
        <f>#REF!-F53-0.01</f>
        <v>#REF!</v>
      </c>
      <c r="L53" s="1" t="s">
        <v>78</v>
      </c>
      <c r="M53" s="29">
        <f>F53/1.19</f>
        <v>83484.62</v>
      </c>
    </row>
    <row r="54" spans="1:13" x14ac:dyDescent="0.25">
      <c r="E54" s="25" t="s">
        <v>74</v>
      </c>
      <c r="F54" s="26">
        <v>99346.7</v>
      </c>
      <c r="G54" s="27"/>
      <c r="H54" s="16"/>
      <c r="I54" s="24" t="e">
        <f>#REF!-F54</f>
        <v>#REF!</v>
      </c>
      <c r="L54" s="31">
        <v>0.06</v>
      </c>
      <c r="M54" s="29">
        <f>M53*0.06</f>
        <v>5009.0771999999997</v>
      </c>
    </row>
    <row r="55" spans="1:13" ht="11" thickBot="1" x14ac:dyDescent="0.3">
      <c r="D55" s="8">
        <f>D53*0.06</f>
        <v>5009.0771999999997</v>
      </c>
      <c r="H55" s="16"/>
      <c r="I55" s="16"/>
      <c r="L55" s="31">
        <v>0.13</v>
      </c>
      <c r="M55" s="30">
        <f>M53*0.13</f>
        <v>10853.000599999999</v>
      </c>
    </row>
    <row r="56" spans="1:13" ht="11" thickTop="1" x14ac:dyDescent="0.25">
      <c r="E56" s="1" t="s">
        <v>64</v>
      </c>
      <c r="F56" s="9">
        <f>F54/4</f>
        <v>24836.674999999999</v>
      </c>
      <c r="G56" s="9"/>
      <c r="H56" s="16"/>
      <c r="I56" s="18" t="e">
        <f>#REF!-F56</f>
        <v>#REF!</v>
      </c>
      <c r="M56" s="29">
        <f>SUM(M53:M55)</f>
        <v>99346.697799999994</v>
      </c>
    </row>
    <row r="57" spans="1:13" ht="11" thickBot="1" x14ac:dyDescent="0.3">
      <c r="E57" s="1" t="s">
        <v>65</v>
      </c>
      <c r="F57" s="21">
        <f>(F54/4)*3</f>
        <v>74510.024999999994</v>
      </c>
      <c r="G57" s="9"/>
      <c r="H57" s="16"/>
      <c r="I57" s="18" t="e">
        <f>#REF!-F57</f>
        <v>#REF!</v>
      </c>
      <c r="L57" s="6" t="s">
        <v>79</v>
      </c>
    </row>
    <row r="58" spans="1:13" ht="11" thickTop="1" x14ac:dyDescent="0.25">
      <c r="E58" s="1"/>
      <c r="F58" s="9">
        <f>F56+F57</f>
        <v>99346.7</v>
      </c>
      <c r="G58" s="9"/>
      <c r="H58" s="16"/>
      <c r="I58" s="18"/>
    </row>
    <row r="59" spans="1:13" x14ac:dyDescent="0.25">
      <c r="E59" s="1"/>
      <c r="F59" s="10"/>
      <c r="G59" s="9"/>
      <c r="H59" s="16"/>
      <c r="I59" s="16"/>
    </row>
    <row r="60" spans="1:13" x14ac:dyDescent="0.25">
      <c r="D60" s="65" t="s">
        <v>71</v>
      </c>
      <c r="E60" s="1" t="s">
        <v>66</v>
      </c>
      <c r="F60" s="9">
        <f>((99346.7-1785)/4)</f>
        <v>24390.424999999999</v>
      </c>
      <c r="G60" s="9"/>
      <c r="H60" s="16"/>
      <c r="I60" s="16"/>
      <c r="K60" s="38"/>
    </row>
    <row r="61" spans="1:13" ht="11" thickBot="1" x14ac:dyDescent="0.3">
      <c r="D61" s="65"/>
      <c r="E61" s="1" t="s">
        <v>67</v>
      </c>
      <c r="F61" s="21">
        <f>1785/4</f>
        <v>446.25</v>
      </c>
      <c r="G61" s="9"/>
      <c r="H61" s="16"/>
      <c r="I61" s="16"/>
      <c r="K61" s="38"/>
    </row>
    <row r="62" spans="1:13" ht="11" thickTop="1" x14ac:dyDescent="0.25">
      <c r="E62" s="1"/>
      <c r="F62" s="11">
        <f>F60+F61</f>
        <v>24836.674999999999</v>
      </c>
      <c r="G62" s="9"/>
      <c r="H62" s="16"/>
      <c r="I62" s="16"/>
      <c r="K62" s="38"/>
    </row>
    <row r="63" spans="1:13" ht="11" thickBot="1" x14ac:dyDescent="0.3">
      <c r="E63" s="1" t="s">
        <v>76</v>
      </c>
      <c r="F63" s="12">
        <f>F62*0.21</f>
        <v>5215.7017499999993</v>
      </c>
      <c r="G63" s="9"/>
      <c r="H63" s="16"/>
      <c r="I63" s="16"/>
      <c r="K63" s="38"/>
    </row>
    <row r="64" spans="1:13" ht="11" thickTop="1" x14ac:dyDescent="0.25">
      <c r="E64" s="1" t="s">
        <v>3</v>
      </c>
      <c r="F64" s="10">
        <f>F62+F63</f>
        <v>30052.376749999999</v>
      </c>
      <c r="G64" s="9"/>
      <c r="H64" s="16"/>
      <c r="I64" s="16"/>
      <c r="K64" s="38"/>
    </row>
    <row r="65" spans="4:11" x14ac:dyDescent="0.25">
      <c r="E65" s="1"/>
      <c r="F65" s="10"/>
      <c r="G65" s="9"/>
      <c r="H65" s="16"/>
      <c r="I65" s="16"/>
      <c r="K65" s="38"/>
    </row>
    <row r="66" spans="4:11" x14ac:dyDescent="0.25">
      <c r="D66" s="65" t="s">
        <v>75</v>
      </c>
      <c r="E66" s="1" t="s">
        <v>66</v>
      </c>
      <c r="F66" s="9">
        <f>((99346.7-1785)/4)*3</f>
        <v>73171.274999999994</v>
      </c>
      <c r="G66" s="9"/>
      <c r="H66" s="16"/>
      <c r="I66" s="16"/>
      <c r="K66" s="38"/>
    </row>
    <row r="67" spans="4:11" ht="11" thickBot="1" x14ac:dyDescent="0.3">
      <c r="D67" s="65"/>
      <c r="E67" s="1" t="s">
        <v>67</v>
      </c>
      <c r="F67" s="12">
        <f>(1785/4)*3</f>
        <v>1338.75</v>
      </c>
      <c r="G67" s="9"/>
      <c r="H67" s="16"/>
      <c r="I67" s="16"/>
      <c r="K67" s="38"/>
    </row>
    <row r="68" spans="4:11" ht="11" thickTop="1" x14ac:dyDescent="0.25">
      <c r="E68" s="1"/>
      <c r="F68" s="11">
        <f>F66+F67</f>
        <v>74510.024999999994</v>
      </c>
      <c r="G68" s="9"/>
      <c r="H68" s="16"/>
      <c r="I68" s="16"/>
      <c r="K68" s="38"/>
    </row>
    <row r="69" spans="4:11" ht="11" thickBot="1" x14ac:dyDescent="0.3">
      <c r="D69" s="6"/>
      <c r="E69" s="6" t="s">
        <v>76</v>
      </c>
      <c r="F69" s="12">
        <f>F68*0.21</f>
        <v>15647.105249999999</v>
      </c>
      <c r="H69" s="16"/>
      <c r="I69" s="16"/>
      <c r="K69" s="38"/>
    </row>
    <row r="70" spans="4:11" ht="11" thickTop="1" x14ac:dyDescent="0.25">
      <c r="E70" s="1" t="s">
        <v>3</v>
      </c>
      <c r="F70" s="10">
        <f>F68+F69</f>
        <v>90157.130249999987</v>
      </c>
      <c r="G70" s="9"/>
      <c r="H70" s="16"/>
      <c r="I70" s="16"/>
    </row>
    <row r="71" spans="4:11" x14ac:dyDescent="0.25">
      <c r="E71" s="1"/>
      <c r="F71" s="11"/>
      <c r="G71" s="9"/>
      <c r="H71" s="16"/>
      <c r="I71" s="16"/>
    </row>
    <row r="72" spans="4:11" x14ac:dyDescent="0.25">
      <c r="D72" s="65" t="s">
        <v>68</v>
      </c>
      <c r="E72" s="1" t="s">
        <v>66</v>
      </c>
      <c r="F72" s="9">
        <f>97561.7</f>
        <v>97561.7</v>
      </c>
      <c r="G72" s="9"/>
      <c r="H72" s="16"/>
      <c r="I72" s="16"/>
    </row>
    <row r="73" spans="4:11" ht="11" thickBot="1" x14ac:dyDescent="0.3">
      <c r="D73" s="65"/>
      <c r="E73" s="1" t="s">
        <v>67</v>
      </c>
      <c r="F73" s="12">
        <f>F52</f>
        <v>1785</v>
      </c>
      <c r="G73" s="9"/>
      <c r="H73" s="16"/>
      <c r="I73" s="16"/>
    </row>
    <row r="74" spans="4:11" ht="11" thickTop="1" x14ac:dyDescent="0.25">
      <c r="E74" s="1"/>
      <c r="F74" s="11">
        <f>F72+F73</f>
        <v>99346.7</v>
      </c>
      <c r="G74" s="9"/>
      <c r="H74" s="16"/>
      <c r="I74" s="16"/>
    </row>
    <row r="75" spans="4:11" x14ac:dyDescent="0.25">
      <c r="F75" s="10"/>
      <c r="G75" s="9"/>
      <c r="H75" s="16"/>
      <c r="I75" s="16"/>
    </row>
    <row r="76" spans="4:11" x14ac:dyDescent="0.25">
      <c r="D76" s="65" t="s">
        <v>69</v>
      </c>
      <c r="E76" s="1" t="s">
        <v>66</v>
      </c>
      <c r="F76" s="10">
        <f>97561.7*4</f>
        <v>390246.8</v>
      </c>
      <c r="G76" s="9"/>
      <c r="H76" s="16"/>
      <c r="I76" s="16"/>
    </row>
    <row r="77" spans="4:11" ht="11" thickBot="1" x14ac:dyDescent="0.3">
      <c r="D77" s="65"/>
      <c r="E77" s="1" t="s">
        <v>67</v>
      </c>
      <c r="F77" s="12">
        <f>F73*4</f>
        <v>7140</v>
      </c>
      <c r="G77" s="9"/>
      <c r="H77" s="16"/>
      <c r="I77" s="16"/>
    </row>
    <row r="78" spans="4:11" ht="11" thickTop="1" x14ac:dyDescent="0.25">
      <c r="F78" s="11">
        <f>F76+F77</f>
        <v>397386.8</v>
      </c>
      <c r="G78" s="9"/>
      <c r="H78" s="16"/>
      <c r="I78" s="16"/>
    </row>
    <row r="79" spans="4:11" ht="11" thickBot="1" x14ac:dyDescent="0.3">
      <c r="H79" s="16"/>
      <c r="I79" s="16"/>
    </row>
    <row r="80" spans="4:11" x14ac:dyDescent="0.25">
      <c r="D80" s="40"/>
      <c r="E80" s="41" t="s">
        <v>91</v>
      </c>
      <c r="F80" s="42">
        <v>99346.7</v>
      </c>
      <c r="G80" s="42"/>
      <c r="H80" s="42"/>
      <c r="I80" s="43"/>
    </row>
    <row r="81" spans="4:9" x14ac:dyDescent="0.25">
      <c r="D81" s="44" t="s">
        <v>80</v>
      </c>
      <c r="E81" s="19" t="s">
        <v>81</v>
      </c>
      <c r="F81" s="50">
        <f>F80 *0.05</f>
        <v>4967.335</v>
      </c>
      <c r="H81" s="16"/>
      <c r="I81" s="45" t="s">
        <v>84</v>
      </c>
    </row>
    <row r="82" spans="4:9" x14ac:dyDescent="0.25">
      <c r="D82" s="44"/>
      <c r="E82" s="19" t="s">
        <v>92</v>
      </c>
      <c r="F82" s="50" t="e">
        <f>#REF!</f>
        <v>#REF!</v>
      </c>
      <c r="H82" s="16"/>
      <c r="I82" s="45"/>
    </row>
    <row r="83" spans="4:9" ht="21" x14ac:dyDescent="0.25">
      <c r="D83" s="44" t="s">
        <v>82</v>
      </c>
      <c r="E83" s="19" t="s">
        <v>83</v>
      </c>
      <c r="F83" s="50" t="e">
        <f>#REF! *0.05</f>
        <v>#REF!</v>
      </c>
      <c r="H83" s="16"/>
      <c r="I83" s="45" t="s">
        <v>85</v>
      </c>
    </row>
    <row r="84" spans="4:9" x14ac:dyDescent="0.25">
      <c r="D84" s="44"/>
      <c r="E84" s="19" t="s">
        <v>93</v>
      </c>
      <c r="F84" s="50" t="e">
        <f>#REF!</f>
        <v>#REF!</v>
      </c>
      <c r="H84" s="16"/>
      <c r="I84" s="45"/>
    </row>
    <row r="85" spans="4:9" ht="21" x14ac:dyDescent="0.25">
      <c r="D85" s="44" t="s">
        <v>86</v>
      </c>
      <c r="E85" s="19" t="s">
        <v>87</v>
      </c>
      <c r="F85" s="50" t="e">
        <f>#REF! *0.05</f>
        <v>#REF!</v>
      </c>
      <c r="H85" s="16"/>
      <c r="I85" s="45" t="s">
        <v>88</v>
      </c>
    </row>
    <row r="86" spans="4:9" x14ac:dyDescent="0.25">
      <c r="D86" s="44"/>
      <c r="E86" s="19" t="s">
        <v>94</v>
      </c>
      <c r="F86" s="50" t="e">
        <f>#REF!</f>
        <v>#REF!</v>
      </c>
      <c r="H86" s="16"/>
      <c r="I86" s="45"/>
    </row>
    <row r="87" spans="4:9" ht="21" x14ac:dyDescent="0.25">
      <c r="D87" s="44" t="s">
        <v>90</v>
      </c>
      <c r="E87" s="19" t="s">
        <v>95</v>
      </c>
      <c r="F87" s="39" t="e">
        <f>#REF! *0.05</f>
        <v>#REF!</v>
      </c>
      <c r="G87" s="14"/>
      <c r="H87" s="16"/>
      <c r="I87" s="45" t="s">
        <v>89</v>
      </c>
    </row>
    <row r="88" spans="4:9" ht="11" thickBot="1" x14ac:dyDescent="0.3">
      <c r="D88" s="46"/>
      <c r="E88" s="47"/>
      <c r="F88" s="51" t="e">
        <f>SUM(F80:F87)</f>
        <v>#REF!</v>
      </c>
      <c r="G88" s="48"/>
      <c r="H88" s="48"/>
      <c r="I88" s="49"/>
    </row>
    <row r="89" spans="4:9" x14ac:dyDescent="0.25">
      <c r="H89" s="16"/>
      <c r="I89" s="16"/>
    </row>
    <row r="90" spans="4:9" ht="21" x14ac:dyDescent="0.25">
      <c r="E90" s="20" t="s">
        <v>72</v>
      </c>
      <c r="F90" s="16">
        <f>99346.7*1.5</f>
        <v>149020.04999999999</v>
      </c>
      <c r="H90" s="16"/>
      <c r="I90" s="16"/>
    </row>
    <row r="91" spans="4:9" x14ac:dyDescent="0.25">
      <c r="H91" s="16"/>
      <c r="I91" s="16"/>
    </row>
    <row r="92" spans="4:9" ht="21" x14ac:dyDescent="0.25">
      <c r="E92" s="20" t="s">
        <v>73</v>
      </c>
      <c r="F92" s="16">
        <f>99346.7*0.7</f>
        <v>69542.689999999988</v>
      </c>
      <c r="H92" s="16"/>
      <c r="I92" s="16"/>
    </row>
  </sheetData>
  <mergeCells count="4">
    <mergeCell ref="D60:D61"/>
    <mergeCell ref="D66:D67"/>
    <mergeCell ref="D72:D73"/>
    <mergeCell ref="D76:D77"/>
  </mergeCells>
  <pageMargins left="0.7" right="0.7" top="0.75" bottom="0.75" header="0.3" footer="0.3"/>
  <ignoredErrors>
    <ignoredError sqref="F63 F6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F4C18-9ABB-4349-9CE8-01778F235E81}">
  <dimension ref="A1:N87"/>
  <sheetViews>
    <sheetView view="pageBreakPreview" zoomScale="145" zoomScaleNormal="100" zoomScaleSheetLayoutView="145" workbookViewId="0">
      <selection activeCell="D2" sqref="D2"/>
    </sheetView>
  </sheetViews>
  <sheetFormatPr defaultRowHeight="10.5" x14ac:dyDescent="0.25"/>
  <cols>
    <col min="1" max="1" width="4.81640625" style="6" customWidth="1"/>
    <col min="2" max="2" width="33.1796875" style="7" customWidth="1"/>
    <col min="3" max="3" width="8.7265625" style="8"/>
    <col min="4" max="4" width="11.7265625" style="8" customWidth="1"/>
    <col min="5" max="5" width="11.7265625" style="6" customWidth="1"/>
    <col min="6" max="6" width="11.453125" style="16" customWidth="1"/>
    <col min="7" max="7" width="1.54296875" style="16" customWidth="1"/>
    <col min="8" max="8" width="10.81640625" style="16" customWidth="1"/>
    <col min="9" max="9" width="1.08984375" style="6" customWidth="1"/>
    <col min="10" max="10" width="10.08984375" style="6" bestFit="1" customWidth="1"/>
    <col min="11" max="11" width="1.1796875" style="6" customWidth="1"/>
    <col min="12" max="12" width="8.7265625" style="6"/>
    <col min="13" max="13" width="4.7265625" style="6" customWidth="1"/>
    <col min="14" max="14" width="9.26953125" style="6" bestFit="1" customWidth="1"/>
    <col min="15" max="16384" width="8.7265625" style="6"/>
  </cols>
  <sheetData>
    <row r="1" spans="1:12" x14ac:dyDescent="0.25">
      <c r="C1" s="5" t="s">
        <v>0</v>
      </c>
      <c r="D1" s="5" t="s">
        <v>1</v>
      </c>
      <c r="E1" s="5" t="s">
        <v>2</v>
      </c>
      <c r="F1" s="13" t="s">
        <v>3</v>
      </c>
      <c r="G1" s="14"/>
      <c r="H1" s="13" t="s">
        <v>63</v>
      </c>
    </row>
    <row r="2" spans="1:12" ht="20" x14ac:dyDescent="0.25">
      <c r="A2" s="1" t="s">
        <v>4</v>
      </c>
      <c r="B2" s="1" t="s">
        <v>5</v>
      </c>
      <c r="C2" s="2">
        <v>600</v>
      </c>
      <c r="D2" s="2">
        <v>2.85</v>
      </c>
      <c r="E2" s="52">
        <f>D2*1.19</f>
        <v>3.3914999999999997</v>
      </c>
      <c r="F2" s="15">
        <f>C2*E2</f>
        <v>2034.8999999999999</v>
      </c>
      <c r="H2" s="15">
        <f>F2*1.21</f>
        <v>2462.2289999999998</v>
      </c>
    </row>
    <row r="3" spans="1:12" x14ac:dyDescent="0.25">
      <c r="A3" s="3" t="s">
        <v>6</v>
      </c>
      <c r="B3" s="1" t="s">
        <v>7</v>
      </c>
      <c r="C3" s="2">
        <v>240</v>
      </c>
      <c r="D3" s="2">
        <v>3.79</v>
      </c>
      <c r="E3" s="52">
        <f t="shared" ref="E3:E52" si="0">D3*1.19</f>
        <v>4.5100999999999996</v>
      </c>
      <c r="F3" s="15">
        <f t="shared" ref="F3:F52" si="1">C3*E3</f>
        <v>1082.424</v>
      </c>
      <c r="H3" s="15">
        <f t="shared" ref="H3:H52" si="2">F3*1.21</f>
        <v>1309.7330399999998</v>
      </c>
    </row>
    <row r="4" spans="1:12" x14ac:dyDescent="0.25">
      <c r="A4" s="3" t="s">
        <v>6</v>
      </c>
      <c r="B4" s="1" t="s">
        <v>8</v>
      </c>
      <c r="C4" s="2">
        <v>90</v>
      </c>
      <c r="D4" s="2">
        <v>3.44</v>
      </c>
      <c r="E4" s="52">
        <f t="shared" si="0"/>
        <v>4.0935999999999995</v>
      </c>
      <c r="F4" s="15">
        <f t="shared" si="1"/>
        <v>368.42399999999998</v>
      </c>
      <c r="H4" s="15">
        <f t="shared" si="2"/>
        <v>445.79303999999996</v>
      </c>
    </row>
    <row r="5" spans="1:12" x14ac:dyDescent="0.25">
      <c r="A5" s="3" t="s">
        <v>6</v>
      </c>
      <c r="B5" s="1" t="s">
        <v>9</v>
      </c>
      <c r="C5" s="2">
        <v>50</v>
      </c>
      <c r="D5" s="2">
        <v>6.28</v>
      </c>
      <c r="E5" s="52">
        <f t="shared" si="0"/>
        <v>7.4732000000000003</v>
      </c>
      <c r="F5" s="15">
        <f t="shared" si="1"/>
        <v>373.66</v>
      </c>
      <c r="H5" s="15">
        <f t="shared" si="2"/>
        <v>452.12860000000001</v>
      </c>
      <c r="L5" s="6" t="s">
        <v>77</v>
      </c>
    </row>
    <row r="6" spans="1:12" ht="20" x14ac:dyDescent="0.25">
      <c r="A6" s="3" t="s">
        <v>6</v>
      </c>
      <c r="B6" s="1" t="s">
        <v>10</v>
      </c>
      <c r="C6" s="2">
        <v>90</v>
      </c>
      <c r="D6" s="2">
        <v>7.59</v>
      </c>
      <c r="E6" s="52">
        <f t="shared" si="0"/>
        <v>9.0320999999999998</v>
      </c>
      <c r="F6" s="15">
        <f t="shared" si="1"/>
        <v>812.88900000000001</v>
      </c>
      <c r="H6" s="15">
        <f t="shared" si="2"/>
        <v>983.59568999999999</v>
      </c>
    </row>
    <row r="7" spans="1:12" x14ac:dyDescent="0.25">
      <c r="A7" s="3" t="s">
        <v>6</v>
      </c>
      <c r="B7" s="1" t="s">
        <v>11</v>
      </c>
      <c r="C7" s="2">
        <v>120</v>
      </c>
      <c r="D7" s="2">
        <v>32.49</v>
      </c>
      <c r="E7" s="52">
        <f t="shared" si="0"/>
        <v>38.6631</v>
      </c>
      <c r="F7" s="15">
        <f t="shared" si="1"/>
        <v>4639.5720000000001</v>
      </c>
      <c r="H7" s="15">
        <f t="shared" si="2"/>
        <v>5613.8821200000002</v>
      </c>
    </row>
    <row r="8" spans="1:12" x14ac:dyDescent="0.25">
      <c r="A8" s="3" t="s">
        <v>4</v>
      </c>
      <c r="B8" s="1" t="s">
        <v>12</v>
      </c>
      <c r="C8" s="2">
        <v>1500</v>
      </c>
      <c r="D8" s="2">
        <v>2.2999999999999998</v>
      </c>
      <c r="E8" s="52">
        <f t="shared" si="0"/>
        <v>2.7369999999999997</v>
      </c>
      <c r="F8" s="15">
        <f t="shared" si="1"/>
        <v>4105.4999999999991</v>
      </c>
      <c r="H8" s="15">
        <f t="shared" si="2"/>
        <v>4967.6549999999988</v>
      </c>
    </row>
    <row r="9" spans="1:12" x14ac:dyDescent="0.25">
      <c r="A9" s="3" t="s">
        <v>6</v>
      </c>
      <c r="B9" s="1" t="s">
        <v>13</v>
      </c>
      <c r="C9" s="2">
        <v>120</v>
      </c>
      <c r="D9" s="2">
        <v>34.409999999999997</v>
      </c>
      <c r="E9" s="52">
        <f t="shared" si="0"/>
        <v>40.947899999999997</v>
      </c>
      <c r="F9" s="15">
        <f t="shared" si="1"/>
        <v>4913.7479999999996</v>
      </c>
      <c r="H9" s="15">
        <f t="shared" si="2"/>
        <v>5945.6350799999991</v>
      </c>
    </row>
    <row r="10" spans="1:12" x14ac:dyDescent="0.25">
      <c r="A10" s="3" t="s">
        <v>6</v>
      </c>
      <c r="B10" s="1" t="s">
        <v>14</v>
      </c>
      <c r="C10" s="2">
        <v>30</v>
      </c>
      <c r="D10" s="2">
        <v>19.86</v>
      </c>
      <c r="E10" s="52">
        <f t="shared" si="0"/>
        <v>23.633399999999998</v>
      </c>
      <c r="F10" s="15">
        <f t="shared" si="1"/>
        <v>709.00199999999995</v>
      </c>
      <c r="H10" s="15">
        <f t="shared" si="2"/>
        <v>857.8924199999999</v>
      </c>
    </row>
    <row r="11" spans="1:12" x14ac:dyDescent="0.25">
      <c r="A11" s="3" t="s">
        <v>15</v>
      </c>
      <c r="B11" s="1" t="s">
        <v>16</v>
      </c>
      <c r="C11" s="2">
        <v>50</v>
      </c>
      <c r="D11" s="2">
        <v>33.74</v>
      </c>
      <c r="E11" s="52">
        <f t="shared" si="0"/>
        <v>40.150599999999997</v>
      </c>
      <c r="F11" s="15">
        <f t="shared" si="1"/>
        <v>2007.5299999999997</v>
      </c>
      <c r="H11" s="15">
        <f t="shared" si="2"/>
        <v>2429.1112999999996</v>
      </c>
    </row>
    <row r="12" spans="1:12" x14ac:dyDescent="0.25">
      <c r="A12" s="3" t="s">
        <v>15</v>
      </c>
      <c r="B12" s="1" t="s">
        <v>17</v>
      </c>
      <c r="C12" s="2">
        <v>10</v>
      </c>
      <c r="D12" s="2">
        <v>75.02</v>
      </c>
      <c r="E12" s="52">
        <f t="shared" si="0"/>
        <v>89.273799999999994</v>
      </c>
      <c r="F12" s="15">
        <f t="shared" si="1"/>
        <v>892.73799999999994</v>
      </c>
      <c r="H12" s="15">
        <f t="shared" si="2"/>
        <v>1080.2129799999998</v>
      </c>
    </row>
    <row r="13" spans="1:12" ht="20" x14ac:dyDescent="0.25">
      <c r="A13" s="3" t="s">
        <v>4</v>
      </c>
      <c r="B13" s="1" t="s">
        <v>18</v>
      </c>
      <c r="C13" s="2">
        <v>200</v>
      </c>
      <c r="D13" s="2">
        <v>2.85</v>
      </c>
      <c r="E13" s="52">
        <f t="shared" si="0"/>
        <v>3.3914999999999997</v>
      </c>
      <c r="F13" s="15">
        <f t="shared" si="1"/>
        <v>678.3</v>
      </c>
      <c r="H13" s="15">
        <f t="shared" si="2"/>
        <v>820.74299999999994</v>
      </c>
    </row>
    <row r="14" spans="1:12" ht="20" x14ac:dyDescent="0.25">
      <c r="A14" s="3" t="s">
        <v>6</v>
      </c>
      <c r="B14" s="1" t="s">
        <v>19</v>
      </c>
      <c r="C14" s="2">
        <v>10</v>
      </c>
      <c r="D14" s="2">
        <v>146.07</v>
      </c>
      <c r="E14" s="52">
        <f t="shared" si="0"/>
        <v>173.82329999999999</v>
      </c>
      <c r="F14" s="15">
        <f t="shared" si="1"/>
        <v>1738.2329999999999</v>
      </c>
      <c r="H14" s="15">
        <f t="shared" si="2"/>
        <v>2103.2619299999997</v>
      </c>
    </row>
    <row r="15" spans="1:12" ht="20" x14ac:dyDescent="0.25">
      <c r="A15" s="3" t="s">
        <v>4</v>
      </c>
      <c r="B15" s="1" t="s">
        <v>20</v>
      </c>
      <c r="C15" s="2">
        <v>10</v>
      </c>
      <c r="D15" s="2">
        <v>19.68</v>
      </c>
      <c r="E15" s="52">
        <f t="shared" si="0"/>
        <v>23.4192</v>
      </c>
      <c r="F15" s="15">
        <f t="shared" si="1"/>
        <v>234.19200000000001</v>
      </c>
      <c r="H15" s="15">
        <f t="shared" si="2"/>
        <v>283.37232</v>
      </c>
    </row>
    <row r="16" spans="1:12" x14ac:dyDescent="0.25">
      <c r="A16" s="3" t="s">
        <v>15</v>
      </c>
      <c r="B16" s="1" t="s">
        <v>21</v>
      </c>
      <c r="C16" s="2">
        <v>1000</v>
      </c>
      <c r="D16" s="2">
        <v>2.84</v>
      </c>
      <c r="E16" s="52">
        <f t="shared" si="0"/>
        <v>3.3795999999999995</v>
      </c>
      <c r="F16" s="15">
        <f t="shared" si="1"/>
        <v>3379.5999999999995</v>
      </c>
      <c r="H16" s="15">
        <f t="shared" si="2"/>
        <v>4089.3159999999993</v>
      </c>
    </row>
    <row r="17" spans="1:12" ht="20" x14ac:dyDescent="0.3">
      <c r="A17" s="3" t="s">
        <v>22</v>
      </c>
      <c r="B17" s="1" t="s">
        <v>23</v>
      </c>
      <c r="C17" s="2">
        <v>10</v>
      </c>
      <c r="D17" s="2">
        <v>284.29000000000002</v>
      </c>
      <c r="E17" s="52">
        <f t="shared" si="0"/>
        <v>338.30509999999998</v>
      </c>
      <c r="F17" s="15">
        <f t="shared" si="1"/>
        <v>3383.0509999999999</v>
      </c>
      <c r="H17" s="15">
        <f t="shared" si="2"/>
        <v>4093.4917099999998</v>
      </c>
      <c r="L17" s="22"/>
    </row>
    <row r="18" spans="1:12" ht="20" x14ac:dyDescent="0.25">
      <c r="A18" s="3" t="s">
        <v>15</v>
      </c>
      <c r="B18" s="1" t="s">
        <v>24</v>
      </c>
      <c r="C18" s="2">
        <v>500</v>
      </c>
      <c r="D18" s="2">
        <v>7.11</v>
      </c>
      <c r="E18" s="52">
        <f t="shared" si="0"/>
        <v>8.4609000000000005</v>
      </c>
      <c r="F18" s="15">
        <f t="shared" si="1"/>
        <v>4230.45</v>
      </c>
      <c r="H18" s="15">
        <f t="shared" si="2"/>
        <v>5118.8444999999992</v>
      </c>
    </row>
    <row r="19" spans="1:12" x14ac:dyDescent="0.25">
      <c r="A19" s="3" t="s">
        <v>4</v>
      </c>
      <c r="B19" s="1" t="s">
        <v>25</v>
      </c>
      <c r="C19" s="2">
        <v>50</v>
      </c>
      <c r="D19" s="2">
        <v>13.43</v>
      </c>
      <c r="E19" s="52">
        <f t="shared" si="0"/>
        <v>15.981699999999998</v>
      </c>
      <c r="F19" s="15">
        <f t="shared" si="1"/>
        <v>799.08499999999992</v>
      </c>
      <c r="H19" s="15">
        <f t="shared" si="2"/>
        <v>966.89284999999984</v>
      </c>
    </row>
    <row r="20" spans="1:12" x14ac:dyDescent="0.25">
      <c r="A20" s="3" t="s">
        <v>15</v>
      </c>
      <c r="B20" s="1" t="s">
        <v>26</v>
      </c>
      <c r="C20" s="2">
        <v>100</v>
      </c>
      <c r="D20" s="2">
        <v>56.67</v>
      </c>
      <c r="E20" s="52">
        <f t="shared" si="0"/>
        <v>67.437299999999993</v>
      </c>
      <c r="F20" s="15">
        <f t="shared" si="1"/>
        <v>6743.73</v>
      </c>
      <c r="H20" s="15">
        <f t="shared" si="2"/>
        <v>8159.9132999999993</v>
      </c>
    </row>
    <row r="21" spans="1:12" x14ac:dyDescent="0.25">
      <c r="A21" s="3" t="s">
        <v>15</v>
      </c>
      <c r="B21" s="1" t="s">
        <v>27</v>
      </c>
      <c r="C21" s="2">
        <v>20</v>
      </c>
      <c r="D21" s="2">
        <v>113.92</v>
      </c>
      <c r="E21" s="52">
        <f t="shared" si="0"/>
        <v>135.56479999999999</v>
      </c>
      <c r="F21" s="15">
        <f t="shared" si="1"/>
        <v>2711.2959999999998</v>
      </c>
      <c r="H21" s="15">
        <f t="shared" si="2"/>
        <v>3280.6681599999997</v>
      </c>
    </row>
    <row r="22" spans="1:12" ht="20" x14ac:dyDescent="0.25">
      <c r="A22" s="3" t="s">
        <v>4</v>
      </c>
      <c r="B22" s="1" t="s">
        <v>28</v>
      </c>
      <c r="C22" s="2">
        <v>30</v>
      </c>
      <c r="D22" s="2">
        <v>128.18</v>
      </c>
      <c r="E22" s="52">
        <f t="shared" si="0"/>
        <v>152.5342</v>
      </c>
      <c r="F22" s="15">
        <f t="shared" si="1"/>
        <v>4576.0259999999998</v>
      </c>
      <c r="H22" s="15">
        <f t="shared" si="2"/>
        <v>5536.9914599999993</v>
      </c>
    </row>
    <row r="23" spans="1:12" x14ac:dyDescent="0.25">
      <c r="A23" s="3" t="s">
        <v>15</v>
      </c>
      <c r="B23" s="1" t="s">
        <v>29</v>
      </c>
      <c r="C23" s="2">
        <v>100</v>
      </c>
      <c r="D23" s="2">
        <v>25.98</v>
      </c>
      <c r="E23" s="52">
        <f t="shared" si="0"/>
        <v>30.9162</v>
      </c>
      <c r="F23" s="15">
        <f t="shared" si="1"/>
        <v>3091.62</v>
      </c>
      <c r="H23" s="15">
        <f t="shared" si="2"/>
        <v>3740.8601999999996</v>
      </c>
    </row>
    <row r="24" spans="1:12" x14ac:dyDescent="0.25">
      <c r="A24" s="3" t="s">
        <v>22</v>
      </c>
      <c r="B24" s="1" t="s">
        <v>30</v>
      </c>
      <c r="C24" s="2">
        <v>10</v>
      </c>
      <c r="D24" s="2">
        <v>80.94</v>
      </c>
      <c r="E24" s="52">
        <f t="shared" si="0"/>
        <v>96.318599999999989</v>
      </c>
      <c r="F24" s="15">
        <f t="shared" si="1"/>
        <v>963.18599999999992</v>
      </c>
      <c r="H24" s="15">
        <f t="shared" si="2"/>
        <v>1165.4550599999998</v>
      </c>
    </row>
    <row r="25" spans="1:12" x14ac:dyDescent="0.25">
      <c r="A25" s="3" t="s">
        <v>22</v>
      </c>
      <c r="B25" s="1" t="s">
        <v>31</v>
      </c>
      <c r="C25" s="2">
        <v>5</v>
      </c>
      <c r="D25" s="2">
        <v>94.18</v>
      </c>
      <c r="E25" s="52">
        <f t="shared" si="0"/>
        <v>112.0742</v>
      </c>
      <c r="F25" s="15">
        <f t="shared" si="1"/>
        <v>560.37099999999998</v>
      </c>
      <c r="H25" s="15">
        <f t="shared" si="2"/>
        <v>678.04890999999998</v>
      </c>
    </row>
    <row r="26" spans="1:12" x14ac:dyDescent="0.25">
      <c r="A26" s="3" t="s">
        <v>22</v>
      </c>
      <c r="B26" s="1" t="s">
        <v>32</v>
      </c>
      <c r="C26" s="2">
        <v>1</v>
      </c>
      <c r="D26" s="2">
        <v>106.57</v>
      </c>
      <c r="E26" s="52">
        <f t="shared" si="0"/>
        <v>126.81829999999998</v>
      </c>
      <c r="F26" s="15">
        <f t="shared" si="1"/>
        <v>126.81829999999998</v>
      </c>
      <c r="H26" s="15">
        <f t="shared" si="2"/>
        <v>153.45014299999997</v>
      </c>
    </row>
    <row r="27" spans="1:12" ht="20" x14ac:dyDescent="0.25">
      <c r="A27" s="3" t="s">
        <v>22</v>
      </c>
      <c r="B27" s="1" t="s">
        <v>33</v>
      </c>
      <c r="C27" s="2">
        <v>5</v>
      </c>
      <c r="D27" s="2">
        <v>87.53</v>
      </c>
      <c r="E27" s="52">
        <f t="shared" si="0"/>
        <v>104.16069999999999</v>
      </c>
      <c r="F27" s="15">
        <f t="shared" si="1"/>
        <v>520.80349999999999</v>
      </c>
      <c r="H27" s="15">
        <f t="shared" si="2"/>
        <v>630.172235</v>
      </c>
    </row>
    <row r="28" spans="1:12" ht="20" x14ac:dyDescent="0.25">
      <c r="A28" s="3" t="s">
        <v>22</v>
      </c>
      <c r="B28" s="1" t="s">
        <v>34</v>
      </c>
      <c r="C28" s="2">
        <v>20</v>
      </c>
      <c r="D28" s="2">
        <v>72.84</v>
      </c>
      <c r="E28" s="52">
        <f t="shared" si="0"/>
        <v>86.679599999999994</v>
      </c>
      <c r="F28" s="15">
        <f t="shared" si="1"/>
        <v>1733.5919999999999</v>
      </c>
      <c r="H28" s="15">
        <f t="shared" si="2"/>
        <v>2097.6463199999998</v>
      </c>
    </row>
    <row r="29" spans="1:12" ht="20" x14ac:dyDescent="0.25">
      <c r="A29" s="3" t="s">
        <v>4</v>
      </c>
      <c r="B29" s="1" t="s">
        <v>35</v>
      </c>
      <c r="C29" s="2">
        <v>1</v>
      </c>
      <c r="D29" s="2">
        <v>755.37</v>
      </c>
      <c r="E29" s="52">
        <f t="shared" si="0"/>
        <v>898.89029999999991</v>
      </c>
      <c r="F29" s="15">
        <f t="shared" si="1"/>
        <v>898.89029999999991</v>
      </c>
      <c r="H29" s="15">
        <f t="shared" si="2"/>
        <v>1087.6572629999998</v>
      </c>
    </row>
    <row r="30" spans="1:12" ht="20" x14ac:dyDescent="0.25">
      <c r="A30" s="3" t="s">
        <v>4</v>
      </c>
      <c r="B30" s="1" t="s">
        <v>36</v>
      </c>
      <c r="C30" s="2">
        <v>1</v>
      </c>
      <c r="D30" s="2">
        <v>441.01</v>
      </c>
      <c r="E30" s="52">
        <f t="shared" si="0"/>
        <v>524.80189999999993</v>
      </c>
      <c r="F30" s="15">
        <f t="shared" si="1"/>
        <v>524.80189999999993</v>
      </c>
      <c r="H30" s="15">
        <f t="shared" si="2"/>
        <v>635.01029899999992</v>
      </c>
    </row>
    <row r="31" spans="1:12" ht="20" x14ac:dyDescent="0.25">
      <c r="A31" s="3" t="s">
        <v>15</v>
      </c>
      <c r="B31" s="1" t="s">
        <v>37</v>
      </c>
      <c r="C31" s="2">
        <v>20</v>
      </c>
      <c r="D31" s="2">
        <v>67.569999999999993</v>
      </c>
      <c r="E31" s="52">
        <f t="shared" si="0"/>
        <v>80.408299999999983</v>
      </c>
      <c r="F31" s="15">
        <f t="shared" si="1"/>
        <v>1608.1659999999997</v>
      </c>
      <c r="H31" s="15">
        <f t="shared" si="2"/>
        <v>1945.8808599999995</v>
      </c>
    </row>
    <row r="32" spans="1:12" ht="20" x14ac:dyDescent="0.25">
      <c r="A32" s="3" t="s">
        <v>38</v>
      </c>
      <c r="B32" s="1" t="s">
        <v>39</v>
      </c>
      <c r="C32" s="2">
        <v>5</v>
      </c>
      <c r="D32" s="2">
        <v>36.89</v>
      </c>
      <c r="E32" s="52">
        <f t="shared" si="0"/>
        <v>43.899099999999997</v>
      </c>
      <c r="F32" s="15">
        <f t="shared" si="1"/>
        <v>219.49549999999999</v>
      </c>
      <c r="H32" s="15">
        <f t="shared" si="2"/>
        <v>265.58955499999996</v>
      </c>
    </row>
    <row r="33" spans="1:8" ht="20" x14ac:dyDescent="0.25">
      <c r="A33" s="3" t="s">
        <v>22</v>
      </c>
      <c r="B33" s="1" t="s">
        <v>40</v>
      </c>
      <c r="C33" s="2">
        <v>1</v>
      </c>
      <c r="D33" s="2">
        <v>639.75</v>
      </c>
      <c r="E33" s="52">
        <f t="shared" si="0"/>
        <v>761.30250000000001</v>
      </c>
      <c r="F33" s="15">
        <f t="shared" si="1"/>
        <v>761.30250000000001</v>
      </c>
      <c r="H33" s="15">
        <f t="shared" si="2"/>
        <v>921.17602499999998</v>
      </c>
    </row>
    <row r="34" spans="1:8" ht="20" x14ac:dyDescent="0.25">
      <c r="A34" s="3" t="s">
        <v>22</v>
      </c>
      <c r="B34" s="1" t="s">
        <v>41</v>
      </c>
      <c r="C34" s="2">
        <v>1</v>
      </c>
      <c r="D34" s="2">
        <v>1159.18</v>
      </c>
      <c r="E34" s="52">
        <f t="shared" si="0"/>
        <v>1379.4241999999999</v>
      </c>
      <c r="F34" s="15">
        <f t="shared" si="1"/>
        <v>1379.4241999999999</v>
      </c>
      <c r="H34" s="15">
        <f t="shared" si="2"/>
        <v>1669.1032819999998</v>
      </c>
    </row>
    <row r="35" spans="1:8" ht="20" x14ac:dyDescent="0.25">
      <c r="A35" s="3" t="s">
        <v>22</v>
      </c>
      <c r="B35" s="1" t="s">
        <v>42</v>
      </c>
      <c r="C35" s="2">
        <v>20</v>
      </c>
      <c r="D35" s="2">
        <v>71.34</v>
      </c>
      <c r="E35" s="52">
        <f t="shared" si="0"/>
        <v>84.894599999999997</v>
      </c>
      <c r="F35" s="15">
        <f t="shared" si="1"/>
        <v>1697.8919999999998</v>
      </c>
      <c r="H35" s="15">
        <f t="shared" si="2"/>
        <v>2054.4493199999997</v>
      </c>
    </row>
    <row r="36" spans="1:8" ht="20" x14ac:dyDescent="0.25">
      <c r="A36" s="3" t="s">
        <v>22</v>
      </c>
      <c r="B36" s="1" t="s">
        <v>43</v>
      </c>
      <c r="C36" s="2">
        <v>50</v>
      </c>
      <c r="D36" s="2">
        <v>5.6</v>
      </c>
      <c r="E36" s="52">
        <f t="shared" si="0"/>
        <v>6.6639999999999997</v>
      </c>
      <c r="F36" s="15">
        <f t="shared" si="1"/>
        <v>333.2</v>
      </c>
      <c r="H36" s="15">
        <f t="shared" si="2"/>
        <v>403.17199999999997</v>
      </c>
    </row>
    <row r="37" spans="1:8" ht="20" x14ac:dyDescent="0.25">
      <c r="A37" s="3" t="s">
        <v>22</v>
      </c>
      <c r="B37" s="1" t="s">
        <v>44</v>
      </c>
      <c r="C37" s="2">
        <v>50</v>
      </c>
      <c r="D37" s="2">
        <v>9.8000000000000007</v>
      </c>
      <c r="E37" s="52">
        <f t="shared" si="0"/>
        <v>11.662000000000001</v>
      </c>
      <c r="F37" s="15">
        <f t="shared" si="1"/>
        <v>583.1</v>
      </c>
      <c r="H37" s="15">
        <f t="shared" si="2"/>
        <v>705.55100000000004</v>
      </c>
    </row>
    <row r="38" spans="1:8" x14ac:dyDescent="0.25">
      <c r="A38" s="3" t="s">
        <v>22</v>
      </c>
      <c r="B38" s="1" t="s">
        <v>45</v>
      </c>
      <c r="C38" s="2">
        <v>1</v>
      </c>
      <c r="D38" s="2">
        <v>1979.06</v>
      </c>
      <c r="E38" s="52">
        <f t="shared" si="0"/>
        <v>2355.0814</v>
      </c>
      <c r="F38" s="15">
        <f t="shared" si="1"/>
        <v>2355.0814</v>
      </c>
      <c r="H38" s="15">
        <f t="shared" si="2"/>
        <v>2849.648494</v>
      </c>
    </row>
    <row r="39" spans="1:8" x14ac:dyDescent="0.25">
      <c r="A39" s="3" t="s">
        <v>22</v>
      </c>
      <c r="B39" s="1" t="s">
        <v>46</v>
      </c>
      <c r="C39" s="2">
        <v>1</v>
      </c>
      <c r="D39" s="2">
        <v>133.38</v>
      </c>
      <c r="E39" s="52">
        <f t="shared" si="0"/>
        <v>158.72219999999999</v>
      </c>
      <c r="F39" s="15">
        <f t="shared" si="1"/>
        <v>158.72219999999999</v>
      </c>
      <c r="H39" s="15">
        <f t="shared" si="2"/>
        <v>192.05386199999998</v>
      </c>
    </row>
    <row r="40" spans="1:8" ht="20" x14ac:dyDescent="0.25">
      <c r="A40" s="3" t="s">
        <v>22</v>
      </c>
      <c r="B40" s="1" t="s">
        <v>47</v>
      </c>
      <c r="C40" s="2">
        <v>5</v>
      </c>
      <c r="D40" s="2">
        <v>127.1</v>
      </c>
      <c r="E40" s="52">
        <f t="shared" si="0"/>
        <v>151.249</v>
      </c>
      <c r="F40" s="15">
        <f t="shared" si="1"/>
        <v>756.245</v>
      </c>
      <c r="H40" s="15">
        <f t="shared" si="2"/>
        <v>915.05644999999993</v>
      </c>
    </row>
    <row r="41" spans="1:8" ht="20" x14ac:dyDescent="0.25">
      <c r="A41" s="3" t="s">
        <v>22</v>
      </c>
      <c r="B41" s="1" t="s">
        <v>48</v>
      </c>
      <c r="C41" s="2">
        <v>1</v>
      </c>
      <c r="D41" s="2">
        <v>119.9</v>
      </c>
      <c r="E41" s="52">
        <f t="shared" si="0"/>
        <v>142.68100000000001</v>
      </c>
      <c r="F41" s="15">
        <f t="shared" si="1"/>
        <v>142.68100000000001</v>
      </c>
      <c r="H41" s="15">
        <f t="shared" si="2"/>
        <v>172.64401000000001</v>
      </c>
    </row>
    <row r="42" spans="1:8" x14ac:dyDescent="0.25">
      <c r="A42" s="3" t="s">
        <v>22</v>
      </c>
      <c r="B42" s="1" t="s">
        <v>49</v>
      </c>
      <c r="C42" s="2">
        <v>5</v>
      </c>
      <c r="D42" s="2">
        <v>72.66</v>
      </c>
      <c r="E42" s="52">
        <f t="shared" si="0"/>
        <v>86.465399999999988</v>
      </c>
      <c r="F42" s="15">
        <f t="shared" si="1"/>
        <v>432.32699999999994</v>
      </c>
      <c r="H42" s="15">
        <f t="shared" si="2"/>
        <v>523.11566999999991</v>
      </c>
    </row>
    <row r="43" spans="1:8" ht="20" x14ac:dyDescent="0.25">
      <c r="A43" s="3" t="s">
        <v>4</v>
      </c>
      <c r="B43" s="1" t="s">
        <v>50</v>
      </c>
      <c r="C43" s="2">
        <v>20000</v>
      </c>
      <c r="D43" s="2">
        <v>0.2</v>
      </c>
      <c r="E43" s="52">
        <f t="shared" si="0"/>
        <v>0.23799999999999999</v>
      </c>
      <c r="F43" s="15">
        <f t="shared" si="1"/>
        <v>4760</v>
      </c>
      <c r="H43" s="15">
        <f t="shared" si="2"/>
        <v>5759.5999999999995</v>
      </c>
    </row>
    <row r="44" spans="1:8" x14ac:dyDescent="0.25">
      <c r="A44" s="3" t="s">
        <v>4</v>
      </c>
      <c r="B44" s="1" t="s">
        <v>51</v>
      </c>
      <c r="C44" s="2">
        <v>1000</v>
      </c>
      <c r="D44" s="2">
        <v>1.88</v>
      </c>
      <c r="E44" s="52">
        <f t="shared" si="0"/>
        <v>2.2371999999999996</v>
      </c>
      <c r="F44" s="15">
        <f t="shared" si="1"/>
        <v>2237.1999999999998</v>
      </c>
      <c r="H44" s="15">
        <f t="shared" si="2"/>
        <v>2707.0119999999997</v>
      </c>
    </row>
    <row r="45" spans="1:8" ht="20" x14ac:dyDescent="0.25">
      <c r="A45" s="3" t="s">
        <v>4</v>
      </c>
      <c r="B45" s="1" t="s">
        <v>52</v>
      </c>
      <c r="C45" s="2">
        <v>500</v>
      </c>
      <c r="D45" s="2">
        <v>5.49</v>
      </c>
      <c r="E45" s="52">
        <f t="shared" si="0"/>
        <v>6.5331000000000001</v>
      </c>
      <c r="F45" s="15">
        <f t="shared" si="1"/>
        <v>3266.55</v>
      </c>
      <c r="H45" s="15">
        <f t="shared" si="2"/>
        <v>3952.5255000000002</v>
      </c>
    </row>
    <row r="46" spans="1:8" ht="20" x14ac:dyDescent="0.25">
      <c r="A46" s="3" t="s">
        <v>22</v>
      </c>
      <c r="B46" s="1" t="s">
        <v>53</v>
      </c>
      <c r="C46" s="2">
        <v>10</v>
      </c>
      <c r="D46" s="2">
        <v>73.88</v>
      </c>
      <c r="E46" s="52">
        <f t="shared" si="0"/>
        <v>87.917199999999994</v>
      </c>
      <c r="F46" s="15">
        <f t="shared" si="1"/>
        <v>879.17199999999991</v>
      </c>
      <c r="H46" s="15">
        <f t="shared" si="2"/>
        <v>1063.7981199999999</v>
      </c>
    </row>
    <row r="47" spans="1:8" ht="26" customHeight="1" x14ac:dyDescent="0.25">
      <c r="A47" s="3" t="s">
        <v>22</v>
      </c>
      <c r="B47" s="1" t="s">
        <v>54</v>
      </c>
      <c r="C47" s="2">
        <v>10</v>
      </c>
      <c r="D47" s="2">
        <v>147.77000000000001</v>
      </c>
      <c r="E47" s="52">
        <f t="shared" si="0"/>
        <v>175.84630000000001</v>
      </c>
      <c r="F47" s="15">
        <f t="shared" si="1"/>
        <v>1758.4630000000002</v>
      </c>
      <c r="H47" s="15">
        <f t="shared" si="2"/>
        <v>2127.7402300000003</v>
      </c>
    </row>
    <row r="48" spans="1:8" ht="20" x14ac:dyDescent="0.25">
      <c r="A48" s="3" t="s">
        <v>6</v>
      </c>
      <c r="B48" s="1" t="s">
        <v>55</v>
      </c>
      <c r="C48" s="2">
        <v>100</v>
      </c>
      <c r="D48" s="2">
        <v>26.93</v>
      </c>
      <c r="E48" s="52">
        <f t="shared" si="0"/>
        <v>32.046700000000001</v>
      </c>
      <c r="F48" s="15">
        <f t="shared" si="1"/>
        <v>3204.67</v>
      </c>
      <c r="H48" s="15">
        <f t="shared" si="2"/>
        <v>3877.6507000000001</v>
      </c>
    </row>
    <row r="49" spans="1:14" ht="20" x14ac:dyDescent="0.25">
      <c r="A49" s="3" t="s">
        <v>56</v>
      </c>
      <c r="B49" s="1" t="s">
        <v>57</v>
      </c>
      <c r="C49" s="2">
        <v>10</v>
      </c>
      <c r="D49" s="2">
        <v>237.63</v>
      </c>
      <c r="E49" s="52">
        <f t="shared" si="0"/>
        <v>282.77969999999999</v>
      </c>
      <c r="F49" s="15">
        <f t="shared" si="1"/>
        <v>2827.797</v>
      </c>
      <c r="H49" s="15">
        <f t="shared" si="2"/>
        <v>3421.6343699999998</v>
      </c>
    </row>
    <row r="50" spans="1:14" ht="20" x14ac:dyDescent="0.25">
      <c r="A50" s="3" t="s">
        <v>22</v>
      </c>
      <c r="B50" s="1" t="s">
        <v>58</v>
      </c>
      <c r="C50" s="2">
        <v>52</v>
      </c>
      <c r="D50" s="2">
        <v>100</v>
      </c>
      <c r="E50" s="52">
        <f t="shared" si="0"/>
        <v>119</v>
      </c>
      <c r="F50" s="15">
        <f t="shared" si="1"/>
        <v>6188</v>
      </c>
      <c r="H50" s="15">
        <f t="shared" si="2"/>
        <v>7487.48</v>
      </c>
    </row>
    <row r="51" spans="1:14" ht="20" x14ac:dyDescent="0.25">
      <c r="A51" s="3" t="s">
        <v>59</v>
      </c>
      <c r="B51" s="1" t="s">
        <v>60</v>
      </c>
      <c r="C51" s="23">
        <v>40</v>
      </c>
      <c r="D51" s="2">
        <v>66.760000000000005</v>
      </c>
      <c r="E51" s="52">
        <f t="shared" si="0"/>
        <v>79.444400000000002</v>
      </c>
      <c r="F51" s="15">
        <f t="shared" si="1"/>
        <v>3177.7759999999998</v>
      </c>
      <c r="H51" s="15">
        <f t="shared" si="2"/>
        <v>3845.1089599999996</v>
      </c>
    </row>
    <row r="52" spans="1:14" ht="20.5" thickBot="1" x14ac:dyDescent="0.3">
      <c r="A52" s="3" t="s">
        <v>61</v>
      </c>
      <c r="B52" s="1" t="s">
        <v>62</v>
      </c>
      <c r="C52" s="2">
        <v>1</v>
      </c>
      <c r="D52" s="2">
        <v>1500</v>
      </c>
      <c r="E52" s="52">
        <f t="shared" si="0"/>
        <v>1785</v>
      </c>
      <c r="F52" s="17">
        <f t="shared" si="1"/>
        <v>1785</v>
      </c>
      <c r="H52" s="17">
        <f t="shared" si="2"/>
        <v>2159.85</v>
      </c>
      <c r="J52" s="2" t="s">
        <v>70</v>
      </c>
    </row>
    <row r="53" spans="1:14" ht="11" thickTop="1" x14ac:dyDescent="0.25">
      <c r="D53" s="8">
        <f>F53/1.19</f>
        <v>83484.62</v>
      </c>
      <c r="F53" s="18">
        <f>SUM(F2:F52)</f>
        <v>99346.697799999994</v>
      </c>
      <c r="H53" s="18">
        <f>SUM(H2:H52)</f>
        <v>120209.50433800001</v>
      </c>
      <c r="I53" s="16"/>
      <c r="J53" s="18">
        <f>H53-F53-0.01</f>
        <v>20862.796538000021</v>
      </c>
      <c r="M53" s="1" t="s">
        <v>78</v>
      </c>
      <c r="N53" s="29">
        <f>F53/1.19</f>
        <v>83484.62</v>
      </c>
    </row>
    <row r="54" spans="1:14" x14ac:dyDescent="0.25">
      <c r="E54" s="25" t="s">
        <v>74</v>
      </c>
      <c r="F54" s="26">
        <v>99346.7</v>
      </c>
      <c r="G54" s="27"/>
      <c r="H54" s="26">
        <f>F54*1.21</f>
        <v>120209.507</v>
      </c>
      <c r="I54" s="16"/>
      <c r="J54" s="24">
        <f>H54-F54</f>
        <v>20862.807000000001</v>
      </c>
      <c r="M54" s="31">
        <v>0.06</v>
      </c>
      <c r="N54" s="29">
        <f>N53*0.06</f>
        <v>5009.0771999999997</v>
      </c>
    </row>
    <row r="55" spans="1:14" ht="11" thickBot="1" x14ac:dyDescent="0.3">
      <c r="D55" s="8">
        <f>D53*0.06</f>
        <v>5009.0771999999997</v>
      </c>
      <c r="I55" s="16"/>
      <c r="J55" s="16"/>
      <c r="M55" s="31">
        <v>0.13</v>
      </c>
      <c r="N55" s="30">
        <f>N53*0.13</f>
        <v>10853.000599999999</v>
      </c>
    </row>
    <row r="56" spans="1:14" ht="11" thickTop="1" x14ac:dyDescent="0.25">
      <c r="E56" s="1" t="s">
        <v>64</v>
      </c>
      <c r="F56" s="9">
        <f>F54/4</f>
        <v>24836.674999999999</v>
      </c>
      <c r="G56" s="9"/>
      <c r="H56" s="9">
        <f>F56*1.21</f>
        <v>30052.376749999999</v>
      </c>
      <c r="I56" s="16"/>
      <c r="J56" s="18">
        <f>H56-F56</f>
        <v>5215.7017500000002</v>
      </c>
      <c r="N56" s="29">
        <f>SUM(N53:N55)</f>
        <v>99346.697799999994</v>
      </c>
    </row>
    <row r="57" spans="1:14" ht="11" thickBot="1" x14ac:dyDescent="0.3">
      <c r="E57" s="1" t="s">
        <v>65</v>
      </c>
      <c r="F57" s="21">
        <f>(F54/4)*3</f>
        <v>74510.024999999994</v>
      </c>
      <c r="G57" s="9"/>
      <c r="H57" s="21">
        <f>F57*1.21</f>
        <v>90157.130249999987</v>
      </c>
      <c r="I57" s="16"/>
      <c r="J57" s="18">
        <f>H57-F57</f>
        <v>15647.105249999993</v>
      </c>
      <c r="M57" s="6" t="s">
        <v>79</v>
      </c>
    </row>
    <row r="58" spans="1:14" ht="11" thickTop="1" x14ac:dyDescent="0.25">
      <c r="E58" s="1"/>
      <c r="F58" s="9">
        <f>F56+F57</f>
        <v>99346.7</v>
      </c>
      <c r="G58" s="9"/>
      <c r="H58" s="28">
        <f>H56+H57</f>
        <v>120209.50699999998</v>
      </c>
      <c r="I58" s="16"/>
      <c r="J58" s="18"/>
    </row>
    <row r="59" spans="1:14" x14ac:dyDescent="0.25">
      <c r="E59" s="1"/>
      <c r="F59" s="10"/>
      <c r="G59" s="9"/>
      <c r="H59" s="9"/>
      <c r="I59" s="16"/>
      <c r="J59" s="16"/>
    </row>
    <row r="60" spans="1:14" x14ac:dyDescent="0.25">
      <c r="D60" s="65" t="s">
        <v>71</v>
      </c>
      <c r="E60" s="1" t="s">
        <v>66</v>
      </c>
      <c r="F60" s="9">
        <f>((99346.7-1785)/4)</f>
        <v>24390.424999999999</v>
      </c>
      <c r="G60" s="9"/>
      <c r="H60" s="32">
        <v>24390.42</v>
      </c>
      <c r="I60" s="16"/>
      <c r="J60" s="16"/>
      <c r="L60" s="66"/>
    </row>
    <row r="61" spans="1:14" ht="11" thickBot="1" x14ac:dyDescent="0.3">
      <c r="D61" s="65"/>
      <c r="E61" s="1" t="s">
        <v>67</v>
      </c>
      <c r="F61" s="21">
        <f>1785/4</f>
        <v>446.25</v>
      </c>
      <c r="G61" s="9"/>
      <c r="H61" s="33">
        <v>446.25</v>
      </c>
      <c r="I61" s="16"/>
      <c r="J61" s="16"/>
      <c r="L61" s="66"/>
    </row>
    <row r="62" spans="1:14" ht="11" thickTop="1" x14ac:dyDescent="0.25">
      <c r="E62" s="1"/>
      <c r="F62" s="11">
        <f>F60+F61</f>
        <v>24836.674999999999</v>
      </c>
      <c r="G62" s="9"/>
      <c r="H62" s="34">
        <f>H60+H61</f>
        <v>24836.67</v>
      </c>
      <c r="I62" s="16"/>
      <c r="J62" s="16"/>
      <c r="L62" s="66"/>
    </row>
    <row r="63" spans="1:14" ht="11" thickBot="1" x14ac:dyDescent="0.3">
      <c r="E63" s="1" t="s">
        <v>76</v>
      </c>
      <c r="F63" s="12">
        <f>F62*0.21</f>
        <v>5215.7017499999993</v>
      </c>
      <c r="G63" s="9"/>
      <c r="H63" s="35">
        <f>H62*0.21</f>
        <v>5215.7006999999994</v>
      </c>
      <c r="I63" s="16"/>
      <c r="J63" s="16"/>
      <c r="L63" s="66"/>
    </row>
    <row r="64" spans="1:14" ht="11" thickTop="1" x14ac:dyDescent="0.25">
      <c r="E64" s="1" t="s">
        <v>3</v>
      </c>
      <c r="F64" s="10">
        <f>F62+F63</f>
        <v>30052.376749999999</v>
      </c>
      <c r="G64" s="9"/>
      <c r="H64" s="36">
        <f>H62+H63</f>
        <v>30052.370699999999</v>
      </c>
      <c r="I64" s="16"/>
      <c r="J64" s="16"/>
      <c r="L64" s="66"/>
    </row>
    <row r="65" spans="4:12" x14ac:dyDescent="0.25">
      <c r="E65" s="1"/>
      <c r="F65" s="10"/>
      <c r="G65" s="9"/>
      <c r="H65" s="9"/>
      <c r="I65" s="16"/>
      <c r="J65" s="16"/>
      <c r="L65" s="66"/>
    </row>
    <row r="66" spans="4:12" x14ac:dyDescent="0.25">
      <c r="D66" s="65" t="s">
        <v>75</v>
      </c>
      <c r="E66" s="1" t="s">
        <v>66</v>
      </c>
      <c r="F66" s="9">
        <f>((99346.7-1785)/4)*3</f>
        <v>73171.274999999994</v>
      </c>
      <c r="G66" s="9"/>
      <c r="H66" s="32">
        <v>73171.28</v>
      </c>
      <c r="I66" s="16"/>
      <c r="J66" s="16"/>
      <c r="L66" s="66"/>
    </row>
    <row r="67" spans="4:12" ht="11" thickBot="1" x14ac:dyDescent="0.3">
      <c r="D67" s="65"/>
      <c r="E67" s="1" t="s">
        <v>67</v>
      </c>
      <c r="F67" s="12">
        <f>(1785/4)*3</f>
        <v>1338.75</v>
      </c>
      <c r="G67" s="9"/>
      <c r="H67" s="33">
        <v>1338.75</v>
      </c>
      <c r="I67" s="16"/>
      <c r="J67" s="16"/>
      <c r="L67" s="66"/>
    </row>
    <row r="68" spans="4:12" ht="11" thickTop="1" x14ac:dyDescent="0.25">
      <c r="E68" s="1"/>
      <c r="F68" s="11">
        <f>F66+F67</f>
        <v>74510.024999999994</v>
      </c>
      <c r="G68" s="9"/>
      <c r="H68" s="34">
        <f>H66+H67</f>
        <v>74510.03</v>
      </c>
      <c r="I68" s="16"/>
      <c r="J68" s="16"/>
      <c r="L68" s="66"/>
    </row>
    <row r="69" spans="4:12" ht="11" thickBot="1" x14ac:dyDescent="0.3">
      <c r="D69" s="6"/>
      <c r="E69" s="6" t="s">
        <v>76</v>
      </c>
      <c r="F69" s="12">
        <f>F68*0.21</f>
        <v>15647.105249999999</v>
      </c>
      <c r="H69" s="35">
        <f>H68*0.21</f>
        <v>15647.106299999999</v>
      </c>
      <c r="I69" s="16"/>
      <c r="J69" s="16"/>
      <c r="L69" s="66"/>
    </row>
    <row r="70" spans="4:12" ht="11" thickTop="1" x14ac:dyDescent="0.25">
      <c r="E70" s="1" t="s">
        <v>3</v>
      </c>
      <c r="F70" s="10">
        <f>F68+F69</f>
        <v>90157.130249999987</v>
      </c>
      <c r="G70" s="9"/>
      <c r="H70" s="36">
        <f>H68+H69</f>
        <v>90157.136299999998</v>
      </c>
      <c r="I70" s="16"/>
      <c r="J70" s="16"/>
    </row>
    <row r="71" spans="4:12" x14ac:dyDescent="0.25">
      <c r="E71" s="1"/>
      <c r="F71" s="11"/>
      <c r="G71" s="9"/>
      <c r="H71" s="11"/>
      <c r="I71" s="16"/>
      <c r="J71" s="16"/>
    </row>
    <row r="72" spans="4:12" x14ac:dyDescent="0.25">
      <c r="D72" s="65" t="s">
        <v>68</v>
      </c>
      <c r="E72" s="1" t="s">
        <v>66</v>
      </c>
      <c r="F72" s="9">
        <f>97561.7</f>
        <v>97561.7</v>
      </c>
      <c r="G72" s="9"/>
      <c r="H72" s="10">
        <f>F72*1.21</f>
        <v>118049.65699999999</v>
      </c>
      <c r="I72" s="16"/>
      <c r="J72" s="16"/>
    </row>
    <row r="73" spans="4:12" ht="11" thickBot="1" x14ac:dyDescent="0.3">
      <c r="D73" s="65"/>
      <c r="E73" s="1" t="s">
        <v>67</v>
      </c>
      <c r="F73" s="12">
        <f>F52</f>
        <v>1785</v>
      </c>
      <c r="G73" s="9"/>
      <c r="H73" s="12">
        <f>H52</f>
        <v>2159.85</v>
      </c>
      <c r="I73" s="16"/>
      <c r="J73" s="16"/>
    </row>
    <row r="74" spans="4:12" ht="11" thickTop="1" x14ac:dyDescent="0.25">
      <c r="E74" s="1"/>
      <c r="F74" s="11">
        <f>F72+F73</f>
        <v>99346.7</v>
      </c>
      <c r="G74" s="9"/>
      <c r="H74" s="11">
        <f>H72+H73</f>
        <v>120209.507</v>
      </c>
      <c r="I74" s="16"/>
      <c r="J74" s="16"/>
    </row>
    <row r="75" spans="4:12" x14ac:dyDescent="0.25">
      <c r="F75" s="10"/>
      <c r="G75" s="9"/>
      <c r="H75" s="9"/>
      <c r="I75" s="16"/>
      <c r="J75" s="16"/>
    </row>
    <row r="76" spans="4:12" x14ac:dyDescent="0.25">
      <c r="D76" s="65" t="s">
        <v>69</v>
      </c>
      <c r="E76" s="1" t="s">
        <v>66</v>
      </c>
      <c r="F76" s="10">
        <f>97561.7*4</f>
        <v>390246.8</v>
      </c>
      <c r="G76" s="9"/>
      <c r="H76" s="10">
        <f>H72*4</f>
        <v>472198.62799999997</v>
      </c>
      <c r="I76" s="16"/>
      <c r="J76" s="16"/>
    </row>
    <row r="77" spans="4:12" ht="11" thickBot="1" x14ac:dyDescent="0.3">
      <c r="D77" s="65"/>
      <c r="E77" s="1" t="s">
        <v>67</v>
      </c>
      <c r="F77" s="12">
        <f>F73*4</f>
        <v>7140</v>
      </c>
      <c r="G77" s="9"/>
      <c r="H77" s="12">
        <f>H73*4</f>
        <v>8639.4</v>
      </c>
      <c r="I77" s="16"/>
      <c r="J77" s="16"/>
    </row>
    <row r="78" spans="4:12" ht="11" thickTop="1" x14ac:dyDescent="0.25">
      <c r="F78" s="11">
        <f>F76+F77</f>
        <v>397386.8</v>
      </c>
      <c r="G78" s="9"/>
      <c r="H78" s="11">
        <f>H76+H77</f>
        <v>480838.02799999999</v>
      </c>
      <c r="I78" s="16"/>
      <c r="J78" s="16"/>
    </row>
    <row r="79" spans="4:12" x14ac:dyDescent="0.25">
      <c r="I79" s="16"/>
      <c r="J79" s="16"/>
    </row>
    <row r="80" spans="4:12" x14ac:dyDescent="0.25">
      <c r="E80" s="19">
        <v>0.2</v>
      </c>
      <c r="F80" s="16">
        <f>397386.8 *0.2</f>
        <v>79477.36</v>
      </c>
      <c r="I80" s="16"/>
      <c r="J80" s="16"/>
    </row>
    <row r="81" spans="5:10" x14ac:dyDescent="0.25">
      <c r="I81" s="16"/>
      <c r="J81" s="16"/>
    </row>
    <row r="82" spans="5:10" x14ac:dyDescent="0.25">
      <c r="F82" s="16">
        <f>F78+F80</f>
        <v>476864.16</v>
      </c>
      <c r="I82" s="16"/>
      <c r="J82" s="16"/>
    </row>
    <row r="83" spans="5:10" x14ac:dyDescent="0.25">
      <c r="I83" s="16"/>
      <c r="J83" s="16"/>
    </row>
    <row r="84" spans="5:10" x14ac:dyDescent="0.25">
      <c r="I84" s="16"/>
      <c r="J84" s="16"/>
    </row>
    <row r="85" spans="5:10" ht="21" x14ac:dyDescent="0.25">
      <c r="E85" s="20" t="s">
        <v>72</v>
      </c>
      <c r="F85" s="16">
        <f>99346.7*1.5</f>
        <v>149020.04999999999</v>
      </c>
      <c r="H85" s="16">
        <f>(476864.16/4)*1.5</f>
        <v>178824.06</v>
      </c>
      <c r="I85" s="16"/>
      <c r="J85" s="16"/>
    </row>
    <row r="86" spans="5:10" x14ac:dyDescent="0.25">
      <c r="I86" s="16"/>
      <c r="J86" s="16"/>
    </row>
    <row r="87" spans="5:10" ht="21" x14ac:dyDescent="0.25">
      <c r="E87" s="20" t="s">
        <v>73</v>
      </c>
      <c r="F87" s="16">
        <f>99346.7*0.7</f>
        <v>69542.689999999988</v>
      </c>
      <c r="H87" s="16">
        <f>(476864.16/4)*0.7</f>
        <v>83451.227999999988</v>
      </c>
      <c r="I87" s="16"/>
      <c r="J87" s="16"/>
    </row>
  </sheetData>
  <mergeCells count="5">
    <mergeCell ref="D60:D61"/>
    <mergeCell ref="L60:L69"/>
    <mergeCell ref="D66:D67"/>
    <mergeCell ref="D72:D73"/>
    <mergeCell ref="D76:D77"/>
  </mergeCells>
  <pageMargins left="0.31496062992125984" right="0.31496062992125984" top="0.35433070866141736" bottom="0.35433070866141736" header="0.31496062992125984" footer="0.31496062992125984"/>
  <pageSetup paperSize="9" scale="80" orientation="portrait" r:id="rId1"/>
  <rowBreaks count="1" manualBreakCount="1">
    <brk id="58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8A058-075C-49FA-8AB0-B1FCC3658CD1}">
  <dimension ref="A1:T88"/>
  <sheetViews>
    <sheetView view="pageBreakPreview" topLeftCell="B1" zoomScale="145" zoomScaleNormal="100" zoomScaleSheetLayoutView="145" workbookViewId="0">
      <pane ySplit="2" topLeftCell="A3" activePane="bottomLeft" state="frozen"/>
      <selection pane="bottomLeft" activeCell="F3" sqref="F3"/>
    </sheetView>
  </sheetViews>
  <sheetFormatPr defaultRowHeight="10.5" x14ac:dyDescent="0.25"/>
  <cols>
    <col min="1" max="1" width="4.81640625" style="6" customWidth="1"/>
    <col min="2" max="2" width="33.1796875" style="7" customWidth="1"/>
    <col min="3" max="3" width="8.7265625" style="8"/>
    <col min="4" max="7" width="11.7265625" style="8" customWidth="1"/>
    <col min="8" max="8" width="8.08984375" style="8" hidden="1" customWidth="1"/>
    <col min="9" max="9" width="11.7265625" style="8" hidden="1" customWidth="1"/>
    <col min="10" max="10" width="11.7265625" style="6" customWidth="1"/>
    <col min="11" max="11" width="11.453125" style="16" customWidth="1"/>
    <col min="12" max="12" width="1.54296875" style="16" customWidth="1"/>
    <col min="13" max="13" width="10.81640625" style="16" customWidth="1"/>
    <col min="14" max="14" width="1.08984375" style="6" customWidth="1"/>
    <col min="15" max="15" width="10.08984375" style="6" bestFit="1" customWidth="1"/>
    <col min="16" max="17" width="1.1796875" style="6" customWidth="1"/>
    <col min="18" max="18" width="11.36328125" style="6" customWidth="1"/>
    <col min="19" max="19" width="4.7265625" style="6" customWidth="1"/>
    <col min="20" max="20" width="9.26953125" style="6" bestFit="1" customWidth="1"/>
    <col min="21" max="16384" width="8.7265625" style="6"/>
  </cols>
  <sheetData>
    <row r="1" spans="1:20" x14ac:dyDescent="0.25">
      <c r="C1" s="5" t="s">
        <v>0</v>
      </c>
      <c r="D1" s="5" t="s">
        <v>1</v>
      </c>
      <c r="E1" s="5"/>
      <c r="F1" s="5" t="s">
        <v>2</v>
      </c>
      <c r="G1" s="13" t="s">
        <v>3</v>
      </c>
      <c r="H1" s="13"/>
      <c r="I1" s="13"/>
      <c r="J1" s="5" t="s">
        <v>2</v>
      </c>
      <c r="K1" s="13" t="s">
        <v>3</v>
      </c>
      <c r="L1" s="14"/>
      <c r="M1" s="13" t="s">
        <v>63</v>
      </c>
      <c r="R1" s="6" t="s">
        <v>74</v>
      </c>
    </row>
    <row r="2" spans="1:20" x14ac:dyDescent="0.25">
      <c r="G2" s="18">
        <f>SUM(G3:G53)</f>
        <v>99346.700000000026</v>
      </c>
      <c r="H2" s="18"/>
      <c r="I2" s="18"/>
      <c r="K2" s="18">
        <f>SUM(K3:K53)</f>
        <v>99346.697799999994</v>
      </c>
      <c r="M2" s="18">
        <f>SUM(M3:M53)</f>
        <v>120209.50433800001</v>
      </c>
      <c r="N2" s="16"/>
      <c r="O2" s="18"/>
      <c r="R2" s="18">
        <f>SUM(R3:R53)</f>
        <v>99346.7</v>
      </c>
      <c r="S2" s="1" t="s">
        <v>78</v>
      </c>
      <c r="T2" s="29">
        <f>K2/1.19</f>
        <v>83484.62</v>
      </c>
    </row>
    <row r="3" spans="1:20" ht="20" x14ac:dyDescent="0.25">
      <c r="A3" s="1" t="s">
        <v>4</v>
      </c>
      <c r="B3" s="1" t="s">
        <v>5</v>
      </c>
      <c r="C3" s="2">
        <v>600</v>
      </c>
      <c r="D3" s="2">
        <v>2.85</v>
      </c>
      <c r="E3" s="2">
        <f>F3/1.19</f>
        <v>2.8487394957983194</v>
      </c>
      <c r="F3" s="2">
        <v>3.39</v>
      </c>
      <c r="G3" s="15">
        <f>C3*F3</f>
        <v>2034</v>
      </c>
      <c r="H3" s="2">
        <f t="shared" ref="H3:H7" si="0">F3-0.01</f>
        <v>3.3800000000000003</v>
      </c>
      <c r="I3" s="2">
        <f t="shared" ref="I3:I7" si="1">(F3-H3)*C3</f>
        <v>5.9999999999998721</v>
      </c>
      <c r="J3" s="52">
        <f t="shared" ref="J3:J34" si="2">D3*1.19</f>
        <v>3.3914999999999997</v>
      </c>
      <c r="K3" s="15">
        <f t="shared" ref="K3:K34" si="3">C3*J3</f>
        <v>2034.8999999999999</v>
      </c>
      <c r="M3" s="15">
        <f>K3*1.21</f>
        <v>2462.2289999999998</v>
      </c>
      <c r="O3" s="52">
        <f t="shared" ref="O3:O34" si="4">R3/C3</f>
        <v>3.3915000000000002</v>
      </c>
      <c r="R3" s="15">
        <v>2034.9</v>
      </c>
    </row>
    <row r="4" spans="1:20" x14ac:dyDescent="0.25">
      <c r="A4" s="3" t="s">
        <v>6</v>
      </c>
      <c r="B4" s="1" t="s">
        <v>7</v>
      </c>
      <c r="C4" s="2">
        <v>240</v>
      </c>
      <c r="D4" s="2">
        <v>3.79</v>
      </c>
      <c r="E4" s="2">
        <f t="shared" ref="E4:E26" si="5">F4/1.19</f>
        <v>3.7899159663865545</v>
      </c>
      <c r="F4" s="2">
        <v>4.51</v>
      </c>
      <c r="G4" s="15">
        <f t="shared" ref="G4:G53" si="6">C4*F4</f>
        <v>1082.3999999999999</v>
      </c>
      <c r="H4" s="2">
        <f t="shared" si="0"/>
        <v>4.5</v>
      </c>
      <c r="I4" s="2">
        <f t="shared" si="1"/>
        <v>2.3999999999999488</v>
      </c>
      <c r="J4" s="52">
        <f t="shared" si="2"/>
        <v>4.5100999999999996</v>
      </c>
      <c r="K4" s="15">
        <f t="shared" si="3"/>
        <v>1082.424</v>
      </c>
      <c r="M4" s="15">
        <f t="shared" ref="M4:M53" si="7">K4*1.21</f>
        <v>1309.7330399999998</v>
      </c>
      <c r="O4" s="52">
        <f t="shared" si="4"/>
        <v>4.5100833333333332</v>
      </c>
      <c r="R4" s="15">
        <v>1082.42</v>
      </c>
    </row>
    <row r="5" spans="1:20" x14ac:dyDescent="0.25">
      <c r="A5" s="3" t="s">
        <v>6</v>
      </c>
      <c r="B5" s="1" t="s">
        <v>8</v>
      </c>
      <c r="C5" s="2">
        <v>90</v>
      </c>
      <c r="D5" s="2">
        <v>3.44</v>
      </c>
      <c r="E5" s="2">
        <f t="shared" si="5"/>
        <v>3.4369747899159666</v>
      </c>
      <c r="F5" s="2">
        <v>4.09</v>
      </c>
      <c r="G5" s="15">
        <f t="shared" si="6"/>
        <v>368.09999999999997</v>
      </c>
      <c r="H5" s="2">
        <f t="shared" si="0"/>
        <v>4.08</v>
      </c>
      <c r="I5" s="2">
        <f t="shared" si="1"/>
        <v>0.89999999999998082</v>
      </c>
      <c r="J5" s="52">
        <f t="shared" si="2"/>
        <v>4.0935999999999995</v>
      </c>
      <c r="K5" s="15">
        <f t="shared" si="3"/>
        <v>368.42399999999998</v>
      </c>
      <c r="M5" s="15">
        <f t="shared" si="7"/>
        <v>445.79303999999996</v>
      </c>
      <c r="O5" s="52">
        <f t="shared" si="4"/>
        <v>4.0935555555555556</v>
      </c>
      <c r="R5" s="15">
        <v>368.42</v>
      </c>
    </row>
    <row r="6" spans="1:20" x14ac:dyDescent="0.25">
      <c r="A6" s="3" t="s">
        <v>6</v>
      </c>
      <c r="B6" s="1" t="s">
        <v>9</v>
      </c>
      <c r="C6" s="2">
        <v>50</v>
      </c>
      <c r="D6" s="2">
        <v>6.28</v>
      </c>
      <c r="E6" s="2">
        <f t="shared" si="5"/>
        <v>6.2773109243697478</v>
      </c>
      <c r="F6" s="2">
        <v>7.47</v>
      </c>
      <c r="G6" s="15">
        <f t="shared" si="6"/>
        <v>373.5</v>
      </c>
      <c r="H6" s="2">
        <f t="shared" si="0"/>
        <v>7.46</v>
      </c>
      <c r="I6" s="2">
        <f t="shared" si="1"/>
        <v>0.49999999999998934</v>
      </c>
      <c r="J6" s="52">
        <f t="shared" si="2"/>
        <v>7.4732000000000003</v>
      </c>
      <c r="K6" s="15">
        <f t="shared" si="3"/>
        <v>373.66</v>
      </c>
      <c r="M6" s="15">
        <f t="shared" si="7"/>
        <v>452.12860000000001</v>
      </c>
      <c r="O6" s="52">
        <f t="shared" si="4"/>
        <v>7.4732000000000003</v>
      </c>
      <c r="R6" s="15">
        <v>373.66</v>
      </c>
    </row>
    <row r="7" spans="1:20" ht="20" x14ac:dyDescent="0.25">
      <c r="A7" s="3" t="s">
        <v>6</v>
      </c>
      <c r="B7" s="1" t="s">
        <v>10</v>
      </c>
      <c r="C7" s="2">
        <v>90</v>
      </c>
      <c r="D7" s="2">
        <v>7.59</v>
      </c>
      <c r="E7" s="2">
        <f t="shared" si="5"/>
        <v>7.5882352941176467</v>
      </c>
      <c r="F7" s="2">
        <v>9.0299999999999994</v>
      </c>
      <c r="G7" s="15">
        <f t="shared" si="6"/>
        <v>812.69999999999993</v>
      </c>
      <c r="H7" s="2">
        <f t="shared" si="0"/>
        <v>9.02</v>
      </c>
      <c r="I7" s="2">
        <f t="shared" si="1"/>
        <v>0.89999999999998082</v>
      </c>
      <c r="J7" s="52">
        <f t="shared" si="2"/>
        <v>9.0320999999999998</v>
      </c>
      <c r="K7" s="15">
        <f t="shared" si="3"/>
        <v>812.88900000000001</v>
      </c>
      <c r="M7" s="15">
        <f t="shared" si="7"/>
        <v>983.59568999999999</v>
      </c>
      <c r="O7" s="52">
        <f t="shared" si="4"/>
        <v>9.0321111111111101</v>
      </c>
      <c r="R7" s="15">
        <v>812.89</v>
      </c>
    </row>
    <row r="8" spans="1:20" x14ac:dyDescent="0.25">
      <c r="A8" s="3" t="s">
        <v>6</v>
      </c>
      <c r="B8" s="1" t="s">
        <v>11</v>
      </c>
      <c r="C8" s="2">
        <v>120</v>
      </c>
      <c r="D8" s="2">
        <v>32.49</v>
      </c>
      <c r="E8" s="2">
        <f t="shared" si="5"/>
        <v>32.487394957983192</v>
      </c>
      <c r="F8" s="2">
        <v>38.659999999999997</v>
      </c>
      <c r="G8" s="15">
        <f t="shared" si="6"/>
        <v>4639.2</v>
      </c>
      <c r="H8" s="2">
        <f>F8-0.01</f>
        <v>38.65</v>
      </c>
      <c r="I8" s="2">
        <f>(F8-H8)*C8</f>
        <v>1.1999999999997613</v>
      </c>
      <c r="J8" s="52">
        <f t="shared" si="2"/>
        <v>38.6631</v>
      </c>
      <c r="K8" s="15">
        <f t="shared" si="3"/>
        <v>4639.5720000000001</v>
      </c>
      <c r="M8" s="15">
        <f t="shared" si="7"/>
        <v>5613.8821200000002</v>
      </c>
      <c r="O8" s="52">
        <f t="shared" si="4"/>
        <v>38.663083333333333</v>
      </c>
      <c r="R8" s="15">
        <v>4639.57</v>
      </c>
    </row>
    <row r="9" spans="1:20" x14ac:dyDescent="0.25">
      <c r="A9" s="3" t="s">
        <v>4</v>
      </c>
      <c r="B9" s="1" t="s">
        <v>12</v>
      </c>
      <c r="C9" s="2">
        <v>1500</v>
      </c>
      <c r="D9" s="2">
        <v>2.2999999999999998</v>
      </c>
      <c r="E9" s="64">
        <f t="shared" si="5"/>
        <v>2.2941176470588238</v>
      </c>
      <c r="F9" s="2">
        <v>2.73</v>
      </c>
      <c r="G9" s="15">
        <f t="shared" si="6"/>
        <v>4095</v>
      </c>
      <c r="H9" s="2">
        <f t="shared" ref="H9:H53" si="8">F9-0.01</f>
        <v>2.72</v>
      </c>
      <c r="I9" s="2">
        <f t="shared" ref="I9:I53" si="9">(F9-H9)*C9</f>
        <v>14.99999999999968</v>
      </c>
      <c r="J9" s="52">
        <f t="shared" si="2"/>
        <v>2.7369999999999997</v>
      </c>
      <c r="K9" s="15">
        <f t="shared" si="3"/>
        <v>4105.4999999999991</v>
      </c>
      <c r="M9" s="15">
        <f t="shared" si="7"/>
        <v>4967.6549999999988</v>
      </c>
      <c r="O9" s="62">
        <f t="shared" si="4"/>
        <v>2.7370000000000001</v>
      </c>
      <c r="R9" s="15">
        <v>4105.5</v>
      </c>
    </row>
    <row r="10" spans="1:20" x14ac:dyDescent="0.25">
      <c r="A10" s="3" t="s">
        <v>6</v>
      </c>
      <c r="B10" s="1" t="s">
        <v>13</v>
      </c>
      <c r="C10" s="2">
        <v>120</v>
      </c>
      <c r="D10" s="2">
        <v>34.409999999999997</v>
      </c>
      <c r="E10" s="2">
        <f t="shared" si="5"/>
        <v>34.411764705882355</v>
      </c>
      <c r="F10" s="63">
        <v>40.950000000000003</v>
      </c>
      <c r="G10" s="15">
        <f t="shared" si="6"/>
        <v>4914</v>
      </c>
      <c r="H10" s="2">
        <f t="shared" si="8"/>
        <v>40.940000000000005</v>
      </c>
      <c r="I10" s="2">
        <f t="shared" si="9"/>
        <v>1.1999999999997613</v>
      </c>
      <c r="J10" s="52">
        <f t="shared" si="2"/>
        <v>40.947899999999997</v>
      </c>
      <c r="K10" s="15">
        <f t="shared" si="3"/>
        <v>4913.7479999999996</v>
      </c>
      <c r="M10" s="15">
        <f t="shared" si="7"/>
        <v>5945.6350799999991</v>
      </c>
      <c r="O10" s="62">
        <f t="shared" si="4"/>
        <v>40.947916666666664</v>
      </c>
      <c r="R10" s="15">
        <v>4913.75</v>
      </c>
    </row>
    <row r="11" spans="1:20" x14ac:dyDescent="0.25">
      <c r="A11" s="3" t="s">
        <v>6</v>
      </c>
      <c r="B11" s="1" t="s">
        <v>14</v>
      </c>
      <c r="C11" s="2">
        <v>30</v>
      </c>
      <c r="D11" s="2">
        <v>19.86</v>
      </c>
      <c r="E11" s="2">
        <f t="shared" si="5"/>
        <v>19.857142857142858</v>
      </c>
      <c r="F11" s="2">
        <v>23.63</v>
      </c>
      <c r="G11" s="15">
        <f t="shared" si="6"/>
        <v>708.9</v>
      </c>
      <c r="H11" s="2">
        <f t="shared" si="8"/>
        <v>23.619999999999997</v>
      </c>
      <c r="I11" s="2">
        <f t="shared" si="9"/>
        <v>0.3000000000000469</v>
      </c>
      <c r="J11" s="52">
        <f t="shared" si="2"/>
        <v>23.633399999999998</v>
      </c>
      <c r="K11" s="15">
        <f t="shared" si="3"/>
        <v>709.00199999999995</v>
      </c>
      <c r="M11" s="15">
        <f t="shared" si="7"/>
        <v>857.8924199999999</v>
      </c>
      <c r="O11" s="52">
        <f t="shared" si="4"/>
        <v>23.633333333333333</v>
      </c>
      <c r="R11" s="15">
        <v>709</v>
      </c>
    </row>
    <row r="12" spans="1:20" x14ac:dyDescent="0.25">
      <c r="A12" s="3" t="s">
        <v>15</v>
      </c>
      <c r="B12" s="1" t="s">
        <v>16</v>
      </c>
      <c r="C12" s="2">
        <v>50</v>
      </c>
      <c r="D12" s="2">
        <v>33.74</v>
      </c>
      <c r="E12" s="2">
        <f t="shared" si="5"/>
        <v>33.739495798319325</v>
      </c>
      <c r="F12" s="2">
        <v>40.15</v>
      </c>
      <c r="G12" s="15">
        <f t="shared" si="6"/>
        <v>2007.5</v>
      </c>
      <c r="H12" s="2">
        <f t="shared" si="8"/>
        <v>40.14</v>
      </c>
      <c r="I12" s="2">
        <f t="shared" si="9"/>
        <v>0.49999999999990052</v>
      </c>
      <c r="J12" s="52">
        <f t="shared" si="2"/>
        <v>40.150599999999997</v>
      </c>
      <c r="K12" s="15">
        <f t="shared" si="3"/>
        <v>2007.5299999999997</v>
      </c>
      <c r="M12" s="15">
        <f t="shared" si="7"/>
        <v>2429.1112999999996</v>
      </c>
      <c r="O12" s="52">
        <f t="shared" si="4"/>
        <v>40.150599999999997</v>
      </c>
      <c r="R12" s="15">
        <v>2007.53</v>
      </c>
    </row>
    <row r="13" spans="1:20" x14ac:dyDescent="0.25">
      <c r="A13" s="3" t="s">
        <v>15</v>
      </c>
      <c r="B13" s="1" t="s">
        <v>17</v>
      </c>
      <c r="C13" s="2">
        <v>10</v>
      </c>
      <c r="D13" s="2">
        <v>75.02</v>
      </c>
      <c r="E13" s="2">
        <f t="shared" si="5"/>
        <v>75.016806722689083</v>
      </c>
      <c r="F13" s="2">
        <v>89.27</v>
      </c>
      <c r="G13" s="15">
        <f t="shared" si="6"/>
        <v>892.69999999999993</v>
      </c>
      <c r="H13" s="2">
        <f t="shared" si="8"/>
        <v>89.259999999999991</v>
      </c>
      <c r="I13" s="2">
        <f t="shared" si="9"/>
        <v>0.10000000000005116</v>
      </c>
      <c r="J13" s="52">
        <f t="shared" si="2"/>
        <v>89.273799999999994</v>
      </c>
      <c r="K13" s="15">
        <f t="shared" si="3"/>
        <v>892.73799999999994</v>
      </c>
      <c r="M13" s="15">
        <f t="shared" si="7"/>
        <v>1080.2129799999998</v>
      </c>
      <c r="O13" s="52">
        <f t="shared" si="4"/>
        <v>89.274000000000001</v>
      </c>
      <c r="R13" s="15">
        <v>892.74</v>
      </c>
    </row>
    <row r="14" spans="1:20" ht="20" x14ac:dyDescent="0.25">
      <c r="A14" s="3" t="s">
        <v>4</v>
      </c>
      <c r="B14" s="1" t="s">
        <v>18</v>
      </c>
      <c r="C14" s="2">
        <v>200</v>
      </c>
      <c r="D14" s="23">
        <v>2.85</v>
      </c>
      <c r="E14" s="2">
        <f t="shared" si="5"/>
        <v>2.8487394957983194</v>
      </c>
      <c r="F14" s="23">
        <v>3.39</v>
      </c>
      <c r="G14" s="15">
        <f t="shared" si="6"/>
        <v>678</v>
      </c>
      <c r="H14" s="2">
        <f t="shared" si="8"/>
        <v>3.3800000000000003</v>
      </c>
      <c r="I14" s="2">
        <f t="shared" si="9"/>
        <v>1.9999999999999574</v>
      </c>
      <c r="J14" s="52">
        <f t="shared" si="2"/>
        <v>3.3914999999999997</v>
      </c>
      <c r="K14" s="15">
        <f t="shared" si="3"/>
        <v>678.3</v>
      </c>
      <c r="M14" s="15">
        <f t="shared" si="7"/>
        <v>820.74299999999994</v>
      </c>
      <c r="O14" s="52">
        <f t="shared" si="4"/>
        <v>3.3914999999999997</v>
      </c>
      <c r="R14" s="15">
        <v>678.3</v>
      </c>
    </row>
    <row r="15" spans="1:20" ht="20" x14ac:dyDescent="0.25">
      <c r="A15" s="3" t="s">
        <v>6</v>
      </c>
      <c r="B15" s="1" t="s">
        <v>19</v>
      </c>
      <c r="C15" s="2">
        <v>10</v>
      </c>
      <c r="D15" s="2">
        <v>146.07</v>
      </c>
      <c r="E15" s="2">
        <f t="shared" si="5"/>
        <v>146.0672268907563</v>
      </c>
      <c r="F15" s="2">
        <v>173.82</v>
      </c>
      <c r="G15" s="15">
        <f t="shared" si="6"/>
        <v>1738.1999999999998</v>
      </c>
      <c r="H15" s="2">
        <f t="shared" si="8"/>
        <v>173.81</v>
      </c>
      <c r="I15" s="2">
        <f t="shared" si="9"/>
        <v>9.9999999999909051E-2</v>
      </c>
      <c r="J15" s="52">
        <f t="shared" si="2"/>
        <v>173.82329999999999</v>
      </c>
      <c r="K15" s="15">
        <f t="shared" si="3"/>
        <v>1738.2329999999999</v>
      </c>
      <c r="M15" s="15">
        <f t="shared" si="7"/>
        <v>2103.2619299999997</v>
      </c>
      <c r="O15" s="52">
        <f t="shared" si="4"/>
        <v>173.82300000000001</v>
      </c>
      <c r="R15" s="15">
        <v>1738.23</v>
      </c>
    </row>
    <row r="16" spans="1:20" ht="20" x14ac:dyDescent="0.25">
      <c r="A16" s="3" t="s">
        <v>4</v>
      </c>
      <c r="B16" s="1" t="s">
        <v>20</v>
      </c>
      <c r="C16" s="2">
        <v>10</v>
      </c>
      <c r="D16" s="2">
        <v>19.68</v>
      </c>
      <c r="E16" s="2">
        <f t="shared" si="5"/>
        <v>19.680672268907564</v>
      </c>
      <c r="F16" s="63">
        <v>23.42</v>
      </c>
      <c r="G16" s="15">
        <f t="shared" si="6"/>
        <v>234.20000000000002</v>
      </c>
      <c r="H16" s="2">
        <f t="shared" si="8"/>
        <v>23.41</v>
      </c>
      <c r="I16" s="2">
        <f t="shared" si="9"/>
        <v>0.10000000000001563</v>
      </c>
      <c r="J16" s="52">
        <f t="shared" si="2"/>
        <v>23.4192</v>
      </c>
      <c r="K16" s="15">
        <f t="shared" si="3"/>
        <v>234.19200000000001</v>
      </c>
      <c r="M16" s="15">
        <f t="shared" si="7"/>
        <v>283.37232</v>
      </c>
      <c r="O16" s="62">
        <f t="shared" si="4"/>
        <v>23.419</v>
      </c>
      <c r="R16" s="15">
        <v>234.19</v>
      </c>
    </row>
    <row r="17" spans="1:18" x14ac:dyDescent="0.25">
      <c r="A17" s="3" t="s">
        <v>15</v>
      </c>
      <c r="B17" s="1" t="s">
        <v>21</v>
      </c>
      <c r="C17" s="2">
        <v>1000</v>
      </c>
      <c r="D17" s="2">
        <v>2.84</v>
      </c>
      <c r="E17" s="64">
        <f t="shared" si="5"/>
        <v>2.8319327731092439</v>
      </c>
      <c r="F17" s="23">
        <v>3.37</v>
      </c>
      <c r="G17" s="15">
        <f t="shared" si="6"/>
        <v>3370</v>
      </c>
      <c r="H17" s="2">
        <f t="shared" si="8"/>
        <v>3.3600000000000003</v>
      </c>
      <c r="I17" s="2">
        <f t="shared" si="9"/>
        <v>9.9999999999997868</v>
      </c>
      <c r="J17" s="52">
        <f t="shared" si="2"/>
        <v>3.3795999999999995</v>
      </c>
      <c r="K17" s="15">
        <f t="shared" si="3"/>
        <v>3379.5999999999995</v>
      </c>
      <c r="M17" s="15">
        <f t="shared" si="7"/>
        <v>4089.3159999999993</v>
      </c>
      <c r="O17" s="62">
        <f t="shared" si="4"/>
        <v>3.3795999999999999</v>
      </c>
      <c r="R17" s="15">
        <v>3379.6</v>
      </c>
    </row>
    <row r="18" spans="1:18" ht="20" x14ac:dyDescent="0.25">
      <c r="A18" s="3" t="s">
        <v>22</v>
      </c>
      <c r="B18" s="1" t="s">
        <v>23</v>
      </c>
      <c r="C18" s="2">
        <v>10</v>
      </c>
      <c r="D18" s="2">
        <v>284.29000000000002</v>
      </c>
      <c r="E18" s="2">
        <f t="shared" si="5"/>
        <v>284.28571428571433</v>
      </c>
      <c r="F18" s="2">
        <v>338.3</v>
      </c>
      <c r="G18" s="15">
        <f t="shared" si="6"/>
        <v>3383</v>
      </c>
      <c r="H18" s="2">
        <f t="shared" si="8"/>
        <v>338.29</v>
      </c>
      <c r="I18" s="2">
        <f t="shared" si="9"/>
        <v>9.9999999999909051E-2</v>
      </c>
      <c r="J18" s="52">
        <f t="shared" si="2"/>
        <v>338.30509999999998</v>
      </c>
      <c r="K18" s="15">
        <f t="shared" si="3"/>
        <v>3383.0509999999999</v>
      </c>
      <c r="M18" s="15">
        <f t="shared" si="7"/>
        <v>4093.4917099999998</v>
      </c>
      <c r="O18" s="62">
        <f t="shared" si="4"/>
        <v>338.30500000000001</v>
      </c>
      <c r="R18" s="15">
        <v>3383.05</v>
      </c>
    </row>
    <row r="19" spans="1:18" ht="20" x14ac:dyDescent="0.25">
      <c r="A19" s="3" t="s">
        <v>15</v>
      </c>
      <c r="B19" s="1" t="s">
        <v>24</v>
      </c>
      <c r="C19" s="2">
        <v>500</v>
      </c>
      <c r="D19" s="2">
        <v>7.11</v>
      </c>
      <c r="E19" s="64">
        <f t="shared" si="5"/>
        <v>7.1008403361344534</v>
      </c>
      <c r="F19" s="2">
        <v>8.4499999999999993</v>
      </c>
      <c r="G19" s="15">
        <f t="shared" si="6"/>
        <v>4225</v>
      </c>
      <c r="H19" s="2">
        <f t="shared" si="8"/>
        <v>8.44</v>
      </c>
      <c r="I19" s="2">
        <f t="shared" si="9"/>
        <v>4.9999999999998934</v>
      </c>
      <c r="J19" s="52">
        <f t="shared" si="2"/>
        <v>8.4609000000000005</v>
      </c>
      <c r="K19" s="15">
        <f t="shared" si="3"/>
        <v>4230.45</v>
      </c>
      <c r="M19" s="15">
        <f t="shared" si="7"/>
        <v>5118.8444999999992</v>
      </c>
      <c r="O19" s="52">
        <f t="shared" si="4"/>
        <v>8.4608999999999988</v>
      </c>
      <c r="R19" s="15">
        <v>4230.45</v>
      </c>
    </row>
    <row r="20" spans="1:18" x14ac:dyDescent="0.25">
      <c r="A20" s="3" t="s">
        <v>4</v>
      </c>
      <c r="B20" s="1" t="s">
        <v>25</v>
      </c>
      <c r="C20" s="2">
        <v>50</v>
      </c>
      <c r="D20" s="2">
        <v>13.43</v>
      </c>
      <c r="E20" s="2">
        <f t="shared" si="5"/>
        <v>13.428571428571429</v>
      </c>
      <c r="F20" s="23">
        <v>15.98</v>
      </c>
      <c r="G20" s="15">
        <f t="shared" si="6"/>
        <v>799</v>
      </c>
      <c r="H20" s="2">
        <f t="shared" si="8"/>
        <v>15.97</v>
      </c>
      <c r="I20" s="2">
        <f t="shared" si="9"/>
        <v>0.49999999999998934</v>
      </c>
      <c r="J20" s="52">
        <f t="shared" si="2"/>
        <v>15.981699999999998</v>
      </c>
      <c r="K20" s="15">
        <f t="shared" si="3"/>
        <v>799.08499999999992</v>
      </c>
      <c r="M20" s="15">
        <f t="shared" si="7"/>
        <v>966.89284999999984</v>
      </c>
      <c r="O20" s="52">
        <f t="shared" si="4"/>
        <v>15.9818</v>
      </c>
      <c r="R20" s="15">
        <v>799.09</v>
      </c>
    </row>
    <row r="21" spans="1:18" x14ac:dyDescent="0.25">
      <c r="A21" s="3" t="s">
        <v>15</v>
      </c>
      <c r="B21" s="1" t="s">
        <v>26</v>
      </c>
      <c r="C21" s="2">
        <v>100</v>
      </c>
      <c r="D21" s="2">
        <v>56.67</v>
      </c>
      <c r="E21" s="64">
        <f t="shared" si="5"/>
        <v>56.663865546218496</v>
      </c>
      <c r="F21" s="2">
        <v>67.430000000000007</v>
      </c>
      <c r="G21" s="15">
        <f t="shared" si="6"/>
        <v>6743.0000000000009</v>
      </c>
      <c r="H21" s="2">
        <f t="shared" si="8"/>
        <v>67.42</v>
      </c>
      <c r="I21" s="2">
        <f t="shared" si="9"/>
        <v>1.0000000000005116</v>
      </c>
      <c r="J21" s="52">
        <f t="shared" si="2"/>
        <v>67.437299999999993</v>
      </c>
      <c r="K21" s="15">
        <f t="shared" si="3"/>
        <v>6743.73</v>
      </c>
      <c r="M21" s="15">
        <f t="shared" si="7"/>
        <v>8159.9132999999993</v>
      </c>
      <c r="O21" s="62">
        <f t="shared" si="4"/>
        <v>67.437299999999993</v>
      </c>
      <c r="R21" s="15">
        <v>6743.73</v>
      </c>
    </row>
    <row r="22" spans="1:18" x14ac:dyDescent="0.25">
      <c r="A22" s="3" t="s">
        <v>15</v>
      </c>
      <c r="B22" s="1" t="s">
        <v>27</v>
      </c>
      <c r="C22" s="2">
        <v>20</v>
      </c>
      <c r="D22" s="2">
        <v>113.92</v>
      </c>
      <c r="E22" s="2">
        <f t="shared" si="5"/>
        <v>113.91596638655463</v>
      </c>
      <c r="F22" s="2">
        <v>135.56</v>
      </c>
      <c r="G22" s="15">
        <f t="shared" si="6"/>
        <v>2711.2</v>
      </c>
      <c r="H22" s="2">
        <f t="shared" si="8"/>
        <v>135.55000000000001</v>
      </c>
      <c r="I22" s="2">
        <f t="shared" si="9"/>
        <v>0.1999999999998181</v>
      </c>
      <c r="J22" s="52">
        <f t="shared" si="2"/>
        <v>135.56479999999999</v>
      </c>
      <c r="K22" s="15">
        <f t="shared" si="3"/>
        <v>2711.2959999999998</v>
      </c>
      <c r="M22" s="15">
        <f t="shared" si="7"/>
        <v>3280.6681599999997</v>
      </c>
      <c r="O22" s="62">
        <f t="shared" si="4"/>
        <v>135.565</v>
      </c>
      <c r="R22" s="15">
        <v>2711.3</v>
      </c>
    </row>
    <row r="23" spans="1:18" ht="20" x14ac:dyDescent="0.25">
      <c r="A23" s="3" t="s">
        <v>4</v>
      </c>
      <c r="B23" s="1" t="s">
        <v>28</v>
      </c>
      <c r="C23" s="2">
        <v>30</v>
      </c>
      <c r="D23" s="2">
        <v>128.18</v>
      </c>
      <c r="E23" s="2">
        <f t="shared" si="5"/>
        <v>128.1764705882353</v>
      </c>
      <c r="F23" s="2">
        <v>152.53</v>
      </c>
      <c r="G23" s="15">
        <f t="shared" si="6"/>
        <v>4575.8999999999996</v>
      </c>
      <c r="H23" s="2">
        <f t="shared" si="8"/>
        <v>152.52000000000001</v>
      </c>
      <c r="I23" s="2">
        <f t="shared" si="9"/>
        <v>0.29999999999972715</v>
      </c>
      <c r="J23" s="52">
        <f t="shared" si="2"/>
        <v>152.5342</v>
      </c>
      <c r="K23" s="15">
        <f t="shared" si="3"/>
        <v>4576.0259999999998</v>
      </c>
      <c r="M23" s="15">
        <f t="shared" si="7"/>
        <v>5536.9914599999993</v>
      </c>
      <c r="O23" s="52">
        <f t="shared" si="4"/>
        <v>152.53433333333334</v>
      </c>
      <c r="R23" s="15">
        <v>4576.03</v>
      </c>
    </row>
    <row r="24" spans="1:18" x14ac:dyDescent="0.25">
      <c r="A24" s="3" t="s">
        <v>15</v>
      </c>
      <c r="B24" s="1" t="s">
        <v>29</v>
      </c>
      <c r="C24" s="2">
        <v>100</v>
      </c>
      <c r="D24" s="2">
        <v>25.98</v>
      </c>
      <c r="E24" s="64">
        <f t="shared" si="5"/>
        <v>25.974789915966387</v>
      </c>
      <c r="F24" s="2">
        <v>30.91</v>
      </c>
      <c r="G24" s="15">
        <f t="shared" si="6"/>
        <v>3091</v>
      </c>
      <c r="H24" s="2">
        <f t="shared" si="8"/>
        <v>30.9</v>
      </c>
      <c r="I24" s="2">
        <f t="shared" si="9"/>
        <v>1.0000000000001563</v>
      </c>
      <c r="J24" s="52">
        <f t="shared" si="2"/>
        <v>30.9162</v>
      </c>
      <c r="K24" s="15">
        <f t="shared" si="3"/>
        <v>3091.62</v>
      </c>
      <c r="M24" s="15">
        <f t="shared" si="7"/>
        <v>3740.8601999999996</v>
      </c>
      <c r="O24" s="62">
        <f t="shared" si="4"/>
        <v>30.9162</v>
      </c>
      <c r="R24" s="15">
        <v>3091.62</v>
      </c>
    </row>
    <row r="25" spans="1:18" x14ac:dyDescent="0.25">
      <c r="A25" s="3" t="s">
        <v>22</v>
      </c>
      <c r="B25" s="1" t="s">
        <v>30</v>
      </c>
      <c r="C25" s="2">
        <v>10</v>
      </c>
      <c r="D25" s="2">
        <v>80.94</v>
      </c>
      <c r="E25" s="2">
        <f t="shared" si="5"/>
        <v>80.941176470588232</v>
      </c>
      <c r="F25" s="63">
        <v>96.32</v>
      </c>
      <c r="G25" s="15">
        <f t="shared" si="6"/>
        <v>963.19999999999993</v>
      </c>
      <c r="H25" s="2">
        <f t="shared" si="8"/>
        <v>96.309999999999988</v>
      </c>
      <c r="I25" s="2">
        <f t="shared" si="9"/>
        <v>0.10000000000005116</v>
      </c>
      <c r="J25" s="52">
        <f t="shared" si="2"/>
        <v>96.318599999999989</v>
      </c>
      <c r="K25" s="15">
        <f t="shared" si="3"/>
        <v>963.18599999999992</v>
      </c>
      <c r="M25" s="15">
        <f t="shared" si="7"/>
        <v>1165.4550599999998</v>
      </c>
      <c r="O25" s="62">
        <f t="shared" si="4"/>
        <v>96.319000000000003</v>
      </c>
      <c r="R25" s="15">
        <v>963.19</v>
      </c>
    </row>
    <row r="26" spans="1:18" x14ac:dyDescent="0.25">
      <c r="A26" s="3" t="s">
        <v>22</v>
      </c>
      <c r="B26" s="1" t="s">
        <v>31</v>
      </c>
      <c r="C26" s="2">
        <v>5</v>
      </c>
      <c r="D26" s="2">
        <v>94.18</v>
      </c>
      <c r="E26" s="2">
        <f t="shared" si="5"/>
        <v>94.17647058823529</v>
      </c>
      <c r="F26" s="2">
        <v>112.07</v>
      </c>
      <c r="G26" s="15">
        <f t="shared" si="6"/>
        <v>560.34999999999991</v>
      </c>
      <c r="H26" s="2">
        <f t="shared" si="8"/>
        <v>112.05999999999999</v>
      </c>
      <c r="I26" s="2">
        <f t="shared" si="9"/>
        <v>5.000000000002558E-2</v>
      </c>
      <c r="J26" s="52">
        <f t="shared" si="2"/>
        <v>112.0742</v>
      </c>
      <c r="K26" s="15">
        <f t="shared" si="3"/>
        <v>560.37099999999998</v>
      </c>
      <c r="M26" s="15">
        <f t="shared" si="7"/>
        <v>678.04890999999998</v>
      </c>
      <c r="O26" s="52">
        <f t="shared" si="4"/>
        <v>112.074</v>
      </c>
      <c r="R26" s="15">
        <v>560.37</v>
      </c>
    </row>
    <row r="27" spans="1:18" s="59" customFormat="1" x14ac:dyDescent="0.25">
      <c r="A27" s="53" t="s">
        <v>22</v>
      </c>
      <c r="B27" s="54" t="s">
        <v>32</v>
      </c>
      <c r="C27" s="55">
        <v>1</v>
      </c>
      <c r="D27" s="55">
        <v>106.57</v>
      </c>
      <c r="E27" s="55"/>
      <c r="F27" s="55">
        <v>126.82</v>
      </c>
      <c r="G27" s="56">
        <f t="shared" si="6"/>
        <v>126.82</v>
      </c>
      <c r="H27" s="2">
        <f t="shared" si="8"/>
        <v>126.80999999999999</v>
      </c>
      <c r="I27" s="2">
        <f t="shared" si="9"/>
        <v>1.0000000000005116E-2</v>
      </c>
      <c r="J27" s="57">
        <f t="shared" si="2"/>
        <v>126.81829999999998</v>
      </c>
      <c r="K27" s="56">
        <f t="shared" si="3"/>
        <v>126.81829999999998</v>
      </c>
      <c r="L27" s="58"/>
      <c r="M27" s="56">
        <f t="shared" si="7"/>
        <v>153.45014299999997</v>
      </c>
      <c r="O27" s="57">
        <f t="shared" si="4"/>
        <v>126.82</v>
      </c>
      <c r="R27" s="56">
        <v>126.82</v>
      </c>
    </row>
    <row r="28" spans="1:18" s="59" customFormat="1" ht="20" x14ac:dyDescent="0.25">
      <c r="A28" s="53" t="s">
        <v>22</v>
      </c>
      <c r="B28" s="54" t="s">
        <v>33</v>
      </c>
      <c r="C28" s="55">
        <v>5</v>
      </c>
      <c r="D28" s="55">
        <v>87.53</v>
      </c>
      <c r="E28" s="55"/>
      <c r="F28" s="55">
        <v>104.16</v>
      </c>
      <c r="G28" s="56">
        <f t="shared" si="6"/>
        <v>520.79999999999995</v>
      </c>
      <c r="H28" s="2">
        <f t="shared" si="8"/>
        <v>104.14999999999999</v>
      </c>
      <c r="I28" s="2">
        <f t="shared" si="9"/>
        <v>5.000000000002558E-2</v>
      </c>
      <c r="J28" s="57">
        <f t="shared" si="2"/>
        <v>104.16069999999999</v>
      </c>
      <c r="K28" s="56">
        <f t="shared" si="3"/>
        <v>520.80349999999999</v>
      </c>
      <c r="L28" s="58"/>
      <c r="M28" s="56">
        <f t="shared" si="7"/>
        <v>630.172235</v>
      </c>
      <c r="O28" s="57">
        <f t="shared" si="4"/>
        <v>104.16</v>
      </c>
      <c r="R28" s="56">
        <v>520.79999999999995</v>
      </c>
    </row>
    <row r="29" spans="1:18" ht="20" x14ac:dyDescent="0.25">
      <c r="A29" s="3" t="s">
        <v>22</v>
      </c>
      <c r="B29" s="1" t="s">
        <v>34</v>
      </c>
      <c r="C29" s="2">
        <v>20</v>
      </c>
      <c r="D29" s="2">
        <v>72.84</v>
      </c>
      <c r="E29" s="2">
        <f t="shared" ref="E29" si="10">F29/1.19</f>
        <v>72.831932773109244</v>
      </c>
      <c r="F29" s="2">
        <v>86.67</v>
      </c>
      <c r="G29" s="15">
        <f t="shared" si="6"/>
        <v>1733.4</v>
      </c>
      <c r="H29" s="2">
        <f t="shared" si="8"/>
        <v>86.66</v>
      </c>
      <c r="I29" s="2">
        <f t="shared" si="9"/>
        <v>0.20000000000010232</v>
      </c>
      <c r="J29" s="52">
        <f t="shared" si="2"/>
        <v>86.679599999999994</v>
      </c>
      <c r="K29" s="15">
        <f t="shared" si="3"/>
        <v>1733.5919999999999</v>
      </c>
      <c r="M29" s="15">
        <f t="shared" si="7"/>
        <v>2097.6463199999998</v>
      </c>
      <c r="O29" s="62">
        <f t="shared" si="4"/>
        <v>86.67949999999999</v>
      </c>
      <c r="R29" s="15">
        <v>1733.59</v>
      </c>
    </row>
    <row r="30" spans="1:18" s="59" customFormat="1" ht="20" x14ac:dyDescent="0.25">
      <c r="A30" s="53" t="s">
        <v>4</v>
      </c>
      <c r="B30" s="54" t="s">
        <v>35</v>
      </c>
      <c r="C30" s="55">
        <v>1</v>
      </c>
      <c r="D30" s="55">
        <v>755.37</v>
      </c>
      <c r="E30" s="55"/>
      <c r="F30" s="55">
        <v>898.89</v>
      </c>
      <c r="G30" s="56">
        <f t="shared" si="6"/>
        <v>898.89</v>
      </c>
      <c r="H30" s="2">
        <f t="shared" si="8"/>
        <v>898.88</v>
      </c>
      <c r="I30" s="2">
        <f t="shared" si="9"/>
        <v>9.9999999999909051E-3</v>
      </c>
      <c r="J30" s="57">
        <f t="shared" si="2"/>
        <v>898.89029999999991</v>
      </c>
      <c r="K30" s="56">
        <f t="shared" si="3"/>
        <v>898.89029999999991</v>
      </c>
      <c r="L30" s="58"/>
      <c r="M30" s="56">
        <f t="shared" si="7"/>
        <v>1087.6572629999998</v>
      </c>
      <c r="O30" s="57">
        <f t="shared" si="4"/>
        <v>898.89</v>
      </c>
      <c r="R30" s="56">
        <v>898.89</v>
      </c>
    </row>
    <row r="31" spans="1:18" s="59" customFormat="1" ht="20" x14ac:dyDescent="0.25">
      <c r="A31" s="53" t="s">
        <v>4</v>
      </c>
      <c r="B31" s="54" t="s">
        <v>36</v>
      </c>
      <c r="C31" s="55">
        <v>1</v>
      </c>
      <c r="D31" s="55">
        <v>441.01</v>
      </c>
      <c r="E31" s="55"/>
      <c r="F31" s="55">
        <v>524.79999999999995</v>
      </c>
      <c r="G31" s="56">
        <f t="shared" si="6"/>
        <v>524.79999999999995</v>
      </c>
      <c r="H31" s="2">
        <f t="shared" si="8"/>
        <v>524.79</v>
      </c>
      <c r="I31" s="2">
        <f t="shared" si="9"/>
        <v>9.9999999999909051E-3</v>
      </c>
      <c r="J31" s="57">
        <f t="shared" si="2"/>
        <v>524.80189999999993</v>
      </c>
      <c r="K31" s="56">
        <f t="shared" si="3"/>
        <v>524.80189999999993</v>
      </c>
      <c r="L31" s="58"/>
      <c r="M31" s="56">
        <f t="shared" si="7"/>
        <v>635.01029899999992</v>
      </c>
      <c r="O31" s="57">
        <f t="shared" si="4"/>
        <v>524.79999999999995</v>
      </c>
      <c r="R31" s="56">
        <v>524.79999999999995</v>
      </c>
    </row>
    <row r="32" spans="1:18" ht="20" x14ac:dyDescent="0.25">
      <c r="A32" s="3" t="s">
        <v>15</v>
      </c>
      <c r="B32" s="1" t="s">
        <v>37</v>
      </c>
      <c r="C32" s="2">
        <v>20</v>
      </c>
      <c r="D32" s="2">
        <v>67.569999999999993</v>
      </c>
      <c r="E32" s="2">
        <f t="shared" ref="E32" si="11">F32/1.19</f>
        <v>67.563025210084035</v>
      </c>
      <c r="F32" s="2">
        <v>80.400000000000006</v>
      </c>
      <c r="G32" s="15">
        <f t="shared" si="6"/>
        <v>1608</v>
      </c>
      <c r="H32" s="2">
        <f t="shared" si="8"/>
        <v>80.39</v>
      </c>
      <c r="I32" s="2">
        <f t="shared" si="9"/>
        <v>0.20000000000010232</v>
      </c>
      <c r="J32" s="52">
        <f t="shared" si="2"/>
        <v>80.408299999999983</v>
      </c>
      <c r="K32" s="15">
        <f t="shared" si="3"/>
        <v>1608.1659999999997</v>
      </c>
      <c r="M32" s="15">
        <f t="shared" si="7"/>
        <v>1945.8808599999995</v>
      </c>
      <c r="O32" s="62">
        <f t="shared" si="4"/>
        <v>80.408500000000004</v>
      </c>
      <c r="R32" s="15">
        <v>1608.17</v>
      </c>
    </row>
    <row r="33" spans="1:18" s="59" customFormat="1" ht="20" x14ac:dyDescent="0.25">
      <c r="A33" s="53" t="s">
        <v>38</v>
      </c>
      <c r="B33" s="54" t="s">
        <v>39</v>
      </c>
      <c r="C33" s="55">
        <v>5</v>
      </c>
      <c r="D33" s="55">
        <v>36.89</v>
      </c>
      <c r="E33" s="55"/>
      <c r="F33" s="55">
        <v>43.9</v>
      </c>
      <c r="G33" s="56">
        <f t="shared" si="6"/>
        <v>219.5</v>
      </c>
      <c r="H33" s="2">
        <f t="shared" si="8"/>
        <v>43.89</v>
      </c>
      <c r="I33" s="2">
        <f t="shared" si="9"/>
        <v>4.9999999999990052E-2</v>
      </c>
      <c r="J33" s="57">
        <f t="shared" si="2"/>
        <v>43.899099999999997</v>
      </c>
      <c r="K33" s="56">
        <f t="shared" si="3"/>
        <v>219.49549999999999</v>
      </c>
      <c r="L33" s="58"/>
      <c r="M33" s="56">
        <f t="shared" si="7"/>
        <v>265.58955499999996</v>
      </c>
      <c r="O33" s="57">
        <f t="shared" si="4"/>
        <v>43.9</v>
      </c>
      <c r="R33" s="56">
        <v>219.5</v>
      </c>
    </row>
    <row r="34" spans="1:18" s="59" customFormat="1" ht="20" x14ac:dyDescent="0.25">
      <c r="A34" s="53" t="s">
        <v>22</v>
      </c>
      <c r="B34" s="54" t="s">
        <v>40</v>
      </c>
      <c r="C34" s="55">
        <v>1</v>
      </c>
      <c r="D34" s="55">
        <v>639.75</v>
      </c>
      <c r="E34" s="55"/>
      <c r="F34" s="55">
        <v>761.3</v>
      </c>
      <c r="G34" s="56">
        <f t="shared" si="6"/>
        <v>761.3</v>
      </c>
      <c r="H34" s="2">
        <f t="shared" si="8"/>
        <v>761.29</v>
      </c>
      <c r="I34" s="2">
        <f t="shared" si="9"/>
        <v>9.9999999999909051E-3</v>
      </c>
      <c r="J34" s="57">
        <f t="shared" si="2"/>
        <v>761.30250000000001</v>
      </c>
      <c r="K34" s="56">
        <f t="shared" si="3"/>
        <v>761.30250000000001</v>
      </c>
      <c r="L34" s="58"/>
      <c r="M34" s="56">
        <f t="shared" si="7"/>
        <v>921.17602499999998</v>
      </c>
      <c r="O34" s="57">
        <f t="shared" si="4"/>
        <v>761.3</v>
      </c>
      <c r="R34" s="56">
        <v>761.3</v>
      </c>
    </row>
    <row r="35" spans="1:18" s="59" customFormat="1" ht="20" x14ac:dyDescent="0.25">
      <c r="A35" s="53" t="s">
        <v>22</v>
      </c>
      <c r="B35" s="54" t="s">
        <v>41</v>
      </c>
      <c r="C35" s="55">
        <v>1</v>
      </c>
      <c r="D35" s="55">
        <v>1159.18</v>
      </c>
      <c r="E35" s="55"/>
      <c r="F35" s="55">
        <v>1379.42</v>
      </c>
      <c r="G35" s="56">
        <f t="shared" si="6"/>
        <v>1379.42</v>
      </c>
      <c r="H35" s="2">
        <f t="shared" si="8"/>
        <v>1379.41</v>
      </c>
      <c r="I35" s="2">
        <f t="shared" si="9"/>
        <v>9.9999999999909051E-3</v>
      </c>
      <c r="J35" s="57">
        <f t="shared" ref="J35:J53" si="12">D35*1.19</f>
        <v>1379.4241999999999</v>
      </c>
      <c r="K35" s="56">
        <f t="shared" ref="K35:K53" si="13">C35*J35</f>
        <v>1379.4241999999999</v>
      </c>
      <c r="L35" s="58"/>
      <c r="M35" s="56">
        <f t="shared" si="7"/>
        <v>1669.1032819999998</v>
      </c>
      <c r="O35" s="57">
        <f t="shared" ref="O35:O53" si="14">R35/C35</f>
        <v>1379.42</v>
      </c>
      <c r="R35" s="56">
        <v>1379.42</v>
      </c>
    </row>
    <row r="36" spans="1:18" ht="20" x14ac:dyDescent="0.25">
      <c r="A36" s="3" t="s">
        <v>22</v>
      </c>
      <c r="B36" s="1" t="s">
        <v>42</v>
      </c>
      <c r="C36" s="2">
        <v>20</v>
      </c>
      <c r="D36" s="2">
        <v>71.34</v>
      </c>
      <c r="E36" s="2">
        <f t="shared" ref="E36:E53" si="15">F36/1.19</f>
        <v>71.336134453781511</v>
      </c>
      <c r="F36" s="2">
        <v>84.89</v>
      </c>
      <c r="G36" s="15">
        <f t="shared" si="6"/>
        <v>1697.8</v>
      </c>
      <c r="H36" s="2">
        <f t="shared" si="8"/>
        <v>84.88</v>
      </c>
      <c r="I36" s="2">
        <f t="shared" si="9"/>
        <v>0.20000000000010232</v>
      </c>
      <c r="J36" s="52">
        <f t="shared" si="12"/>
        <v>84.894599999999997</v>
      </c>
      <c r="K36" s="15">
        <f t="shared" si="13"/>
        <v>1697.8919999999998</v>
      </c>
      <c r="M36" s="15">
        <f t="shared" si="7"/>
        <v>2054.4493199999997</v>
      </c>
      <c r="O36" s="52">
        <f t="shared" si="14"/>
        <v>84.894500000000008</v>
      </c>
      <c r="R36" s="15">
        <v>1697.89</v>
      </c>
    </row>
    <row r="37" spans="1:18" ht="20" x14ac:dyDescent="0.25">
      <c r="A37" s="3" t="s">
        <v>22</v>
      </c>
      <c r="B37" s="1" t="s">
        <v>43</v>
      </c>
      <c r="C37" s="2">
        <v>50</v>
      </c>
      <c r="D37" s="23">
        <v>5.6</v>
      </c>
      <c r="E37" s="23">
        <f t="shared" si="15"/>
        <v>5.5966386554621854</v>
      </c>
      <c r="F37" s="23">
        <v>6.66</v>
      </c>
      <c r="G37" s="15">
        <f t="shared" si="6"/>
        <v>333</v>
      </c>
      <c r="H37" s="2">
        <f t="shared" si="8"/>
        <v>6.65</v>
      </c>
      <c r="I37" s="2">
        <f t="shared" si="9"/>
        <v>0.49999999999998934</v>
      </c>
      <c r="J37" s="52">
        <f t="shared" si="12"/>
        <v>6.6639999999999997</v>
      </c>
      <c r="K37" s="15">
        <f t="shared" si="13"/>
        <v>333.2</v>
      </c>
      <c r="M37" s="15">
        <f t="shared" si="7"/>
        <v>403.17199999999997</v>
      </c>
      <c r="O37" s="52">
        <f t="shared" si="14"/>
        <v>6.6639999999999997</v>
      </c>
      <c r="R37" s="15">
        <v>333.2</v>
      </c>
    </row>
    <row r="38" spans="1:18" ht="20" x14ac:dyDescent="0.25">
      <c r="A38" s="3" t="s">
        <v>22</v>
      </c>
      <c r="B38" s="1" t="s">
        <v>44</v>
      </c>
      <c r="C38" s="2">
        <v>50</v>
      </c>
      <c r="D38" s="23">
        <v>9.8000000000000007</v>
      </c>
      <c r="E38" s="23">
        <f t="shared" si="15"/>
        <v>9.7983193277310932</v>
      </c>
      <c r="F38" s="23">
        <v>11.66</v>
      </c>
      <c r="G38" s="15">
        <f t="shared" si="6"/>
        <v>583</v>
      </c>
      <c r="H38" s="2">
        <f t="shared" si="8"/>
        <v>11.65</v>
      </c>
      <c r="I38" s="2">
        <f t="shared" si="9"/>
        <v>0.49999999999998934</v>
      </c>
      <c r="J38" s="52">
        <f t="shared" si="12"/>
        <v>11.662000000000001</v>
      </c>
      <c r="K38" s="15">
        <f t="shared" si="13"/>
        <v>583.1</v>
      </c>
      <c r="M38" s="15">
        <f t="shared" si="7"/>
        <v>705.55100000000004</v>
      </c>
      <c r="O38" s="52">
        <f t="shared" si="14"/>
        <v>11.662000000000001</v>
      </c>
      <c r="R38" s="15">
        <v>583.1</v>
      </c>
    </row>
    <row r="39" spans="1:18" s="59" customFormat="1" x14ac:dyDescent="0.25">
      <c r="A39" s="53" t="s">
        <v>22</v>
      </c>
      <c r="B39" s="54" t="s">
        <v>45</v>
      </c>
      <c r="C39" s="55">
        <v>1</v>
      </c>
      <c r="D39" s="55">
        <v>1979.06</v>
      </c>
      <c r="E39" s="55">
        <f t="shared" si="15"/>
        <v>1979.0588235294117</v>
      </c>
      <c r="F39" s="55">
        <v>2355.08</v>
      </c>
      <c r="G39" s="56">
        <f t="shared" si="6"/>
        <v>2355.08</v>
      </c>
      <c r="H39" s="2">
        <f t="shared" si="8"/>
        <v>2355.0699999999997</v>
      </c>
      <c r="I39" s="2">
        <f t="shared" si="9"/>
        <v>1.0000000000218279E-2</v>
      </c>
      <c r="J39" s="57">
        <f t="shared" si="12"/>
        <v>2355.0814</v>
      </c>
      <c r="K39" s="56">
        <f t="shared" si="13"/>
        <v>2355.0814</v>
      </c>
      <c r="L39" s="58"/>
      <c r="M39" s="56">
        <f t="shared" si="7"/>
        <v>2849.648494</v>
      </c>
      <c r="O39" s="57">
        <f t="shared" si="14"/>
        <v>2355.08</v>
      </c>
      <c r="R39" s="56">
        <v>2355.08</v>
      </c>
    </row>
    <row r="40" spans="1:18" s="59" customFormat="1" x14ac:dyDescent="0.25">
      <c r="A40" s="53" t="s">
        <v>22</v>
      </c>
      <c r="B40" s="54" t="s">
        <v>46</v>
      </c>
      <c r="C40" s="55">
        <v>1</v>
      </c>
      <c r="D40" s="55">
        <v>133.38</v>
      </c>
      <c r="E40" s="55">
        <f t="shared" si="15"/>
        <v>133.37815126050421</v>
      </c>
      <c r="F40" s="55">
        <v>158.72</v>
      </c>
      <c r="G40" s="56">
        <f t="shared" si="6"/>
        <v>158.72</v>
      </c>
      <c r="H40" s="2">
        <f t="shared" si="8"/>
        <v>158.71</v>
      </c>
      <c r="I40" s="2">
        <f t="shared" si="9"/>
        <v>9.9999999999909051E-3</v>
      </c>
      <c r="J40" s="57">
        <f t="shared" si="12"/>
        <v>158.72219999999999</v>
      </c>
      <c r="K40" s="56">
        <f t="shared" si="13"/>
        <v>158.72219999999999</v>
      </c>
      <c r="L40" s="58"/>
      <c r="M40" s="56">
        <f t="shared" si="7"/>
        <v>192.05386199999998</v>
      </c>
      <c r="O40" s="57">
        <f t="shared" si="14"/>
        <v>158.72</v>
      </c>
      <c r="R40" s="56">
        <v>158.72</v>
      </c>
    </row>
    <row r="41" spans="1:18" s="59" customFormat="1" ht="20" x14ac:dyDescent="0.25">
      <c r="A41" s="53" t="s">
        <v>22</v>
      </c>
      <c r="B41" s="54" t="s">
        <v>47</v>
      </c>
      <c r="C41" s="55">
        <v>5</v>
      </c>
      <c r="D41" s="55">
        <v>127.1</v>
      </c>
      <c r="E41" s="55">
        <f t="shared" si="15"/>
        <v>127.10084033613445</v>
      </c>
      <c r="F41" s="55">
        <v>151.25</v>
      </c>
      <c r="G41" s="56">
        <f t="shared" si="6"/>
        <v>756.25</v>
      </c>
      <c r="H41" s="2">
        <f t="shared" si="8"/>
        <v>151.24</v>
      </c>
      <c r="I41" s="2">
        <f t="shared" si="9"/>
        <v>4.9999999999954525E-2</v>
      </c>
      <c r="J41" s="57">
        <f t="shared" si="12"/>
        <v>151.249</v>
      </c>
      <c r="K41" s="56">
        <f t="shared" si="13"/>
        <v>756.245</v>
      </c>
      <c r="L41" s="58"/>
      <c r="M41" s="56">
        <f t="shared" si="7"/>
        <v>915.05644999999993</v>
      </c>
      <c r="O41" s="57">
        <f t="shared" si="14"/>
        <v>151.25</v>
      </c>
      <c r="R41" s="56">
        <v>756.25</v>
      </c>
    </row>
    <row r="42" spans="1:18" s="59" customFormat="1" ht="20" x14ac:dyDescent="0.25">
      <c r="A42" s="53" t="s">
        <v>22</v>
      </c>
      <c r="B42" s="54" t="s">
        <v>48</v>
      </c>
      <c r="C42" s="55">
        <v>1</v>
      </c>
      <c r="D42" s="55">
        <v>119.9</v>
      </c>
      <c r="E42" s="55">
        <f t="shared" si="15"/>
        <v>119.890756302521</v>
      </c>
      <c r="F42" s="61">
        <v>142.66999999999999</v>
      </c>
      <c r="G42" s="56">
        <f t="shared" si="6"/>
        <v>142.66999999999999</v>
      </c>
      <c r="H42" s="2">
        <f t="shared" si="8"/>
        <v>142.66</v>
      </c>
      <c r="I42" s="2">
        <f t="shared" si="9"/>
        <v>9.9999999999909051E-3</v>
      </c>
      <c r="J42" s="57">
        <f t="shared" si="12"/>
        <v>142.68100000000001</v>
      </c>
      <c r="K42" s="56">
        <f t="shared" si="13"/>
        <v>142.68100000000001</v>
      </c>
      <c r="L42" s="58"/>
      <c r="M42" s="56">
        <f t="shared" si="7"/>
        <v>172.64401000000001</v>
      </c>
      <c r="O42" s="57">
        <f t="shared" si="14"/>
        <v>142.68</v>
      </c>
      <c r="R42" s="56">
        <v>142.68</v>
      </c>
    </row>
    <row r="43" spans="1:18" x14ac:dyDescent="0.25">
      <c r="A43" s="3" t="s">
        <v>22</v>
      </c>
      <c r="B43" s="1" t="s">
        <v>49</v>
      </c>
      <c r="C43" s="2">
        <v>5</v>
      </c>
      <c r="D43" s="2">
        <v>72.66</v>
      </c>
      <c r="E43" s="2">
        <f t="shared" si="15"/>
        <v>72.655462184873954</v>
      </c>
      <c r="F43" s="2">
        <v>86.46</v>
      </c>
      <c r="G43" s="15">
        <f t="shared" si="6"/>
        <v>432.29999999999995</v>
      </c>
      <c r="H43" s="2">
        <f t="shared" si="8"/>
        <v>86.449999999999989</v>
      </c>
      <c r="I43" s="2">
        <f t="shared" si="9"/>
        <v>5.000000000002558E-2</v>
      </c>
      <c r="J43" s="52">
        <f t="shared" si="12"/>
        <v>86.465399999999988</v>
      </c>
      <c r="K43" s="15">
        <f t="shared" si="13"/>
        <v>432.32699999999994</v>
      </c>
      <c r="M43" s="15">
        <f t="shared" si="7"/>
        <v>523.11566999999991</v>
      </c>
      <c r="O43" s="62">
        <f t="shared" si="14"/>
        <v>86.465999999999994</v>
      </c>
      <c r="R43" s="15">
        <v>432.33</v>
      </c>
    </row>
    <row r="44" spans="1:18" ht="20" x14ac:dyDescent="0.25">
      <c r="A44" s="3" t="s">
        <v>4</v>
      </c>
      <c r="B44" s="1" t="s">
        <v>50</v>
      </c>
      <c r="C44" s="2">
        <v>20000</v>
      </c>
      <c r="D44" s="2">
        <v>0.2</v>
      </c>
      <c r="E44" s="2">
        <f t="shared" si="15"/>
        <v>0.20168067226890757</v>
      </c>
      <c r="F44" s="2">
        <v>0.24</v>
      </c>
      <c r="G44" s="15">
        <f t="shared" si="6"/>
        <v>4800</v>
      </c>
      <c r="H44" s="2">
        <f t="shared" si="8"/>
        <v>0.22999999999999998</v>
      </c>
      <c r="I44" s="2">
        <f t="shared" si="9"/>
        <v>200.00000000000017</v>
      </c>
      <c r="J44" s="52">
        <f t="shared" si="12"/>
        <v>0.23799999999999999</v>
      </c>
      <c r="K44" s="15">
        <f t="shared" si="13"/>
        <v>4760</v>
      </c>
      <c r="M44" s="15">
        <f t="shared" si="7"/>
        <v>5759.5999999999995</v>
      </c>
      <c r="O44" s="62">
        <f t="shared" si="14"/>
        <v>0.23799999999999999</v>
      </c>
      <c r="R44" s="15">
        <v>4760</v>
      </c>
    </row>
    <row r="45" spans="1:18" x14ac:dyDescent="0.25">
      <c r="A45" s="3" t="s">
        <v>4</v>
      </c>
      <c r="B45" s="1" t="s">
        <v>51</v>
      </c>
      <c r="C45" s="2">
        <v>1000</v>
      </c>
      <c r="D45" s="2">
        <v>1.88</v>
      </c>
      <c r="E45" s="2">
        <f t="shared" si="15"/>
        <v>1.8739495798319328</v>
      </c>
      <c r="F45" s="2">
        <v>2.23</v>
      </c>
      <c r="G45" s="15">
        <f t="shared" si="6"/>
        <v>2230</v>
      </c>
      <c r="H45" s="2">
        <f t="shared" si="8"/>
        <v>2.2200000000000002</v>
      </c>
      <c r="I45" s="2">
        <f t="shared" si="9"/>
        <v>9.9999999999997868</v>
      </c>
      <c r="J45" s="52">
        <f t="shared" si="12"/>
        <v>2.2371999999999996</v>
      </c>
      <c r="K45" s="15">
        <f t="shared" si="13"/>
        <v>2237.1999999999998</v>
      </c>
      <c r="M45" s="15">
        <f t="shared" si="7"/>
        <v>2707.0119999999997</v>
      </c>
      <c r="O45" s="62">
        <f t="shared" si="14"/>
        <v>2.2371999999999996</v>
      </c>
      <c r="R45" s="15">
        <v>2237.1999999999998</v>
      </c>
    </row>
    <row r="46" spans="1:18" ht="20" x14ac:dyDescent="0.25">
      <c r="A46" s="3" t="s">
        <v>4</v>
      </c>
      <c r="B46" s="1" t="s">
        <v>52</v>
      </c>
      <c r="C46" s="2">
        <v>500</v>
      </c>
      <c r="D46" s="2">
        <v>5.49</v>
      </c>
      <c r="E46" s="2">
        <f t="shared" si="15"/>
        <v>5.4873949579831933</v>
      </c>
      <c r="F46" s="2">
        <v>6.53</v>
      </c>
      <c r="G46" s="15">
        <f t="shared" si="6"/>
        <v>3265</v>
      </c>
      <c r="H46" s="2">
        <f t="shared" si="8"/>
        <v>6.5200000000000005</v>
      </c>
      <c r="I46" s="2">
        <f t="shared" si="9"/>
        <v>4.9999999999998934</v>
      </c>
      <c r="J46" s="52">
        <f t="shared" si="12"/>
        <v>6.5331000000000001</v>
      </c>
      <c r="K46" s="15">
        <f t="shared" si="13"/>
        <v>3266.55</v>
      </c>
      <c r="M46" s="15">
        <f t="shared" si="7"/>
        <v>3952.5255000000002</v>
      </c>
      <c r="O46" s="52">
        <f t="shared" si="14"/>
        <v>6.5331000000000001</v>
      </c>
      <c r="R46" s="15">
        <v>3266.55</v>
      </c>
    </row>
    <row r="47" spans="1:18" ht="20" x14ac:dyDescent="0.25">
      <c r="A47" s="3" t="s">
        <v>22</v>
      </c>
      <c r="B47" s="1" t="s">
        <v>53</v>
      </c>
      <c r="C47" s="2">
        <v>10</v>
      </c>
      <c r="D47" s="2">
        <v>73.88</v>
      </c>
      <c r="E47" s="2">
        <f t="shared" si="15"/>
        <v>73.87394957983193</v>
      </c>
      <c r="F47" s="2">
        <v>87.91</v>
      </c>
      <c r="G47" s="15">
        <f t="shared" si="6"/>
        <v>879.09999999999991</v>
      </c>
      <c r="H47" s="2">
        <f t="shared" si="8"/>
        <v>87.899999999999991</v>
      </c>
      <c r="I47" s="2">
        <f t="shared" si="9"/>
        <v>0.10000000000005116</v>
      </c>
      <c r="J47" s="52">
        <f t="shared" si="12"/>
        <v>87.917199999999994</v>
      </c>
      <c r="K47" s="15">
        <f t="shared" si="13"/>
        <v>879.17199999999991</v>
      </c>
      <c r="M47" s="15">
        <f t="shared" si="7"/>
        <v>1063.7981199999999</v>
      </c>
      <c r="O47" s="62">
        <f t="shared" si="14"/>
        <v>87.917000000000002</v>
      </c>
      <c r="R47" s="15">
        <v>879.17</v>
      </c>
    </row>
    <row r="48" spans="1:18" ht="26" customHeight="1" x14ac:dyDescent="0.25">
      <c r="A48" s="3" t="s">
        <v>22</v>
      </c>
      <c r="B48" s="1" t="s">
        <v>54</v>
      </c>
      <c r="C48" s="2">
        <v>10</v>
      </c>
      <c r="D48" s="2">
        <v>147.77000000000001</v>
      </c>
      <c r="E48" s="2">
        <f t="shared" si="15"/>
        <v>147.76470588235296</v>
      </c>
      <c r="F48" s="2">
        <v>175.84</v>
      </c>
      <c r="G48" s="15">
        <f t="shared" si="6"/>
        <v>1758.4</v>
      </c>
      <c r="H48" s="2">
        <f t="shared" si="8"/>
        <v>175.83</v>
      </c>
      <c r="I48" s="2">
        <f t="shared" si="9"/>
        <v>9.9999999999909051E-2</v>
      </c>
      <c r="J48" s="52">
        <f t="shared" si="12"/>
        <v>175.84630000000001</v>
      </c>
      <c r="K48" s="15">
        <f t="shared" si="13"/>
        <v>1758.4630000000002</v>
      </c>
      <c r="M48" s="15">
        <f t="shared" si="7"/>
        <v>2127.7402300000003</v>
      </c>
      <c r="O48" s="62">
        <f t="shared" si="14"/>
        <v>175.846</v>
      </c>
      <c r="R48" s="15">
        <v>1758.46</v>
      </c>
    </row>
    <row r="49" spans="1:20" ht="20" x14ac:dyDescent="0.25">
      <c r="A49" s="3" t="s">
        <v>6</v>
      </c>
      <c r="B49" s="1" t="s">
        <v>55</v>
      </c>
      <c r="C49" s="2">
        <v>100</v>
      </c>
      <c r="D49" s="2">
        <v>26.93</v>
      </c>
      <c r="E49" s="2">
        <f t="shared" si="15"/>
        <v>26.92436974789916</v>
      </c>
      <c r="F49" s="2">
        <v>32.04</v>
      </c>
      <c r="G49" s="15">
        <f t="shared" si="6"/>
        <v>3204</v>
      </c>
      <c r="H49" s="2">
        <f t="shared" si="8"/>
        <v>32.03</v>
      </c>
      <c r="I49" s="2">
        <f t="shared" si="9"/>
        <v>0.99999999999980105</v>
      </c>
      <c r="J49" s="52">
        <f t="shared" si="12"/>
        <v>32.046700000000001</v>
      </c>
      <c r="K49" s="15">
        <f t="shared" si="13"/>
        <v>3204.67</v>
      </c>
      <c r="M49" s="15">
        <f t="shared" si="7"/>
        <v>3877.6507000000001</v>
      </c>
      <c r="O49" s="62">
        <f t="shared" si="14"/>
        <v>32.046700000000001</v>
      </c>
      <c r="R49" s="15">
        <v>3204.67</v>
      </c>
    </row>
    <row r="50" spans="1:20" s="59" customFormat="1" ht="20" x14ac:dyDescent="0.25">
      <c r="A50" s="53" t="s">
        <v>56</v>
      </c>
      <c r="B50" s="54" t="s">
        <v>57</v>
      </c>
      <c r="C50" s="55">
        <v>10</v>
      </c>
      <c r="D50" s="55">
        <v>237.63</v>
      </c>
      <c r="E50" s="2">
        <f t="shared" si="15"/>
        <v>237.63025210084032</v>
      </c>
      <c r="F50" s="55">
        <v>282.77999999999997</v>
      </c>
      <c r="G50" s="56">
        <f t="shared" si="6"/>
        <v>2827.7999999999997</v>
      </c>
      <c r="H50" s="2">
        <f t="shared" si="8"/>
        <v>282.77</v>
      </c>
      <c r="I50" s="2">
        <f t="shared" si="9"/>
        <v>9.9999999999909051E-2</v>
      </c>
      <c r="J50" s="57">
        <f t="shared" si="12"/>
        <v>282.77969999999999</v>
      </c>
      <c r="K50" s="56">
        <f t="shared" si="13"/>
        <v>2827.797</v>
      </c>
      <c r="L50" s="58"/>
      <c r="M50" s="56">
        <f t="shared" si="7"/>
        <v>3421.6343699999998</v>
      </c>
      <c r="O50" s="57">
        <f t="shared" si="14"/>
        <v>282.78000000000003</v>
      </c>
      <c r="R50" s="56">
        <v>2827.8</v>
      </c>
    </row>
    <row r="51" spans="1:20" s="59" customFormat="1" ht="20" x14ac:dyDescent="0.25">
      <c r="A51" s="53" t="s">
        <v>22</v>
      </c>
      <c r="B51" s="54" t="s">
        <v>58</v>
      </c>
      <c r="C51" s="55">
        <v>52</v>
      </c>
      <c r="D51" s="55">
        <v>100</v>
      </c>
      <c r="E51" s="2">
        <f t="shared" si="15"/>
        <v>100</v>
      </c>
      <c r="F51" s="55">
        <v>119</v>
      </c>
      <c r="G51" s="56">
        <f t="shared" si="6"/>
        <v>6188</v>
      </c>
      <c r="H51" s="2">
        <f t="shared" si="8"/>
        <v>118.99</v>
      </c>
      <c r="I51" s="2">
        <f t="shared" si="9"/>
        <v>0.52000000000026603</v>
      </c>
      <c r="J51" s="57">
        <f t="shared" si="12"/>
        <v>119</v>
      </c>
      <c r="K51" s="56">
        <f t="shared" si="13"/>
        <v>6188</v>
      </c>
      <c r="L51" s="58"/>
      <c r="M51" s="56">
        <f t="shared" si="7"/>
        <v>7487.48</v>
      </c>
      <c r="O51" s="57">
        <f t="shared" si="14"/>
        <v>119</v>
      </c>
      <c r="R51" s="56">
        <v>6188</v>
      </c>
    </row>
    <row r="52" spans="1:20" ht="20" x14ac:dyDescent="0.25">
      <c r="A52" s="3" t="s">
        <v>59</v>
      </c>
      <c r="B52" s="1" t="s">
        <v>60</v>
      </c>
      <c r="C52" s="23">
        <v>40</v>
      </c>
      <c r="D52" s="23">
        <v>66.760000000000005</v>
      </c>
      <c r="E52" s="2">
        <f t="shared" si="15"/>
        <v>66.756302521008408</v>
      </c>
      <c r="F52" s="23">
        <v>79.44</v>
      </c>
      <c r="G52" s="15">
        <f t="shared" si="6"/>
        <v>3177.6</v>
      </c>
      <c r="H52" s="2">
        <f t="shared" si="8"/>
        <v>79.429999999999993</v>
      </c>
      <c r="I52" s="2">
        <f t="shared" si="9"/>
        <v>0.40000000000020464</v>
      </c>
      <c r="J52" s="52">
        <f t="shared" si="12"/>
        <v>79.444400000000002</v>
      </c>
      <c r="K52" s="15">
        <f t="shared" si="13"/>
        <v>3177.7759999999998</v>
      </c>
      <c r="M52" s="15">
        <f t="shared" si="7"/>
        <v>3845.1089599999996</v>
      </c>
      <c r="O52" s="52">
        <f t="shared" si="14"/>
        <v>79.444500000000005</v>
      </c>
      <c r="R52" s="15">
        <v>3177.78</v>
      </c>
    </row>
    <row r="53" spans="1:20" s="59" customFormat="1" ht="20.5" thickBot="1" x14ac:dyDescent="0.3">
      <c r="A53" s="53" t="s">
        <v>61</v>
      </c>
      <c r="B53" s="54" t="s">
        <v>62</v>
      </c>
      <c r="C53" s="55">
        <v>1</v>
      </c>
      <c r="D53" s="55">
        <v>1500</v>
      </c>
      <c r="E53" s="2">
        <f t="shared" si="15"/>
        <v>1500</v>
      </c>
      <c r="F53" s="55">
        <v>1785</v>
      </c>
      <c r="G53" s="60">
        <f t="shared" si="6"/>
        <v>1785</v>
      </c>
      <c r="H53" s="2">
        <f t="shared" si="8"/>
        <v>1784.99</v>
      </c>
      <c r="I53" s="2">
        <f t="shared" si="9"/>
        <v>9.9999999999909051E-3</v>
      </c>
      <c r="J53" s="57">
        <f t="shared" si="12"/>
        <v>1785</v>
      </c>
      <c r="K53" s="60">
        <f t="shared" si="13"/>
        <v>1785</v>
      </c>
      <c r="L53" s="58"/>
      <c r="M53" s="60">
        <f t="shared" si="7"/>
        <v>2159.85</v>
      </c>
      <c r="O53" s="57">
        <f t="shared" si="14"/>
        <v>1785</v>
      </c>
      <c r="R53" s="56">
        <v>1785</v>
      </c>
    </row>
    <row r="54" spans="1:20" ht="11" thickTop="1" x14ac:dyDescent="0.25">
      <c r="D54" s="8">
        <f>K54/1.19</f>
        <v>83484.62</v>
      </c>
      <c r="G54" s="18">
        <f>SUM(G3:G53)</f>
        <v>99346.700000000026</v>
      </c>
      <c r="H54" s="18"/>
      <c r="I54" s="18"/>
      <c r="K54" s="18">
        <f>SUM(K3:K53)</f>
        <v>99346.697799999994</v>
      </c>
      <c r="M54" s="18">
        <f>SUM(M3:M53)</f>
        <v>120209.50433800001</v>
      </c>
      <c r="N54" s="16"/>
      <c r="O54" s="18">
        <f>M54-K54-0.01</f>
        <v>20862.796538000021</v>
      </c>
      <c r="S54" s="1" t="s">
        <v>78</v>
      </c>
      <c r="T54" s="29">
        <f>K54/1.19</f>
        <v>83484.62</v>
      </c>
    </row>
    <row r="55" spans="1:20" x14ac:dyDescent="0.25">
      <c r="J55" s="25" t="s">
        <v>74</v>
      </c>
      <c r="K55" s="26">
        <v>99346.7</v>
      </c>
      <c r="L55" s="27"/>
      <c r="M55" s="26">
        <f>K55*1.21</f>
        <v>120209.507</v>
      </c>
      <c r="N55" s="16"/>
      <c r="O55" s="24">
        <f>M55-K55</f>
        <v>20862.807000000001</v>
      </c>
      <c r="S55" s="31">
        <v>0.06</v>
      </c>
      <c r="T55" s="29">
        <f>T54*0.06</f>
        <v>5009.0771999999997</v>
      </c>
    </row>
    <row r="56" spans="1:20" ht="11" thickBot="1" x14ac:dyDescent="0.3">
      <c r="D56" s="8">
        <f>D54*0.06</f>
        <v>5009.0771999999997</v>
      </c>
      <c r="N56" s="16"/>
      <c r="O56" s="16"/>
      <c r="S56" s="31">
        <v>0.13</v>
      </c>
      <c r="T56" s="30">
        <f>T54*0.13</f>
        <v>10853.000599999999</v>
      </c>
    </row>
    <row r="57" spans="1:20" ht="11" thickTop="1" x14ac:dyDescent="0.25">
      <c r="J57" s="1" t="s">
        <v>64</v>
      </c>
      <c r="K57" s="9">
        <f>K55/4</f>
        <v>24836.674999999999</v>
      </c>
      <c r="L57" s="9"/>
      <c r="M57" s="9">
        <f>K57*1.21</f>
        <v>30052.376749999999</v>
      </c>
      <c r="N57" s="16"/>
      <c r="O57" s="18">
        <f>M57-K57</f>
        <v>5215.7017500000002</v>
      </c>
      <c r="T57" s="29">
        <f>SUM(T54:T56)</f>
        <v>99346.697799999994</v>
      </c>
    </row>
    <row r="58" spans="1:20" ht="11" thickBot="1" x14ac:dyDescent="0.3">
      <c r="J58" s="1" t="s">
        <v>65</v>
      </c>
      <c r="K58" s="21">
        <f>(K55/4)*3</f>
        <v>74510.024999999994</v>
      </c>
      <c r="L58" s="9"/>
      <c r="M58" s="21">
        <f>K58*1.21</f>
        <v>90157.130249999987</v>
      </c>
      <c r="N58" s="16"/>
      <c r="O58" s="18">
        <f>M58-K58</f>
        <v>15647.105249999993</v>
      </c>
      <c r="S58" s="6" t="s">
        <v>79</v>
      </c>
    </row>
    <row r="59" spans="1:20" ht="11" thickTop="1" x14ac:dyDescent="0.25">
      <c r="J59" s="1"/>
      <c r="K59" s="9">
        <f>K57+K58</f>
        <v>99346.7</v>
      </c>
      <c r="L59" s="9"/>
      <c r="M59" s="28">
        <f>M57+M58</f>
        <v>120209.50699999998</v>
      </c>
      <c r="N59" s="16"/>
      <c r="O59" s="18"/>
    </row>
    <row r="60" spans="1:20" x14ac:dyDescent="0.25">
      <c r="J60" s="1"/>
      <c r="K60" s="10"/>
      <c r="L60" s="9"/>
      <c r="M60" s="9"/>
      <c r="N60" s="16"/>
      <c r="O60" s="16"/>
    </row>
    <row r="61" spans="1:20" x14ac:dyDescent="0.25">
      <c r="D61" s="65" t="s">
        <v>71</v>
      </c>
      <c r="E61" s="37"/>
      <c r="F61" s="37"/>
      <c r="G61" s="37"/>
      <c r="H61" s="37"/>
      <c r="I61" s="37"/>
      <c r="J61" s="1" t="s">
        <v>66</v>
      </c>
      <c r="K61" s="9">
        <f>((99346.7-1785)/4)</f>
        <v>24390.424999999999</v>
      </c>
      <c r="L61" s="9"/>
      <c r="M61" s="32">
        <v>24390.42</v>
      </c>
      <c r="N61" s="16"/>
      <c r="O61" s="16"/>
      <c r="R61" s="66"/>
    </row>
    <row r="62" spans="1:20" ht="11" thickBot="1" x14ac:dyDescent="0.3">
      <c r="D62" s="65"/>
      <c r="E62" s="37"/>
      <c r="F62" s="37"/>
      <c r="G62" s="37"/>
      <c r="H62" s="37"/>
      <c r="I62" s="37"/>
      <c r="J62" s="1" t="s">
        <v>67</v>
      </c>
      <c r="K62" s="21">
        <f>1785/4</f>
        <v>446.25</v>
      </c>
      <c r="L62" s="9"/>
      <c r="M62" s="33">
        <v>446.25</v>
      </c>
      <c r="N62" s="16"/>
      <c r="O62" s="16"/>
      <c r="R62" s="66"/>
    </row>
    <row r="63" spans="1:20" ht="11" thickTop="1" x14ac:dyDescent="0.25">
      <c r="J63" s="1"/>
      <c r="K63" s="11">
        <f>K61+K62</f>
        <v>24836.674999999999</v>
      </c>
      <c r="L63" s="9"/>
      <c r="M63" s="34">
        <f>M61+M62</f>
        <v>24836.67</v>
      </c>
      <c r="N63" s="16"/>
      <c r="O63" s="16"/>
      <c r="R63" s="66"/>
    </row>
    <row r="64" spans="1:20" ht="11" thickBot="1" x14ac:dyDescent="0.3">
      <c r="J64" s="1" t="s">
        <v>76</v>
      </c>
      <c r="K64" s="12">
        <f>K63*0.21</f>
        <v>5215.7017499999993</v>
      </c>
      <c r="L64" s="9"/>
      <c r="M64" s="35">
        <f>M63*0.21</f>
        <v>5215.7006999999994</v>
      </c>
      <c r="N64" s="16"/>
      <c r="O64" s="16"/>
      <c r="R64" s="66"/>
    </row>
    <row r="65" spans="4:18" ht="11" thickTop="1" x14ac:dyDescent="0.25">
      <c r="J65" s="1" t="s">
        <v>3</v>
      </c>
      <c r="K65" s="10">
        <f>K63+K64</f>
        <v>30052.376749999999</v>
      </c>
      <c r="L65" s="9"/>
      <c r="M65" s="36">
        <f>M63+M64</f>
        <v>30052.370699999999</v>
      </c>
      <c r="N65" s="16"/>
      <c r="O65" s="16"/>
      <c r="R65" s="66"/>
    </row>
    <row r="66" spans="4:18" x14ac:dyDescent="0.25">
      <c r="J66" s="1"/>
      <c r="K66" s="10"/>
      <c r="L66" s="9"/>
      <c r="M66" s="9"/>
      <c r="N66" s="16"/>
      <c r="O66" s="16"/>
      <c r="R66" s="66"/>
    </row>
    <row r="67" spans="4:18" x14ac:dyDescent="0.25">
      <c r="D67" s="65" t="s">
        <v>75</v>
      </c>
      <c r="E67" s="37"/>
      <c r="F67" s="37"/>
      <c r="G67" s="37"/>
      <c r="H67" s="37"/>
      <c r="I67" s="37"/>
      <c r="J67" s="1" t="s">
        <v>66</v>
      </c>
      <c r="K67" s="9">
        <f>((99346.7-1785)/4)*3</f>
        <v>73171.274999999994</v>
      </c>
      <c r="L67" s="9"/>
      <c r="M67" s="32">
        <v>73171.28</v>
      </c>
      <c r="N67" s="16"/>
      <c r="O67" s="16"/>
      <c r="R67" s="66"/>
    </row>
    <row r="68" spans="4:18" ht="11" thickBot="1" x14ac:dyDescent="0.3">
      <c r="D68" s="65"/>
      <c r="E68" s="37"/>
      <c r="F68" s="37"/>
      <c r="G68" s="37"/>
      <c r="H68" s="37"/>
      <c r="I68" s="37"/>
      <c r="J68" s="1" t="s">
        <v>67</v>
      </c>
      <c r="K68" s="12">
        <f>(1785/4)*3</f>
        <v>1338.75</v>
      </c>
      <c r="L68" s="9"/>
      <c r="M68" s="33">
        <v>1338.75</v>
      </c>
      <c r="N68" s="16"/>
      <c r="O68" s="16"/>
      <c r="R68" s="66"/>
    </row>
    <row r="69" spans="4:18" ht="11" thickTop="1" x14ac:dyDescent="0.25">
      <c r="J69" s="1"/>
      <c r="K69" s="11">
        <f>K67+K68</f>
        <v>74510.024999999994</v>
      </c>
      <c r="L69" s="9"/>
      <c r="M69" s="34">
        <f>M67+M68</f>
        <v>74510.03</v>
      </c>
      <c r="N69" s="16"/>
      <c r="O69" s="16"/>
      <c r="R69" s="66"/>
    </row>
    <row r="70" spans="4:18" ht="11" thickBot="1" x14ac:dyDescent="0.3">
      <c r="D70" s="6"/>
      <c r="F70" s="6"/>
      <c r="G70" s="6"/>
      <c r="H70" s="6"/>
      <c r="I70" s="6"/>
      <c r="J70" s="6" t="s">
        <v>76</v>
      </c>
      <c r="K70" s="12">
        <f>K69*0.21</f>
        <v>15647.105249999999</v>
      </c>
      <c r="M70" s="35">
        <f>M69*0.21</f>
        <v>15647.106299999999</v>
      </c>
      <c r="N70" s="16"/>
      <c r="O70" s="16"/>
      <c r="R70" s="66"/>
    </row>
    <row r="71" spans="4:18" ht="11" thickTop="1" x14ac:dyDescent="0.25">
      <c r="J71" s="1" t="s">
        <v>3</v>
      </c>
      <c r="K71" s="10">
        <f>K69+K70</f>
        <v>90157.130249999987</v>
      </c>
      <c r="L71" s="9"/>
      <c r="M71" s="36">
        <f>M69+M70</f>
        <v>90157.136299999998</v>
      </c>
      <c r="N71" s="16"/>
      <c r="O71" s="16"/>
    </row>
    <row r="72" spans="4:18" x14ac:dyDescent="0.25">
      <c r="J72" s="1"/>
      <c r="K72" s="11"/>
      <c r="L72" s="9"/>
      <c r="M72" s="11"/>
      <c r="N72" s="16"/>
      <c r="O72" s="16"/>
    </row>
    <row r="73" spans="4:18" x14ac:dyDescent="0.25">
      <c r="D73" s="65" t="s">
        <v>68</v>
      </c>
      <c r="E73" s="37"/>
      <c r="F73" s="37"/>
      <c r="G73" s="37"/>
      <c r="H73" s="37"/>
      <c r="I73" s="37"/>
      <c r="J73" s="1" t="s">
        <v>66</v>
      </c>
      <c r="K73" s="9">
        <f>97561.7</f>
        <v>97561.7</v>
      </c>
      <c r="L73" s="9"/>
      <c r="M73" s="10">
        <f>K73*1.21</f>
        <v>118049.65699999999</v>
      </c>
      <c r="N73" s="16"/>
      <c r="O73" s="16"/>
    </row>
    <row r="74" spans="4:18" ht="11" thickBot="1" x14ac:dyDescent="0.3">
      <c r="D74" s="65"/>
      <c r="E74" s="37"/>
      <c r="F74" s="37"/>
      <c r="G74" s="37"/>
      <c r="H74" s="37"/>
      <c r="I74" s="37"/>
      <c r="J74" s="1" t="s">
        <v>67</v>
      </c>
      <c r="K74" s="12">
        <f>K53</f>
        <v>1785</v>
      </c>
      <c r="L74" s="9"/>
      <c r="M74" s="12">
        <f>M53</f>
        <v>2159.85</v>
      </c>
      <c r="N74" s="16"/>
      <c r="O74" s="16"/>
    </row>
    <row r="75" spans="4:18" ht="11" thickTop="1" x14ac:dyDescent="0.25">
      <c r="J75" s="1"/>
      <c r="K75" s="11">
        <f>K73+K74</f>
        <v>99346.7</v>
      </c>
      <c r="L75" s="9"/>
      <c r="M75" s="11">
        <f>M73+M74</f>
        <v>120209.507</v>
      </c>
      <c r="N75" s="16"/>
      <c r="O75" s="16"/>
    </row>
    <row r="76" spans="4:18" x14ac:dyDescent="0.25">
      <c r="K76" s="10"/>
      <c r="L76" s="9"/>
      <c r="M76" s="9"/>
      <c r="N76" s="16"/>
      <c r="O76" s="16"/>
    </row>
    <row r="77" spans="4:18" x14ac:dyDescent="0.25">
      <c r="D77" s="65" t="s">
        <v>69</v>
      </c>
      <c r="E77" s="37"/>
      <c r="F77" s="37"/>
      <c r="G77" s="37"/>
      <c r="H77" s="37"/>
      <c r="I77" s="37"/>
      <c r="J77" s="1" t="s">
        <v>66</v>
      </c>
      <c r="K77" s="10">
        <f>97561.7*4</f>
        <v>390246.8</v>
      </c>
      <c r="L77" s="9"/>
      <c r="M77" s="10">
        <f>M73*4</f>
        <v>472198.62799999997</v>
      </c>
      <c r="N77" s="16"/>
      <c r="O77" s="16"/>
    </row>
    <row r="78" spans="4:18" ht="11" thickBot="1" x14ac:dyDescent="0.3">
      <c r="D78" s="65"/>
      <c r="E78" s="37"/>
      <c r="F78" s="37"/>
      <c r="G78" s="37"/>
      <c r="H78" s="37"/>
      <c r="I78" s="37"/>
      <c r="J78" s="1" t="s">
        <v>67</v>
      </c>
      <c r="K78" s="12">
        <f>K74*4</f>
        <v>7140</v>
      </c>
      <c r="L78" s="9"/>
      <c r="M78" s="12">
        <f>M74*4</f>
        <v>8639.4</v>
      </c>
      <c r="N78" s="16"/>
      <c r="O78" s="16"/>
    </row>
    <row r="79" spans="4:18" ht="11" thickTop="1" x14ac:dyDescent="0.25">
      <c r="K79" s="11">
        <f>K77+K78</f>
        <v>397386.8</v>
      </c>
      <c r="L79" s="9"/>
      <c r="M79" s="11">
        <f>M77+M78</f>
        <v>480838.02799999999</v>
      </c>
      <c r="N79" s="16"/>
      <c r="O79" s="16"/>
    </row>
    <row r="80" spans="4:18" x14ac:dyDescent="0.25">
      <c r="N80" s="16"/>
      <c r="O80" s="16"/>
    </row>
    <row r="81" spans="10:15" x14ac:dyDescent="0.25">
      <c r="J81" s="19">
        <v>0.2</v>
      </c>
      <c r="K81" s="16">
        <f>397386.8 *0.2</f>
        <v>79477.36</v>
      </c>
      <c r="N81" s="16"/>
      <c r="O81" s="16"/>
    </row>
    <row r="82" spans="10:15" x14ac:dyDescent="0.25">
      <c r="N82" s="16"/>
      <c r="O82" s="16"/>
    </row>
    <row r="83" spans="10:15" x14ac:dyDescent="0.25">
      <c r="K83" s="16">
        <f>K79+K81</f>
        <v>476864.16</v>
      </c>
      <c r="N83" s="16"/>
      <c r="O83" s="16"/>
    </row>
    <row r="84" spans="10:15" x14ac:dyDescent="0.25">
      <c r="N84" s="16"/>
      <c r="O84" s="16"/>
    </row>
    <row r="85" spans="10:15" x14ac:dyDescent="0.25">
      <c r="N85" s="16"/>
      <c r="O85" s="16"/>
    </row>
    <row r="86" spans="10:15" ht="21" x14ac:dyDescent="0.25">
      <c r="J86" s="20" t="s">
        <v>72</v>
      </c>
      <c r="K86" s="16">
        <f>99346.7*1.5</f>
        <v>149020.04999999999</v>
      </c>
      <c r="M86" s="16">
        <f>(476864.16/4)*1.5</f>
        <v>178824.06</v>
      </c>
      <c r="N86" s="16"/>
      <c r="O86" s="16"/>
    </row>
    <row r="87" spans="10:15" x14ac:dyDescent="0.25">
      <c r="N87" s="16"/>
      <c r="O87" s="16"/>
    </row>
    <row r="88" spans="10:15" ht="21" x14ac:dyDescent="0.25">
      <c r="J88" s="20" t="s">
        <v>73</v>
      </c>
      <c r="K88" s="16">
        <f>99346.7*0.7</f>
        <v>69542.689999999988</v>
      </c>
      <c r="M88" s="16">
        <f>(476864.16/4)*0.7</f>
        <v>83451.227999999988</v>
      </c>
      <c r="N88" s="16"/>
      <c r="O88" s="16"/>
    </row>
  </sheetData>
  <mergeCells count="5">
    <mergeCell ref="D61:D62"/>
    <mergeCell ref="R61:R70"/>
    <mergeCell ref="D67:D68"/>
    <mergeCell ref="D73:D74"/>
    <mergeCell ref="D77:D78"/>
  </mergeCells>
  <pageMargins left="0.31496062992125984" right="0.31496062992125984" top="0.35433070866141736" bottom="0.35433070866141736" header="0.31496062992125984" footer="0.31496062992125984"/>
  <pageSetup paperSize="9" scale="80" orientation="portrait" r:id="rId1"/>
  <rowBreaks count="1" manualBreakCount="1">
    <brk id="59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C77D7-FB61-4660-99C6-99EE5CFED570}">
  <dimension ref="A1:L55"/>
  <sheetViews>
    <sheetView tabSelected="1" workbookViewId="0">
      <selection activeCell="J38" sqref="J38"/>
    </sheetView>
  </sheetViews>
  <sheetFormatPr defaultRowHeight="14.5" x14ac:dyDescent="0.35"/>
  <cols>
    <col min="1" max="1" width="4.90625" style="73" customWidth="1"/>
    <col min="2" max="2" width="14.90625" style="76" customWidth="1"/>
    <col min="3" max="3" width="11.7265625" customWidth="1"/>
    <col min="4" max="4" width="9.36328125" bestFit="1" customWidth="1"/>
    <col min="8" max="8" width="10.90625" customWidth="1"/>
    <col min="12" max="12" width="14.1796875" bestFit="1" customWidth="1"/>
  </cols>
  <sheetData>
    <row r="1" spans="1:12" ht="20" customHeight="1" thickBot="1" x14ac:dyDescent="0.4">
      <c r="A1" s="70"/>
      <c r="B1" s="69"/>
      <c r="C1" s="69"/>
      <c r="D1" s="85"/>
      <c r="E1" s="89" t="s">
        <v>96</v>
      </c>
      <c r="F1" s="90"/>
      <c r="G1" s="90"/>
      <c r="H1" s="91"/>
    </row>
    <row r="2" spans="1:12" ht="54" customHeight="1" x14ac:dyDescent="0.35">
      <c r="A2" s="77" t="s">
        <v>97</v>
      </c>
      <c r="B2" s="78" t="s">
        <v>98</v>
      </c>
      <c r="C2" s="77" t="s">
        <v>99</v>
      </c>
      <c r="D2" s="86" t="s">
        <v>100</v>
      </c>
      <c r="E2" s="77" t="s">
        <v>101</v>
      </c>
      <c r="F2" s="81" t="s">
        <v>102</v>
      </c>
      <c r="G2" s="77" t="s">
        <v>103</v>
      </c>
      <c r="H2" s="77" t="s">
        <v>104</v>
      </c>
    </row>
    <row r="3" spans="1:12" ht="17" customHeight="1" thickBot="1" x14ac:dyDescent="0.4">
      <c r="A3" s="79"/>
      <c r="B3" s="80"/>
      <c r="C3" s="79"/>
      <c r="D3" s="87"/>
      <c r="E3" s="79"/>
      <c r="F3" s="82" t="s">
        <v>70</v>
      </c>
      <c r="G3" s="79"/>
      <c r="H3" s="79"/>
    </row>
    <row r="4" spans="1:12" ht="57.5" customHeight="1" thickBot="1" x14ac:dyDescent="0.4">
      <c r="A4" s="71" t="s">
        <v>4</v>
      </c>
      <c r="B4" s="74" t="s">
        <v>5</v>
      </c>
      <c r="C4" s="83">
        <v>3.39</v>
      </c>
      <c r="D4" s="88">
        <v>600</v>
      </c>
      <c r="E4" s="93"/>
      <c r="F4" s="92"/>
      <c r="G4" s="92"/>
      <c r="H4" s="92"/>
      <c r="L4" s="84"/>
    </row>
    <row r="5" spans="1:12" ht="38" thickBot="1" x14ac:dyDescent="0.4">
      <c r="A5" s="71" t="s">
        <v>6</v>
      </c>
      <c r="B5" s="74" t="s">
        <v>7</v>
      </c>
      <c r="C5" s="83">
        <v>4.51</v>
      </c>
      <c r="D5" s="88">
        <v>240</v>
      </c>
      <c r="E5" s="93"/>
      <c r="F5" s="92"/>
      <c r="G5" s="92"/>
      <c r="H5" s="92"/>
      <c r="L5" s="84"/>
    </row>
    <row r="6" spans="1:12" ht="38" thickBot="1" x14ac:dyDescent="0.4">
      <c r="A6" s="71" t="s">
        <v>6</v>
      </c>
      <c r="B6" s="74" t="s">
        <v>8</v>
      </c>
      <c r="C6" s="83">
        <v>4.09</v>
      </c>
      <c r="D6" s="88">
        <v>90</v>
      </c>
      <c r="E6" s="93"/>
      <c r="F6" s="92"/>
      <c r="G6" s="92"/>
      <c r="H6" s="92"/>
      <c r="L6" s="84"/>
    </row>
    <row r="7" spans="1:12" ht="25.5" thickBot="1" x14ac:dyDescent="0.4">
      <c r="A7" s="71" t="s">
        <v>6</v>
      </c>
      <c r="B7" s="74" t="s">
        <v>9</v>
      </c>
      <c r="C7" s="83">
        <v>7.47</v>
      </c>
      <c r="D7" s="88">
        <v>50</v>
      </c>
      <c r="E7" s="93"/>
      <c r="F7" s="92"/>
      <c r="G7" s="92"/>
      <c r="H7" s="92"/>
      <c r="L7" s="84"/>
    </row>
    <row r="8" spans="1:12" ht="50.5" thickBot="1" x14ac:dyDescent="0.4">
      <c r="A8" s="71" t="s">
        <v>6</v>
      </c>
      <c r="B8" s="74" t="s">
        <v>10</v>
      </c>
      <c r="C8" s="83">
        <v>9.0299999999999994</v>
      </c>
      <c r="D8" s="88">
        <v>90</v>
      </c>
      <c r="E8" s="93"/>
      <c r="F8" s="92"/>
      <c r="G8" s="92"/>
      <c r="H8" s="92"/>
      <c r="L8" s="84"/>
    </row>
    <row r="9" spans="1:12" ht="50.5" thickBot="1" x14ac:dyDescent="0.4">
      <c r="A9" s="71" t="s">
        <v>6</v>
      </c>
      <c r="B9" s="74" t="s">
        <v>11</v>
      </c>
      <c r="C9" s="83">
        <v>38.659999999999997</v>
      </c>
      <c r="D9" s="88">
        <v>120</v>
      </c>
      <c r="E9" s="93"/>
      <c r="F9" s="92"/>
      <c r="G9" s="92"/>
      <c r="H9" s="92"/>
      <c r="L9" s="84"/>
    </row>
    <row r="10" spans="1:12" ht="50.5" thickBot="1" x14ac:dyDescent="0.4">
      <c r="A10" s="71" t="s">
        <v>4</v>
      </c>
      <c r="B10" s="74" t="s">
        <v>105</v>
      </c>
      <c r="C10" s="83">
        <v>2.73</v>
      </c>
      <c r="D10" s="88">
        <v>1500</v>
      </c>
      <c r="E10" s="93"/>
      <c r="F10" s="92"/>
      <c r="G10" s="92"/>
      <c r="H10" s="92"/>
      <c r="L10" s="84"/>
    </row>
    <row r="11" spans="1:12" ht="38" thickBot="1" x14ac:dyDescent="0.4">
      <c r="A11" s="71" t="s">
        <v>6</v>
      </c>
      <c r="B11" s="74" t="s">
        <v>13</v>
      </c>
      <c r="C11" s="83">
        <v>40.950000000000003</v>
      </c>
      <c r="D11" s="88">
        <v>120</v>
      </c>
      <c r="E11" s="93"/>
      <c r="F11" s="92"/>
      <c r="G11" s="92"/>
      <c r="H11" s="92"/>
      <c r="L11" s="84"/>
    </row>
    <row r="12" spans="1:12" ht="38" thickBot="1" x14ac:dyDescent="0.4">
      <c r="A12" s="71" t="s">
        <v>6</v>
      </c>
      <c r="B12" s="74" t="s">
        <v>14</v>
      </c>
      <c r="C12" s="83">
        <v>23.63</v>
      </c>
      <c r="D12" s="88">
        <v>30</v>
      </c>
      <c r="E12" s="93"/>
      <c r="F12" s="92"/>
      <c r="G12" s="92"/>
      <c r="H12" s="92"/>
      <c r="L12" s="84"/>
    </row>
    <row r="13" spans="1:12" ht="38" thickBot="1" x14ac:dyDescent="0.4">
      <c r="A13" s="71" t="s">
        <v>15</v>
      </c>
      <c r="B13" s="74" t="s">
        <v>16</v>
      </c>
      <c r="C13" s="83">
        <v>40.15</v>
      </c>
      <c r="D13" s="88">
        <v>50</v>
      </c>
      <c r="E13" s="93"/>
      <c r="F13" s="92"/>
      <c r="G13" s="92"/>
      <c r="H13" s="92"/>
      <c r="L13" s="84"/>
    </row>
    <row r="14" spans="1:12" ht="50.5" thickBot="1" x14ac:dyDescent="0.4">
      <c r="A14" s="71" t="s">
        <v>15</v>
      </c>
      <c r="B14" s="74" t="s">
        <v>17</v>
      </c>
      <c r="C14" s="83">
        <v>89.31</v>
      </c>
      <c r="D14" s="88">
        <v>10</v>
      </c>
      <c r="E14" s="93"/>
      <c r="F14" s="92"/>
      <c r="G14" s="92"/>
      <c r="H14" s="92"/>
      <c r="L14" s="84"/>
    </row>
    <row r="15" spans="1:12" ht="88" thickBot="1" x14ac:dyDescent="0.4">
      <c r="A15" s="71" t="s">
        <v>4</v>
      </c>
      <c r="B15" s="74" t="s">
        <v>18</v>
      </c>
      <c r="C15" s="83">
        <v>3.39</v>
      </c>
      <c r="D15" s="88">
        <v>200</v>
      </c>
      <c r="E15" s="93"/>
      <c r="F15" s="92"/>
      <c r="G15" s="92"/>
      <c r="H15" s="92"/>
      <c r="L15" s="84"/>
    </row>
    <row r="16" spans="1:12" ht="50.5" thickBot="1" x14ac:dyDescent="0.4">
      <c r="A16" s="71" t="s">
        <v>6</v>
      </c>
      <c r="B16" s="74" t="s">
        <v>19</v>
      </c>
      <c r="C16" s="83">
        <v>173.81</v>
      </c>
      <c r="D16" s="88">
        <v>10</v>
      </c>
      <c r="E16" s="93"/>
      <c r="F16" s="92"/>
      <c r="G16" s="92"/>
      <c r="H16" s="92"/>
      <c r="L16" s="84"/>
    </row>
    <row r="17" spans="1:12" ht="75.5" thickBot="1" x14ac:dyDescent="0.4">
      <c r="A17" s="71" t="s">
        <v>4</v>
      </c>
      <c r="B17" s="74" t="s">
        <v>20</v>
      </c>
      <c r="C17" s="83">
        <v>23.42</v>
      </c>
      <c r="D17" s="88">
        <v>10</v>
      </c>
      <c r="E17" s="93"/>
      <c r="F17" s="92"/>
      <c r="G17" s="92"/>
      <c r="H17" s="92"/>
      <c r="L17" s="84"/>
    </row>
    <row r="18" spans="1:12" ht="38" thickBot="1" x14ac:dyDescent="0.4">
      <c r="A18" s="71" t="s">
        <v>15</v>
      </c>
      <c r="B18" s="74" t="s">
        <v>21</v>
      </c>
      <c r="C18" s="83">
        <v>3.37</v>
      </c>
      <c r="D18" s="88">
        <v>1000</v>
      </c>
      <c r="E18" s="93"/>
      <c r="F18" s="92"/>
      <c r="G18" s="92"/>
      <c r="H18" s="92"/>
      <c r="L18" s="84"/>
    </row>
    <row r="19" spans="1:12" ht="75.5" thickBot="1" x14ac:dyDescent="0.4">
      <c r="A19" s="71" t="s">
        <v>22</v>
      </c>
      <c r="B19" s="74" t="s">
        <v>23</v>
      </c>
      <c r="C19" s="83">
        <v>338.33</v>
      </c>
      <c r="D19" s="88">
        <v>10</v>
      </c>
      <c r="E19" s="93"/>
      <c r="F19" s="92"/>
      <c r="G19" s="92"/>
      <c r="H19" s="92"/>
      <c r="L19" s="84"/>
    </row>
    <row r="20" spans="1:12" ht="63" thickBot="1" x14ac:dyDescent="0.4">
      <c r="A20" s="71" t="s">
        <v>15</v>
      </c>
      <c r="B20" s="74" t="s">
        <v>24</v>
      </c>
      <c r="C20" s="83">
        <v>8.4499999999999993</v>
      </c>
      <c r="D20" s="88">
        <v>500</v>
      </c>
      <c r="E20" s="93"/>
      <c r="F20" s="92"/>
      <c r="G20" s="92"/>
      <c r="H20" s="92"/>
      <c r="L20" s="84"/>
    </row>
    <row r="21" spans="1:12" ht="50.5" thickBot="1" x14ac:dyDescent="0.4">
      <c r="A21" s="71" t="s">
        <v>4</v>
      </c>
      <c r="B21" s="74" t="s">
        <v>25</v>
      </c>
      <c r="C21" s="83">
        <v>15.98</v>
      </c>
      <c r="D21" s="88">
        <v>50</v>
      </c>
      <c r="E21" s="93"/>
      <c r="F21" s="92"/>
      <c r="G21" s="92"/>
      <c r="H21" s="92"/>
      <c r="L21" s="84"/>
    </row>
    <row r="22" spans="1:12" ht="38" thickBot="1" x14ac:dyDescent="0.4">
      <c r="A22" s="71" t="s">
        <v>15</v>
      </c>
      <c r="B22" s="74" t="s">
        <v>26</v>
      </c>
      <c r="C22" s="83">
        <v>67.430000000000007</v>
      </c>
      <c r="D22" s="88">
        <v>100</v>
      </c>
      <c r="E22" s="93"/>
      <c r="F22" s="92"/>
      <c r="G22" s="92"/>
      <c r="H22" s="92"/>
      <c r="L22" s="84"/>
    </row>
    <row r="23" spans="1:12" ht="38" thickBot="1" x14ac:dyDescent="0.4">
      <c r="A23" s="71" t="s">
        <v>15</v>
      </c>
      <c r="B23" s="74" t="s">
        <v>27</v>
      </c>
      <c r="C23" s="83">
        <v>135.57</v>
      </c>
      <c r="D23" s="88">
        <v>20</v>
      </c>
      <c r="E23" s="93"/>
      <c r="F23" s="92"/>
      <c r="G23" s="92"/>
      <c r="H23" s="92"/>
      <c r="L23" s="84"/>
    </row>
    <row r="24" spans="1:12" ht="50.5" thickBot="1" x14ac:dyDescent="0.4">
      <c r="A24" s="71" t="s">
        <v>4</v>
      </c>
      <c r="B24" s="74" t="s">
        <v>28</v>
      </c>
      <c r="C24" s="83">
        <v>152.53</v>
      </c>
      <c r="D24" s="88">
        <v>30</v>
      </c>
      <c r="E24" s="93"/>
      <c r="F24" s="92"/>
      <c r="G24" s="92"/>
      <c r="H24" s="92"/>
      <c r="L24" s="84"/>
    </row>
    <row r="25" spans="1:12" ht="38" thickBot="1" x14ac:dyDescent="0.4">
      <c r="A25" s="71" t="s">
        <v>15</v>
      </c>
      <c r="B25" s="74" t="s">
        <v>29</v>
      </c>
      <c r="C25" s="83">
        <v>30.92</v>
      </c>
      <c r="D25" s="88">
        <v>100</v>
      </c>
      <c r="E25" s="93"/>
      <c r="F25" s="92"/>
      <c r="G25" s="92"/>
      <c r="H25" s="92"/>
      <c r="L25" s="84"/>
    </row>
    <row r="26" spans="1:12" ht="38" thickBot="1" x14ac:dyDescent="0.4">
      <c r="A26" s="71" t="s">
        <v>22</v>
      </c>
      <c r="B26" s="74" t="s">
        <v>30</v>
      </c>
      <c r="C26" s="83">
        <v>96.32</v>
      </c>
      <c r="D26" s="88">
        <v>10</v>
      </c>
      <c r="E26" s="93"/>
      <c r="F26" s="92"/>
      <c r="G26" s="92"/>
      <c r="H26" s="92"/>
      <c r="L26" s="84"/>
    </row>
    <row r="27" spans="1:12" ht="38" thickBot="1" x14ac:dyDescent="0.4">
      <c r="A27" s="71" t="s">
        <v>22</v>
      </c>
      <c r="B27" s="74" t="s">
        <v>31</v>
      </c>
      <c r="C27" s="83">
        <v>112.08</v>
      </c>
      <c r="D27" s="88">
        <v>5</v>
      </c>
      <c r="E27" s="93"/>
      <c r="F27" s="92"/>
      <c r="G27" s="92"/>
      <c r="H27" s="92"/>
      <c r="L27" s="84"/>
    </row>
    <row r="28" spans="1:12" ht="38" thickBot="1" x14ac:dyDescent="0.4">
      <c r="A28" s="71" t="s">
        <v>22</v>
      </c>
      <c r="B28" s="74" t="s">
        <v>32</v>
      </c>
      <c r="C28" s="83">
        <v>126.82</v>
      </c>
      <c r="D28" s="88">
        <v>1</v>
      </c>
      <c r="E28" s="93"/>
      <c r="F28" s="92"/>
      <c r="G28" s="92"/>
      <c r="H28" s="92"/>
      <c r="L28" s="84"/>
    </row>
    <row r="29" spans="1:12" ht="50.5" thickBot="1" x14ac:dyDescent="0.4">
      <c r="A29" s="71" t="s">
        <v>22</v>
      </c>
      <c r="B29" s="74" t="s">
        <v>33</v>
      </c>
      <c r="C29" s="83">
        <v>104.16</v>
      </c>
      <c r="D29" s="88">
        <v>5</v>
      </c>
      <c r="E29" s="93"/>
      <c r="F29" s="92"/>
      <c r="G29" s="92"/>
      <c r="H29" s="92"/>
      <c r="L29" s="84"/>
    </row>
    <row r="30" spans="1:12" ht="63" thickBot="1" x14ac:dyDescent="0.4">
      <c r="A30" s="71" t="s">
        <v>22</v>
      </c>
      <c r="B30" s="74" t="s">
        <v>34</v>
      </c>
      <c r="C30" s="83">
        <v>86.67</v>
      </c>
      <c r="D30" s="88">
        <v>20</v>
      </c>
      <c r="E30" s="93"/>
      <c r="F30" s="92"/>
      <c r="G30" s="92"/>
      <c r="H30" s="92"/>
      <c r="L30" s="84"/>
    </row>
    <row r="31" spans="1:12" ht="50.5" thickBot="1" x14ac:dyDescent="0.4">
      <c r="A31" s="71" t="s">
        <v>4</v>
      </c>
      <c r="B31" s="74" t="s">
        <v>35</v>
      </c>
      <c r="C31" s="83">
        <v>898.89</v>
      </c>
      <c r="D31" s="88">
        <v>1</v>
      </c>
      <c r="E31" s="93"/>
      <c r="F31" s="92"/>
      <c r="G31" s="92"/>
      <c r="H31" s="92"/>
      <c r="L31" s="84"/>
    </row>
    <row r="32" spans="1:12" ht="50.5" thickBot="1" x14ac:dyDescent="0.4">
      <c r="A32" s="71" t="s">
        <v>4</v>
      </c>
      <c r="B32" s="74" t="s">
        <v>36</v>
      </c>
      <c r="C32" s="83">
        <v>524.79999999999995</v>
      </c>
      <c r="D32" s="88">
        <v>1</v>
      </c>
      <c r="E32" s="93"/>
      <c r="F32" s="92"/>
      <c r="G32" s="92"/>
      <c r="H32" s="92"/>
      <c r="L32" s="84"/>
    </row>
    <row r="33" spans="1:12" ht="50.5" thickBot="1" x14ac:dyDescent="0.4">
      <c r="A33" s="71" t="s">
        <v>15</v>
      </c>
      <c r="B33" s="74" t="s">
        <v>37</v>
      </c>
      <c r="C33" s="83">
        <v>80.400000000000006</v>
      </c>
      <c r="D33" s="88">
        <v>20</v>
      </c>
      <c r="E33" s="93"/>
      <c r="F33" s="92"/>
      <c r="G33" s="92"/>
      <c r="H33" s="92"/>
      <c r="L33" s="84"/>
    </row>
    <row r="34" spans="1:12" ht="63" thickBot="1" x14ac:dyDescent="0.4">
      <c r="A34" s="71" t="s">
        <v>38</v>
      </c>
      <c r="B34" s="74" t="s">
        <v>39</v>
      </c>
      <c r="C34" s="83">
        <v>43.91</v>
      </c>
      <c r="D34" s="88">
        <v>5</v>
      </c>
      <c r="E34" s="93"/>
      <c r="F34" s="92"/>
      <c r="G34" s="92"/>
      <c r="H34" s="92"/>
      <c r="L34" s="84"/>
    </row>
    <row r="35" spans="1:12" ht="63" thickBot="1" x14ac:dyDescent="0.4">
      <c r="A35" s="71" t="s">
        <v>22</v>
      </c>
      <c r="B35" s="74" t="s">
        <v>40</v>
      </c>
      <c r="C35" s="83">
        <v>761.22</v>
      </c>
      <c r="D35" s="88">
        <v>1</v>
      </c>
      <c r="E35" s="93"/>
      <c r="F35" s="92"/>
      <c r="G35" s="92"/>
      <c r="H35" s="92"/>
      <c r="L35" s="84"/>
    </row>
    <row r="36" spans="1:12" ht="63" thickBot="1" x14ac:dyDescent="0.4">
      <c r="A36" s="71" t="s">
        <v>22</v>
      </c>
      <c r="B36" s="74" t="s">
        <v>41</v>
      </c>
      <c r="C36" s="83">
        <v>1379.28</v>
      </c>
      <c r="D36" s="88">
        <v>1</v>
      </c>
      <c r="E36" s="93"/>
      <c r="F36" s="92"/>
      <c r="G36" s="92"/>
      <c r="H36" s="92"/>
      <c r="L36" s="84"/>
    </row>
    <row r="37" spans="1:12" ht="63" thickBot="1" x14ac:dyDescent="0.4">
      <c r="A37" s="71" t="s">
        <v>22</v>
      </c>
      <c r="B37" s="74" t="s">
        <v>42</v>
      </c>
      <c r="C37" s="83">
        <v>84.89</v>
      </c>
      <c r="D37" s="88">
        <v>20</v>
      </c>
      <c r="E37" s="93"/>
      <c r="F37" s="92"/>
      <c r="G37" s="92"/>
      <c r="H37" s="92"/>
      <c r="L37" s="84"/>
    </row>
    <row r="38" spans="1:12" ht="54.5" customHeight="1" thickBot="1" x14ac:dyDescent="0.4">
      <c r="A38" s="71" t="s">
        <v>22</v>
      </c>
      <c r="B38" s="74" t="s">
        <v>43</v>
      </c>
      <c r="C38" s="83">
        <v>6.66</v>
      </c>
      <c r="D38" s="88">
        <v>50</v>
      </c>
      <c r="E38" s="93"/>
      <c r="F38" s="92"/>
      <c r="G38" s="92"/>
      <c r="H38" s="92"/>
      <c r="L38" s="84"/>
    </row>
    <row r="39" spans="1:12" ht="63" thickBot="1" x14ac:dyDescent="0.4">
      <c r="A39" s="71" t="s">
        <v>22</v>
      </c>
      <c r="B39" s="74" t="s">
        <v>44</v>
      </c>
      <c r="C39" s="83">
        <v>11.67</v>
      </c>
      <c r="D39" s="88">
        <v>50</v>
      </c>
      <c r="E39" s="93"/>
      <c r="F39" s="92"/>
      <c r="G39" s="92"/>
      <c r="H39" s="92"/>
      <c r="L39" s="84"/>
    </row>
    <row r="40" spans="1:12" ht="38" thickBot="1" x14ac:dyDescent="0.4">
      <c r="A40" s="71" t="s">
        <v>22</v>
      </c>
      <c r="B40" s="74" t="s">
        <v>45</v>
      </c>
      <c r="C40" s="83">
        <v>2355.08</v>
      </c>
      <c r="D40" s="88">
        <v>1</v>
      </c>
      <c r="E40" s="93"/>
      <c r="F40" s="92"/>
      <c r="G40" s="92"/>
      <c r="H40" s="92"/>
      <c r="L40" s="84"/>
    </row>
    <row r="41" spans="1:12" ht="50.5" thickBot="1" x14ac:dyDescent="0.4">
      <c r="A41" s="71" t="s">
        <v>22</v>
      </c>
      <c r="B41" s="74" t="s">
        <v>46</v>
      </c>
      <c r="C41" s="83">
        <v>158.72999999999999</v>
      </c>
      <c r="D41" s="88">
        <v>1</v>
      </c>
      <c r="E41" s="93"/>
      <c r="F41" s="92"/>
      <c r="G41" s="92"/>
      <c r="H41" s="92"/>
      <c r="L41" s="84"/>
    </row>
    <row r="42" spans="1:12" ht="63" thickBot="1" x14ac:dyDescent="0.4">
      <c r="A42" s="71" t="s">
        <v>22</v>
      </c>
      <c r="B42" s="74" t="s">
        <v>47</v>
      </c>
      <c r="C42" s="83">
        <v>151.25</v>
      </c>
      <c r="D42" s="88">
        <v>5</v>
      </c>
      <c r="E42" s="93"/>
      <c r="F42" s="92"/>
      <c r="G42" s="92"/>
      <c r="H42" s="92"/>
      <c r="L42" s="84"/>
    </row>
    <row r="43" spans="1:12" ht="50.5" thickBot="1" x14ac:dyDescent="0.4">
      <c r="A43" s="71" t="s">
        <v>22</v>
      </c>
      <c r="B43" s="74" t="s">
        <v>48</v>
      </c>
      <c r="C43" s="83">
        <v>142.66999999999999</v>
      </c>
      <c r="D43" s="88">
        <v>1</v>
      </c>
      <c r="E43" s="93"/>
      <c r="F43" s="92"/>
      <c r="G43" s="92"/>
      <c r="H43" s="92"/>
      <c r="L43" s="84"/>
    </row>
    <row r="44" spans="1:12" ht="38" thickBot="1" x14ac:dyDescent="0.4">
      <c r="A44" s="71" t="s">
        <v>22</v>
      </c>
      <c r="B44" s="74" t="s">
        <v>49</v>
      </c>
      <c r="C44" s="83">
        <v>86.47</v>
      </c>
      <c r="D44" s="88">
        <v>5</v>
      </c>
      <c r="E44" s="93"/>
      <c r="F44" s="92"/>
      <c r="G44" s="92"/>
      <c r="H44" s="92"/>
      <c r="L44" s="84"/>
    </row>
    <row r="45" spans="1:12" ht="63" thickBot="1" x14ac:dyDescent="0.4">
      <c r="A45" s="71" t="s">
        <v>4</v>
      </c>
      <c r="B45" s="74" t="s">
        <v>50</v>
      </c>
      <c r="C45" s="83">
        <v>0.24</v>
      </c>
      <c r="D45" s="88">
        <v>20000</v>
      </c>
      <c r="E45" s="93"/>
      <c r="F45" s="92"/>
      <c r="G45" s="92"/>
      <c r="H45" s="92"/>
      <c r="L45" s="84"/>
    </row>
    <row r="46" spans="1:12" ht="38" thickBot="1" x14ac:dyDescent="0.4">
      <c r="A46" s="71" t="s">
        <v>4</v>
      </c>
      <c r="B46" s="74" t="s">
        <v>51</v>
      </c>
      <c r="C46" s="83">
        <v>2.23</v>
      </c>
      <c r="D46" s="88">
        <v>1000</v>
      </c>
      <c r="E46" s="93"/>
      <c r="F46" s="92"/>
      <c r="G46" s="92"/>
      <c r="H46" s="92"/>
      <c r="L46" s="84"/>
    </row>
    <row r="47" spans="1:12" ht="50.5" thickBot="1" x14ac:dyDescent="0.4">
      <c r="A47" s="71" t="s">
        <v>4</v>
      </c>
      <c r="B47" s="74" t="s">
        <v>52</v>
      </c>
      <c r="C47" s="83">
        <v>6.53</v>
      </c>
      <c r="D47" s="88">
        <v>500</v>
      </c>
      <c r="E47" s="93"/>
      <c r="F47" s="92"/>
      <c r="G47" s="92"/>
      <c r="H47" s="92"/>
      <c r="L47" s="84"/>
    </row>
    <row r="48" spans="1:12" ht="75.5" thickBot="1" x14ac:dyDescent="0.4">
      <c r="A48" s="71" t="s">
        <v>22</v>
      </c>
      <c r="B48" s="74" t="s">
        <v>106</v>
      </c>
      <c r="C48" s="83">
        <v>87.92</v>
      </c>
      <c r="D48" s="88">
        <v>10</v>
      </c>
      <c r="E48" s="93"/>
      <c r="F48" s="92"/>
      <c r="G48" s="92"/>
      <c r="H48" s="92"/>
      <c r="L48" s="84"/>
    </row>
    <row r="49" spans="1:12" ht="75.5" thickBot="1" x14ac:dyDescent="0.4">
      <c r="A49" s="71" t="s">
        <v>22</v>
      </c>
      <c r="B49" s="74" t="s">
        <v>107</v>
      </c>
      <c r="C49" s="83">
        <v>175.84</v>
      </c>
      <c r="D49" s="88">
        <v>10</v>
      </c>
      <c r="E49" s="93"/>
      <c r="F49" s="92"/>
      <c r="G49" s="92"/>
      <c r="H49" s="92"/>
      <c r="L49" s="84"/>
    </row>
    <row r="50" spans="1:12" ht="50.5" thickBot="1" x14ac:dyDescent="0.4">
      <c r="A50" s="71" t="s">
        <v>6</v>
      </c>
      <c r="B50" s="74" t="s">
        <v>55</v>
      </c>
      <c r="C50" s="83">
        <v>32.049999999999997</v>
      </c>
      <c r="D50" s="88">
        <v>100</v>
      </c>
      <c r="E50" s="93"/>
      <c r="F50" s="92"/>
      <c r="G50" s="92"/>
      <c r="H50" s="92"/>
      <c r="L50" s="84"/>
    </row>
    <row r="51" spans="1:12" ht="88" thickBot="1" x14ac:dyDescent="0.4">
      <c r="A51" s="71" t="s">
        <v>56</v>
      </c>
      <c r="B51" s="74" t="s">
        <v>57</v>
      </c>
      <c r="C51" s="83">
        <v>282.77999999999997</v>
      </c>
      <c r="D51" s="88">
        <v>10</v>
      </c>
      <c r="E51" s="93"/>
      <c r="F51" s="92"/>
      <c r="G51" s="92"/>
      <c r="H51" s="92"/>
      <c r="L51" s="84"/>
    </row>
    <row r="52" spans="1:12" ht="63" thickBot="1" x14ac:dyDescent="0.4">
      <c r="A52" s="71" t="s">
        <v>22</v>
      </c>
      <c r="B52" s="74" t="s">
        <v>58</v>
      </c>
      <c r="C52" s="83">
        <v>121.26</v>
      </c>
      <c r="D52" s="88">
        <v>51</v>
      </c>
      <c r="E52" s="93"/>
      <c r="F52" s="92"/>
      <c r="G52" s="92"/>
      <c r="H52" s="92"/>
      <c r="L52" s="84"/>
    </row>
    <row r="53" spans="1:12" ht="63" thickBot="1" x14ac:dyDescent="0.4">
      <c r="A53" s="71" t="s">
        <v>59</v>
      </c>
      <c r="B53" s="74" t="s">
        <v>60</v>
      </c>
      <c r="C53" s="83">
        <v>79.45</v>
      </c>
      <c r="D53" s="88">
        <v>40</v>
      </c>
      <c r="E53" s="93"/>
      <c r="F53" s="92"/>
      <c r="G53" s="92"/>
      <c r="H53" s="92"/>
      <c r="L53" s="84"/>
    </row>
    <row r="54" spans="1:12" ht="63" thickBot="1" x14ac:dyDescent="0.4">
      <c r="A54" s="71" t="s">
        <v>61</v>
      </c>
      <c r="B54" s="74" t="s">
        <v>62</v>
      </c>
      <c r="C54" s="83">
        <v>1785</v>
      </c>
      <c r="D54" s="88">
        <v>1</v>
      </c>
      <c r="E54" s="93"/>
      <c r="F54" s="92"/>
      <c r="G54" s="92"/>
      <c r="H54" s="92"/>
      <c r="L54" s="84"/>
    </row>
    <row r="55" spans="1:12" ht="26.5" thickBot="1" x14ac:dyDescent="0.4">
      <c r="A55" s="72"/>
      <c r="B55" s="75" t="s">
        <v>108</v>
      </c>
      <c r="C55" s="67"/>
      <c r="D55" s="68"/>
      <c r="E55" s="94"/>
      <c r="F55" s="95"/>
      <c r="G55" s="95"/>
      <c r="H55" s="96"/>
      <c r="L55" s="84"/>
    </row>
  </sheetData>
  <mergeCells count="9">
    <mergeCell ref="B1:C1"/>
    <mergeCell ref="E1:H1"/>
    <mergeCell ref="A2:A3"/>
    <mergeCell ref="B2:B3"/>
    <mergeCell ref="C2:C3"/>
    <mergeCell ref="D2:D3"/>
    <mergeCell ref="E2:E3"/>
    <mergeCell ref="G2:G3"/>
    <mergeCell ref="H2: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3</vt:i4>
      </vt:variant>
    </vt:vector>
  </HeadingPairs>
  <TitlesOfParts>
    <vt:vector size="7" baseType="lpstr">
      <vt:lpstr>versio 20-06-2025</vt:lpstr>
      <vt:lpstr>versio 22-05-2025</vt:lpstr>
      <vt:lpstr>versio 03-07-2025</vt:lpstr>
      <vt:lpstr>oferta económica</vt:lpstr>
      <vt:lpstr>'oferta económica'!_Hlk198200677</vt:lpstr>
      <vt:lpstr>'versio 03-07-2025'!Àrea_d'impressió</vt:lpstr>
      <vt:lpstr>'versio 22-05-2025'!Àrea_d'impressió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VALDIVIESO SAEZ, MARIA DE LA PAZ</dc:creator>
  <cp:keywords/>
  <dc:description/>
  <cp:lastModifiedBy>VALDIVIESO SAEZ, MARIA DE LA PAZ</cp:lastModifiedBy>
  <cp:revision/>
  <cp:lastPrinted>2025-07-03T12:34:00Z</cp:lastPrinted>
  <dcterms:created xsi:type="dcterms:W3CDTF">2025-04-30T14:10:22Z</dcterms:created>
  <dcterms:modified xsi:type="dcterms:W3CDTF">2025-07-22T10:26:21Z</dcterms:modified>
  <cp:category/>
  <cp:contentStatus/>
</cp:coreProperties>
</file>