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mbbcn.sharepoint.com/sites/ALiC/Licitacions1/PROV 12000516 - Prod i col locació vinils paper/Organs de Treball/"/>
    </mc:Choice>
  </mc:AlternateContent>
  <xr:revisionPtr revIDLastSave="12" documentId="13_ncr:1_{13D955A2-6F58-413D-822B-4A0857BFE132}" xr6:coauthVersionLast="47" xr6:coauthVersionMax="47" xr10:uidLastSave="{82FB6267-003A-41D2-80D5-A47769A1D2F0}"/>
  <bookViews>
    <workbookView xWindow="-28920" yWindow="-4470" windowWidth="29040" windowHeight="15840" xr2:uid="{B4289FA9-DC29-41CD-8A01-BCFB8D637173}"/>
  </bookViews>
  <sheets>
    <sheet name="Lot 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" i="2" l="1"/>
  <c r="M16" i="2"/>
  <c r="M14" i="2"/>
  <c r="M13" i="2"/>
  <c r="M12" i="2"/>
  <c r="M11" i="2"/>
  <c r="M10" i="2"/>
  <c r="M9" i="2"/>
  <c r="M8" i="2"/>
  <c r="M7" i="2"/>
  <c r="M6" i="2"/>
  <c r="M5" i="2"/>
  <c r="M4" i="2"/>
  <c r="M3" i="2"/>
  <c r="H16" i="2"/>
  <c r="H14" i="2"/>
  <c r="H13" i="2"/>
  <c r="H12" i="2"/>
  <c r="H11" i="2"/>
  <c r="H10" i="2"/>
  <c r="H9" i="2"/>
  <c r="H8" i="2"/>
  <c r="H7" i="2"/>
  <c r="H6" i="2"/>
  <c r="H5" i="2"/>
  <c r="H4" i="2"/>
  <c r="H3" i="2"/>
  <c r="N16" i="2" l="1"/>
  <c r="I16" i="2"/>
  <c r="N14" i="2"/>
  <c r="N13" i="2"/>
  <c r="N12" i="2"/>
  <c r="N11" i="2"/>
  <c r="N10" i="2"/>
  <c r="N9" i="2"/>
  <c r="N8" i="2"/>
  <c r="N7" i="2"/>
  <c r="N6" i="2"/>
  <c r="N5" i="2"/>
  <c r="N4" i="2"/>
  <c r="I14" i="2"/>
  <c r="I13" i="2"/>
  <c r="I12" i="2"/>
  <c r="I11" i="2"/>
  <c r="I10" i="2"/>
  <c r="I9" i="2"/>
  <c r="I8" i="2"/>
  <c r="I7" i="2"/>
  <c r="I6" i="2"/>
  <c r="I5" i="2"/>
  <c r="I4" i="2"/>
  <c r="N3" i="2"/>
  <c r="I3" i="2"/>
  <c r="L16" i="2"/>
  <c r="O16" i="2" s="1"/>
  <c r="G16" i="2"/>
  <c r="L15" i="2"/>
  <c r="O15" i="2" s="1"/>
  <c r="G15" i="2"/>
  <c r="J15" i="2" s="1"/>
  <c r="L14" i="2"/>
  <c r="G14" i="2"/>
  <c r="L13" i="2"/>
  <c r="G13" i="2"/>
  <c r="J13" i="2" s="1"/>
  <c r="L12" i="2"/>
  <c r="G12" i="2"/>
  <c r="Q12" i="2" s="1"/>
  <c r="L11" i="2"/>
  <c r="G11" i="2"/>
  <c r="O10" i="2"/>
  <c r="L10" i="2"/>
  <c r="G10" i="2"/>
  <c r="Q10" i="2" s="1"/>
  <c r="L9" i="2"/>
  <c r="G9" i="2"/>
  <c r="J9" i="2" s="1"/>
  <c r="L8" i="2"/>
  <c r="G8" i="2"/>
  <c r="L7" i="2"/>
  <c r="G7" i="2"/>
  <c r="Q7" i="2" s="1"/>
  <c r="L6" i="2"/>
  <c r="G6" i="2"/>
  <c r="L5" i="2"/>
  <c r="G5" i="2"/>
  <c r="L4" i="2"/>
  <c r="G4" i="2"/>
  <c r="L3" i="2"/>
  <c r="O3" i="2" s="1"/>
  <c r="G3" i="2"/>
  <c r="J3" i="2" s="1"/>
  <c r="Q16" i="2" l="1"/>
  <c r="Q6" i="2"/>
  <c r="O13" i="2"/>
  <c r="J7" i="2"/>
  <c r="Q13" i="2"/>
  <c r="J10" i="2"/>
  <c r="O7" i="2"/>
  <c r="J4" i="2"/>
  <c r="O4" i="2"/>
  <c r="J16" i="2"/>
  <c r="P17" i="2"/>
  <c r="Q5" i="2"/>
  <c r="Q8" i="2"/>
  <c r="Q9" i="2"/>
  <c r="Q11" i="2"/>
  <c r="Q14" i="2"/>
  <c r="Q15" i="2"/>
  <c r="O12" i="2"/>
  <c r="O9" i="2"/>
  <c r="O6" i="2"/>
  <c r="J12" i="2"/>
  <c r="J6" i="2"/>
  <c r="Q4" i="2"/>
  <c r="J5" i="2"/>
  <c r="O5" i="2"/>
  <c r="J8" i="2"/>
  <c r="O8" i="2"/>
  <c r="J11" i="2"/>
  <c r="O11" i="2"/>
  <c r="J14" i="2"/>
  <c r="O14" i="2"/>
  <c r="Q17" i="2" l="1"/>
  <c r="K17" i="2"/>
</calcChain>
</file>

<file path=xl/sharedStrings.xml><?xml version="1.0" encoding="utf-8"?>
<sst xmlns="http://schemas.openxmlformats.org/spreadsheetml/2006/main" count="88" uniqueCount="71">
  <si>
    <t>Lot 1_ oferta econòmica producció papereria fulletons o equivalents acord marc</t>
  </si>
  <si>
    <t>Paper reciclat 100%</t>
  </si>
  <si>
    <t>Paper FSC</t>
  </si>
  <si>
    <t>Element papereria gràfica_fulletons o equivalents</t>
  </si>
  <si>
    <t xml:space="preserve">Mides </t>
  </si>
  <si>
    <t>Estimació unitats a produir</t>
  </si>
  <si>
    <t>Unitats anuals estimades (25% de les peticions s'estimen en paper 100% reciclat)</t>
  </si>
  <si>
    <t>Oferta licitador preu unitari paper reciclat 100%.</t>
  </si>
  <si>
    <t>Preu màxim unitari paper reciclat 100%</t>
  </si>
  <si>
    <t>Preu màxim total TMB</t>
  </si>
  <si>
    <t>Total € oferta licitador paper  reciclat 100%</t>
  </si>
  <si>
    <t>Unitats anuals estimades (75% de les peticions s'estimen en paper FSC)</t>
  </si>
  <si>
    <t xml:space="preserve">Oferta licitador preu unitari paper FSC. </t>
  </si>
  <si>
    <t>Preu màxim unitari paper FSC</t>
  </si>
  <si>
    <t>Total € oferta licitador paper FSC</t>
  </si>
  <si>
    <t>Total oferta licitador</t>
  </si>
  <si>
    <t>Tríptics</t>
  </si>
  <si>
    <t xml:space="preserve">Tancat 100x210 mm //Obert 300x210 mm </t>
  </si>
  <si>
    <t>Paper reciclat Cyclus Print de 170 gr m2</t>
  </si>
  <si>
    <t>Paper estucat mate o brillant de 170 grs. m2</t>
  </si>
  <si>
    <t>Díptics</t>
  </si>
  <si>
    <t>Tancat 100x210 mm//Obert 200x210 mm</t>
  </si>
  <si>
    <t>Paper estucat brillant 2 cares 135 gr.</t>
  </si>
  <si>
    <t>Quadríptics</t>
  </si>
  <si>
    <t>Tancat 100 x 210 mm - Obert 400 x 420mm</t>
  </si>
  <si>
    <t>Paper reciclat Cyclus Print de 150gr m2</t>
  </si>
  <si>
    <t>Paper estucat mate de 150 grs. m2 FSC</t>
  </si>
  <si>
    <t xml:space="preserve">Val Hotel </t>
  </si>
  <si>
    <t>100 x 210mm</t>
  </si>
  <si>
    <t>Diversos tipus de paper i reciclat</t>
  </si>
  <si>
    <t>Paper estucat mate 150g</t>
  </si>
  <si>
    <t xml:space="preserve">Flyer </t>
  </si>
  <si>
    <t>100 x 210 mm</t>
  </si>
  <si>
    <t>Paper reciclat Cyclus Print de 350 gr m2</t>
  </si>
  <si>
    <t>Paper estucat mate de 350 grs. m2 FSC</t>
  </si>
  <si>
    <t>Octaveta</t>
  </si>
  <si>
    <t>Paper estucat mate 150gr</t>
  </si>
  <si>
    <t xml:space="preserve">Plànol butxaca </t>
  </si>
  <si>
    <t>Mida: 300 x 190 mm. Mida tancada: 60 x 95 mm</t>
  </si>
  <si>
    <t>Diversos tipos de paper i reciclat</t>
  </si>
  <si>
    <t>Estucat mate DE 90grs</t>
  </si>
  <si>
    <t xml:space="preserve">Plànol desplegable </t>
  </si>
  <si>
    <t>mida obert: 600 x 850mm / Mida tancada: 15x10cm</t>
  </si>
  <si>
    <t>Paper estucat semimate 2/c de 135gr</t>
  </si>
  <si>
    <t xml:space="preserve">Fulletó tipus "troquel" </t>
  </si>
  <si>
    <t>210x210 mm (obert); 105x210 mm (tancat)</t>
  </si>
  <si>
    <t>Paper estucat mate de 170 grs. m2 FSC</t>
  </si>
  <si>
    <t xml:space="preserve">Punts  llibre </t>
  </si>
  <si>
    <t>50 x 210 mm - aprox</t>
  </si>
  <si>
    <t>Punts  llibre "troquel" + imant</t>
  </si>
  <si>
    <t>Paper Estucat de 250 grs. Plastificat brillant una cara. "troquel" + fenedura + imant</t>
  </si>
  <si>
    <t>Paper estucat de 250 grs. Plastificat brillantuna cara</t>
  </si>
  <si>
    <t>Postals</t>
  </si>
  <si>
    <t>100 x 150 mm</t>
  </si>
  <si>
    <t>Postal tipus "troquel"</t>
  </si>
  <si>
    <t>Val descomptes</t>
  </si>
  <si>
    <t>105 x 750 mm</t>
  </si>
  <si>
    <t>Paper brillant 250gr Offset 4+4 tintas CMiK</t>
  </si>
  <si>
    <t>Total preu estimat màxim TMB:</t>
  </si>
  <si>
    <t>Total oferta licitador lot 1 a incloure en el Annex A</t>
  </si>
  <si>
    <t>Notes lot 1:</t>
  </si>
  <si>
    <t>1.</t>
  </si>
  <si>
    <t>És imprescindible que durant la vigència del contracte es doni compliment a tots els requisits indicats a la normativa de papereria així com altres requeriments indicats a aquest acord marc, pel que s'ha d'incloure al preu ofertat</t>
  </si>
  <si>
    <t>2.</t>
  </si>
  <si>
    <t>Els preus inclouen la impressió, el plegat, manipulat necessari i l'entrega als punts de lliurament que sol·liciti TMB d'acord a les indicacions especificades al plec tècnic. Els arts finals seran els arxius facilitats per TMB o qui designi TMB sense cap limitació a nivell de tintes. El preu unitari s'haurà de mantenir durant tota la vigència de l'acord marc i s'aplicarà per a tots els encàrrecs que faci TMB (els volums d'impressió que es vagin encarregant variaran en funció de cada accció).</t>
  </si>
  <si>
    <t>3.</t>
  </si>
  <si>
    <t>Es fa una estimació de consum del 25% en paper 100% reciclat i un 75% en paper FSC. Aquesta previsió de consum pot variar durant la vigència de l'acord marc.</t>
  </si>
  <si>
    <t>4.</t>
  </si>
  <si>
    <t>Les unitats estimades fan referència a una estimació, sense cap compromís per part de TMB a contractar-ho. Aquesta estimació pot correspondre a diferents peticions, és a dir, no a una única petició</t>
  </si>
  <si>
    <t>5.</t>
  </si>
  <si>
    <t>Els preu no tenen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</si>
</sst>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\ &quot;€&quot;"/>
    <numFmt numFmtId="166" formatCode="#,##0.0000\ &quot;€&quot;"/>
  </numFmts>
  <fonts count="1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sz val="10"/>
      <name val="Arial"/>
      <family val="2"/>
    </font>
    <font>
      <b/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1" fillId="0" borderId="7" xfId="0" applyFont="1" applyBorder="1" applyAlignment="1">
      <alignment wrapText="1"/>
    </xf>
    <xf numFmtId="0" fontId="2" fillId="0" borderId="7" xfId="0" applyFont="1" applyBorder="1" applyAlignment="1">
      <alignment wrapText="1"/>
    </xf>
    <xf numFmtId="3" fontId="2" fillId="0" borderId="7" xfId="0" applyNumberFormat="1" applyFont="1" applyBorder="1" applyAlignment="1">
      <alignment wrapText="1"/>
    </xf>
    <xf numFmtId="0" fontId="6" fillId="0" borderId="4" xfId="0" applyFont="1" applyBorder="1" applyAlignment="1">
      <alignment vertical="center" wrapText="1"/>
    </xf>
    <xf numFmtId="3" fontId="2" fillId="0" borderId="4" xfId="0" applyNumberFormat="1" applyFont="1" applyBorder="1" applyAlignment="1">
      <alignment horizontal="left" wrapText="1"/>
    </xf>
    <xf numFmtId="164" fontId="2" fillId="0" borderId="4" xfId="0" applyNumberFormat="1" applyFont="1" applyBorder="1" applyAlignment="1">
      <alignment wrapText="1"/>
    </xf>
    <xf numFmtId="165" fontId="2" fillId="6" borderId="4" xfId="0" applyNumberFormat="1" applyFont="1" applyFill="1" applyBorder="1" applyAlignment="1">
      <alignment wrapText="1"/>
    </xf>
    <xf numFmtId="3" fontId="2" fillId="0" borderId="4" xfId="0" applyNumberFormat="1" applyFont="1" applyBorder="1" applyAlignment="1">
      <alignment wrapText="1"/>
    </xf>
    <xf numFmtId="0" fontId="6" fillId="0" borderId="4" xfId="0" applyFont="1" applyBorder="1" applyAlignment="1">
      <alignment wrapText="1"/>
    </xf>
    <xf numFmtId="3" fontId="2" fillId="0" borderId="6" xfId="0" applyNumberFormat="1" applyFont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2" fillId="0" borderId="8" xfId="0" applyFont="1" applyBorder="1" applyAlignment="1">
      <alignment wrapText="1"/>
    </xf>
    <xf numFmtId="3" fontId="2" fillId="0" borderId="8" xfId="0" applyNumberFormat="1" applyFont="1" applyBorder="1" applyAlignment="1">
      <alignment wrapText="1"/>
    </xf>
    <xf numFmtId="0" fontId="2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wrapText="1"/>
    </xf>
    <xf numFmtId="3" fontId="2" fillId="0" borderId="6" xfId="0" applyNumberFormat="1" applyFont="1" applyBorder="1" applyAlignment="1">
      <alignment wrapText="1"/>
    </xf>
    <xf numFmtId="0" fontId="2" fillId="0" borderId="6" xfId="0" applyFont="1" applyBorder="1" applyAlignment="1">
      <alignment horizontal="left" wrapText="1"/>
    </xf>
    <xf numFmtId="0" fontId="5" fillId="4" borderId="10" xfId="0" applyFont="1" applyFill="1" applyBorder="1"/>
    <xf numFmtId="0" fontId="7" fillId="4" borderId="10" xfId="0" applyFont="1" applyFill="1" applyBorder="1" applyAlignment="1">
      <alignment wrapText="1"/>
    </xf>
    <xf numFmtId="0" fontId="8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/>
    </xf>
    <xf numFmtId="3" fontId="2" fillId="0" borderId="10" xfId="0" applyNumberFormat="1" applyFont="1" applyBorder="1"/>
    <xf numFmtId="0" fontId="6" fillId="0" borderId="0" xfId="0" applyFont="1"/>
    <xf numFmtId="164" fontId="4" fillId="0" borderId="0" xfId="0" applyNumberFormat="1" applyFont="1"/>
    <xf numFmtId="165" fontId="6" fillId="6" borderId="4" xfId="0" applyNumberFormat="1" applyFont="1" applyFill="1" applyBorder="1"/>
    <xf numFmtId="3" fontId="2" fillId="0" borderId="0" xfId="0" applyNumberFormat="1" applyFont="1"/>
    <xf numFmtId="3" fontId="2" fillId="0" borderId="0" xfId="0" applyNumberFormat="1" applyFont="1" applyAlignment="1">
      <alignment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6" fillId="0" borderId="0" xfId="1" applyFont="1" applyAlignment="1">
      <alignment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3" fontId="10" fillId="0" borderId="0" xfId="0" applyNumberFormat="1" applyFont="1" applyAlignment="1">
      <alignment horizontal="left" vertical="center"/>
    </xf>
    <xf numFmtId="3" fontId="10" fillId="0" borderId="0" xfId="0" applyNumberFormat="1" applyFont="1" applyAlignment="1">
      <alignment horizontal="left" vertical="center" wrapText="1"/>
    </xf>
    <xf numFmtId="0" fontId="10" fillId="0" borderId="0" xfId="0" applyFont="1"/>
    <xf numFmtId="0" fontId="10" fillId="0" borderId="0" xfId="0" applyFont="1" applyAlignment="1">
      <alignment wrapText="1"/>
    </xf>
    <xf numFmtId="0" fontId="6" fillId="0" borderId="0" xfId="1" applyFont="1" applyAlignment="1">
      <alignment horizontal="center"/>
    </xf>
    <xf numFmtId="3" fontId="6" fillId="0" borderId="0" xfId="0" applyNumberFormat="1" applyFont="1"/>
    <xf numFmtId="3" fontId="4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166" fontId="2" fillId="0" borderId="4" xfId="0" applyNumberFormat="1" applyFont="1" applyBorder="1" applyAlignment="1">
      <alignment wrapText="1"/>
    </xf>
    <xf numFmtId="164" fontId="5" fillId="4" borderId="10" xfId="0" applyNumberFormat="1" applyFont="1" applyFill="1" applyBorder="1" applyAlignment="1">
      <alignment wrapText="1"/>
    </xf>
    <xf numFmtId="164" fontId="5" fillId="7" borderId="4" xfId="0" applyNumberFormat="1" applyFont="1" applyFill="1" applyBorder="1"/>
    <xf numFmtId="0" fontId="3" fillId="4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165" fontId="1" fillId="6" borderId="4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3" fontId="6" fillId="0" borderId="0" xfId="0" applyNumberFormat="1" applyFont="1" applyAlignment="1">
      <alignment horizontal="left" vertical="center"/>
    </xf>
  </cellXfs>
  <cellStyles count="2">
    <cellStyle name="Normal" xfId="0" builtinId="0"/>
    <cellStyle name="Normal 2" xfId="1" xr:uid="{16CDF452-1BD6-4FE7-998E-1FF56583C0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EFDCB-83BB-4435-85E0-D1148D2893AC}">
  <sheetPr>
    <pageSetUpPr fitToPage="1"/>
  </sheetPr>
  <dimension ref="A1:Q34"/>
  <sheetViews>
    <sheetView tabSelected="1" topLeftCell="C1" zoomScaleNormal="100" workbookViewId="0">
      <selection activeCell="P6" sqref="P6"/>
    </sheetView>
  </sheetViews>
  <sheetFormatPr defaultColWidth="11.42578125" defaultRowHeight="12"/>
  <cols>
    <col min="1" max="1" width="2.42578125" style="3" customWidth="1"/>
    <col min="2" max="2" width="19.85546875" style="3" customWidth="1"/>
    <col min="3" max="3" width="26.42578125" style="2" customWidth="1"/>
    <col min="4" max="4" width="11.28515625" style="2" bestFit="1" customWidth="1"/>
    <col min="5" max="5" width="20.7109375" style="2" customWidth="1"/>
    <col min="6" max="6" width="24.42578125" style="3" bestFit="1" customWidth="1"/>
    <col min="7" max="16" width="15.5703125" style="3" customWidth="1"/>
    <col min="17" max="17" width="12.140625" style="3" customWidth="1"/>
    <col min="18" max="18" width="24.28515625" style="3" bestFit="1" customWidth="1"/>
    <col min="19" max="16384" width="11.42578125" style="3"/>
  </cols>
  <sheetData>
    <row r="1" spans="2:17" ht="12.75" thickBot="1">
      <c r="B1" s="1" t="s">
        <v>0</v>
      </c>
      <c r="G1" s="60" t="s">
        <v>1</v>
      </c>
      <c r="H1" s="61"/>
      <c r="I1" s="61"/>
      <c r="J1" s="61"/>
      <c r="K1" s="62"/>
      <c r="L1" s="63" t="s">
        <v>2</v>
      </c>
      <c r="M1" s="64"/>
      <c r="N1" s="64"/>
      <c r="O1" s="64"/>
      <c r="P1" s="65"/>
    </row>
    <row r="2" spans="2:17" ht="72">
      <c r="B2" s="56" t="s">
        <v>3</v>
      </c>
      <c r="C2" s="56" t="s">
        <v>4</v>
      </c>
      <c r="D2" s="56" t="s">
        <v>5</v>
      </c>
      <c r="E2" s="56" t="s">
        <v>1</v>
      </c>
      <c r="F2" s="56" t="s">
        <v>2</v>
      </c>
      <c r="G2" s="56" t="s">
        <v>6</v>
      </c>
      <c r="H2" s="56" t="s">
        <v>7</v>
      </c>
      <c r="I2" s="56" t="s">
        <v>8</v>
      </c>
      <c r="J2" s="56" t="s">
        <v>9</v>
      </c>
      <c r="K2" s="57" t="s">
        <v>10</v>
      </c>
      <c r="L2" s="56" t="s">
        <v>11</v>
      </c>
      <c r="M2" s="56" t="s">
        <v>12</v>
      </c>
      <c r="N2" s="56" t="s">
        <v>13</v>
      </c>
      <c r="O2" s="56" t="s">
        <v>9</v>
      </c>
      <c r="P2" s="57" t="s">
        <v>14</v>
      </c>
      <c r="Q2" s="58" t="s">
        <v>15</v>
      </c>
    </row>
    <row r="3" spans="2:17" s="2" customFormat="1" ht="33.75" customHeight="1">
      <c r="B3" s="4" t="s">
        <v>16</v>
      </c>
      <c r="C3" s="5" t="s">
        <v>17</v>
      </c>
      <c r="D3" s="6">
        <v>985000</v>
      </c>
      <c r="E3" s="7" t="s">
        <v>18</v>
      </c>
      <c r="F3" s="8" t="s">
        <v>19</v>
      </c>
      <c r="G3" s="8">
        <f t="shared" ref="G3:G16" si="0">0.25*D3</f>
        <v>246250</v>
      </c>
      <c r="H3" s="53">
        <f>0.0272*1.45</f>
        <v>3.9439999999999996E-2</v>
      </c>
      <c r="I3" s="53">
        <f>0.0272*1.45</f>
        <v>3.9439999999999996E-2</v>
      </c>
      <c r="J3" s="9">
        <f>+G3*I3</f>
        <v>9712.0999999999985</v>
      </c>
      <c r="K3" s="10"/>
      <c r="L3" s="11">
        <f t="shared" ref="L3:L16" si="1">D3*0.75</f>
        <v>738750</v>
      </c>
      <c r="M3" s="53">
        <f>0.0201*1.45</f>
        <v>2.9144999999999997E-2</v>
      </c>
      <c r="N3" s="53">
        <f>0.0201*1.45</f>
        <v>2.9144999999999997E-2</v>
      </c>
      <c r="O3" s="9">
        <f t="shared" ref="O3:O16" si="2">+L3*N3</f>
        <v>21530.868749999998</v>
      </c>
      <c r="P3" s="10"/>
      <c r="Q3" s="59">
        <f>K3+P3</f>
        <v>0</v>
      </c>
    </row>
    <row r="4" spans="2:17" s="2" customFormat="1" ht="33.75" customHeight="1">
      <c r="B4" s="4" t="s">
        <v>20</v>
      </c>
      <c r="C4" s="5" t="s">
        <v>21</v>
      </c>
      <c r="D4" s="6">
        <v>450000</v>
      </c>
      <c r="E4" s="7" t="s">
        <v>18</v>
      </c>
      <c r="F4" s="8" t="s">
        <v>22</v>
      </c>
      <c r="G4" s="8">
        <f t="shared" si="0"/>
        <v>112500</v>
      </c>
      <c r="H4" s="53">
        <f>0.0181*1.45</f>
        <v>2.6245000000000001E-2</v>
      </c>
      <c r="I4" s="53">
        <f>0.0181*1.45</f>
        <v>2.6245000000000001E-2</v>
      </c>
      <c r="J4" s="9">
        <f>+G4*I4</f>
        <v>2952.5625</v>
      </c>
      <c r="K4" s="10"/>
      <c r="L4" s="11">
        <f t="shared" si="1"/>
        <v>337500</v>
      </c>
      <c r="M4" s="53">
        <f>1.45*0.0134</f>
        <v>1.9429999999999999E-2</v>
      </c>
      <c r="N4" s="53">
        <f>1.45*0.0134</f>
        <v>1.9429999999999999E-2</v>
      </c>
      <c r="O4" s="9">
        <f t="shared" si="2"/>
        <v>6557.625</v>
      </c>
      <c r="P4" s="10"/>
      <c r="Q4" s="59">
        <f t="shared" ref="Q3:Q16" si="3">K4+P4</f>
        <v>0</v>
      </c>
    </row>
    <row r="5" spans="2:17" s="2" customFormat="1" ht="33.75" customHeight="1">
      <c r="B5" s="4" t="s">
        <v>23</v>
      </c>
      <c r="C5" s="5" t="s">
        <v>24</v>
      </c>
      <c r="D5" s="6">
        <v>25000</v>
      </c>
      <c r="E5" s="7" t="s">
        <v>25</v>
      </c>
      <c r="F5" s="8" t="s">
        <v>26</v>
      </c>
      <c r="G5" s="8">
        <f t="shared" si="0"/>
        <v>6250</v>
      </c>
      <c r="H5" s="53">
        <f>0.0701*1.45</f>
        <v>0.10164499999999999</v>
      </c>
      <c r="I5" s="53">
        <f>0.0701*1.45</f>
        <v>0.10164499999999999</v>
      </c>
      <c r="J5" s="9">
        <f t="shared" ref="J5:J16" si="4">+G5*I5</f>
        <v>635.28124999999989</v>
      </c>
      <c r="K5" s="10"/>
      <c r="L5" s="11">
        <f t="shared" si="1"/>
        <v>18750</v>
      </c>
      <c r="M5" s="53">
        <f>1.45*0.0519</f>
        <v>7.5255000000000002E-2</v>
      </c>
      <c r="N5" s="53">
        <f>1.45*0.0519</f>
        <v>7.5255000000000002E-2</v>
      </c>
      <c r="O5" s="9">
        <f t="shared" si="2"/>
        <v>1411.03125</v>
      </c>
      <c r="P5" s="10"/>
      <c r="Q5" s="59">
        <f t="shared" si="3"/>
        <v>0</v>
      </c>
    </row>
    <row r="6" spans="2:17" s="2" customFormat="1" ht="33.75" customHeight="1">
      <c r="B6" s="4" t="s">
        <v>27</v>
      </c>
      <c r="C6" s="5" t="s">
        <v>28</v>
      </c>
      <c r="D6" s="6">
        <v>450000</v>
      </c>
      <c r="E6" s="12" t="s">
        <v>29</v>
      </c>
      <c r="F6" s="13" t="s">
        <v>30</v>
      </c>
      <c r="G6" s="8">
        <f t="shared" si="0"/>
        <v>112500</v>
      </c>
      <c r="H6" s="53">
        <f>1.45*0.016</f>
        <v>2.3199999999999998E-2</v>
      </c>
      <c r="I6" s="53">
        <f>1.45*0.016</f>
        <v>2.3199999999999998E-2</v>
      </c>
      <c r="J6" s="9">
        <f t="shared" si="4"/>
        <v>2610</v>
      </c>
      <c r="K6" s="10"/>
      <c r="L6" s="11">
        <f t="shared" si="1"/>
        <v>337500</v>
      </c>
      <c r="M6" s="53">
        <f>1.45*0.0118</f>
        <v>1.711E-2</v>
      </c>
      <c r="N6" s="53">
        <f>1.45*0.0118</f>
        <v>1.711E-2</v>
      </c>
      <c r="O6" s="9">
        <f t="shared" si="2"/>
        <v>5774.625</v>
      </c>
      <c r="P6" s="10"/>
      <c r="Q6" s="59">
        <f t="shared" si="3"/>
        <v>0</v>
      </c>
    </row>
    <row r="7" spans="2:17" s="2" customFormat="1" ht="33.75" customHeight="1">
      <c r="B7" s="4" t="s">
        <v>31</v>
      </c>
      <c r="C7" s="5" t="s">
        <v>32</v>
      </c>
      <c r="D7" s="6">
        <v>200000</v>
      </c>
      <c r="E7" s="12" t="s">
        <v>33</v>
      </c>
      <c r="F7" s="8" t="s">
        <v>34</v>
      </c>
      <c r="G7" s="8">
        <f t="shared" si="0"/>
        <v>50000</v>
      </c>
      <c r="H7" s="53">
        <f>1.45*0.0173</f>
        <v>2.5085E-2</v>
      </c>
      <c r="I7" s="53">
        <f>1.45*0.0173</f>
        <v>2.5085E-2</v>
      </c>
      <c r="J7" s="9">
        <f t="shared" si="4"/>
        <v>1254.25</v>
      </c>
      <c r="K7" s="10"/>
      <c r="L7" s="11">
        <f t="shared" si="1"/>
        <v>150000</v>
      </c>
      <c r="M7" s="53">
        <f>1.45*0.0128</f>
        <v>1.856E-2</v>
      </c>
      <c r="N7" s="53">
        <f>1.45*0.0128</f>
        <v>1.856E-2</v>
      </c>
      <c r="O7" s="9">
        <f t="shared" si="2"/>
        <v>2784</v>
      </c>
      <c r="P7" s="10"/>
      <c r="Q7" s="59">
        <f t="shared" si="3"/>
        <v>0</v>
      </c>
    </row>
    <row r="8" spans="2:17" s="2" customFormat="1" ht="33.75" customHeight="1">
      <c r="B8" s="4" t="s">
        <v>35</v>
      </c>
      <c r="C8" s="5" t="s">
        <v>32</v>
      </c>
      <c r="D8" s="6">
        <v>90000</v>
      </c>
      <c r="E8" s="12" t="s">
        <v>18</v>
      </c>
      <c r="F8" s="8" t="s">
        <v>36</v>
      </c>
      <c r="G8" s="8">
        <f t="shared" si="0"/>
        <v>22500</v>
      </c>
      <c r="H8" s="53">
        <f>1.45*0.014</f>
        <v>2.0299999999999999E-2</v>
      </c>
      <c r="I8" s="53">
        <f>1.45*0.014</f>
        <v>2.0299999999999999E-2</v>
      </c>
      <c r="J8" s="9">
        <f t="shared" si="4"/>
        <v>456.74999999999994</v>
      </c>
      <c r="K8" s="10"/>
      <c r="L8" s="11">
        <f t="shared" si="1"/>
        <v>67500</v>
      </c>
      <c r="M8" s="53">
        <f>1.45*0.0103</f>
        <v>1.4935E-2</v>
      </c>
      <c r="N8" s="53">
        <f>1.45*0.0103</f>
        <v>1.4935E-2</v>
      </c>
      <c r="O8" s="9">
        <f t="shared" si="2"/>
        <v>1008.1125000000001</v>
      </c>
      <c r="P8" s="10"/>
      <c r="Q8" s="59">
        <f t="shared" si="3"/>
        <v>0</v>
      </c>
    </row>
    <row r="9" spans="2:17" s="2" customFormat="1" ht="33.75" customHeight="1">
      <c r="B9" s="14" t="s">
        <v>37</v>
      </c>
      <c r="C9" s="5" t="s">
        <v>38</v>
      </c>
      <c r="D9" s="6">
        <v>100000</v>
      </c>
      <c r="E9" s="15" t="s">
        <v>39</v>
      </c>
      <c r="F9" s="8" t="s">
        <v>40</v>
      </c>
      <c r="G9" s="8">
        <f t="shared" si="0"/>
        <v>25000</v>
      </c>
      <c r="H9" s="53">
        <f>1.45*0.1998</f>
        <v>0.28971000000000002</v>
      </c>
      <c r="I9" s="53">
        <f>1.45*0.1998</f>
        <v>0.28971000000000002</v>
      </c>
      <c r="J9" s="9">
        <f t="shared" si="4"/>
        <v>7242.7500000000009</v>
      </c>
      <c r="K9" s="10"/>
      <c r="L9" s="11">
        <f t="shared" si="1"/>
        <v>75000</v>
      </c>
      <c r="M9" s="53">
        <f>1.45*0.148</f>
        <v>0.21459999999999999</v>
      </c>
      <c r="N9" s="53">
        <f>1.45*0.148</f>
        <v>0.21459999999999999</v>
      </c>
      <c r="O9" s="9">
        <f t="shared" si="2"/>
        <v>16094.999999999998</v>
      </c>
      <c r="P9" s="10"/>
      <c r="Q9" s="59">
        <f t="shared" si="3"/>
        <v>0</v>
      </c>
    </row>
    <row r="10" spans="2:17" s="2" customFormat="1" ht="33.75" customHeight="1">
      <c r="B10" s="14" t="s">
        <v>41</v>
      </c>
      <c r="C10" s="5" t="s">
        <v>42</v>
      </c>
      <c r="D10" s="6">
        <v>100000</v>
      </c>
      <c r="E10" s="15" t="s">
        <v>39</v>
      </c>
      <c r="F10" s="8" t="s">
        <v>43</v>
      </c>
      <c r="G10" s="8">
        <f t="shared" si="0"/>
        <v>25000</v>
      </c>
      <c r="H10" s="53">
        <f>1.45*0.1683</f>
        <v>0.244035</v>
      </c>
      <c r="I10" s="53">
        <f>1.45*0.1683</f>
        <v>0.244035</v>
      </c>
      <c r="J10" s="9">
        <f t="shared" si="4"/>
        <v>6100.875</v>
      </c>
      <c r="K10" s="10"/>
      <c r="L10" s="11">
        <f t="shared" si="1"/>
        <v>75000</v>
      </c>
      <c r="M10" s="53">
        <f>1.45*0.1246</f>
        <v>0.18067</v>
      </c>
      <c r="N10" s="53">
        <f>1.45*0.1246</f>
        <v>0.18067</v>
      </c>
      <c r="O10" s="9">
        <f t="shared" si="2"/>
        <v>13550.25</v>
      </c>
      <c r="P10" s="10"/>
      <c r="Q10" s="59">
        <f t="shared" si="3"/>
        <v>0</v>
      </c>
    </row>
    <row r="11" spans="2:17" s="2" customFormat="1" ht="33.75" customHeight="1">
      <c r="B11" s="14" t="s">
        <v>44</v>
      </c>
      <c r="C11" s="5" t="s">
        <v>45</v>
      </c>
      <c r="D11" s="6">
        <v>50000</v>
      </c>
      <c r="E11" s="12" t="s">
        <v>18</v>
      </c>
      <c r="F11" s="8" t="s">
        <v>46</v>
      </c>
      <c r="G11" s="8">
        <f t="shared" si="0"/>
        <v>12500</v>
      </c>
      <c r="H11" s="53">
        <f>1.45*0.0492</f>
        <v>7.1340000000000001E-2</v>
      </c>
      <c r="I11" s="53">
        <f>1.45*0.0492</f>
        <v>7.1340000000000001E-2</v>
      </c>
      <c r="J11" s="9">
        <f t="shared" si="4"/>
        <v>891.75</v>
      </c>
      <c r="K11" s="10"/>
      <c r="L11" s="11">
        <f t="shared" si="1"/>
        <v>37500</v>
      </c>
      <c r="M11" s="53">
        <f>1.45*0.0364</f>
        <v>5.2780000000000001E-2</v>
      </c>
      <c r="N11" s="53">
        <f>1.45*0.0364</f>
        <v>5.2780000000000001E-2</v>
      </c>
      <c r="O11" s="9">
        <f t="shared" si="2"/>
        <v>1979.25</v>
      </c>
      <c r="P11" s="10"/>
      <c r="Q11" s="59">
        <f t="shared" si="3"/>
        <v>0</v>
      </c>
    </row>
    <row r="12" spans="2:17" s="2" customFormat="1" ht="33.75" customHeight="1">
      <c r="B12" s="14" t="s">
        <v>47</v>
      </c>
      <c r="C12" s="5" t="s">
        <v>48</v>
      </c>
      <c r="D12" s="6">
        <v>40000</v>
      </c>
      <c r="E12" s="15" t="s">
        <v>33</v>
      </c>
      <c r="F12" s="8" t="s">
        <v>34</v>
      </c>
      <c r="G12" s="8">
        <f t="shared" si="0"/>
        <v>10000</v>
      </c>
      <c r="H12" s="53">
        <f>1.45*0.0188</f>
        <v>2.726E-2</v>
      </c>
      <c r="I12" s="53">
        <f>1.45*0.0188</f>
        <v>2.726E-2</v>
      </c>
      <c r="J12" s="9">
        <f t="shared" si="4"/>
        <v>272.60000000000002</v>
      </c>
      <c r="K12" s="10"/>
      <c r="L12" s="11">
        <f t="shared" si="1"/>
        <v>30000</v>
      </c>
      <c r="M12" s="53">
        <f>1.45*0.0139</f>
        <v>2.0154999999999999E-2</v>
      </c>
      <c r="N12" s="53">
        <f>1.45*0.0139</f>
        <v>2.0154999999999999E-2</v>
      </c>
      <c r="O12" s="9">
        <f t="shared" si="2"/>
        <v>604.65</v>
      </c>
      <c r="P12" s="10"/>
      <c r="Q12" s="59">
        <f t="shared" si="3"/>
        <v>0</v>
      </c>
    </row>
    <row r="13" spans="2:17" s="2" customFormat="1" ht="33.75" customHeight="1">
      <c r="B13" s="14" t="s">
        <v>49</v>
      </c>
      <c r="C13" s="15" t="s">
        <v>48</v>
      </c>
      <c r="D13" s="11">
        <v>40000</v>
      </c>
      <c r="E13" s="15" t="s">
        <v>50</v>
      </c>
      <c r="F13" s="8" t="s">
        <v>51</v>
      </c>
      <c r="G13" s="8">
        <f t="shared" si="0"/>
        <v>10000</v>
      </c>
      <c r="H13" s="53">
        <f>1.45*0.0662</f>
        <v>9.5989999999999992E-2</v>
      </c>
      <c r="I13" s="53">
        <f>1.45*0.0662</f>
        <v>9.5989999999999992E-2</v>
      </c>
      <c r="J13" s="9">
        <f t="shared" si="4"/>
        <v>959.89999999999986</v>
      </c>
      <c r="K13" s="10"/>
      <c r="L13" s="11">
        <f t="shared" si="1"/>
        <v>30000</v>
      </c>
      <c r="M13" s="53">
        <f>1.45*0.049</f>
        <v>7.1050000000000002E-2</v>
      </c>
      <c r="N13" s="53">
        <f>1.45*0.049</f>
        <v>7.1050000000000002E-2</v>
      </c>
      <c r="O13" s="9">
        <f t="shared" si="2"/>
        <v>2131.5</v>
      </c>
      <c r="P13" s="10"/>
      <c r="Q13" s="59">
        <f t="shared" si="3"/>
        <v>0</v>
      </c>
    </row>
    <row r="14" spans="2:17" s="2" customFormat="1" ht="33.75" customHeight="1">
      <c r="B14" s="16" t="s">
        <v>52</v>
      </c>
      <c r="C14" s="17" t="s">
        <v>53</v>
      </c>
      <c r="D14" s="18">
        <v>40000</v>
      </c>
      <c r="E14" s="15" t="s">
        <v>33</v>
      </c>
      <c r="F14" s="8" t="s">
        <v>34</v>
      </c>
      <c r="G14" s="8">
        <f t="shared" si="0"/>
        <v>10000</v>
      </c>
      <c r="H14" s="53">
        <f>1.45*0.0135</f>
        <v>1.9574999999999999E-2</v>
      </c>
      <c r="I14" s="53">
        <f>1.45*0.0135</f>
        <v>1.9574999999999999E-2</v>
      </c>
      <c r="J14" s="9">
        <f t="shared" si="4"/>
        <v>195.75</v>
      </c>
      <c r="K14" s="10"/>
      <c r="L14" s="11">
        <f t="shared" si="1"/>
        <v>30000</v>
      </c>
      <c r="M14" s="53">
        <f>1.45*0.01</f>
        <v>1.4499999999999999E-2</v>
      </c>
      <c r="N14" s="53">
        <f>1.45*0.01</f>
        <v>1.4499999999999999E-2</v>
      </c>
      <c r="O14" s="9">
        <f t="shared" si="2"/>
        <v>434.99999999999994</v>
      </c>
      <c r="P14" s="10"/>
      <c r="Q14" s="59">
        <f t="shared" si="3"/>
        <v>0</v>
      </c>
    </row>
    <row r="15" spans="2:17" s="2" customFormat="1" ht="33.75" customHeight="1">
      <c r="B15" s="14" t="s">
        <v>54</v>
      </c>
      <c r="C15" s="5" t="s">
        <v>53</v>
      </c>
      <c r="D15" s="11">
        <v>40000</v>
      </c>
      <c r="E15" s="19" t="s">
        <v>33</v>
      </c>
      <c r="F15" s="8" t="s">
        <v>34</v>
      </c>
      <c r="G15" s="8">
        <f t="shared" si="0"/>
        <v>10000</v>
      </c>
      <c r="H15" s="53">
        <v>0.05</v>
      </c>
      <c r="I15" s="53">
        <v>0.05</v>
      </c>
      <c r="J15" s="9">
        <f t="shared" si="4"/>
        <v>500</v>
      </c>
      <c r="K15" s="10"/>
      <c r="L15" s="11">
        <f t="shared" si="1"/>
        <v>30000</v>
      </c>
      <c r="M15" s="53">
        <v>4.4999999999999998E-2</v>
      </c>
      <c r="N15" s="53">
        <v>4.4999999999999998E-2</v>
      </c>
      <c r="O15" s="9">
        <f t="shared" si="2"/>
        <v>1350</v>
      </c>
      <c r="P15" s="10"/>
      <c r="Q15" s="59">
        <f t="shared" si="3"/>
        <v>0</v>
      </c>
    </row>
    <row r="16" spans="2:17" s="2" customFormat="1" ht="33.75" customHeight="1">
      <c r="B16" s="16" t="s">
        <v>55</v>
      </c>
      <c r="C16" s="20" t="s">
        <v>56</v>
      </c>
      <c r="D16" s="21">
        <v>150000</v>
      </c>
      <c r="E16" s="19" t="s">
        <v>33</v>
      </c>
      <c r="F16" s="22" t="s">
        <v>57</v>
      </c>
      <c r="G16" s="8">
        <f t="shared" si="0"/>
        <v>37500</v>
      </c>
      <c r="H16" s="53">
        <f>1.45*0.1878</f>
        <v>0.27231</v>
      </c>
      <c r="I16" s="53">
        <f>1.45*0.1878</f>
        <v>0.27231</v>
      </c>
      <c r="J16" s="9">
        <f t="shared" si="4"/>
        <v>10211.625</v>
      </c>
      <c r="K16" s="10"/>
      <c r="L16" s="11">
        <f t="shared" si="1"/>
        <v>112500</v>
      </c>
      <c r="M16" s="53">
        <f>1.45*0.1391</f>
        <v>0.20169499999999999</v>
      </c>
      <c r="N16" s="53">
        <f>1.45*0.1391</f>
        <v>0.20169499999999999</v>
      </c>
      <c r="O16" s="9">
        <f t="shared" si="2"/>
        <v>22690.6875</v>
      </c>
      <c r="P16" s="10"/>
      <c r="Q16" s="59">
        <f t="shared" si="3"/>
        <v>0</v>
      </c>
    </row>
    <row r="17" spans="1:17">
      <c r="B17" s="23" t="s">
        <v>58</v>
      </c>
      <c r="C17" s="24"/>
      <c r="D17" s="54">
        <v>141898.79</v>
      </c>
      <c r="E17" s="25"/>
      <c r="F17" s="26"/>
      <c r="G17" s="26"/>
      <c r="H17" s="27"/>
      <c r="I17" s="28"/>
      <c r="J17" s="29"/>
      <c r="K17" s="30">
        <f>SUM(K3:K16)</f>
        <v>0</v>
      </c>
      <c r="L17" s="31"/>
      <c r="M17" s="31"/>
      <c r="N17" s="28"/>
      <c r="O17" s="29"/>
      <c r="P17" s="30">
        <f>SUM(P3:P16)</f>
        <v>0</v>
      </c>
      <c r="Q17" s="55">
        <f>SUM(Q3:Q16)</f>
        <v>0</v>
      </c>
    </row>
    <row r="18" spans="1:17">
      <c r="B18" s="1"/>
      <c r="D18" s="32"/>
      <c r="E18" s="33"/>
      <c r="F18" s="34"/>
      <c r="G18" s="34"/>
      <c r="H18" s="31"/>
      <c r="I18" s="28"/>
      <c r="J18" s="28"/>
      <c r="K18" s="28"/>
      <c r="L18" s="31"/>
      <c r="M18" s="31"/>
      <c r="N18" s="52" t="s">
        <v>59</v>
      </c>
      <c r="O18" s="28"/>
      <c r="P18" s="28"/>
      <c r="Q18" s="28"/>
    </row>
    <row r="19" spans="1:17">
      <c r="B19" s="1" t="s">
        <v>60</v>
      </c>
      <c r="D19" s="32"/>
      <c r="E19" s="33"/>
      <c r="F19" s="34"/>
      <c r="G19" s="34"/>
      <c r="H19" s="31"/>
      <c r="I19" s="28"/>
      <c r="J19" s="28"/>
      <c r="K19" s="28"/>
      <c r="L19" s="31"/>
      <c r="M19" s="31"/>
      <c r="N19" s="28"/>
      <c r="O19" s="28"/>
      <c r="P19" s="28"/>
      <c r="Q19" s="28"/>
    </row>
    <row r="20" spans="1:17" ht="12" customHeight="1">
      <c r="A20" s="3" t="s">
        <v>61</v>
      </c>
      <c r="B20" s="66" t="s">
        <v>62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</row>
    <row r="21" spans="1:17" ht="24" customHeight="1">
      <c r="A21" s="35" t="s">
        <v>63</v>
      </c>
      <c r="B21" s="67" t="s">
        <v>64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</row>
    <row r="22" spans="1:17" ht="18.600000000000001" customHeight="1">
      <c r="A22" s="35" t="s">
        <v>65</v>
      </c>
      <c r="B22" s="68" t="s">
        <v>66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</row>
    <row r="23" spans="1:17">
      <c r="A23" s="35" t="s">
        <v>67</v>
      </c>
      <c r="B23" s="3" t="s">
        <v>68</v>
      </c>
      <c r="C23" s="3"/>
      <c r="D23" s="3"/>
      <c r="E23" s="3"/>
      <c r="K23" s="36"/>
      <c r="L23" s="37"/>
      <c r="M23" s="37"/>
      <c r="N23" s="36"/>
      <c r="O23" s="36"/>
      <c r="P23" s="36"/>
    </row>
    <row r="24" spans="1:17">
      <c r="A24" s="3" t="s">
        <v>69</v>
      </c>
      <c r="B24" s="3" t="s">
        <v>70</v>
      </c>
      <c r="C24" s="3"/>
      <c r="D24" s="3"/>
      <c r="E24" s="3"/>
      <c r="L24" s="37"/>
      <c r="M24" s="37"/>
      <c r="N24" s="36"/>
      <c r="O24" s="36"/>
      <c r="P24" s="36"/>
    </row>
    <row r="25" spans="1:17">
      <c r="B25" s="28"/>
      <c r="C25" s="39"/>
      <c r="D25" s="39"/>
      <c r="E25" s="40"/>
      <c r="F25" s="41"/>
      <c r="G25" s="41"/>
      <c r="H25" s="41"/>
      <c r="I25" s="42"/>
      <c r="J25" s="42"/>
      <c r="K25" s="42"/>
      <c r="L25" s="41"/>
      <c r="M25" s="41"/>
      <c r="N25" s="42"/>
      <c r="O25" s="42"/>
      <c r="P25" s="42"/>
    </row>
    <row r="26" spans="1:17">
      <c r="B26" s="38"/>
      <c r="C26" s="39"/>
      <c r="D26" s="39"/>
      <c r="E26" s="40"/>
      <c r="F26" s="41"/>
      <c r="G26" s="41"/>
      <c r="H26" s="41"/>
      <c r="I26" s="42"/>
      <c r="J26" s="42"/>
      <c r="K26" s="42"/>
      <c r="L26" s="41"/>
      <c r="M26" s="41"/>
      <c r="N26" s="42"/>
      <c r="O26" s="42"/>
      <c r="P26" s="42"/>
    </row>
    <row r="27" spans="1:17">
      <c r="B27" s="43"/>
      <c r="C27" s="44"/>
      <c r="D27" s="44"/>
      <c r="E27" s="40"/>
      <c r="F27" s="41"/>
      <c r="G27" s="41"/>
      <c r="H27" s="41"/>
      <c r="I27" s="42"/>
      <c r="J27" s="42"/>
      <c r="K27" s="42"/>
      <c r="L27" s="41"/>
      <c r="M27" s="41"/>
      <c r="N27" s="42"/>
      <c r="O27" s="42"/>
      <c r="P27" s="42"/>
    </row>
    <row r="28" spans="1:17">
      <c r="B28" s="45"/>
      <c r="C28" s="46"/>
      <c r="D28" s="46"/>
      <c r="E28" s="47"/>
      <c r="F28" s="47"/>
      <c r="G28" s="47"/>
      <c r="H28" s="47"/>
      <c r="I28" s="48"/>
      <c r="J28" s="48"/>
      <c r="K28" s="48"/>
      <c r="L28" s="47"/>
      <c r="M28" s="47"/>
      <c r="N28" s="48"/>
      <c r="O28" s="48"/>
      <c r="P28" s="48"/>
    </row>
    <row r="29" spans="1:17">
      <c r="B29" s="49"/>
      <c r="C29" s="50"/>
      <c r="D29" s="50"/>
      <c r="E29" s="40"/>
      <c r="F29" s="41"/>
      <c r="G29" s="41"/>
      <c r="H29" s="41"/>
      <c r="I29" s="48"/>
      <c r="J29" s="48"/>
      <c r="K29" s="48"/>
      <c r="L29" s="41"/>
      <c r="M29" s="41"/>
      <c r="N29" s="48"/>
      <c r="O29" s="48"/>
      <c r="P29" s="48"/>
    </row>
    <row r="30" spans="1:17">
      <c r="B30" s="45"/>
      <c r="C30" s="46"/>
      <c r="D30" s="46"/>
      <c r="E30" s="47"/>
      <c r="F30" s="47"/>
      <c r="G30" s="47"/>
      <c r="H30" s="47"/>
      <c r="I30" s="51"/>
      <c r="J30" s="51"/>
      <c r="K30" s="51"/>
      <c r="L30" s="47"/>
      <c r="M30" s="47"/>
      <c r="N30" s="51"/>
      <c r="O30" s="51"/>
      <c r="P30" s="51"/>
    </row>
    <row r="31" spans="1:17">
      <c r="B31" s="45"/>
      <c r="C31" s="46"/>
      <c r="D31" s="46"/>
      <c r="E31" s="47"/>
      <c r="F31" s="47"/>
      <c r="G31" s="47"/>
      <c r="H31" s="47"/>
      <c r="I31" s="51"/>
      <c r="J31" s="51"/>
      <c r="K31" s="51"/>
      <c r="L31" s="47"/>
      <c r="M31" s="47"/>
      <c r="N31" s="51"/>
      <c r="O31" s="51"/>
      <c r="P31" s="51"/>
    </row>
    <row r="32" spans="1:17">
      <c r="B32" s="45"/>
      <c r="C32" s="46"/>
      <c r="D32" s="46"/>
      <c r="E32" s="40"/>
      <c r="F32" s="41"/>
      <c r="G32" s="41"/>
      <c r="H32" s="41"/>
      <c r="I32" s="51"/>
      <c r="J32" s="51"/>
      <c r="K32" s="51"/>
      <c r="L32" s="41"/>
      <c r="M32" s="41"/>
      <c r="N32" s="51"/>
      <c r="O32" s="51"/>
      <c r="P32" s="51"/>
    </row>
    <row r="33" spans="2:16">
      <c r="B33" s="45"/>
      <c r="C33" s="46"/>
      <c r="D33" s="46"/>
      <c r="E33" s="40"/>
      <c r="F33" s="41"/>
      <c r="G33" s="41"/>
      <c r="H33" s="41"/>
      <c r="I33" s="48"/>
      <c r="J33" s="48"/>
      <c r="K33" s="48"/>
      <c r="L33" s="41"/>
      <c r="M33" s="41"/>
      <c r="N33" s="48"/>
      <c r="O33" s="48"/>
      <c r="P33" s="48"/>
    </row>
    <row r="34" spans="2:16">
      <c r="B34" s="45"/>
      <c r="C34" s="46"/>
      <c r="D34" s="46"/>
      <c r="E34" s="40"/>
      <c r="F34" s="41"/>
      <c r="G34" s="41"/>
      <c r="H34" s="41"/>
      <c r="I34" s="48"/>
      <c r="J34" s="48"/>
      <c r="K34" s="48"/>
      <c r="L34" s="41"/>
      <c r="M34" s="41"/>
      <c r="N34" s="48"/>
      <c r="O34" s="48"/>
      <c r="P34" s="48"/>
    </row>
  </sheetData>
  <mergeCells count="5">
    <mergeCell ref="G1:K1"/>
    <mergeCell ref="L1:P1"/>
    <mergeCell ref="B20:Q20"/>
    <mergeCell ref="B21:Q21"/>
    <mergeCell ref="B22:Q22"/>
  </mergeCells>
  <pageMargins left="0.7" right="0.7" top="0.75" bottom="0.75" header="0.3" footer="0.3"/>
  <pageSetup paperSize="9"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12000516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12000516 - Prod i col locació vinils i paper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3159</Value>
      <Value>3090</Value>
      <Value>3089</Value>
    </TaxCatchAll>
    <ecb982cbbbba49edba287c0296970fd2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Annexe</TermName>
          <TermId xmlns="http://schemas.microsoft.com/office/infopath/2007/PartnerControls">43b533a1-e6e7-4f87-beee-0a0a58751aa8</TermId>
        </TermInfo>
      </Terms>
    </ecb982cbbbba49edba287c0296970fd2>
    <TMB_CH_TipusDocu xmlns="c8de0594-42e2-4f26-8a69-9df094374455">Annexe</TMB_CH_TipusDocu>
    <TMB_OP xmlns="c8de0594-42e2-4f26-8a69-9df094374455">2025-06-10T22:00:00+00:00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IDLicitacio xmlns="c8de0594-42e2-4f26-8a69-9df094374455">477345</TMB_IDLicitacio>
    <TMB_Perfil xmlns="c8de0594-42e2-4f26-8a69-9df094374455">false</TMB_Perfil>
    <TMB_CA xmlns="c8de0594-42e2-4f26-8a69-9df094374455" xsi:nil="true"/>
    <b3a2275c509d4b0394d7e35eb2e777cd xmlns="c8de0594-42e2-4f26-8a69-9df094374455" xsi:nil="true"/>
    <TMB_DataAltres xmlns="c8de0594-42e2-4f26-8a69-9df094374455" xsi:nil="true"/>
    <TMB_CC xmlns="c8de0594-42e2-4f26-8a69-9df094374455">2025-07-07T22:00:00+00:00</TMB_CC>
  </documentManagement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provisionaments" ma:contentTypeID="0x0101002D732CEEE4A84C40A2C127420ABC1A68003703299E51FD884E9720DE8D6877ACF4" ma:contentTypeVersion="34" ma:contentTypeDescription="Crea un document nou" ma:contentTypeScope="" ma:versionID="24e650aa101e0f69279ac5d6af6b373a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536610a4e366b03ab89e72e0829d8abf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DataComiteWF" minOccurs="0"/>
                <xsd:element ref="ns1:TMB_seguimentWorkflow" minOccurs="0"/>
                <xsd:element ref="ns1:TMB_TitolLicitacio" minOccurs="0"/>
                <xsd:element ref="ns1:TMB_NumeroSolicitud" minOccurs="0"/>
                <xsd:element ref="ns1:TMB_IDLicitacio" minOccurs="0"/>
                <xsd:element ref="ns1:TaxCatchAllLabel" minOccurs="0"/>
                <xsd:element ref="ns1:b3a2275c509d4b0394d7e35eb2e777cd" minOccurs="0"/>
                <xsd:element ref="ns1:ecb982cbbbba49edba287c0296970fd2" minOccurs="0"/>
                <xsd:element ref="ns1:g93776c333e34272ab15451ee7fa82be" minOccurs="0"/>
                <xsd:element ref="ns1:TaxCatchAll" minOccurs="0"/>
                <xsd:element ref="ns1:h480fc279f9148aeb4afcdcf27073b87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DataComiteWF" ma:index="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1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TMB_TitolLicitacio" ma:index="12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TMB_NumeroSolicitud" ma:index="14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  <xsd:element name="TMB_IDLicitacio" ma:index="15" nillable="true" ma:displayName="IDLicitacio" ma:hidden="true" ma:internalName="TMB_IDLicitacio" ma:readOnly="false" ma:percentage="FALSE">
      <xsd:simpleType>
        <xsd:restriction base="dms:Number"/>
      </xsd:simpleType>
    </xsd:element>
    <xsd:element name="TaxCatchAllLabel" ma:index="21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3a2275c509d4b0394d7e35eb2e777cd" ma:index="22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3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3776c333e34272ab15451ee7fa82be" ma:index="24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480fc279f9148aeb4afcdcf27073b87" ma:index="27" nillable="true" ma:taxonomy="true" ma:internalName="h480fc279f9148aeb4afcdcf27073b87" ma:taxonomyFieldName="TMB_Estat" ma:displayName="Estat doc." ma:readOnly="false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9" nillable="true" ma:displayName="Etiquetes de la imatge_0" ma:hidden="true" ma:internalName="lcf76f155ced4ddcb4097134ff3c332f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6FC152-CA4E-497B-874C-A016868D47F5}"/>
</file>

<file path=customXml/itemProps2.xml><?xml version="1.0" encoding="utf-8"?>
<ds:datastoreItem xmlns:ds="http://schemas.openxmlformats.org/officeDocument/2006/customXml" ds:itemID="{8796037A-D5A6-4F72-8F1D-452288F8FF1D}"/>
</file>

<file path=customXml/itemProps3.xml><?xml version="1.0" encoding="utf-8"?>
<ds:datastoreItem xmlns:ds="http://schemas.openxmlformats.org/officeDocument/2006/customXml" ds:itemID="{BFEB3869-284C-426C-8AC6-53E46E6196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TMB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 Rubiano, Estefania</dc:creator>
  <cp:keywords/>
  <dc:description/>
  <cp:lastModifiedBy>Sevillano Sola, Ferran</cp:lastModifiedBy>
  <cp:revision/>
  <dcterms:created xsi:type="dcterms:W3CDTF">2025-04-08T09:48:50Z</dcterms:created>
  <dcterms:modified xsi:type="dcterms:W3CDTF">2025-05-08T09:31:21Z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0x0101002D732CEEE4A84C40A2C127420ABC1A68003703299E51FD884E9720DE8D6877ACF4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TMB_OrganC">
    <vt:lpwstr/>
  </property>
  <property fmtid="{D5CDD505-2E9C-101B-9397-08002B2CF9AE}" pid="9" name="g93776c333e34272ab15451ee7fa82be">
    <vt:lpwstr/>
  </property>
  <property fmtid="{D5CDD505-2E9C-101B-9397-08002B2CF9AE}" pid="10" name="TMB_TipusDoc">
    <vt:lpwstr>3090;#Annexe|43b533a1-e6e7-4f87-beee-0a0a58751aa8</vt:lpwstr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b82b7a08db3a4ab5a955c48b15659d84">
    <vt:lpwstr/>
  </property>
  <property fmtid="{D5CDD505-2E9C-101B-9397-08002B2CF9AE}" pid="16" name="TMB_Plecs">
    <vt:lpwstr/>
  </property>
  <property fmtid="{D5CDD505-2E9C-101B-9397-08002B2CF9AE}" pid="17" name="TMB_IDLicitacio">
    <vt:r8>477345</vt:r8>
  </property>
  <property fmtid="{D5CDD505-2E9C-101B-9397-08002B2CF9AE}" pid="18" name="h80888fb7b914359b90c46b7c452b251">
    <vt:lpwstr/>
  </property>
  <property fmtid="{D5CDD505-2E9C-101B-9397-08002B2CF9AE}" pid="19" name="o0f6527fa5184dfa91381007b0eb82df">
    <vt:lpwstr/>
  </property>
  <property fmtid="{D5CDD505-2E9C-101B-9397-08002B2CF9AE}" pid="20" name="ba05a5f98ed745b98d9dacf37bda167c">
    <vt:lpwstr/>
  </property>
  <property fmtid="{D5CDD505-2E9C-101B-9397-08002B2CF9AE}" pid="21" name="h3e189544f4e4582960eb2fb36374928">
    <vt:lpwstr/>
  </property>
</Properties>
</file>