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nnarosat\Documents\Documents\2025\IMHAB\"/>
    </mc:Choice>
  </mc:AlternateContent>
  <xr:revisionPtr revIDLastSave="0" documentId="13_ncr:1_{DC5FCF5A-5B0B-41B8-9F0B-16778ACD1ED0}" xr6:coauthVersionLast="47" xr6:coauthVersionMax="47" xr10:uidLastSave="{00000000-0000-0000-0000-000000000000}"/>
  <bookViews>
    <workbookView xWindow="-108" yWindow="-108" windowWidth="23256" windowHeight="12456" activeTab="4" xr2:uid="{B9849392-12F0-4DDF-BFF7-E689836B9DCC}"/>
  </bookViews>
  <sheets>
    <sheet name="façanes " sheetId="1" r:id="rId1"/>
    <sheet name="estructura " sheetId="2" r:id="rId2"/>
    <sheet name="clavegueró" sheetId="3" r:id="rId3"/>
    <sheet name="diversos " sheetId="4" r:id="rId4"/>
    <sheet name="resum" sheetId="5" r:id="rId5"/>
  </sheets>
  <definedNames>
    <definedName name="_xlnm.Print_Area" localSheetId="2">clavegueró!$B$1:$P$326</definedName>
    <definedName name="_xlnm.Print_Area" localSheetId="3">'diversos '!$B$1:$P$218</definedName>
    <definedName name="_xlnm.Print_Area" localSheetId="1">'estructura '!$B$1:$P$336</definedName>
    <definedName name="_xlnm.Print_Area" localSheetId="0">'façanes '!$B$1:$T$539</definedName>
    <definedName name="_xlnm.Print_Area" localSheetId="4">resum!$M$35:$V$52</definedName>
    <definedName name="_xlnm.Print_Titles" localSheetId="2">clavegueró!$1:$2</definedName>
    <definedName name="_xlnm.Print_Titles" localSheetId="3">'diversos '!$1:$2</definedName>
    <definedName name="_xlnm.Print_Titles" localSheetId="1">'estructura '!$1:$2</definedName>
    <definedName name="_xlnm.Print_Titles" localSheetId="0">'façanes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9" i="1" l="1"/>
  <c r="P534" i="1"/>
  <c r="P436" i="1"/>
  <c r="P365" i="1"/>
  <c r="P186" i="1"/>
  <c r="R27" i="5"/>
  <c r="R13" i="5"/>
  <c r="AA198" i="4"/>
  <c r="M339" i="1" l="1"/>
  <c r="M274" i="3"/>
  <c r="M269" i="3"/>
  <c r="M127" i="2"/>
  <c r="K211" i="4"/>
  <c r="G132" i="2"/>
  <c r="K132" i="2" s="1"/>
  <c r="L133" i="2" s="1"/>
  <c r="N133" i="2" s="1"/>
  <c r="G219" i="2"/>
  <c r="H140" i="3"/>
  <c r="H138" i="3"/>
  <c r="H137" i="3"/>
  <c r="H136" i="3"/>
  <c r="H135" i="3"/>
  <c r="H134" i="3"/>
  <c r="H128" i="3"/>
  <c r="H126" i="3"/>
  <c r="H125" i="3"/>
  <c r="H124" i="3"/>
  <c r="H123" i="3"/>
  <c r="H122" i="3"/>
  <c r="H45" i="3"/>
  <c r="H43" i="3"/>
  <c r="K43" i="3" s="1"/>
  <c r="H42" i="3"/>
  <c r="H41" i="3"/>
  <c r="H40" i="3"/>
  <c r="H39" i="3"/>
  <c r="K80" i="2"/>
  <c r="K46" i="3"/>
  <c r="H153" i="3"/>
  <c r="K153" i="3" s="1"/>
  <c r="H127" i="3"/>
  <c r="G119" i="2"/>
  <c r="K119" i="2" s="1"/>
  <c r="K118" i="2"/>
  <c r="K117" i="2"/>
  <c r="K116" i="2"/>
  <c r="K115" i="2"/>
  <c r="K114" i="2"/>
  <c r="K113" i="2"/>
  <c r="H183" i="3"/>
  <c r="K183" i="3" s="1"/>
  <c r="L184" i="3" s="1"/>
  <c r="N184" i="3" s="1"/>
  <c r="M118" i="3"/>
  <c r="K123" i="4"/>
  <c r="L124" i="4" s="1"/>
  <c r="N124" i="4" s="1"/>
  <c r="M275" i="2"/>
  <c r="M229" i="2"/>
  <c r="M216" i="3"/>
  <c r="H14" i="4"/>
  <c r="G26" i="4"/>
  <c r="H87" i="4"/>
  <c r="K87" i="4" s="1"/>
  <c r="H86" i="4"/>
  <c r="K86" i="4" s="1"/>
  <c r="H85" i="4"/>
  <c r="K85" i="4" s="1"/>
  <c r="M310" i="2"/>
  <c r="M321" i="2"/>
  <c r="M198" i="2"/>
  <c r="M168" i="2"/>
  <c r="M108" i="2"/>
  <c r="K77" i="2"/>
  <c r="M120" i="2"/>
  <c r="K57" i="2"/>
  <c r="M211" i="2"/>
  <c r="M97" i="2"/>
  <c r="M91" i="2"/>
  <c r="M334" i="1"/>
  <c r="M119" i="4"/>
  <c r="G107" i="4"/>
  <c r="M223" i="3"/>
  <c r="M178" i="3"/>
  <c r="M169" i="3"/>
  <c r="K260" i="3"/>
  <c r="K259" i="3"/>
  <c r="K258" i="3"/>
  <c r="K257" i="3"/>
  <c r="K256" i="3"/>
  <c r="K255" i="3"/>
  <c r="K254" i="3"/>
  <c r="K253" i="3"/>
  <c r="K252" i="3"/>
  <c r="K168" i="3"/>
  <c r="K167" i="3"/>
  <c r="K166" i="3"/>
  <c r="K165" i="3"/>
  <c r="K164" i="3"/>
  <c r="K163" i="3"/>
  <c r="K162" i="3"/>
  <c r="K161" i="3"/>
  <c r="K160" i="3"/>
  <c r="M428" i="1"/>
  <c r="K272" i="1"/>
  <c r="K73" i="1"/>
  <c r="M129" i="3"/>
  <c r="G93" i="3"/>
  <c r="G92" i="3"/>
  <c r="G91" i="3"/>
  <c r="G90" i="3"/>
  <c r="G88" i="3"/>
  <c r="G89" i="3"/>
  <c r="M72" i="3"/>
  <c r="K53" i="3"/>
  <c r="K60" i="3"/>
  <c r="L120" i="2" l="1"/>
  <c r="L261" i="3"/>
  <c r="L88" i="4"/>
  <c r="N88" i="4" s="1"/>
  <c r="G173" i="4"/>
  <c r="M61" i="3"/>
  <c r="G66" i="3"/>
  <c r="K66" i="3" s="1"/>
  <c r="G169" i="4"/>
  <c r="K142" i="1"/>
  <c r="L142" i="1" s="1"/>
  <c r="M34" i="3"/>
  <c r="G168" i="4"/>
  <c r="G165" i="4"/>
  <c r="G164" i="4"/>
  <c r="G163" i="4"/>
  <c r="G162" i="4"/>
  <c r="G158" i="4"/>
  <c r="G161" i="4" s="1"/>
  <c r="G156" i="4"/>
  <c r="G155" i="4"/>
  <c r="G159" i="4" s="1"/>
  <c r="G160" i="4" s="1"/>
  <c r="G154" i="4"/>
  <c r="G151" i="4"/>
  <c r="G150" i="4"/>
  <c r="G153" i="4" s="1"/>
  <c r="G167" i="4" s="1"/>
  <c r="G149" i="4"/>
  <c r="G148" i="4"/>
  <c r="G147" i="4"/>
  <c r="G152" i="4" s="1"/>
  <c r="G146" i="4"/>
  <c r="G145" i="4"/>
  <c r="G139" i="4"/>
  <c r="G138" i="4"/>
  <c r="G137" i="4"/>
  <c r="H163" i="4"/>
  <c r="M478" i="1"/>
  <c r="L197" i="4"/>
  <c r="K197" i="2"/>
  <c r="L198" i="2" s="1"/>
  <c r="N198" i="2" s="1"/>
  <c r="G191" i="2"/>
  <c r="K191" i="2" s="1"/>
  <c r="K190" i="2"/>
  <c r="K189" i="2"/>
  <c r="K188" i="2"/>
  <c r="K182" i="2"/>
  <c r="L183" i="2" s="1"/>
  <c r="G176" i="2"/>
  <c r="K176" i="2" s="1"/>
  <c r="K175" i="2"/>
  <c r="G174" i="2"/>
  <c r="K174" i="2" s="1"/>
  <c r="G173" i="2"/>
  <c r="K173" i="2" s="1"/>
  <c r="I167" i="2"/>
  <c r="H167" i="2"/>
  <c r="I166" i="2"/>
  <c r="H166" i="2"/>
  <c r="I165" i="2"/>
  <c r="H165" i="2"/>
  <c r="I164" i="2"/>
  <c r="H164" i="2"/>
  <c r="H163" i="2"/>
  <c r="K163" i="2" s="1"/>
  <c r="I162" i="2"/>
  <c r="H162" i="2"/>
  <c r="I161" i="2"/>
  <c r="H161" i="2"/>
  <c r="K155" i="2"/>
  <c r="K154" i="2"/>
  <c r="K153" i="2"/>
  <c r="K152" i="2"/>
  <c r="K151" i="2"/>
  <c r="K150" i="2"/>
  <c r="K144" i="2"/>
  <c r="G143" i="2"/>
  <c r="K143" i="2" s="1"/>
  <c r="G142" i="2"/>
  <c r="K142" i="2" s="1"/>
  <c r="G141" i="2"/>
  <c r="K141" i="2" s="1"/>
  <c r="G140" i="2"/>
  <c r="K140" i="2" s="1"/>
  <c r="G139" i="2"/>
  <c r="K139" i="2" s="1"/>
  <c r="G138" i="2"/>
  <c r="K138" i="2" s="1"/>
  <c r="G274" i="2"/>
  <c r="K274" i="2" s="1"/>
  <c r="K273" i="2"/>
  <c r="K272" i="2"/>
  <c r="K271" i="2"/>
  <c r="K270" i="2"/>
  <c r="K269" i="2"/>
  <c r="K268" i="2"/>
  <c r="K267" i="2"/>
  <c r="K266" i="2"/>
  <c r="K265" i="2"/>
  <c r="K264" i="2"/>
  <c r="K263" i="2"/>
  <c r="K262" i="2"/>
  <c r="K261" i="2"/>
  <c r="K260" i="2"/>
  <c r="K227" i="2"/>
  <c r="K226" i="2"/>
  <c r="K225" i="2"/>
  <c r="K224" i="2"/>
  <c r="K223" i="2"/>
  <c r="K222" i="2"/>
  <c r="K221" i="2"/>
  <c r="K220" i="2"/>
  <c r="K219" i="2"/>
  <c r="K218" i="2"/>
  <c r="K217" i="2"/>
  <c r="K210" i="2"/>
  <c r="K209" i="2"/>
  <c r="K208" i="2"/>
  <c r="K207" i="2"/>
  <c r="K206" i="2"/>
  <c r="K205" i="2"/>
  <c r="K185" i="4"/>
  <c r="L186" i="4" s="1"/>
  <c r="K179" i="4"/>
  <c r="L180" i="4" s="1"/>
  <c r="N180" i="4" s="1"/>
  <c r="K118" i="4"/>
  <c r="L119" i="4" s="1"/>
  <c r="J450" i="1"/>
  <c r="H450" i="1"/>
  <c r="M404" i="1"/>
  <c r="K380" i="1"/>
  <c r="L381" i="1" s="1"/>
  <c r="N381" i="1" s="1"/>
  <c r="M94" i="3"/>
  <c r="K26" i="4"/>
  <c r="L27" i="4" s="1"/>
  <c r="N27" i="4" s="1"/>
  <c r="H190" i="4"/>
  <c r="K190" i="4" s="1"/>
  <c r="L191" i="4" s="1"/>
  <c r="N191" i="4" s="1"/>
  <c r="K203" i="4"/>
  <c r="L204" i="4" s="1"/>
  <c r="N204" i="4" s="1"/>
  <c r="G321" i="3"/>
  <c r="K321" i="3" s="1"/>
  <c r="K320" i="3"/>
  <c r="G319" i="3"/>
  <c r="K319" i="3" s="1"/>
  <c r="G318" i="3"/>
  <c r="K318" i="3" s="1"/>
  <c r="G317" i="3"/>
  <c r="K317" i="3" s="1"/>
  <c r="G316" i="3"/>
  <c r="K316" i="3" s="1"/>
  <c r="G310" i="3"/>
  <c r="K310" i="3" s="1"/>
  <c r="G308" i="3"/>
  <c r="K308" i="3" s="1"/>
  <c r="G307" i="3"/>
  <c r="K307" i="3" s="1"/>
  <c r="G306" i="3"/>
  <c r="K306" i="3" s="1"/>
  <c r="G305" i="3"/>
  <c r="K305" i="3" s="1"/>
  <c r="M311" i="3"/>
  <c r="K309" i="3"/>
  <c r="G297" i="3"/>
  <c r="K297" i="3" s="1"/>
  <c r="G295" i="3"/>
  <c r="K295" i="3" s="1"/>
  <c r="G294" i="3"/>
  <c r="K294" i="3" s="1"/>
  <c r="G293" i="3"/>
  <c r="K293" i="3" s="1"/>
  <c r="G292" i="3"/>
  <c r="K292" i="3" s="1"/>
  <c r="K296" i="3"/>
  <c r="G82" i="3"/>
  <c r="K82" i="3" s="1"/>
  <c r="G81" i="3"/>
  <c r="K81" i="3" s="1"/>
  <c r="G80" i="3"/>
  <c r="K80" i="3" s="1"/>
  <c r="G79" i="3"/>
  <c r="K79" i="3" s="1"/>
  <c r="G78" i="3"/>
  <c r="K78" i="3" s="1"/>
  <c r="G77" i="3"/>
  <c r="K77" i="3" s="1"/>
  <c r="G70" i="3"/>
  <c r="K70" i="3" s="1"/>
  <c r="G71" i="3"/>
  <c r="K71" i="3" s="1"/>
  <c r="G69" i="3"/>
  <c r="K69" i="3" s="1"/>
  <c r="G68" i="3"/>
  <c r="K68" i="3" s="1"/>
  <c r="G67" i="3"/>
  <c r="K67" i="3" s="1"/>
  <c r="K285" i="3"/>
  <c r="L286" i="3" s="1"/>
  <c r="N286" i="3" s="1"/>
  <c r="K196" i="3"/>
  <c r="K195" i="3"/>
  <c r="K194" i="3"/>
  <c r="K193" i="3"/>
  <c r="K192" i="3"/>
  <c r="K191" i="3"/>
  <c r="K273" i="3"/>
  <c r="L274" i="3" s="1"/>
  <c r="K268" i="3"/>
  <c r="L269" i="3" s="1"/>
  <c r="G246" i="3"/>
  <c r="K246" i="3" s="1"/>
  <c r="G247" i="3"/>
  <c r="K247" i="3" s="1"/>
  <c r="G245" i="3"/>
  <c r="K245" i="3" s="1"/>
  <c r="G244" i="3"/>
  <c r="K244" i="3" s="1"/>
  <c r="G243" i="3"/>
  <c r="K243" i="3" s="1"/>
  <c r="G242" i="3"/>
  <c r="K242" i="3" s="1"/>
  <c r="G241" i="3"/>
  <c r="K241" i="3" s="1"/>
  <c r="K233" i="3"/>
  <c r="L234" i="3" s="1"/>
  <c r="N234" i="3" s="1"/>
  <c r="K228" i="3"/>
  <c r="L229" i="3" s="1"/>
  <c r="N229" i="3" s="1"/>
  <c r="K222" i="3"/>
  <c r="L223" i="3" s="1"/>
  <c r="K177" i="3"/>
  <c r="K176" i="3"/>
  <c r="K175" i="3"/>
  <c r="K174" i="3"/>
  <c r="K152" i="3"/>
  <c r="K147" i="3"/>
  <c r="K151" i="3"/>
  <c r="K150" i="3"/>
  <c r="K149" i="3"/>
  <c r="K148" i="3"/>
  <c r="H139" i="3"/>
  <c r="K139" i="3" s="1"/>
  <c r="K140" i="3"/>
  <c r="K138" i="3"/>
  <c r="K137" i="3"/>
  <c r="K136" i="3"/>
  <c r="K135" i="3"/>
  <c r="K134" i="3"/>
  <c r="K127" i="3"/>
  <c r="K128" i="3"/>
  <c r="K126" i="3"/>
  <c r="K125" i="3"/>
  <c r="K124" i="3"/>
  <c r="K123" i="3"/>
  <c r="K122" i="3"/>
  <c r="K117" i="3"/>
  <c r="K116" i="3"/>
  <c r="K115" i="3"/>
  <c r="K114" i="3"/>
  <c r="K113" i="3"/>
  <c r="K112" i="3"/>
  <c r="K111" i="3"/>
  <c r="K100" i="3"/>
  <c r="K93" i="3"/>
  <c r="K92" i="3"/>
  <c r="K91" i="3"/>
  <c r="K90" i="3"/>
  <c r="K89" i="3"/>
  <c r="K88" i="3"/>
  <c r="K59" i="3"/>
  <c r="K58" i="3"/>
  <c r="K57" i="3"/>
  <c r="K56" i="3"/>
  <c r="K55" i="3"/>
  <c r="K54" i="3"/>
  <c r="K52" i="3"/>
  <c r="H44" i="3"/>
  <c r="K44" i="3" s="1"/>
  <c r="K45" i="3"/>
  <c r="K42" i="3"/>
  <c r="K41" i="3"/>
  <c r="K40" i="3"/>
  <c r="K39" i="3"/>
  <c r="M25" i="3"/>
  <c r="M14" i="3"/>
  <c r="M208" i="3"/>
  <c r="K207" i="3"/>
  <c r="K206" i="3"/>
  <c r="K205" i="3"/>
  <c r="K203" i="3"/>
  <c r="K215" i="3"/>
  <c r="L216" i="3" s="1"/>
  <c r="K105" i="3"/>
  <c r="K104" i="3"/>
  <c r="K103" i="3"/>
  <c r="K102" i="3"/>
  <c r="K101" i="3"/>
  <c r="K33" i="3"/>
  <c r="L34" i="3" s="1"/>
  <c r="K13" i="3"/>
  <c r="L14" i="3" s="1"/>
  <c r="K24" i="3"/>
  <c r="K23" i="3"/>
  <c r="K22" i="3"/>
  <c r="K21" i="3"/>
  <c r="K20" i="3"/>
  <c r="K19" i="3"/>
  <c r="M299" i="2"/>
  <c r="M15" i="2"/>
  <c r="M464" i="1"/>
  <c r="M445" i="1"/>
  <c r="M420" i="1"/>
  <c r="M398" i="1"/>
  <c r="M284" i="1"/>
  <c r="M268" i="1"/>
  <c r="M434" i="1"/>
  <c r="M412" i="1"/>
  <c r="M389" i="1"/>
  <c r="M363" i="1"/>
  <c r="M329" i="1"/>
  <c r="M132" i="1"/>
  <c r="K133" i="1"/>
  <c r="L133" i="1" s="1"/>
  <c r="K132" i="1"/>
  <c r="L132" i="1" s="1"/>
  <c r="M221" i="1"/>
  <c r="K24" i="1"/>
  <c r="K23" i="1"/>
  <c r="K22" i="1"/>
  <c r="K207" i="1"/>
  <c r="K206" i="1"/>
  <c r="K205" i="1"/>
  <c r="K204" i="1"/>
  <c r="M199" i="1"/>
  <c r="M141" i="1"/>
  <c r="M139" i="1"/>
  <c r="M140" i="1"/>
  <c r="M142" i="1" s="1"/>
  <c r="K411" i="1"/>
  <c r="L412" i="1" s="1"/>
  <c r="H152" i="4" s="1"/>
  <c r="K283" i="1"/>
  <c r="L284" i="1" s="1"/>
  <c r="H148" i="4" s="1"/>
  <c r="K278" i="1"/>
  <c r="L279" i="1" s="1"/>
  <c r="N279" i="1" s="1"/>
  <c r="K250" i="1"/>
  <c r="K249" i="1"/>
  <c r="K248" i="1"/>
  <c r="K247" i="1"/>
  <c r="H219" i="1"/>
  <c r="K219" i="1" s="1"/>
  <c r="K227" i="1"/>
  <c r="K226" i="1"/>
  <c r="K225" i="1"/>
  <c r="K57" i="1"/>
  <c r="L58" i="1" s="1"/>
  <c r="N58" i="1" s="1"/>
  <c r="K40" i="1"/>
  <c r="L41" i="1" s="1"/>
  <c r="N41" i="1" s="1"/>
  <c r="K126" i="1"/>
  <c r="L127" i="1" s="1"/>
  <c r="N127" i="1" s="1"/>
  <c r="K120" i="1"/>
  <c r="L121" i="1" s="1"/>
  <c r="N121" i="1" s="1"/>
  <c r="K96" i="1"/>
  <c r="K111" i="4"/>
  <c r="L112" i="4" s="1"/>
  <c r="N112" i="4" s="1"/>
  <c r="K101" i="4"/>
  <c r="K100" i="4"/>
  <c r="K99" i="4"/>
  <c r="K107" i="4"/>
  <c r="L108" i="4" s="1"/>
  <c r="N108" i="4" s="1"/>
  <c r="H75" i="4"/>
  <c r="K75" i="4" s="1"/>
  <c r="H74" i="4"/>
  <c r="K74" i="4" s="1"/>
  <c r="H73" i="4"/>
  <c r="K73" i="4" s="1"/>
  <c r="K79" i="4"/>
  <c r="L80" i="4" s="1"/>
  <c r="N80" i="4" s="1"/>
  <c r="K60" i="4"/>
  <c r="L61" i="4" s="1"/>
  <c r="N61" i="4" s="1"/>
  <c r="K51" i="4"/>
  <c r="L52" i="4" s="1"/>
  <c r="N52" i="4" s="1"/>
  <c r="K45" i="4"/>
  <c r="L46" i="4" s="1"/>
  <c r="K141" i="1"/>
  <c r="L141" i="1" s="1"/>
  <c r="K338" i="1"/>
  <c r="L339" i="1" s="1"/>
  <c r="N339" i="1" s="1"/>
  <c r="K322" i="1"/>
  <c r="L322" i="1" s="1"/>
  <c r="N322" i="1" s="1"/>
  <c r="G33" i="4"/>
  <c r="K33" i="4" s="1"/>
  <c r="L34" i="4" s="1"/>
  <c r="N34" i="4" s="1"/>
  <c r="G14" i="4"/>
  <c r="G50" i="2"/>
  <c r="K50" i="2" s="1"/>
  <c r="G51" i="2"/>
  <c r="K51" i="2" s="1"/>
  <c r="G52" i="2"/>
  <c r="K52" i="2" s="1"/>
  <c r="G56" i="2"/>
  <c r="K56" i="2" s="1"/>
  <c r="G55" i="2"/>
  <c r="K55" i="2" s="1"/>
  <c r="G54" i="2"/>
  <c r="K54" i="2" s="1"/>
  <c r="G53" i="2"/>
  <c r="K53" i="2" s="1"/>
  <c r="G216" i="2"/>
  <c r="K216" i="2" s="1"/>
  <c r="K107" i="2"/>
  <c r="K106" i="2"/>
  <c r="K105" i="2"/>
  <c r="K104" i="2"/>
  <c r="K103" i="2"/>
  <c r="K102" i="2"/>
  <c r="K333" i="2"/>
  <c r="L334" i="2" s="1"/>
  <c r="N334" i="2" s="1"/>
  <c r="K327" i="2"/>
  <c r="L328" i="2" s="1"/>
  <c r="N328" i="2" s="1"/>
  <c r="K320" i="2"/>
  <c r="K319" i="2"/>
  <c r="K318" i="2"/>
  <c r="K317" i="2"/>
  <c r="K316" i="2"/>
  <c r="K315" i="2"/>
  <c r="K309" i="2"/>
  <c r="K308" i="2"/>
  <c r="K307" i="2"/>
  <c r="K306" i="2"/>
  <c r="K305" i="2"/>
  <c r="K304" i="2"/>
  <c r="K298" i="2"/>
  <c r="K297" i="2"/>
  <c r="K296" i="2"/>
  <c r="K295" i="2"/>
  <c r="K294" i="2"/>
  <c r="K293" i="2"/>
  <c r="K287" i="2"/>
  <c r="K286" i="2"/>
  <c r="K285" i="2"/>
  <c r="K284" i="2"/>
  <c r="K283" i="2"/>
  <c r="G241" i="2"/>
  <c r="K241" i="2" s="1"/>
  <c r="G240" i="2"/>
  <c r="K240" i="2" s="1"/>
  <c r="G239" i="2"/>
  <c r="K239" i="2" s="1"/>
  <c r="G238" i="2"/>
  <c r="K238" i="2" s="1"/>
  <c r="G237" i="2"/>
  <c r="K237" i="2" s="1"/>
  <c r="G249" i="2"/>
  <c r="K249" i="2" s="1"/>
  <c r="G253" i="2"/>
  <c r="K253" i="2" s="1"/>
  <c r="G252" i="2"/>
  <c r="K252" i="2" s="1"/>
  <c r="G250" i="2"/>
  <c r="K250" i="2" s="1"/>
  <c r="G251" i="2"/>
  <c r="K251" i="2" s="1"/>
  <c r="G248" i="2"/>
  <c r="K248" i="2" s="1"/>
  <c r="K96" i="2"/>
  <c r="L97" i="2" s="1"/>
  <c r="H162" i="4" s="1"/>
  <c r="K86" i="2"/>
  <c r="G90" i="2"/>
  <c r="K90" i="2" s="1"/>
  <c r="G89" i="2"/>
  <c r="K89" i="2" s="1"/>
  <c r="G88" i="2"/>
  <c r="K88" i="2" s="1"/>
  <c r="G87" i="2"/>
  <c r="K87" i="2" s="1"/>
  <c r="G85" i="2"/>
  <c r="K85" i="2" s="1"/>
  <c r="K79" i="2"/>
  <c r="K78" i="2"/>
  <c r="K70" i="2"/>
  <c r="K69" i="2"/>
  <c r="K68" i="2"/>
  <c r="K67" i="2"/>
  <c r="K66" i="2"/>
  <c r="K65" i="2"/>
  <c r="K64" i="2"/>
  <c r="K42" i="2"/>
  <c r="K41" i="2"/>
  <c r="K40" i="2"/>
  <c r="K39" i="2"/>
  <c r="K38" i="2"/>
  <c r="K37" i="2"/>
  <c r="K25" i="2"/>
  <c r="K24" i="2"/>
  <c r="K23" i="2"/>
  <c r="K22" i="2"/>
  <c r="K21" i="2"/>
  <c r="K20" i="2"/>
  <c r="K14" i="2"/>
  <c r="L15" i="2" s="1"/>
  <c r="K262" i="1"/>
  <c r="H261" i="1"/>
  <c r="K261" i="1" s="1"/>
  <c r="K241" i="1"/>
  <c r="K228" i="1"/>
  <c r="K220" i="1"/>
  <c r="K198" i="1"/>
  <c r="K531" i="1"/>
  <c r="L532" i="1" s="1"/>
  <c r="N532" i="1" s="1"/>
  <c r="K525" i="1"/>
  <c r="L526" i="1" s="1"/>
  <c r="N526" i="1" s="1"/>
  <c r="K511" i="1"/>
  <c r="L512" i="1" s="1"/>
  <c r="N512" i="1" s="1"/>
  <c r="K506" i="1"/>
  <c r="L506" i="1" s="1"/>
  <c r="N506" i="1" s="1"/>
  <c r="K505" i="1"/>
  <c r="L505" i="1" s="1"/>
  <c r="N505" i="1" s="1"/>
  <c r="H497" i="1"/>
  <c r="K497" i="1" s="1"/>
  <c r="J489" i="1"/>
  <c r="H489" i="1"/>
  <c r="J483" i="1"/>
  <c r="H483" i="1"/>
  <c r="H477" i="1"/>
  <c r="K477" i="1" s="1"/>
  <c r="L478" i="1" s="1"/>
  <c r="J471" i="1"/>
  <c r="H471" i="1"/>
  <c r="H463" i="1"/>
  <c r="K463" i="1" s="1"/>
  <c r="L464" i="1" s="1"/>
  <c r="H155" i="4" s="1"/>
  <c r="J457" i="1"/>
  <c r="H457" i="1"/>
  <c r="K444" i="1"/>
  <c r="L445" i="1" s="1"/>
  <c r="K433" i="1"/>
  <c r="L434" i="1" s="1"/>
  <c r="H153" i="4" s="1"/>
  <c r="K427" i="1"/>
  <c r="L428" i="1" s="1"/>
  <c r="K419" i="1"/>
  <c r="L420" i="1" s="1"/>
  <c r="K403" i="1"/>
  <c r="L404" i="1" s="1"/>
  <c r="K397" i="1"/>
  <c r="L398" i="1" s="1"/>
  <c r="K388" i="1"/>
  <c r="L389" i="1" s="1"/>
  <c r="K374" i="1"/>
  <c r="L375" i="1" s="1"/>
  <c r="N375" i="1" s="1"/>
  <c r="K362" i="1"/>
  <c r="L363" i="1" s="1"/>
  <c r="K357" i="1"/>
  <c r="L358" i="1" s="1"/>
  <c r="N358" i="1" s="1"/>
  <c r="K351" i="1"/>
  <c r="L352" i="1" s="1"/>
  <c r="N352" i="1" s="1"/>
  <c r="K345" i="1"/>
  <c r="L346" i="1" s="1"/>
  <c r="N346" i="1" s="1"/>
  <c r="K333" i="1"/>
  <c r="L334" i="1" s="1"/>
  <c r="N334" i="1" s="1"/>
  <c r="K328" i="1"/>
  <c r="L329" i="1" s="1"/>
  <c r="K316" i="1"/>
  <c r="L317" i="1" s="1"/>
  <c r="N317" i="1" s="1"/>
  <c r="K309" i="1"/>
  <c r="L310" i="1" s="1"/>
  <c r="N310" i="1" s="1"/>
  <c r="K303" i="1"/>
  <c r="L304" i="1" s="1"/>
  <c r="N304" i="1" s="1"/>
  <c r="K297" i="1"/>
  <c r="L297" i="1" s="1"/>
  <c r="N297" i="1" s="1"/>
  <c r="G296" i="1"/>
  <c r="K296" i="1" s="1"/>
  <c r="L296" i="1" s="1"/>
  <c r="N296" i="1" s="1"/>
  <c r="K288" i="1"/>
  <c r="L289" i="1" s="1"/>
  <c r="N289" i="1" s="1"/>
  <c r="L273" i="1"/>
  <c r="N273" i="1" s="1"/>
  <c r="K267" i="1"/>
  <c r="L268" i="1" s="1"/>
  <c r="H145" i="4" s="1"/>
  <c r="H240" i="1"/>
  <c r="K240" i="1" s="1"/>
  <c r="H260" i="1"/>
  <c r="K260" i="1" s="1"/>
  <c r="H259" i="1"/>
  <c r="K259" i="1" s="1"/>
  <c r="H239" i="1"/>
  <c r="K239" i="1" s="1"/>
  <c r="K238" i="1"/>
  <c r="K237" i="1"/>
  <c r="K236" i="1"/>
  <c r="H218" i="1"/>
  <c r="K218" i="1" s="1"/>
  <c r="K258" i="1"/>
  <c r="K257" i="1"/>
  <c r="K256" i="1"/>
  <c r="K217" i="1"/>
  <c r="K216" i="1"/>
  <c r="K215" i="1"/>
  <c r="K183" i="1"/>
  <c r="L184" i="1" s="1"/>
  <c r="N184" i="1" s="1"/>
  <c r="K197" i="1"/>
  <c r="K196" i="1"/>
  <c r="K195" i="1"/>
  <c r="K179" i="1"/>
  <c r="L180" i="1" s="1"/>
  <c r="N180" i="1" s="1"/>
  <c r="K173" i="1"/>
  <c r="K172" i="1"/>
  <c r="K171" i="1"/>
  <c r="K165" i="1"/>
  <c r="L166" i="1" s="1"/>
  <c r="N166" i="1" s="1"/>
  <c r="K159" i="1"/>
  <c r="L160" i="1" s="1"/>
  <c r="N160" i="1" s="1"/>
  <c r="K153" i="1"/>
  <c r="L154" i="1" s="1"/>
  <c r="N154" i="1" s="1"/>
  <c r="K148" i="1"/>
  <c r="L149" i="1" s="1"/>
  <c r="N149" i="1" s="1"/>
  <c r="K140" i="1"/>
  <c r="L140" i="1" s="1"/>
  <c r="K139" i="1"/>
  <c r="L139" i="1" s="1"/>
  <c r="K114" i="1"/>
  <c r="L115" i="1" s="1"/>
  <c r="N115" i="1" s="1"/>
  <c r="K108" i="1"/>
  <c r="L109" i="1" s="1"/>
  <c r="N109" i="1" s="1"/>
  <c r="K102" i="1"/>
  <c r="L103" i="1" s="1"/>
  <c r="N103" i="1" s="1"/>
  <c r="K95" i="1"/>
  <c r="K94" i="1"/>
  <c r="K34" i="1"/>
  <c r="K33" i="1"/>
  <c r="K32" i="1"/>
  <c r="G86" i="1"/>
  <c r="H86" i="1"/>
  <c r="G85" i="1"/>
  <c r="H85" i="1"/>
  <c r="L74" i="1"/>
  <c r="N74" i="1" s="1"/>
  <c r="K79" i="1"/>
  <c r="L80" i="1" s="1"/>
  <c r="N80" i="1" s="1"/>
  <c r="K65" i="1"/>
  <c r="K64" i="1"/>
  <c r="K63" i="1"/>
  <c r="K51" i="1"/>
  <c r="K50" i="1"/>
  <c r="K49" i="1"/>
  <c r="K16" i="1"/>
  <c r="K15" i="1"/>
  <c r="K14" i="1"/>
  <c r="H168" i="4" l="1"/>
  <c r="K168" i="4" s="1"/>
  <c r="N142" i="1"/>
  <c r="L47" i="3"/>
  <c r="H147" i="4"/>
  <c r="K147" i="4" s="1"/>
  <c r="L81" i="2"/>
  <c r="L141" i="3"/>
  <c r="N141" i="3" s="1"/>
  <c r="L129" i="3"/>
  <c r="N129" i="3" s="1"/>
  <c r="L154" i="3"/>
  <c r="N154" i="3" s="1"/>
  <c r="K14" i="4"/>
  <c r="L15" i="4" s="1"/>
  <c r="N15" i="4" s="1"/>
  <c r="G20" i="4"/>
  <c r="K20" i="4" s="1"/>
  <c r="L21" i="4" s="1"/>
  <c r="N21" i="4" s="1"/>
  <c r="K145" i="4"/>
  <c r="K155" i="4"/>
  <c r="K450" i="1"/>
  <c r="L451" i="1" s="1"/>
  <c r="N451" i="1" s="1"/>
  <c r="L61" i="3"/>
  <c r="K153" i="4"/>
  <c r="K148" i="4"/>
  <c r="K152" i="4"/>
  <c r="H173" i="4"/>
  <c r="K173" i="4" s="1"/>
  <c r="G157" i="4"/>
  <c r="H136" i="4"/>
  <c r="K136" i="4" s="1"/>
  <c r="H142" i="4"/>
  <c r="K142" i="4" s="1"/>
  <c r="H150" i="4"/>
  <c r="K150" i="4" s="1"/>
  <c r="H157" i="4"/>
  <c r="H151" i="4"/>
  <c r="K151" i="4" s="1"/>
  <c r="H137" i="4"/>
  <c r="K137" i="4" s="1"/>
  <c r="H138" i="4"/>
  <c r="K138" i="4" s="1"/>
  <c r="H146" i="4"/>
  <c r="K146" i="4" s="1"/>
  <c r="H140" i="4"/>
  <c r="K140" i="4" s="1"/>
  <c r="H141" i="4"/>
  <c r="K141" i="4" s="1"/>
  <c r="H149" i="4"/>
  <c r="K149" i="4" s="1"/>
  <c r="K163" i="4"/>
  <c r="K162" i="4"/>
  <c r="N197" i="4"/>
  <c r="N119" i="4"/>
  <c r="L177" i="2"/>
  <c r="K165" i="2"/>
  <c r="L192" i="2"/>
  <c r="N183" i="2"/>
  <c r="K166" i="2"/>
  <c r="K164" i="2"/>
  <c r="K161" i="2"/>
  <c r="K162" i="2"/>
  <c r="L156" i="2"/>
  <c r="N156" i="2" s="1"/>
  <c r="K167" i="2"/>
  <c r="L145" i="2"/>
  <c r="N145" i="2" s="1"/>
  <c r="L275" i="2"/>
  <c r="N275" i="2" s="1"/>
  <c r="G254" i="2"/>
  <c r="K254" i="2" s="1"/>
  <c r="L255" i="2" s="1"/>
  <c r="G242" i="2"/>
  <c r="K242" i="2" s="1"/>
  <c r="L243" i="2" s="1"/>
  <c r="N243" i="2" s="1"/>
  <c r="G228" i="2"/>
  <c r="L229" i="2" s="1"/>
  <c r="L322" i="3"/>
  <c r="N322" i="3" s="1"/>
  <c r="N186" i="4"/>
  <c r="N478" i="1"/>
  <c r="N428" i="1"/>
  <c r="N445" i="1"/>
  <c r="N389" i="1"/>
  <c r="N464" i="1"/>
  <c r="N329" i="1"/>
  <c r="L102" i="4"/>
  <c r="N102" i="4" s="1"/>
  <c r="L311" i="3"/>
  <c r="N311" i="3" s="1"/>
  <c r="L298" i="3"/>
  <c r="L197" i="3"/>
  <c r="N197" i="3" s="1"/>
  <c r="N269" i="3"/>
  <c r="N261" i="3"/>
  <c r="N274" i="3"/>
  <c r="L248" i="3"/>
  <c r="N248" i="3" s="1"/>
  <c r="N223" i="3"/>
  <c r="N216" i="3"/>
  <c r="L169" i="3"/>
  <c r="N169" i="3" s="1"/>
  <c r="L178" i="3"/>
  <c r="N178" i="3" s="1"/>
  <c r="L94" i="3"/>
  <c r="N94" i="3" s="1"/>
  <c r="L118" i="3"/>
  <c r="N118" i="3" s="1"/>
  <c r="L83" i="3"/>
  <c r="L72" i="3"/>
  <c r="L208" i="3"/>
  <c r="N208" i="3" s="1"/>
  <c r="N106" i="3"/>
  <c r="N34" i="3"/>
  <c r="N14" i="3"/>
  <c r="L25" i="3"/>
  <c r="N25" i="3" s="1"/>
  <c r="N97" i="2"/>
  <c r="N15" i="2"/>
  <c r="N404" i="1"/>
  <c r="N284" i="1"/>
  <c r="N434" i="1"/>
  <c r="N398" i="1"/>
  <c r="N412" i="1"/>
  <c r="N420" i="1"/>
  <c r="N363" i="1"/>
  <c r="N133" i="1"/>
  <c r="N132" i="1"/>
  <c r="N268" i="1"/>
  <c r="L25" i="1"/>
  <c r="N25" i="1" s="1"/>
  <c r="L208" i="1"/>
  <c r="N208" i="1" s="1"/>
  <c r="N139" i="1"/>
  <c r="N141" i="1"/>
  <c r="N140" i="1"/>
  <c r="L498" i="1"/>
  <c r="L229" i="1"/>
  <c r="L221" i="1"/>
  <c r="K85" i="1"/>
  <c r="L97" i="1"/>
  <c r="N97" i="1" s="1"/>
  <c r="K86" i="1"/>
  <c r="L58" i="2"/>
  <c r="L76" i="4"/>
  <c r="N76" i="4" s="1"/>
  <c r="N46" i="4"/>
  <c r="L251" i="1"/>
  <c r="N251" i="1" s="1"/>
  <c r="L263" i="1"/>
  <c r="N263" i="1" s="1"/>
  <c r="L321" i="2"/>
  <c r="N321" i="2" s="1"/>
  <c r="L310" i="2"/>
  <c r="N310" i="2" s="1"/>
  <c r="L299" i="2"/>
  <c r="N299" i="2" s="1"/>
  <c r="L288" i="2"/>
  <c r="N288" i="2" s="1"/>
  <c r="L211" i="2"/>
  <c r="N211" i="2" s="1"/>
  <c r="N108" i="2"/>
  <c r="L91" i="2"/>
  <c r="L71" i="2"/>
  <c r="L43" i="2"/>
  <c r="N43" i="2" s="1"/>
  <c r="L26" i="2"/>
  <c r="N26" i="2" s="1"/>
  <c r="L242" i="1"/>
  <c r="N242" i="1" s="1"/>
  <c r="L199" i="1"/>
  <c r="N199" i="1" s="1"/>
  <c r="G517" i="1"/>
  <c r="K517" i="1" s="1"/>
  <c r="L518" i="1" s="1"/>
  <c r="N518" i="1" s="1"/>
  <c r="K489" i="1"/>
  <c r="L490" i="1" s="1"/>
  <c r="N490" i="1" s="1"/>
  <c r="K483" i="1"/>
  <c r="L484" i="1" s="1"/>
  <c r="N484" i="1" s="1"/>
  <c r="K471" i="1"/>
  <c r="L472" i="1" s="1"/>
  <c r="N472" i="1" s="1"/>
  <c r="K457" i="1"/>
  <c r="L458" i="1" s="1"/>
  <c r="L174" i="1"/>
  <c r="N174" i="1" s="1"/>
  <c r="L66" i="1"/>
  <c r="N66" i="1" s="1"/>
  <c r="L52" i="1"/>
  <c r="N52" i="1" s="1"/>
  <c r="L17" i="1"/>
  <c r="N17" i="1" s="1"/>
  <c r="L35" i="1"/>
  <c r="P36" i="4" l="1"/>
  <c r="H23" i="5" s="1"/>
  <c r="P90" i="4"/>
  <c r="H25" i="5" s="1"/>
  <c r="N229" i="2"/>
  <c r="G125" i="2"/>
  <c r="N120" i="2"/>
  <c r="H164" i="4"/>
  <c r="K164" i="4" s="1"/>
  <c r="N192" i="2"/>
  <c r="H167" i="4"/>
  <c r="K167" i="4" s="1"/>
  <c r="N71" i="2"/>
  <c r="H159" i="4"/>
  <c r="K159" i="4" s="1"/>
  <c r="N91" i="2"/>
  <c r="H161" i="4"/>
  <c r="K161" i="4" s="1"/>
  <c r="N177" i="2"/>
  <c r="H166" i="4"/>
  <c r="K166" i="4" s="1"/>
  <c r="N81" i="2"/>
  <c r="H160" i="4"/>
  <c r="K160" i="4" s="1"/>
  <c r="N58" i="2"/>
  <c r="H158" i="4"/>
  <c r="K158" i="4" s="1"/>
  <c r="N47" i="3"/>
  <c r="H169" i="4"/>
  <c r="K169" i="4" s="1"/>
  <c r="N298" i="3"/>
  <c r="H172" i="4"/>
  <c r="K172" i="4" s="1"/>
  <c r="N61" i="3"/>
  <c r="H170" i="4"/>
  <c r="K170" i="4" s="1"/>
  <c r="K157" i="4"/>
  <c r="N72" i="3"/>
  <c r="H171" i="4"/>
  <c r="K171" i="4" s="1"/>
  <c r="N458" i="1"/>
  <c r="H154" i="4"/>
  <c r="K154" i="4" s="1"/>
  <c r="N221" i="1"/>
  <c r="H143" i="4"/>
  <c r="K143" i="4" s="1"/>
  <c r="N35" i="1"/>
  <c r="H135" i="4"/>
  <c r="K135" i="4" s="1"/>
  <c r="N498" i="1"/>
  <c r="H156" i="4"/>
  <c r="K156" i="4" s="1"/>
  <c r="N229" i="1"/>
  <c r="H144" i="4"/>
  <c r="K144" i="4" s="1"/>
  <c r="N83" i="3"/>
  <c r="G196" i="4"/>
  <c r="P126" i="4"/>
  <c r="H26" i="5" s="1"/>
  <c r="L168" i="2"/>
  <c r="N168" i="2" s="1"/>
  <c r="P64" i="4"/>
  <c r="H24" i="5" s="1"/>
  <c r="H9" i="5"/>
  <c r="N255" i="2"/>
  <c r="K31" i="2"/>
  <c r="L32" i="2" s="1"/>
  <c r="N32" i="2" s="1"/>
  <c r="L87" i="1"/>
  <c r="K125" i="2" l="1"/>
  <c r="G126" i="2"/>
  <c r="K126" i="2" s="1"/>
  <c r="H10" i="5"/>
  <c r="P324" i="3"/>
  <c r="H19" i="5" s="1"/>
  <c r="P276" i="3"/>
  <c r="P326" i="3" s="1"/>
  <c r="N87" i="1"/>
  <c r="H139" i="4"/>
  <c r="K139" i="4" s="1"/>
  <c r="H8" i="5" l="1"/>
  <c r="L127" i="2"/>
  <c r="H18" i="5"/>
  <c r="J16" i="5" s="1"/>
  <c r="L212" i="4"/>
  <c r="N212" i="4" s="1"/>
  <c r="H7" i="5" l="1"/>
  <c r="J5" i="5" s="1"/>
  <c r="N127" i="2"/>
  <c r="H165" i="4"/>
  <c r="K165" i="4" s="1"/>
  <c r="L174" i="4" s="1"/>
  <c r="N174" i="4" s="1"/>
  <c r="AF9" i="5" l="1"/>
  <c r="P218" i="4"/>
  <c r="P336" i="2"/>
  <c r="H14" i="5" s="1"/>
  <c r="J12" i="5" s="1"/>
  <c r="P215" i="4"/>
  <c r="H27" i="5" s="1"/>
  <c r="J21" i="5" s="1"/>
  <c r="AF5" i="5" l="1"/>
  <c r="H30" i="5"/>
  <c r="H33" i="5" s="1"/>
  <c r="H35" i="5" s="1"/>
  <c r="AF11" i="5" l="1"/>
  <c r="H37" i="5"/>
  <c r="H40" i="5" s="1"/>
  <c r="H43" i="5" s="1"/>
  <c r="H45" i="5" s="1"/>
  <c r="AF7" i="5" l="1"/>
  <c r="AF13" i="5" l="1"/>
</calcChain>
</file>

<file path=xl/sharedStrings.xml><?xml version="1.0" encoding="utf-8"?>
<sst xmlns="http://schemas.openxmlformats.org/spreadsheetml/2006/main" count="1410" uniqueCount="702">
  <si>
    <t xml:space="preserve">REHABILITACIÓ DE LES FAÇANES </t>
  </si>
  <si>
    <t xml:space="preserve">Instal·lació de sistemes de treball vertical </t>
  </si>
  <si>
    <t>Aplicació de nou revestiment</t>
  </si>
  <si>
    <t xml:space="preserve">Repicat del revestiment </t>
  </si>
  <si>
    <t>Repicat de revestiment llis</t>
  </si>
  <si>
    <t>Instal·lació de bastida tubular</t>
  </si>
  <si>
    <t>Instal·lació de bastides</t>
  </si>
  <si>
    <t>Repicat del arrambador amb acabat de pedra</t>
  </si>
  <si>
    <t>Aplicació de revestiment llis</t>
  </si>
  <si>
    <t xml:space="preserve">Reparació d'elements ceràmics </t>
  </si>
  <si>
    <t xml:space="preserve">Reparació dels emmarctas decoratius de la pb </t>
  </si>
  <si>
    <t xml:space="preserve">Reparació de tancaments </t>
  </si>
  <si>
    <t xml:space="preserve">Altres actuacions </t>
  </si>
  <si>
    <t xml:space="preserve">Adequació de sortides de fums </t>
  </si>
  <si>
    <t>Tancat de forats obsolets</t>
  </si>
  <si>
    <t>Neteja del canal de la coberta</t>
  </si>
  <si>
    <t>REFORÇ ESTRUCTURAL FORJATS</t>
  </si>
  <si>
    <t xml:space="preserve">Reparació de les marquesines sobre les escales </t>
  </si>
  <si>
    <t xml:space="preserve">Reparació de la cornisa sobre el pont d'entrada </t>
  </si>
  <si>
    <t xml:space="preserve">Substitució de la peça de remat de la barana  </t>
  </si>
  <si>
    <t xml:space="preserve">Reparació puntual del baix relleu del pont </t>
  </si>
  <si>
    <t xml:space="preserve">Substitució dels replanells de les finestres </t>
  </si>
  <si>
    <t xml:space="preserve">Reparació d'esquerda al parament </t>
  </si>
  <si>
    <t>Aplicació de revestiment amb acabat d'imitació pedra</t>
  </si>
  <si>
    <t xml:space="preserve">Reparació i pintura de fusteries de les finestres </t>
  </si>
  <si>
    <t>Reparació i pintura de persianes</t>
  </si>
  <si>
    <t xml:space="preserve">Reparació i pintura de reixes </t>
  </si>
  <si>
    <t>Aplicació de pintura sobre el revestiment</t>
  </si>
  <si>
    <t>Lloguer i transport de camió amb elevador</t>
  </si>
  <si>
    <t xml:space="preserve">Instal·lació de mitjans auxiliars </t>
  </si>
  <si>
    <t xml:space="preserve">Reparació paraments </t>
  </si>
  <si>
    <t xml:space="preserve">Substitució dels replanells de la barana </t>
  </si>
  <si>
    <t xml:space="preserve">Reparació i pintura de les reixes </t>
  </si>
  <si>
    <t xml:space="preserve">Reparació i pintura de les baranes </t>
  </si>
  <si>
    <t xml:space="preserve">Previs als treballs </t>
  </si>
  <si>
    <t>Desplaçament de mobles</t>
  </si>
  <si>
    <t xml:space="preserve">Protecció d'elements fixes </t>
  </si>
  <si>
    <t>Desplaçament i protecció d'instal·lacions</t>
  </si>
  <si>
    <t xml:space="preserve">Ram de paleta </t>
  </si>
  <si>
    <t xml:space="preserve">Repicat del guix del sostre </t>
  </si>
  <si>
    <t xml:space="preserve">Repicat del guix de les parets i jàsseres </t>
  </si>
  <si>
    <t>Obertura i tancament de forats als envans</t>
  </si>
  <si>
    <t xml:space="preserve">Ram de pintura </t>
  </si>
  <si>
    <t xml:space="preserve">Pintat de parets </t>
  </si>
  <si>
    <t xml:space="preserve">Pintat de sostres </t>
  </si>
  <si>
    <t xml:space="preserve">Repicat de rajoles a la part superior de la paret </t>
  </si>
  <si>
    <t xml:space="preserve">Eliminació de campanes d'obra a les cuines </t>
  </si>
  <si>
    <t xml:space="preserve">Subministrament i col·loccació de rajoles </t>
  </si>
  <si>
    <t xml:space="preserve">Instal·lacions </t>
  </si>
  <si>
    <t xml:space="preserve">Reconducció dels fums de les campanes </t>
  </si>
  <si>
    <t xml:space="preserve">Instal·lació d'aigua als banys </t>
  </si>
  <si>
    <t xml:space="preserve">Aplicació de pintura ignifuga als perfils </t>
  </si>
  <si>
    <t xml:space="preserve">pont d'entrada i trasters </t>
  </si>
  <si>
    <t>Ram de Paleta</t>
  </si>
  <si>
    <t xml:space="preserve">Retirada de paviment </t>
  </si>
  <si>
    <t xml:space="preserve">Muntatge i desmuntatge de bastida tubular que cobreixi tota la superficie de la façana a rehabilitar. Inclou els marcs, les escales, els sòcols, les baranes i tots els elements de protecció com xarxes, lones, etc. </t>
  </si>
  <si>
    <t>Instal·lació de sistemes de subjecció de cordes per als treballs verticals. Inclou les plaques d'ancoratge, les cordes i tots els elements per a treballar amb seguretat.</t>
  </si>
  <si>
    <t xml:space="preserve">Aplicació de revestiment amb morter mixt de ciment i calç amb acabat llis, imitant la textura del revestiment actual. </t>
  </si>
  <si>
    <t xml:space="preserve">Aplicació de revestiment amb morter mixt de ciment i calç,  imitant la textura i l'especejament del revestiment actual. </t>
  </si>
  <si>
    <t xml:space="preserve">Aplicació de pintura al parament </t>
  </si>
  <si>
    <t xml:space="preserve">Aplicació a tot el parament de pintura  per a exteriors  a bse de resina de Pliolite del mateix color que l'existent. </t>
  </si>
  <si>
    <t xml:space="preserve">Substitució dels emmarcats de les finestres </t>
  </si>
  <si>
    <t xml:space="preserve">Ajustos de les fusteries per al seu correcte tancament. Eliminació de pintures soltes, aplicació d'imprimació i dues mans d'esmalt sintètic. </t>
  </si>
  <si>
    <t>Raspallat per a eliminar zones oxidades, aplicació de passivant i posteriorment de dues mans d'esmalt sintètic a les reixes de tancament de les finestres.</t>
  </si>
  <si>
    <t xml:space="preserve">Ajustos de les persianes per al seu correcte tancament. Eliminació de pintures soltes, aplicació d'imprimació i dues mans d'esmalt sintètic. </t>
  </si>
  <si>
    <t xml:space="preserve">Substitució dels ferratges de tancament </t>
  </si>
  <si>
    <t xml:space="preserve">Substitució dels ferratges de tancament per uns de les mateixes característiques. Tant a les finestres com a les persianes. </t>
  </si>
  <si>
    <t xml:space="preserve">Substitució de persianes de tancament </t>
  </si>
  <si>
    <t xml:space="preserve">Tancat dels forats obsolets amb material ceràmic i morter. En el cas de forats en ús, però sense tub o reixeta,  s'arestarà l'obertura. Es conservarà la textura similar a l'existent. </t>
  </si>
  <si>
    <t xml:space="preserve">Reixetes de ventilació </t>
  </si>
  <si>
    <t xml:space="preserve">Subministarment i col·loccaió de reixetes de ventilació d'alunini lacat blanc de 15x15cm per a la substitució de reixetes en mal estat o la col·loccaió en forats sense reixa però que són de ventilació. </t>
  </si>
  <si>
    <t xml:space="preserve">Ajuts de paleteria per al remat perimetral de les fusteries substituides. L'acabat ha de der un estuc planxat com l'existent, iitant el color i el marbrejat. </t>
  </si>
  <si>
    <t xml:space="preserve">Lloguer i transport de camió amb elevador per a cobrir la totalitat de la superficie de les parets i la barana de la plaça de Margarida Xirgu. </t>
  </si>
  <si>
    <t>Reparació dels cantells dels elements de formigó</t>
  </si>
  <si>
    <t xml:space="preserve">Reforç cantells de formigó. </t>
  </si>
  <si>
    <t xml:space="preserve">Repicat del revestiment llis que estigui solt o en mal estat, de forma manual, fins arribar a base ferma. Inclou el trasllat de runa fins al contenidor. </t>
  </si>
  <si>
    <t xml:space="preserve">Repicat del revestiment imitació de pedra que estigui solt o en mal estat, de forma manual, fins arribar a base ferma.  Inclou el trasllat de runa fins al contenidor. </t>
  </si>
  <si>
    <t xml:space="preserve">Substitució de peces soltes o en mal estat per noves unitats de les mateixes característiques que les existents  seguint el model decoratiu actual.  Inclou el trasllat de runa fins al contenidor. </t>
  </si>
  <si>
    <t>Repicat de les esquerdes existents al parament fins a base ferma. Es sanejaran, i repararan o bé amb rodons d'acer inoxidable diam 8mm amb un desenvolupamnet de 5+20+5cm embeguts a l'obra ceràmica i fixats amb taco químic,  col·locats cada 30cm entre si en forma perpendicular a la directriu de l'esquerda. O bé s'embeuran malles de fibra de vidre amb una amplada mínima de 30cm i la llargada total de l'esquerda embeguda a la primera capa del revestiment.   Inclou el trasllat de runa fins al contenidor. A determinar per la DF.</t>
  </si>
  <si>
    <t xml:space="preserve">Repicat del revestiment llis que estigui solt o en mal estat, de forma manual, fins arribar a base ferma.  Inclou el trasllat de runa fins al contenidor. </t>
  </si>
  <si>
    <t xml:space="preserve">Eliminació de les peces soltes o trencades existents. Subministrament i col·locació de noves unitats de peces ceràmiques de les mateixes característiques que les existents preses amb ciment cola.   Inclou el trasllat de runa fins al contenidor. A determinar per la DF </t>
  </si>
  <si>
    <t>Repicat de les esquerdes existents al parament fins a base ferma. Es sanejaran, i repararan o bé amb rodons d'acer inoxidable diam 8mm amb un desenvolupamnet de 5+20+5cm embeguts a l'obra ceràmica i fixats amb taco químic,  col·locats cada 30cm entre si en forma perpendicular a la directriu de l'esquerda. O bé s'embeuran malles de fibra de vidre amb una amplada mínima de 30cm i la llargada total de l'esquerda embeguda a la primera capa del revestiment.   Inclou el trasllat de runa fins al contenidor.  A determinar per la DF.</t>
  </si>
  <si>
    <t xml:space="preserve">Substitució de paviment </t>
  </si>
  <si>
    <t>Eliminació de les peces ceràmiques del paviment actual.  Inclou el trasllat de runa fins al contenidor</t>
  </si>
  <si>
    <t xml:space="preserve">Retirada de runa </t>
  </si>
  <si>
    <t xml:space="preserve">1. Façana exterior </t>
  </si>
  <si>
    <t>1.1</t>
  </si>
  <si>
    <t>1.1.1</t>
  </si>
  <si>
    <t>1.2</t>
  </si>
  <si>
    <t>1.2.1</t>
  </si>
  <si>
    <t>1.2.2</t>
  </si>
  <si>
    <t>1.3</t>
  </si>
  <si>
    <t>1.3.1</t>
  </si>
  <si>
    <t>1.3.2</t>
  </si>
  <si>
    <t>1.3.3</t>
  </si>
  <si>
    <t>1.4</t>
  </si>
  <si>
    <t>1.4.1</t>
  </si>
  <si>
    <t>1.4.2</t>
  </si>
  <si>
    <t>1.5</t>
  </si>
  <si>
    <t>1.5.1</t>
  </si>
  <si>
    <t>1.5.2</t>
  </si>
  <si>
    <t>1.5.3</t>
  </si>
  <si>
    <t>1.5.4</t>
  </si>
  <si>
    <t>1.5.5</t>
  </si>
  <si>
    <t>1.6</t>
  </si>
  <si>
    <t>1.6.1</t>
  </si>
  <si>
    <t>1.6.2</t>
  </si>
  <si>
    <t>1.6.3</t>
  </si>
  <si>
    <t>1.6.4</t>
  </si>
  <si>
    <t>1.6.5</t>
  </si>
  <si>
    <t xml:space="preserve">2. Façana interior  </t>
  </si>
  <si>
    <t>2.1</t>
  </si>
  <si>
    <t>2.1.1</t>
  </si>
  <si>
    <t xml:space="preserve">3. Façana testers </t>
  </si>
  <si>
    <t>4. Façana plaça Margarida Xirgu</t>
  </si>
  <si>
    <t xml:space="preserve">Manteniment paraments </t>
  </si>
  <si>
    <t xml:space="preserve">Obertura de ventilacions a tot el perímetre dels minvells per a facilitar la ventilació de la cambra d'aire. </t>
  </si>
  <si>
    <t xml:space="preserve">Ventilació cambra d'aire </t>
  </si>
  <si>
    <t xml:space="preserve">Neteja de la càmbra d'aire </t>
  </si>
  <si>
    <t xml:space="preserve">Paviment dels terrats transitables </t>
  </si>
  <si>
    <t xml:space="preserve">Paviment dels terrats no transitables </t>
  </si>
  <si>
    <t>Neteja i preparació de la superficie</t>
  </si>
  <si>
    <t xml:space="preserve">SUBSTITUCIÓ CLAVEGUERÓ </t>
  </si>
  <si>
    <t xml:space="preserve">Descoberta del recorregut del clavegueró. </t>
  </si>
  <si>
    <t xml:space="preserve">Retirada del clavegueró existent. </t>
  </si>
  <si>
    <t>Consolidació de la solera</t>
  </si>
  <si>
    <t xml:space="preserve">Pavimentat de l'habitatge </t>
  </si>
  <si>
    <t xml:space="preserve">Refeta d'instal·lacions d'aigua </t>
  </si>
  <si>
    <t xml:space="preserve">Pintura </t>
  </si>
  <si>
    <t>Muntatge i desmuntatge, inclòs el transport i el lloguer dels dies necessaris d'una plataforma de treball mobil per arribar a l'alçada de treball de 2,80m.  Inclou desmuntatge d'apuntalament existent</t>
  </si>
  <si>
    <t xml:space="preserve">Reparació de l'armat de les bigues </t>
  </si>
  <si>
    <t xml:space="preserve">Neteja de la superficie dels terrats </t>
  </si>
  <si>
    <t xml:space="preserve">Adaptació de les finestres </t>
  </si>
  <si>
    <t xml:space="preserve">Reparació d'esquerdes als envans </t>
  </si>
  <si>
    <t xml:space="preserve">Enderroc i reconstrucció posterior d'envans </t>
  </si>
  <si>
    <t xml:space="preserve">Treballs d'apuntalament i desapuntalament </t>
  </si>
  <si>
    <t xml:space="preserve">Retirada de sostre fals de plaques d'alumini o PVC </t>
  </si>
  <si>
    <t>Muntatge de plaques de sostre fals</t>
  </si>
  <si>
    <t xml:space="preserve">Envans </t>
  </si>
  <si>
    <t xml:space="preserve">Mitjans auxiliars </t>
  </si>
  <si>
    <t xml:space="preserve">Obertura de rasa </t>
  </si>
  <si>
    <t xml:space="preserve">Preparació del subsòl </t>
  </si>
  <si>
    <t xml:space="preserve">Col·locació de planxes de pas i tanques d'obra a la zona afectada per les obres per alertar del perill i facilitrar la circulació dels vianants i evitar caigudes. </t>
  </si>
  <si>
    <t xml:space="preserve">S'eliminaran les pedres i les terres contaminades. Es farà un llit de sorra de 10cm aprox on recolzar el nou tub.  </t>
  </si>
  <si>
    <t xml:space="preserve">Tancament de la rasa </t>
  </si>
  <si>
    <t>carrer Sant Isidre</t>
  </si>
  <si>
    <t>passeig de l'Exposició</t>
  </si>
  <si>
    <t xml:space="preserve">passeig de Santa Madrona </t>
  </si>
  <si>
    <t>ordre</t>
  </si>
  <si>
    <t xml:space="preserve">núm </t>
  </si>
  <si>
    <t xml:space="preserve">Descripció partida </t>
  </si>
  <si>
    <t>unit</t>
  </si>
  <si>
    <t xml:space="preserve">amplada </t>
  </si>
  <si>
    <t xml:space="preserve">llargada </t>
  </si>
  <si>
    <t xml:space="preserve">alçada </t>
  </si>
  <si>
    <t xml:space="preserve">total parcial </t>
  </si>
  <si>
    <t>total</t>
  </si>
  <si>
    <t xml:space="preserve">preu unitari </t>
  </si>
  <si>
    <t xml:space="preserve">preu total </t>
  </si>
  <si>
    <t xml:space="preserve">carrer Sant Isidre </t>
  </si>
  <si>
    <t xml:space="preserve">passeig de l'Exposició </t>
  </si>
  <si>
    <t>m2</t>
  </si>
  <si>
    <t>ml</t>
  </si>
  <si>
    <t xml:space="preserve">ml </t>
  </si>
  <si>
    <t xml:space="preserve">finestres petites  </t>
  </si>
  <si>
    <t xml:space="preserve">finestres grans  </t>
  </si>
  <si>
    <t>unt</t>
  </si>
  <si>
    <t>%</t>
  </si>
  <si>
    <t xml:space="preserve">estimació 15 unit </t>
  </si>
  <si>
    <t>finestres petites  (100150cm)</t>
  </si>
  <si>
    <t>Substitució de les sortides de fums en mal estat per noves unitats de les mateixes carácterístiques,  conectades als aparells a l'interior dels habitatges.</t>
  </si>
  <si>
    <t xml:space="preserve">estimació 5 unitats </t>
  </si>
  <si>
    <t xml:space="preserve">façana Sant Isidre </t>
  </si>
  <si>
    <t>façana passeig de l'Exposició</t>
  </si>
  <si>
    <t>1.6.6</t>
  </si>
  <si>
    <t xml:space="preserve">Reparació de la cornisa </t>
  </si>
  <si>
    <t>2.2</t>
  </si>
  <si>
    <t>2.2.1</t>
  </si>
  <si>
    <t>1.6.7</t>
  </si>
  <si>
    <t>Neteja manual i fixació en cas necessari de les lletres sobre la porta d'entrada. Sanejat, reparació i pintat.</t>
  </si>
  <si>
    <t>carrer Sant Isidre (estimació 2%)</t>
  </si>
  <si>
    <t>passeig de l'Exposició (estimació 2%)</t>
  </si>
  <si>
    <t>passeig de Santa Madrona (estimació 2%)</t>
  </si>
  <si>
    <t>2.2.2</t>
  </si>
  <si>
    <t>2.3</t>
  </si>
  <si>
    <t>2.3.1</t>
  </si>
  <si>
    <t>2.3.2</t>
  </si>
  <si>
    <t>2.3.3</t>
  </si>
  <si>
    <t xml:space="preserve">baranes terrats </t>
  </si>
  <si>
    <t xml:space="preserve">paret terrats i badalots </t>
  </si>
  <si>
    <t>2.3.4</t>
  </si>
  <si>
    <t>2.3.5</t>
  </si>
  <si>
    <t>2.3.7</t>
  </si>
  <si>
    <t>2.3.8.</t>
  </si>
  <si>
    <t>2.4</t>
  </si>
  <si>
    <t>2.4.1</t>
  </si>
  <si>
    <t xml:space="preserve">finestres de 83x130cm </t>
  </si>
  <si>
    <t xml:space="preserve">estimació 20 unt </t>
  </si>
  <si>
    <t>2.4.2</t>
  </si>
  <si>
    <t>2.4.3</t>
  </si>
  <si>
    <t xml:space="preserve">estimació 4 unit </t>
  </si>
  <si>
    <t>2.4.4</t>
  </si>
  <si>
    <t xml:space="preserve">Substitució de finestra de PVC als banys </t>
  </si>
  <si>
    <t>2.4.6</t>
  </si>
  <si>
    <t>Reparació i pintura de reixes del semisotano</t>
  </si>
  <si>
    <t>2.5</t>
  </si>
  <si>
    <t>2.5.1</t>
  </si>
  <si>
    <t xml:space="preserve">estimació 10ml </t>
  </si>
  <si>
    <t>2.5.2.</t>
  </si>
  <si>
    <t xml:space="preserve">Substitució de la peça de remat de la barana  del terrat que estigui en mal estat per una nova unitat de les mateixes característiques que l'actual. Inclou les baranes entre terrats.A determinar per la DF. </t>
  </si>
  <si>
    <t>2.5.3</t>
  </si>
  <si>
    <t>2.5.4</t>
  </si>
  <si>
    <t xml:space="preserve">PA </t>
  </si>
  <si>
    <t xml:space="preserve">Ajuts de ram de paleta per a la col·locacció de les fusteries a les escales </t>
  </si>
  <si>
    <t>3.1.1</t>
  </si>
  <si>
    <t>3.1</t>
  </si>
  <si>
    <t>3.2</t>
  </si>
  <si>
    <t>3.2.1</t>
  </si>
  <si>
    <t xml:space="preserve">m2 </t>
  </si>
  <si>
    <t xml:space="preserve">estimació 5% </t>
  </si>
  <si>
    <t>3.3</t>
  </si>
  <si>
    <t>3.3.1</t>
  </si>
  <si>
    <t>3.3.2</t>
  </si>
  <si>
    <t>3.4</t>
  </si>
  <si>
    <t>3.4.1</t>
  </si>
  <si>
    <t>3.5</t>
  </si>
  <si>
    <t>3.5.1</t>
  </si>
  <si>
    <t>3.6</t>
  </si>
  <si>
    <t>3.6.1</t>
  </si>
  <si>
    <t xml:space="preserve">estimació 1 unt </t>
  </si>
  <si>
    <t>finestres de 40x60cm aprox</t>
  </si>
  <si>
    <t>3.6.2</t>
  </si>
  <si>
    <t>estimació 4ml</t>
  </si>
  <si>
    <t>estimació 2ml</t>
  </si>
  <si>
    <t>4.1</t>
  </si>
  <si>
    <t>4.1.1</t>
  </si>
  <si>
    <t>4.2</t>
  </si>
  <si>
    <t>4.2.1</t>
  </si>
  <si>
    <t xml:space="preserve">Repicat de revestiment </t>
  </si>
  <si>
    <t>4.2.2</t>
  </si>
  <si>
    <t xml:space="preserve">estimació 50% </t>
  </si>
  <si>
    <t xml:space="preserve">Repicat del revestiment llis que estigui solt o en mal estat, de forma manual, fins arribar a base ferma. Inclou les pilastres de la barana de remat de la paret.   Inclou el trasllat de runa fins al contenidor. </t>
  </si>
  <si>
    <t>4.3</t>
  </si>
  <si>
    <t>4.3.1</t>
  </si>
  <si>
    <t>4.3.2.</t>
  </si>
  <si>
    <t>4.3.3.</t>
  </si>
  <si>
    <t xml:space="preserve">Aplicació a tot el parament de pintura  per a exteriors  a base de resina de Pliolite del mateix color que l'existent. </t>
  </si>
  <si>
    <t>4.3.4</t>
  </si>
  <si>
    <t xml:space="preserve">Aplicació a tot el parament on s'ha aplicat el revestiment transpirable de pintura  per a exteriors transpirable a base de silicats del mateix color que l'existent. </t>
  </si>
  <si>
    <t>4.4</t>
  </si>
  <si>
    <t>4.4.1</t>
  </si>
  <si>
    <t>4.5</t>
  </si>
  <si>
    <t>4.5.1</t>
  </si>
  <si>
    <t>4.5.2</t>
  </si>
  <si>
    <t>4.5.3</t>
  </si>
  <si>
    <t>Raspallat per a eliminar zones oxidades, aplicació de passivant i posteriorment de dues mans d'esmalt sintètic a les reixes de tancament de les baranes per les dues cares..</t>
  </si>
  <si>
    <t>4.6</t>
  </si>
  <si>
    <t>4.6.1</t>
  </si>
  <si>
    <t xml:space="preserve">estimació 8 unit </t>
  </si>
  <si>
    <t xml:space="preserve">4.6.2 </t>
  </si>
  <si>
    <t xml:space="preserve">estimació 2ml </t>
  </si>
  <si>
    <t xml:space="preserve">CAPITOL 2 </t>
  </si>
  <si>
    <t xml:space="preserve">Interior del pont d'entrada </t>
  </si>
  <si>
    <t xml:space="preserve">interior del pont d'entrada </t>
  </si>
  <si>
    <t>1.1.2</t>
  </si>
  <si>
    <t>cap</t>
  </si>
  <si>
    <t>1. Interior dels habitatges</t>
  </si>
  <si>
    <t>1.1.3</t>
  </si>
  <si>
    <t>1.1.4</t>
  </si>
  <si>
    <t xml:space="preserve">Desplaçament de mobles a trasters </t>
  </si>
  <si>
    <t xml:space="preserve">façana passeig de Santa Madrona </t>
  </si>
  <si>
    <t xml:space="preserve">sostre del pont d'entrada </t>
  </si>
  <si>
    <t>Repicat manualment de l'enguixat del sostre amb mitjans manuals per a deixar al decobert la base de les bigues ceràmiques a les zones indicades als plànols anexes. Inclou la retirada de runa fins al contenidor situat a la vorera.</t>
  </si>
  <si>
    <t xml:space="preserve">escala A portes 1 i 2 plantes 1, 2 i 3 </t>
  </si>
  <si>
    <t xml:space="preserve">escala B portes 1 plantes 1, 2 i 3 </t>
  </si>
  <si>
    <t xml:space="preserve">escala B portes 2 plantes 2 i 3 </t>
  </si>
  <si>
    <t xml:space="preserve">escala C portes 1 i 2 plantes 1, 2 i 3 </t>
  </si>
  <si>
    <t xml:space="preserve">escala D portes 1 i 2 plantes 1, 2 i 3 </t>
  </si>
  <si>
    <t xml:space="preserve">escala E portes 1 i 2 plantes 1, 2 i 3 </t>
  </si>
  <si>
    <t xml:space="preserve">escla G portes 1 i 2 plantes 1, 2 i 3 </t>
  </si>
  <si>
    <t xml:space="preserve">Repicat i reconstrucció  de les jàsseres de formigó </t>
  </si>
  <si>
    <t xml:space="preserve">Repicat dels pilars de formigó afectats per corrossió. Sanejat amb mitjans manuals fins a arribar a base ferma. Raspallat de les armadures eliminant l'òxid adherit, aplicació de passivant tipus MAPEFER o equivalent aplicat amb brotxa aconseguint un gruix no inferior a 2mm i posterior reconstrucció del volum per aconseguir la geometria original amb morter tixotropic reforçat amb fibres tipus MEPEGROUT t40o equivalent aplicat per capes fins a gruixos no superiors a 35mm.  </t>
  </si>
  <si>
    <t xml:space="preserve">Repicat i reconstrucció dels pilars de formigó </t>
  </si>
  <si>
    <t>1.2.3</t>
  </si>
  <si>
    <t>1.2.4.</t>
  </si>
  <si>
    <t>1.2.5</t>
  </si>
  <si>
    <t>1.2.6</t>
  </si>
  <si>
    <t>1.2.7.</t>
  </si>
  <si>
    <t xml:space="preserve">unt </t>
  </si>
  <si>
    <t>1.2.8</t>
  </si>
  <si>
    <t xml:space="preserve">Neteja dels habitatges </t>
  </si>
  <si>
    <t xml:space="preserve">Enguixat de sostre a bona vista </t>
  </si>
  <si>
    <t xml:space="preserve">Subsministrament i col·locació de sostre fals de plaques de cartróguix </t>
  </si>
  <si>
    <t>1.2.9</t>
  </si>
  <si>
    <t>1.2.10</t>
  </si>
  <si>
    <t>1.2.11</t>
  </si>
  <si>
    <t>1.2.12</t>
  </si>
  <si>
    <t xml:space="preserve">Instal·lació de la llum als banys i/o a les cuines </t>
  </si>
  <si>
    <t>1.4.3</t>
  </si>
  <si>
    <t xml:space="preserve">Subsministrament i col·locació de sostre fals continu  de plaques de cartróguix amb una resistència al foc de 60 minuts collats a perfils metàl·lics d'acer galvanitzat fixats al sostre mitjançant baretes de suspensió cada 1,2m al sostre de les estances afectades per la substitució funcional. Inclou l'estructura de fixació,  bandes perimetrals i la cargoleria. </t>
  </si>
  <si>
    <t>Ajudes al muntatge de bigues de substitució. Taulons de repartiment. Desapuntalament de zones previament apuntalades.</t>
  </si>
  <si>
    <t xml:space="preserve">Retirada de sostre fals de plaques d'alumini o PVC segons el model. La retirada d'aquestes plaques no assegura la seva reposició ja que el desmuntatge pot comportar deformacions a les plaques i/o pèrdual d'estabilitat dimensional. En aquest cas es traslladaran al contenidor o al centre de recuperació de materials segons la seva naturalesa. </t>
  </si>
  <si>
    <t xml:space="preserve">Muntatge de plaques de sostre fals que després de ser demuntades encara es puguin recol·locar a la mateiza ubicació. </t>
  </si>
  <si>
    <t>1.5.6</t>
  </si>
  <si>
    <t>1.5.7</t>
  </si>
  <si>
    <t xml:space="preserve">Subministrament i col·locació de porta de DM de 70cm </t>
  </si>
  <si>
    <t xml:space="preserve">CAPITOL 3 </t>
  </si>
  <si>
    <t xml:space="preserve">1. Interior dels habitatges </t>
  </si>
  <si>
    <t xml:space="preserve">2. Intervenció al pas viari </t>
  </si>
  <si>
    <t>Construcció d'arqueta de connexió</t>
  </si>
  <si>
    <t>1.2.4</t>
  </si>
  <si>
    <t>2.2.4</t>
  </si>
  <si>
    <t xml:space="preserve">CAPITOL 4 </t>
  </si>
  <si>
    <t xml:space="preserve">DIVERSOS </t>
  </si>
  <si>
    <t xml:space="preserve">1. Pas exterior </t>
  </si>
  <si>
    <t xml:space="preserve">2. Terrats </t>
  </si>
  <si>
    <t xml:space="preserve">3. Soterrani </t>
  </si>
  <si>
    <t xml:space="preserve">4. Interior dels habitatges </t>
  </si>
  <si>
    <t xml:space="preserve">5 Diversos  </t>
  </si>
  <si>
    <t>PA</t>
  </si>
  <si>
    <t>escala A</t>
  </si>
  <si>
    <t>escala B</t>
  </si>
  <si>
    <t xml:space="preserve">escala C </t>
  </si>
  <si>
    <t>escala D</t>
  </si>
  <si>
    <t>escala E</t>
  </si>
  <si>
    <t>escala G</t>
  </si>
  <si>
    <t xml:space="preserve">Desplaçament dels mobles dins dels mateixos habitatges per tal de mantenir la zona de treball sense interferències. Es protegiran amb plàstics i lones i es recol·locaran al lloc d'origen quan s'acabin les obres. </t>
  </si>
  <si>
    <t xml:space="preserve">Protecció d'elements fixes que no es puguin desplaçar dintre de l'habitatge. Es protegiran amb lones i taulons per tal de protegir-los de possibles cops. </t>
  </si>
  <si>
    <t xml:space="preserve">idem partida 112 </t>
  </si>
  <si>
    <t>escala A (planta 2 i 3)</t>
  </si>
  <si>
    <t>escala B  (planta 1, 2 i 3)</t>
  </si>
  <si>
    <t>escala C (planta 2 i 3)</t>
  </si>
  <si>
    <t>escala D  (planta 2 i 3)</t>
  </si>
  <si>
    <t xml:space="preserve">escala E  (planta 2 i 3 ) </t>
  </si>
  <si>
    <t xml:space="preserve">escala G  (planta 2 i 3) </t>
  </si>
  <si>
    <t xml:space="preserve">escala A  (planta 1) </t>
  </si>
  <si>
    <t>escala F (planta 1)</t>
  </si>
  <si>
    <t>escala C (planta 1)</t>
  </si>
  <si>
    <t xml:space="preserve">escala D  (planta 1) </t>
  </si>
  <si>
    <t xml:space="preserve">escala E  (planta 1) </t>
  </si>
  <si>
    <t>escala G  (planta 1)</t>
  </si>
  <si>
    <t xml:space="preserve">Escala  A 1r 1a </t>
  </si>
  <si>
    <t xml:space="preserve">Escala B porxo </t>
  </si>
  <si>
    <t>escala C</t>
  </si>
  <si>
    <t xml:space="preserve">escala G </t>
  </si>
  <si>
    <t xml:space="preserve">Repicat de les rajoles situades a la part alta de les parets que dificultin la col·locació de les cadiretes de recolzament dels caps de les bigues de substitució. Es retirarn els morters de subjecció i es deixarà la base neta per a collar les cadiretes segons les prescriocions del fabricant. L'amplada estimada serà de 25cm aprox. </t>
  </si>
  <si>
    <t>estimació 10ml</t>
  </si>
  <si>
    <t xml:space="preserve">escala A </t>
  </si>
  <si>
    <t xml:space="preserve">escala B </t>
  </si>
  <si>
    <t xml:space="preserve">escala E </t>
  </si>
  <si>
    <t xml:space="preserve">escala D </t>
  </si>
  <si>
    <t xml:space="preserve">escla G </t>
  </si>
  <si>
    <t xml:space="preserve">estimació altres </t>
  </si>
  <si>
    <t xml:space="preserve">estimació altres  150m2 </t>
  </si>
  <si>
    <t>escsla D</t>
  </si>
  <si>
    <t>escala A (1r 1a, 2n 2a, 3r 1a )</t>
  </si>
  <si>
    <t>escala C (1r 1a, 2n 1a)</t>
  </si>
  <si>
    <t xml:space="preserve">escala E (2n 1a) </t>
  </si>
  <si>
    <t>escala G (1r 2a, 3r 2a)</t>
  </si>
  <si>
    <t>estimació 50m2</t>
  </si>
  <si>
    <t>Repicat i sanejat de les esqeurdes i/o fissures als envans obrint uns 15 cm a cada banda de l'esquerdra.  Injecció de guix a les esquerdes per a consolidar la paret.  Enguixat de nou a bona vista, amb benes de pintor embegudes al guix,  igualant la planimetria amb la resta de la paret. Inclou transport de runa al contenidor. A determinar per la DF</t>
  </si>
  <si>
    <t xml:space="preserve">escala B 3r 1a </t>
  </si>
  <si>
    <t xml:space="preserve">escala C  1r 2a, 2n 1a, 2n 2a, 3r 1a, 3r 2a </t>
  </si>
  <si>
    <t xml:space="preserve">escala D  2n 2a, 3r 2a </t>
  </si>
  <si>
    <t xml:space="preserve">estimació 5 unit </t>
  </si>
  <si>
    <t>escala B pont d'entrada i planta 1</t>
  </si>
  <si>
    <t xml:space="preserve">escala B plantes 2 i 3 </t>
  </si>
  <si>
    <t>Enguixat de sostre a les zones on s'han obert cales però no s'ha col·locat sostre fals. En una laçada inferior a 3m amb guix B1 i acabat lliscat amb guix C6. (Estimació sostre repicat menys sostre fals de plaques de catróguix))</t>
  </si>
  <si>
    <t>Pintat de sostres a les zones intervingudes, previa preparació de les mateixes, apliccació de dues mans de pintura plàstica per a interiors. (soatre fals de plaques de cartróguix + sostre enguixat)</t>
  </si>
  <si>
    <t>2.1.2</t>
  </si>
  <si>
    <t>3.1.2</t>
  </si>
  <si>
    <t>4.1.2</t>
  </si>
  <si>
    <t>4.1.3</t>
  </si>
  <si>
    <t>5.1</t>
  </si>
  <si>
    <t>5.1.1</t>
  </si>
  <si>
    <t xml:space="preserve">Treballs de desbrossat de la zona ajardinada </t>
  </si>
  <si>
    <t xml:space="preserve">Neteja i desbrossat de la zona ajardinada al perímetre de la vorera exterior. Inclou la càrrega i transport de restes verdes a l'abocador autoritzat </t>
  </si>
  <si>
    <t>5.1.4</t>
  </si>
  <si>
    <t xml:space="preserve">Substitució del marxapeu de la porta d'entrada. </t>
  </si>
  <si>
    <t>2.4.5</t>
  </si>
  <si>
    <t>Subministrament i col·locació de finestra</t>
  </si>
  <si>
    <t>finestres de 0,90x1,32</t>
  </si>
  <si>
    <t xml:space="preserve">Adaptació i recuperació de finestral </t>
  </si>
  <si>
    <t xml:space="preserve">Repicat amb mitjans manuals dels cantells de formigó que formen el perímetre sota la barana de la plaça de margarida Xirgu, fins arribar a base ferma. Raspatllat de les armadures, passivat de les mateixes i reconstrucció del perfil original amb morters tixotropics de reparació de formigó tipus  MAPEGROUT o equivalent amb la creació d'un esquelet a base de rodons d'acer inox de diam 6mm encastats a l'obra amb tac químic, en cas necessari degut als gruixos de reconstrucció. Inclou l'amplada des de la'arancada de la barana fins a sota de la jàssera de formigó. Inclou el trasllat de runa fins al contenidor. </t>
  </si>
  <si>
    <t xml:space="preserve">finestres de 145x45cm </t>
  </si>
  <si>
    <t>finestra pont (85x187cm)</t>
  </si>
  <si>
    <t xml:space="preserve">terrats transitables </t>
  </si>
  <si>
    <t xml:space="preserve">badalots d'escala </t>
  </si>
  <si>
    <t>Paraments de la planta soterrani</t>
  </si>
  <si>
    <t xml:space="preserve">parets </t>
  </si>
  <si>
    <t>sostres</t>
  </si>
  <si>
    <t xml:space="preserve">escala C 2n 1a, 2n 2a, 3r 1a, 3r 2a </t>
  </si>
  <si>
    <t xml:space="preserve">escala B 2n 1a,  3r 1a </t>
  </si>
  <si>
    <t>escala D 2n 2a, 3r 2a</t>
  </si>
  <si>
    <t xml:space="preserve">Retirada de paviment i de la subbase </t>
  </si>
  <si>
    <t xml:space="preserve">Reconstrucció d'envans </t>
  </si>
  <si>
    <t xml:space="preserve">Reconstrucció d'envans a les cambres humides </t>
  </si>
  <si>
    <t xml:space="preserve">Subministrament i col·locació de planxes de cartró-guix tipus Padur hidrofug tipus H1 o equivalent suportades en perileria d'acer galvanitzat amb muntants cada 40cm amb dues plaques de 1,5m de gruix. Inclou les cintes d'unió entre plaques i amb les parets i sostre colindants, cargoleria etc. </t>
  </si>
  <si>
    <t xml:space="preserve">Subministrament i col·locació de planxes de cartró-guix tipus Padur estandar tipo A o equivalent, suportades en perileria d'acer galvanitzat amb muntants cada 40cm amb dues plaques de 1,5m de gruix. Inclou les cintes d'unió entre plaques i amb les parets i sostre colindants, cargoleria etc. </t>
  </si>
  <si>
    <t xml:space="preserve">Pavimentat del pati  </t>
  </si>
  <si>
    <t xml:space="preserve">Obertura d'accés als patis interiors. </t>
  </si>
  <si>
    <t>Repicat d'esquerdes als envans eliminant el guix a costat i costat uns 15cm. Sanerjat de l'interior de l'esquerda i segellat amb pasta reparadora. Aplicació d'una bena de fibra de vidre de pintor embeguda al guix. Aplicació de guix igualant la superficie.</t>
  </si>
  <si>
    <t xml:space="preserve">Bany </t>
  </si>
  <si>
    <t xml:space="preserve">Subministrament i col·locació de porta de DM pintada amb esmalt de 70x200cm inclou el marc i les ferramentes i manetes necessàries per a un correcte ús de la porta. </t>
  </si>
  <si>
    <t xml:space="preserve">Subministrament de portes </t>
  </si>
  <si>
    <t xml:space="preserve">Escalfador ACS </t>
  </si>
  <si>
    <t xml:space="preserve">Campana estractora de fums </t>
  </si>
  <si>
    <t>Subminitrament i connexió de campana estractora de fums connectada a la xemeneia general d l'edifici.</t>
  </si>
  <si>
    <t xml:space="preserve">Cuina </t>
  </si>
  <si>
    <t>Reconstrucció del bany amb enrajolat total de les parets amb rajola ceràmica de preu mitjà de 30x40cm aprox. Subministrament i col·loccació de plat de dutxa de 90x90 de porecllana blanca, rentamans i inodor de descarga amb motxila. Inclou les griferies i totes les connexions per a un correcte funcionament.</t>
  </si>
  <si>
    <t xml:space="preserve">escala A  (planta 2 i 3) </t>
  </si>
  <si>
    <t>escala C  (planta 2 i 3)</t>
  </si>
  <si>
    <t xml:space="preserve">escala D  (planta 2 i 3) </t>
  </si>
  <si>
    <t xml:space="preserve">escala E  (planta 2 i 3) </t>
  </si>
  <si>
    <t>escala G  (planta 2 i 3)</t>
  </si>
  <si>
    <t xml:space="preserve">badalots de les escales </t>
  </si>
  <si>
    <t>Aplicació a tot el parament de dues mans de pintura  per a exteriors  a base de resina de Pliolite del mateix color que l'existent. Inclou tot el parament vertical i la cornisa. El color seguirà el model actual, diferenciant entre el parament, l'arrambador i la cornisa.</t>
  </si>
  <si>
    <t xml:space="preserve">Repicat i eliminació de les rajoles ceràmiques sobre la cornisa del pont sobre l'entrada. Repicat d'esquerdes fins arribar a base ferma. Reconstrucció amb morters de reparació tixotropics tipus MAPEGROUT o equivalent ,  refent la motllura original i afegint rodons d'acer inoxidable de diam 6mm en cas de que els gruixos del material d'aportació ho requereixin. Acabat amb aplicació d'una  capa de morter impermeable tipus ULTRAFLEX  a base de poliuretà líquid o equivalent i una capa de rajoles ceràmiques amb goteró a l'exterior.  Inclou el trasllat de runa fins al contenidor. </t>
  </si>
  <si>
    <t>estimació 10%</t>
  </si>
  <si>
    <t xml:space="preserve">Retirada manaual de les peces ceràmiques dels emmarcaments que estiguin soltes o esquerdades. Sanejat de la superfcie i subministrament i col·locació de noves unitats de rasilles ceràmiques de les mateixes característiques que les existents preses amb ciment cola.  La partida correspon als brancals, dintells i replanells.   Inclou el trasllat de runa fins al contenidor.  A determinar per la DF </t>
  </si>
  <si>
    <t>finestres petites  (90x130cm)</t>
  </si>
  <si>
    <t>finestres grans (180x130cm)</t>
  </si>
  <si>
    <t>finestres petites (90x130cm)</t>
  </si>
  <si>
    <t>finestres petites (90x130cm) estimació 6 unt</t>
  </si>
  <si>
    <t>finestres grans (200x150cm)</t>
  </si>
  <si>
    <t>finestra cuina sota el pont d'entrada (90x187cm)</t>
  </si>
  <si>
    <t>finestra cuina escala B pont (90x187)</t>
  </si>
  <si>
    <t xml:space="preserve">estimació 10 unitats </t>
  </si>
  <si>
    <t xml:space="preserve">Neteja del canal de la coberta. Aplicació de morter impermeable tipus ULTRAFLEX a base de poliuretà líquid o equivalent. En tota la seva longitud. </t>
  </si>
  <si>
    <t xml:space="preserve">Reparació de la cornisa de remat, repicat i sanejat de zones soltes i reparació fins a reconstruir la mateixa volumetria que l'original. En cas necessari s'encastaran rodons d'acer inoxidable per a dotar de cos a la reparació. </t>
  </si>
  <si>
    <t xml:space="preserve">Reparació de persianes de tambor que estiguin en mal estat i/o no es puguin manipular correctament. Ajustos, canvi de cordes per a manipulació, ajustos de la tapa del calaix de tancament, etc. </t>
  </si>
  <si>
    <t>Substitució de persianes de tambor</t>
  </si>
  <si>
    <t xml:space="preserve">Tancat dels forats obsolets amb material ceràmic i morter. En el cas de forats en ús, però sense tub o reixeta,  s'arestarà l'obertura. Es conservarà la textura existent. </t>
  </si>
  <si>
    <t>interior del pont d'entrada (estimació 100%)</t>
  </si>
  <si>
    <t>carrer Sant Isidre (estimació 1%)</t>
  </si>
  <si>
    <t>passeig de l'Exposició (estimació1%)</t>
  </si>
  <si>
    <t>passeig de Santa Madrona (estimació 12%)</t>
  </si>
  <si>
    <t>paret terrats i badalots (estimació 1%)</t>
  </si>
  <si>
    <t>baranes terrats (estimació 1%)</t>
  </si>
  <si>
    <t>passeig de l'Exposició (estimació 1%)</t>
  </si>
  <si>
    <t>passeig de Santa Madrona (estimació 1%)</t>
  </si>
  <si>
    <t xml:space="preserve">Repicat i eliminació de les rajoles ceràmiques sobre la marquesina sobre la porta de les escales. Repicat d'esquerdes fins arribar a base ferma. Reconstrucció amb morters de reparació tixotropics tipus MAPEGROUT o equivalent  refent la motllura original i afegint rodons d'acer inoxidable de diam 6mm en cas de que els gruixos del material d'aportació ho requereixin. Acabat amb aplicació d'una capa de morter impermeable tipus ULTRAFELX de poliuretà o equivalent i una capa de rajoles ceràmiques amb goteró a l'exterior.  Inclou el trasllat de runa fins al contenidor. </t>
  </si>
  <si>
    <t>(unitats de 1,25x0,35m)</t>
  </si>
  <si>
    <t xml:space="preserve">Repicat i eliminació de les rajoles ceràmiques sobre la cornisa del pont sobre l'entrada. Repicat d'esquerdes fins arribar a base ferma. Reconstrucció amb morters de reparació tixotropics tipus MAPEGROUT o equivalent refent la motllura original i afegint rodons d'acer inoxidable de diam 6mm en cas de que els gruixos del material d'aportació ho requereixin. Acabat amb aplicació d¡jna capa de morter impermeable tipus ULTRAFLEX de poliuretà o equivalent i una capa de rajoles ceràmiques amb goteró a l'exterior.  Inclou el trasllat de runa fins al contenidor. </t>
  </si>
  <si>
    <t xml:space="preserve">estimació de 30ml </t>
  </si>
  <si>
    <t xml:space="preserve">Eliminació de les peces soltes existents. Subministrament i col·locació de noves unitats de peces ceràmiques de les mateixes característiques que les existents preses amb ciment cola. Inclou les peces sota el dintell, als laterals i el replanell. Inclou el trasllat de runa fins al contenidor. A determinar per la DF. Inclou els brancals, dintells i replanells. </t>
  </si>
  <si>
    <t>Substitució de persianes de les finestres per noves unitats de dues fulles amb lames inclinades com les existents. Inclosos els ferratges de tancament. (cala persiana està coposta de dues fulles)</t>
  </si>
  <si>
    <t xml:space="preserve">estimació 5ml </t>
  </si>
  <si>
    <t xml:space="preserve">Substitució de persianes de tambor per noves unitats de lames de PVC de color blanc. Inclosos els elements de manipulació, corda i recollidor, per a un correcte funcionament i tapa superior de tancament amb aïllament interior. Inclou el trasllat de runa a la planta de tractament autoritzada. </t>
  </si>
  <si>
    <t xml:space="preserve">Substitució de rajoles ceràmiques a remat de la paret. Es retiraran les peces ceràmiques que estiguin soltes sota les baranes metàl·liques del remat de la façana de la plaça de Margarida Xirgu. S'aplicarà una capa de morter impermeable tipus ULTRAFLEX o equivalent i s'enrajolarà de nou amb peces ceràmiques de les mateixes dimensions i característiques que les actuals.  Inclou el trasllat de runa fins al contenidor. </t>
  </si>
  <si>
    <t xml:space="preserve">estimació 10% </t>
  </si>
  <si>
    <t>finestres  (0,90x0,95m)</t>
  </si>
  <si>
    <t>porta  (1,80x2,59m)</t>
  </si>
  <si>
    <t>reixes finestres  (0,90x0,95m)</t>
  </si>
  <si>
    <t xml:space="preserve">Neteja del parament </t>
  </si>
  <si>
    <t xml:space="preserve">Eliminació de la peça del marxapeu de les portes de les escales. Subministrament i col·locació de nova peça de 1,25x35cm amb pedra de Sant Vicens apomassada amb un gruix de 4cm.  Inclou el trasllat de runa fins al contenidor. </t>
  </si>
  <si>
    <t>Subministrament i col·locació de finestra de dues o tres fulles. Inclou la imprimació prèvia i dues mans de d'esmalt sintètic així com els ferratges de tancament per a una correcta utilització. Inclou el vidre doble de 3+3 i càmatra d'aire.</t>
  </si>
  <si>
    <t>finestres de 0,90x1,32 (2 fulles)</t>
  </si>
  <si>
    <t>finestres de 1,80x1,32 (3 fulles)</t>
  </si>
  <si>
    <t xml:space="preserve">TOTAL FAÇANA EXTERIOR </t>
  </si>
  <si>
    <t>fulla fixa 26cm+fulla practicable 75cm+fulla fixa de 26cm x 220cm alçada</t>
  </si>
  <si>
    <t xml:space="preserve">Reparació puntual dels possibles desperfectes superficials que pugui tenir el baix relleu. Inclou l'ancoratge amb tacs químics en cas de que estigui desprès del parament. A justificar per la DF. </t>
  </si>
  <si>
    <t xml:space="preserve">TOTAL FAÇANA INTERIOR </t>
  </si>
  <si>
    <t xml:space="preserve">TOTAL TESTERS </t>
  </si>
  <si>
    <t>interior del pont d'entrada (estimació 20%)</t>
  </si>
  <si>
    <t xml:space="preserve">Reparació de persianes de tambor </t>
  </si>
  <si>
    <t xml:space="preserve">TOTAL PLAÇA MARGARIDA XIRGU </t>
  </si>
  <si>
    <t xml:space="preserve">TOTAL REHABILITACIÓ FAÇANES </t>
  </si>
  <si>
    <t xml:space="preserve">Desplaçament i protecció de les instal·lacions situades a la zona de treball. En cas necessari s'eliminaran i es refaran de nou els traçats de cables i/o tuberies una vegada acabades les obres.  Creació d'instal·lacions provisionals en cas necessari.  A determinar per la DF </t>
  </si>
  <si>
    <t>Desplaçament dels mobles i emmagatzematge a trasters mentre durin els treballs. Inclou, el desplaçament fins el traster i el posterior desplaçament de nou als habitatges i el lloguer del magatzem mentre durin les obres. (estimació 2 mesos)</t>
  </si>
  <si>
    <t>Pintat de parets ales zones intervingudes, previa preparació de les mateixes per a garantir planeitat, aplicació de dues mans de pintura plàstica per a interiors. A una alçada inferior de 3m.</t>
  </si>
  <si>
    <t>Subministre i col·locació de campanes estractores de fums  amb tres velocitats i llum. Tipus piramidal col·locada a les cuines intervingudes. Inclou la connexió dels tubs al conducte general de l'edifici</t>
  </si>
  <si>
    <t>Adqeuació de la instal·lació existent als dormitoris i/o cuines intervinguts. Petites intervencions al cablejat I/o als interruptors.  Segons normativa vigent REBT</t>
  </si>
  <si>
    <t xml:space="preserve">Adequació i petites intervencions dels tubs de l'aigua existents per alimentar els sanitaris dels banys. Tuberies de polietilé reticulat i connexions a tots els sanitaris.  Inclou tuberies, i peces especials per al correcte funcionament dels sanitaris. </t>
  </si>
  <si>
    <t xml:space="preserve">TOTAL ESTRUCTURA </t>
  </si>
  <si>
    <t xml:space="preserve">Retirada d'instal·lacions i desmuntage de portes </t>
  </si>
  <si>
    <t>Obertura d'accés als patis interiors des d'un dels habitatges de la planta 1. Inclou el posterior tancat de l'obertura amb material ceràmic per l'interior i revocat i pintat per l'exterior.  Incloun trasllat de runa al contenidor situat a la vorera.</t>
  </si>
  <si>
    <t xml:space="preserve">Desmuntatge d'instal·lacions, portes, sanitaris i mobles de cuina. Instal·lació de provisonals mentre durin els treballs. Inclou el trasllat de la runa fins a la planta de tractament adient. </t>
  </si>
  <si>
    <t xml:space="preserve">Enderroc d'envans </t>
  </si>
  <si>
    <t xml:space="preserve">Enderroc manual d'envans.  Inclou la retirada de runa fins al contenidor i la retirada de portes fins a l'abocador autoritzat.  </t>
  </si>
  <si>
    <t xml:space="preserve">escala D planta 1 portes 1 i 2 </t>
  </si>
  <si>
    <t xml:space="preserve">escala A  planta 1 portes 1 i 2 </t>
  </si>
  <si>
    <t xml:space="preserve">escala C planta 1  portes 1 i 2 </t>
  </si>
  <si>
    <t xml:space="preserve">escala E planta 1 `portes 1 i 2 </t>
  </si>
  <si>
    <t xml:space="preserve">escala G planta 1 portes 1 i 2 </t>
  </si>
  <si>
    <t>escala F</t>
  </si>
  <si>
    <t xml:space="preserve">Eliminació de material amb restes d'amiant </t>
  </si>
  <si>
    <t xml:space="preserve">Retirada del clavegueró existent amb mitjans manuals. Acomplint el protocol RD 396/2006 on s'estableixen les disposicions mínimes de seguretat i salut en obres amb perill d'exposició a l'amiant. </t>
  </si>
  <si>
    <t xml:space="preserve">escala A  </t>
  </si>
  <si>
    <t xml:space="preserve">escala F </t>
  </si>
  <si>
    <t>escala CD</t>
  </si>
  <si>
    <t>escala DE</t>
  </si>
  <si>
    <t xml:space="preserve">escala EF </t>
  </si>
  <si>
    <t>escala FG</t>
  </si>
  <si>
    <t>Subministrament i col·locació de planxes de cartró-guix tipus Padur amb un panell acústic semirigid de 45mm de llana mineral o equivalent suportades en perileria d'acer galvanitzat amb muntants cada 40cm amb dues plaques de 1,5m de gruix. Inclou les cintes d'unió entre plaques i amb les parets i sostre colindants, cargoleria etc. L?estructura interor haurà d'anar reforçada per a suportar el pes dels armaris suspesos.</t>
  </si>
  <si>
    <t>Reconstrucció d'envans entre habitatges</t>
  </si>
  <si>
    <t>m3</t>
  </si>
  <si>
    <t>Eliminació de material amb amiant provinet dels tubs de desguàs sotrrats. Protocol d'eliminació  segons el protocol RD 396/2006 on s'estableixen les disposicions mínimes de seguretat i salut en obres amb perill d'exposició a l'amiant. Inclou el trasllat des de la rasa fins al camió i el trasllat amb camió a planta de tractament especific. (a determinar a l'obra)</t>
  </si>
  <si>
    <t xml:space="preserve">escala F planta 1 portes 1  </t>
  </si>
  <si>
    <t>escala F planta 1 portes 2</t>
  </si>
  <si>
    <t xml:space="preserve">Aixecament i retirada manual del paviment i de la subbase de totes les estances fins a eliminar la base de subsol no consolidada. S'estima una profunditat de 30cm aprox. Inclou el transport de runa fins a contenidor situat a la vorera. </t>
  </si>
  <si>
    <t>escala F planta 1 portes 1</t>
  </si>
  <si>
    <t xml:space="preserve">Clavegueró de PVC col·locat </t>
  </si>
  <si>
    <t>escala F  porta 1</t>
  </si>
  <si>
    <t>escala F  porta 2</t>
  </si>
  <si>
    <t xml:space="preserve">escala A portes 1 i 2 </t>
  </si>
  <si>
    <t xml:space="preserve">escala C portes 1 i 2 </t>
  </si>
  <si>
    <t xml:space="preserve">escala D portes 1 i 2 </t>
  </si>
  <si>
    <t xml:space="preserve">escala E portes 1 i 2 </t>
  </si>
  <si>
    <t xml:space="preserve">escala F porta 1 </t>
  </si>
  <si>
    <t xml:space="preserve">escala F porta 2  </t>
  </si>
  <si>
    <t xml:space="preserve">escala G portes 1 i 2 </t>
  </si>
  <si>
    <t>escala F porta 1 i 2</t>
  </si>
  <si>
    <t xml:space="preserve">Refeta de la instal·lació elèctrica i telecomunicacions  </t>
  </si>
  <si>
    <t>escala F porta 1</t>
  </si>
  <si>
    <t xml:space="preserve">escala F porta 2 </t>
  </si>
  <si>
    <t xml:space="preserve">Aplicació manual de dues mans de pintura plàstica acabat mate de textura llisa per a interiors. Prèvia aplicació d'imprimació per a regular l'absorció sobre parament interior vertical de parets laminars de guix a una alçada inferior de 3m. </t>
  </si>
  <si>
    <t xml:space="preserve">Aplicació manual de dues mans de pintura plàstica acabat mate de textura llisa per a interiors. Prèvia aplicació d'imprimació per a regular l'absorció sobre parament horitzontal de sostre de guix a una alçada inferior de 3m. </t>
  </si>
  <si>
    <t xml:space="preserve">Obertura de rasa amb una amplada de 1m aprox i una profunditat mitja de 1,5m. Retirada de panots i terres a ma i càrrega al contenidor situat a la vorera.  En cas necessari entibació de la rasa. </t>
  </si>
  <si>
    <t>Preparació del terreny per a la col·locació del nou clavegueró. Sanejat, aplanat, formació de pendents, col·loccació d'un llit de graves i sorra apisonada fins a un proctor 98% modificat amb àrud de 5 a 10mm i sauló de 1 a 1'5mm. Subministrament i col·locació de col·lector de PVC de diam 200mm serie B enterrat i amb una pendent mínima del 2% per a l'evaquació d'aigües residuals i pluvials amb una rigidesa nominal de 2kN/m2 amb juntes el`stiques, replè fins als ronyons amb sorra i fins a 30cm per sobre i replè posterior de terres fins al nivell de la solera. Inclou peces especials i la connexió a les arquetes.</t>
  </si>
  <si>
    <t xml:space="preserve">Subministrament i col·locació de peces de panot de 20x20 del mateix dibuix que l'existent per a exteriors amb baix relleu sense polir de color gris col·locat a pic de masseta i morter. </t>
  </si>
  <si>
    <t xml:space="preserve">Neteja de les xemeneis de sortida de fums des de cada un dels habitatges fins a la sorida al terrat. </t>
  </si>
  <si>
    <t>Neteja de sortida de fums</t>
  </si>
  <si>
    <t>Sevei de contenidor de 7m3 per a la recollida de runa de restes d'obra de naturalesa ceràmica. Inclou el transport fins a l'obra i la posterior recollida fins a l'abocador autoritzat.</t>
  </si>
  <si>
    <t xml:space="preserve">Neteja dels habitatges de la planta 1 una vegada acabades les obres. </t>
  </si>
  <si>
    <t xml:space="preserve">Eliminació de l'antiga finestra i subministrament i col·locació de nova unitat de  de finestra oscilobatent de perfils de PVC de 40x60cm aprox amb vidre doble i mecanismes d'obserura i tancament inclosos. Inclou la baixada de la finestra antiga fins a l'abocador autoritzat. </t>
  </si>
  <si>
    <t xml:space="preserve">Creació d'una pendent d'un 3% aprox cap a l'exterior i posterior lliscat de la superficie i aplicació d'imprimació impermeable tipus ULTRAFEX o equivalent a tota l'amplada i llargada del replanell. </t>
  </si>
  <si>
    <t xml:space="preserve">Repicat de la totalitat del revestiment de les parets i el sostre dels locals deixant al descobert la pedra i la ceràmica nues per a que transpirin. </t>
  </si>
  <si>
    <t xml:space="preserve">Neteja de la superficie dels terrats amb màquina a pressió d'aigua amb herbicides i raspalls per a eliminar de forma manual tot el verdet i la beurada solta entre les juntes.  Aplicació posterior de beurada entre les juntes de les rajoles. </t>
  </si>
  <si>
    <t xml:space="preserve">Preparació de la superficie reparant irregularitats i creant una major pendent per tal de desguassar cap a l'exterior. Paviment continu de formigó de 10cm de gruix, incloses les juntes de dilatació. Realitzat amb formigóMH 20/B fabricat a la central i aplicat des de camió, extés i vibrat manual, colorejat i endurit superficialment amb pols, acabat imprés en relleu i una capa final de resina impermeabilitzan. </t>
  </si>
  <si>
    <t xml:space="preserve">Substitució dels banys </t>
  </si>
  <si>
    <t xml:space="preserve">Retirada de sanitaris i d'enrajolat de les parets. Eliminació de les instal·lacions elèctriques i d'evacuació i de subministrament d'aigua. </t>
  </si>
  <si>
    <t>Instal·lació de bastides i previs</t>
  </si>
  <si>
    <t xml:space="preserve">Aplicació de revestiment amb morter transpirable tipus WEBERCAL HYDROMUR o equivalent amb acabat fratassat imitant la textura del revestiment actual. S'aplicarà en una sola capa sobre el suport repicat, net i humitejat. Posteriorment es reglejarà i aplicarà la textura imitació a l'actual. </t>
  </si>
  <si>
    <t>Subministrament i col·locació de finestra de fusta de dues fulles. Inclou la imprimació prèvia i dues mans de d'esmalt sintètic així com els ferratges de tancament per a una correcta utilització i vidre doble de 3+3. Inclou la retirada de l'antiga fiusteria fins a la planta de tractament autoritzada.</t>
  </si>
  <si>
    <t xml:space="preserve">TOTAL SUBSTITUCIÓ DEL </t>
  </si>
  <si>
    <r>
      <rPr>
        <b/>
        <sz val="16"/>
        <color theme="1"/>
        <rFont val="Arial"/>
        <family val="2"/>
      </rPr>
      <t>CLAVEGUERÓ</t>
    </r>
    <r>
      <rPr>
        <sz val="11"/>
        <color theme="1"/>
        <rFont val="Calibri"/>
        <family val="2"/>
        <scheme val="minor"/>
      </rPr>
      <t xml:space="preserve"> </t>
    </r>
  </si>
  <si>
    <t xml:space="preserve">Banys escala C 2n 1a  / escala E 3r 1a /  escsla D 3r 1a </t>
  </si>
  <si>
    <t xml:space="preserve">Camió de transpot de restes vegetals </t>
  </si>
  <si>
    <t xml:space="preserve">Sevei de càrrega i transport de restes vegetals amb camió fins a l'abocador de restes vegetals situat fins a 30km. Inclosa la taxa de l'abocador. </t>
  </si>
  <si>
    <t xml:space="preserve">estimació 20m3 </t>
  </si>
  <si>
    <t xml:space="preserve">Preparació de la superficie i pavimentat amb formigó imprés </t>
  </si>
  <si>
    <t xml:space="preserve">TOTAL DIVERSOS </t>
  </si>
  <si>
    <t xml:space="preserve">RESUM PRESSUPOST </t>
  </si>
  <si>
    <t xml:space="preserve">Capitol 1 </t>
  </si>
  <si>
    <t xml:space="preserve">Façana exterior </t>
  </si>
  <si>
    <t xml:space="preserve">Façana interior </t>
  </si>
  <si>
    <t>Façana testers</t>
  </si>
  <si>
    <t xml:space="preserve">Façana Margarida Xirgu </t>
  </si>
  <si>
    <t xml:space="preserve">Capitol 2 </t>
  </si>
  <si>
    <t xml:space="preserve">Reforç estructural forjats </t>
  </si>
  <si>
    <t xml:space="preserve">Capitol 3 </t>
  </si>
  <si>
    <t xml:space="preserve">Substitució clavegueró </t>
  </si>
  <si>
    <t xml:space="preserve">Intervenció als habitatges </t>
  </si>
  <si>
    <t xml:space="preserve">Intervenció al pas viari </t>
  </si>
  <si>
    <t xml:space="preserve">Rehabilitació façanes </t>
  </si>
  <si>
    <t xml:space="preserve">Capitol 4 </t>
  </si>
  <si>
    <t xml:space="preserve">Diversos </t>
  </si>
  <si>
    <t xml:space="preserve">Pas exterior </t>
  </si>
  <si>
    <t xml:space="preserve">Terrats </t>
  </si>
  <si>
    <t xml:space="preserve">Soterrani </t>
  </si>
  <si>
    <t xml:space="preserve">TOTAL INTERVENCIÓ ALS HABITATGES </t>
  </si>
  <si>
    <t xml:space="preserve">TOTAL INTERVENCIÓ AL PAS VIARI </t>
  </si>
  <si>
    <t xml:space="preserve">TOTAL PAS EXTERIOR </t>
  </si>
  <si>
    <t xml:space="preserve">TOTAL TERRATS </t>
  </si>
  <si>
    <t xml:space="preserve">TOTAL SOTERRANI </t>
  </si>
  <si>
    <t xml:space="preserve">TOTAL INTERIOR D'HABITATGES </t>
  </si>
  <si>
    <t xml:space="preserve">Interior d'habitatges </t>
  </si>
  <si>
    <t xml:space="preserve">Pressupost execució material </t>
  </si>
  <si>
    <t xml:space="preserve">euros </t>
  </si>
  <si>
    <t>Pressupost de contractació PEC</t>
  </si>
  <si>
    <t>Pressupost execució material  PEM</t>
  </si>
  <si>
    <t>iva  21%</t>
  </si>
  <si>
    <t xml:space="preserve">TOTAL PRESSUPOST </t>
  </si>
  <si>
    <t xml:space="preserve">Subministrament i col·locació de perfils metàl·lics tipus MECANOVIGA MVH 16 formada per tres trams collats amb cargols i recolzats sobre cadiretes especials del mateix fabricant collades amb cargols fixats amb tac químic facilitat pel mateix fabricant. El perfil es col·locarà sota la jàssera i es collarà als extrems als dos pilars de formigó del pòrtic situats als dos extrems del bany. Inclou la part proporcional de morter de retacat per a fer contacte entre les bigues orignals i les de substitució. Cada perfil oscilarà entre els 2m i 2,230m. </t>
  </si>
  <si>
    <t xml:space="preserve">escala A (longitud 4,80m) </t>
  </si>
  <si>
    <t xml:space="preserve">escala A (longitud 4,50m) </t>
  </si>
  <si>
    <t>escala B (longitud 4,80m)</t>
  </si>
  <si>
    <t xml:space="preserve">escala B (longitud 4,50m) </t>
  </si>
  <si>
    <t xml:space="preserve">escala C (longitud 4,80m) </t>
  </si>
  <si>
    <t xml:space="preserve">escala C (longitud 4,50m) </t>
  </si>
  <si>
    <t xml:space="preserve">escala D (longitud 4,80m) </t>
  </si>
  <si>
    <t xml:space="preserve">escala D (longitud 4,50m) </t>
  </si>
  <si>
    <t xml:space="preserve">escala E (longitud 4,80m) </t>
  </si>
  <si>
    <t xml:space="preserve">escala E (longitud 4,50m) </t>
  </si>
  <si>
    <t xml:space="preserve">escala G (longitud 4,80m) </t>
  </si>
  <si>
    <t xml:space="preserve">escala G (longitud 4,50m) </t>
  </si>
  <si>
    <t>estimació altres 50% total previst</t>
  </si>
  <si>
    <t xml:space="preserve">estimació altres 50% total previst </t>
  </si>
  <si>
    <t xml:space="preserve">estimació 50% de la previsió </t>
  </si>
  <si>
    <t xml:space="preserve">estimació altres esquerdes 20% previsió  </t>
  </si>
  <si>
    <t>1.5.8</t>
  </si>
  <si>
    <t>2.3.6</t>
  </si>
  <si>
    <t xml:space="preserve">Subministrament i col·loccació de perfils </t>
  </si>
  <si>
    <t>1.4.4</t>
  </si>
  <si>
    <t xml:space="preserve">Treballs de ram de paleta </t>
  </si>
  <si>
    <t xml:space="preserve">Perfils per a bigues </t>
  </si>
  <si>
    <t>Altres actuacions</t>
  </si>
  <si>
    <t xml:space="preserve">1.6.1 </t>
  </si>
  <si>
    <t>1.2.13</t>
  </si>
  <si>
    <t>1.2.14</t>
  </si>
  <si>
    <t>1.2.15</t>
  </si>
  <si>
    <t>1.2.7</t>
  </si>
  <si>
    <t xml:space="preserve">Fusteria </t>
  </si>
  <si>
    <t xml:space="preserve">Cambres humides </t>
  </si>
  <si>
    <t xml:space="preserve">Fumisteria </t>
  </si>
  <si>
    <t>estimació de 12m3</t>
  </si>
  <si>
    <t>4.1.4.</t>
  </si>
  <si>
    <t>5.1.2</t>
  </si>
  <si>
    <t>5.1.3</t>
  </si>
  <si>
    <t>5.1.5.</t>
  </si>
  <si>
    <t>5.2</t>
  </si>
  <si>
    <t>5.2.1</t>
  </si>
  <si>
    <t>Neteja del parament amb aigua i raspalls de forma manual per a eliminar restes de pols i verdet i pintura solta.</t>
  </si>
  <si>
    <t>Substitució de persianes de les finestres per noves unitats de dues fulles amb lames inclinades fixes com les existents. Inclosos els ferratges de tancament. (inclou les dues fulles). I la retitada fins abocador autoritzat de la finestra vella.</t>
  </si>
  <si>
    <t xml:space="preserve">Eliminació de les actuals reixetes de ventilació. Neteja amb mitjans manuals de la zona accessible amb mitjans manuals de la cambra de ventilació de la coberta. Subministrament i col·loccació de reixeta de 20x20cm d'alumini lacat blanc fixada davant dels forats de ventilació. </t>
  </si>
  <si>
    <t xml:space="preserve">Reparació de porta d'accés a les escales </t>
  </si>
  <si>
    <t xml:space="preserve">Reparació i ajustos de la porta actual. Substitució de vidres per noves unitats de vidre laminar 3+3. Ajustos de les frontises i de la maneta de manipulació. Substitució de frontals oxidats per nous frontals soldats i imprimats amb dues capes finals d'esmalt sintètic per les dues cares. Inclou els mecanismes de manipulació i tancament, pany i manetes.  Així com la connexió amb el porter automàtic. </t>
  </si>
  <si>
    <t xml:space="preserve">estimació 70% </t>
  </si>
  <si>
    <t xml:space="preserve">En cas que es determini que l'armat del formigó a perdut gran part de la seva capacitat resistent, es col·locaran uns perfils L100x100x8  laminats en calent d'acer S275JR segons UNE EN10025-2 per sota del cantell per tal de reforçar el conjunt. Els perfils es fixaran a les parets amb cargols i tac químic.  Els perfils es col·locaran una vegada imprimets contra l'oxidació i protegits amb dues mans d'esmalt sintètic.   A determinar per la DF.  </t>
  </si>
  <si>
    <t xml:space="preserve">estimació 100% </t>
  </si>
  <si>
    <t xml:space="preserve">Obertura amb mitjans manuals de pas per envà per a facilitar el muntatge de les bigues de substitució. El forat es farà el mes ajustat possible al pas de les bigues i es mantindrà arestat el més possible. Posteriorment caldrà reconstruir-lo per adaptar-lo a la mesura de la situació del sostre fals. </t>
  </si>
  <si>
    <t>porta d'entrada a la porxada (800*200cm)</t>
  </si>
  <si>
    <t>passeig de l'Exposició (estimació 5%)</t>
  </si>
  <si>
    <t>passeig de Santa Madrona (estimació 5%)</t>
  </si>
  <si>
    <t>carrer Sant Isidre (estimació 100%)</t>
  </si>
  <si>
    <t>Desmuntatge manual per peces de les campanes d'obra d'extracció de fums que es situin a la zona de substitució funcional de bigues. Inclou el desplaçament de la runa fins al contenidor situat a la vorera. Inclou l'eliinació de possibles rajoles en mal estat a l'interior de la campana i mitjans auxiliuars.  (estimació 60%)</t>
  </si>
  <si>
    <t xml:space="preserve">Subministrament i col·locació de porta de DM de 70cm d'amplada i 2,10 d'açada, inclos el seu pintat i els ferratges i manetes necessaris per a la seva correcta manipulació. </t>
  </si>
  <si>
    <t>Obertura manual de rases fins a localitzar el pas del clavegueró. Des de la conexió amb els sanitaris fins a la connexió amb la xarxa general al carrer. Profunditat mitja de 1,20m. Es consideren terres contaminades.</t>
  </si>
  <si>
    <t xml:space="preserve">Substitució canal perimetral </t>
  </si>
  <si>
    <t xml:space="preserve">Eliminació de canal perimetral de formigó. Inclou el trasllat al contenidor situat a la vorera. Sanejat de la base i retirada de runa. Preparació de la base amb graves i sorra. Subministrament i col·locació de nou canal de formigó de diam 30cm. col·locat sobre llit de sorres i graves per a recollir les aigües del pas exterior. Es col·locarà amb una pendent de 2% i es faran les connexions al desguàs general. </t>
  </si>
  <si>
    <t>CAPITOL 1</t>
  </si>
  <si>
    <t>Retirada de vidres, masssiles, junquillos, etc dels finestrals de les escales. Sanejat i raspallat dels perfils. Ajust dels marcs i de les parts móbils per a adequar la perfileria segons el plànol adjunt. Apliccaió d'imprimació antioxidant i dues mans d'esmalt sintètic. Subministrament i col·loccaió de vidres de seguretat laminars de 3+3 amb butil embegut. Inclou els junquillos i els segellats perimetrals, també la manyeria necessaria per a fer practicables 6 finestres en total en cada un dels finestrals. Inclou la retirada i transport fins a la planta de tractament especific dels vidres.  (1 modul de 105x200cm i 2 móduls de 105 x250cm). Inclou mitjans auxiliars</t>
  </si>
  <si>
    <t xml:space="preserve">Contenidors de 13m3 tipus patera </t>
  </si>
  <si>
    <t>Contenidor estandar de 5m3</t>
  </si>
  <si>
    <t>Sevei de contenidor de 5m3 per a la recollida de restes de vidre. Inclou el transport fins a l'obra i la posterior recollida fins a l'abocador autoritzat.</t>
  </si>
  <si>
    <t xml:space="preserve">escala A  planta 1 porta 1 </t>
  </si>
  <si>
    <t xml:space="preserve">escala A  planta 1 porta 2 </t>
  </si>
  <si>
    <t>escala G planta 1 porta 2</t>
  </si>
  <si>
    <t xml:space="preserve">escala G planta 1 porta 1 </t>
  </si>
  <si>
    <t>Reconstrucció del bany amb enrajolat total de les parets amb rajola ceràmica de preu mitjà de 30x40cm aprox. Subministrament i col·loccació de plat de dutxa de 90x90 de porecllana blanca, rentamans de 70x45 amb un moble baix i inodor de descarga amb motxila tipus victoria o equivalent. Inclou tots els tubs i peces especials nde polipropilé i les connexions i griferies per a un correcte funcionament.</t>
  </si>
  <si>
    <t>cornisa sobre la porta estimació 25%</t>
  </si>
  <si>
    <t xml:space="preserve">estimació 2 unitats </t>
  </si>
  <si>
    <t xml:space="preserve">estimació 8 unitats </t>
  </si>
  <si>
    <t xml:space="preserve">Instal·lació de llum als dormitoris afectats </t>
  </si>
  <si>
    <t xml:space="preserve">Subministrament de portes per armari </t>
  </si>
  <si>
    <t>Subministrament i col·locació de 2 portes d'armari de DM pintada amb esmalt de 80x200cm inclou el marc i les ferramentes i manetes necessàries per a un correcte ús de la porta. I dos prestatges interiors a l'armari  collats a una mitgera de fusta.</t>
  </si>
  <si>
    <t xml:space="preserve">Subministrament i col·locació d'escalfador de ACS elèctric amb una capacitat de 75 litres mural vertical,  connectat a la xarxa i als aparells sanitaris. </t>
  </si>
  <si>
    <t xml:space="preserve">Instal·lació d'aigua freda i calenta per a abastir un bany i una cuina. Tubs de polietilé reticulat de 16mm de diametre, inclòs material auxiliar, accessoris i peces especials. Inclou clau de pas i cob¡nnexió a la xarxa general. </t>
  </si>
  <si>
    <t xml:space="preserve">Subministrament i col·loccació de paviment de rajola de gres de 40x40cm aprox de qualitat mitja.  Incllou la col·locació amb ciment cola i el rejuntat. Inclou un sòcol de de fusta pintat, col·locat perimetralment a les estances. </t>
  </si>
  <si>
    <t xml:space="preserve">estimació 25 unitats </t>
  </si>
  <si>
    <t>2.4.7</t>
  </si>
  <si>
    <t>2.4.8</t>
  </si>
  <si>
    <t>Repicat de les jàsseres de formigó amb mitjans manuals fins a sanejar el formigó en mal estat i arribar a base ferma. Raspallat de les armadures eliminant l'òxid adherit, aplicació de passivant tipus MAPEFER o equivalent aplicat amb brotxa aconseguint un gruix no inferior a 2mm i posterior reconstrucció del volum per aconseguir la geometria original amb morter tixotropic reforçat amb fibres tipus MEPEGROUT o equivalent aplicat per capes fins a gruixos no superiors a 35mm.  (dimensions de la jàssera penjada 30x20cm)</t>
  </si>
  <si>
    <t>Repicat del guix de les parets i jàsseres per preparar la base per a collar les cadiretes de recolzament dels caps de les bigues de substitució. Inclou l'aplicació d'una base de morter per al bon contacte amb el capçal de suport del perfil de substitució seguint les prescripcions tècniques del fabricant. (mesures aproximades 20x25cm aprox)</t>
  </si>
  <si>
    <t>Adaptació de la instal·lació elèctrica als banys i/o a les cuines  intervingudes. Inclou cablejat, connexions, interruptor i endoll. Segons normativa vigent REBT</t>
  </si>
  <si>
    <t>Enderroc manual d'envans a l'interior dels habitatges afectats. Sanejat de les parets, sostre i paviment colindants. Reconstrucció de la paret plaques de cartró-guix suportades en perileria d'acer galvanitzat amb muntants cada 40cm amb dues plaques de 1,5m de gruix. Inclou les cintes d'unió entre plaques i amb les parets i sostre colindants, cargoleria etc. Inclou el transport de la runa generada al contenidor situat a la vorera. A determinar per la DF</t>
  </si>
  <si>
    <t xml:space="preserve">estimació imprevistos 50% del total </t>
  </si>
  <si>
    <t>Aplicació de pintura intumescent en diverses capes fins assolir una resistència al foc de 60 minuts. Inclou la part proporconal dels perfils de repartiment.</t>
  </si>
  <si>
    <t>3.1.3</t>
  </si>
  <si>
    <t xml:space="preserve">Revestiment de paraments </t>
  </si>
  <si>
    <t xml:space="preserve">Seguretat i Salut </t>
  </si>
  <si>
    <t>5.5</t>
  </si>
  <si>
    <t>5.5.1</t>
  </si>
  <si>
    <t xml:space="preserve">Despeses de Seguretat i Salut </t>
  </si>
  <si>
    <t xml:space="preserve">Neteja de la superficie de les cobertes amb màquina a pressió d'aigua amb herbicides i raspalls per a eliminar de forma manual tot el verdet i la beurada solta entre les juntes. </t>
  </si>
  <si>
    <t>Preparació de la superficie</t>
  </si>
  <si>
    <t xml:space="preserve">Preparació de la superficie reparant irregularitats i creant una major pendent per tal de desguassar cap a l'exterior. Creació d'una mitja canya a l'arribada a les façanes per a protegir-les de les filtracions. </t>
  </si>
  <si>
    <t>Reconstrucció de la cuina amb enrajolat total de les parets amb rajola ceràmica de preu mitjà de 30x40cm aprox. Subministrament i col·loccació de mobles baixos de 60x60cm amb prestatgeries i calaixos segons els planols adjunts. Inclou un taulell laminat de 3cm d'amplada i mobles alts de 30cm de fondaria. Pica d'acer inoxidable amb lescorresponents griferies. Encimera elèctrica de tres focs.  Així com totes les connexions per a un correcte funcionament.</t>
  </si>
  <si>
    <t xml:space="preserve">Subministrament i col·locació d'arqueta de polipropilé de 40x40x40cm de peu de baixant amb tapa fixa situada sobre una solera de formigó en massa MH20 de 15cm de gruix  inclosa en el preu, així com la connexió amb els tubs de deguàs de PVC i peces especials, totalment estanca i connectada al clavegueró que connecta al pou de la via pública.  </t>
  </si>
  <si>
    <t>Consolidació del terra dels patis amb un lliscat de ciment. Inclou les pendents i la col·locació d'un embornal sifònic a cada pati connectat a la xarxa general.</t>
  </si>
  <si>
    <t xml:space="preserve">Instal·lació de xarxa elèctrica de baixa tensió electrificació mitja. Inclou el quadre elèctric amb tots els dispositius de control i seguretat establerts segons la normativa actual. Una línia per a interruptors, una linia per a llums i una linia per a la cuina com a mínim.  Inclou cablejat, derivacions, protegides amb tub de PVC encastat als envans, mecanismes de gama bàsica, un punt de televisió i un punt de telefonia, caixa general de protecció amb tres linies mínim i els pia corresponents i IPC . Inclou els punts de llum , endolls, interruptors i conmutats, segons plànols adjunts. </t>
  </si>
  <si>
    <t xml:space="preserve">escala A, B, C, D, E I G a substituir </t>
  </si>
  <si>
    <t>4.1.5</t>
  </si>
  <si>
    <t xml:space="preserve">Revisió dels baixants al seu pas per les plantes 1 </t>
  </si>
  <si>
    <t>Revisió de l'estanquitat dels baixants que passin per les plantes 1. Possibles reparacions i/o canvis de trams i/o peces especials. A justificar per la DF.</t>
  </si>
  <si>
    <t xml:space="preserve"> Perfils per a jàsseres </t>
  </si>
  <si>
    <t xml:space="preserve">Creació d'una solera a base de un gruix de 20cm de graves de cantera calisa 40/80 compactades amb equip manual de màquina vibrant. Posterior solera de formigó armat amb mallazo de 150x150x5mm de 10cm de gruix amb làmina plàstica de polietilé separadora del de formigó distribuit amb bomba. Inclou el servei del camió bomba fins al punt de distribució.  </t>
  </si>
  <si>
    <t>1.2.1.4</t>
  </si>
  <si>
    <t xml:space="preserve">Enrajolat del rebost </t>
  </si>
  <si>
    <t xml:space="preserve">Enrajolat del rebost fins a 2m d'alçada amb rajola ceràmica de 30x60cm aprox presa amb ciment cola i amb beurada perimetral. </t>
  </si>
  <si>
    <t xml:space="preserve">Escala A,C,D,E,F, G </t>
  </si>
  <si>
    <t xml:space="preserve">estimació 50% imprevistos </t>
  </si>
  <si>
    <t xml:space="preserve">Subministrament i col·loccació de rajoles de gres esmaltades de 30x60 cm aprox  Col·locades amb ciment cola i beurada d'acabat entre les juntes. A una alçada inferior a 3m.  Es comptabilitza la part alta dels banys afectyats per la col·loccaió de les cadiretes de subjecció de les bigues de substitució.  A determinar per la DF </t>
  </si>
  <si>
    <t xml:space="preserve">entre escales </t>
  </si>
  <si>
    <t xml:space="preserve">Trasters (estimació 20ml)  a justificar per la DF </t>
  </si>
  <si>
    <t xml:space="preserve">Altres pilars  (estimació de 50ml )  a justificar per la DF </t>
  </si>
  <si>
    <t>Subministrament i col·locació de perfils metàl·lics tipus MECANOVIGA MVH 16 5000 formada per tres trams collats amb cargols i recolzats sobre cadiretes especials del mateix fabricant collades amb cargols fixats amb tac químic facilitat pel mateix fabricant. Inclou la part proporcional de perfils U col·locats entre dos perfils contigus cada 65cm per a repartir les càrregues facilitats per la mateixa empresa MECANOVIGA.  El perfil es recolzarà per un extrem a la paret de la façana i per l'altre a la jàssera de formigó armat que forma part del pòrtic situat al centre de l'edifici.  Inclou la part proporcional de morter de retacat per a fer contacte entre les bigues orignals i les de substitució. Cada perfil oscilarà entre els 4,5 i 4,80m.</t>
  </si>
  <si>
    <t xml:space="preserve">estimació 10% a reparar </t>
  </si>
  <si>
    <t xml:space="preserve">Repicat de les zones inestables de la base de les bigues ceràmiques fins arribar a l'armadura oxidada. Raspallat amb raspalls metàl·lics per a eliminar l'òxid adherit,passivat amb MAPEFER  amb un gruix mínim de 2mm. Reconstrucció amb morter de reparació amb fibres tipus MAPEGROUT  o equivalent.  (estimació 110% de les bigues a substituir). S'estima aquesta actuació a  la base de totes les bigues a substituir per tal d'afavorir el contacte entre la biga vella i la biga de substitució i una estimació del 10% de bigues a reparar amb les armadures oxidades però que no han perdut secció. </t>
  </si>
  <si>
    <t>Preparació de la base dels travessers de substitució</t>
  </si>
  <si>
    <t xml:space="preserve">Preparació de la base de les bigues a la zona on es situïn els travessers U de substitució. Aplanat de la zona amb morters  tipus MAPEFER per a dotar de planeitat la zona d'unió i facilitar el contacte entre el forjat ceràmic i el perfil. </t>
  </si>
  <si>
    <t xml:space="preserve">perfils U d'entrebigat  (estimació cada 65cm aprox) </t>
  </si>
  <si>
    <t xml:space="preserve">Despeses per a asegurar la seguretat i salut durant els treballs. </t>
  </si>
  <si>
    <t>1.2.16</t>
  </si>
  <si>
    <t xml:space="preserve">estimació 1% del pressupost </t>
  </si>
  <si>
    <t xml:space="preserve">TOTAL </t>
  </si>
  <si>
    <t xml:space="preserve">RESUM DE COSTOS </t>
  </si>
  <si>
    <t xml:space="preserve">Revestiment de paraments amb morter hidròfug. A determinar per la DF </t>
  </si>
  <si>
    <t xml:space="preserve">Benefici industrial   6% </t>
  </si>
  <si>
    <t xml:space="preserve">Despeses Generals 13% </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</si>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</sst>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i/>
      <sz val="11"/>
      <color theme="1"/>
      <name val="Calibri"/>
      <family val="2"/>
      <scheme val="minor"/>
    </font>
    <font>
      <b/>
      <sz val="14"/>
      <color theme="1"/>
      <name val="Arial"/>
      <family val="2"/>
    </font>
    <font>
      <b/>
      <sz val="11"/>
      <color theme="1"/>
      <name val="Arial"/>
      <family val="2"/>
    </font>
    <font>
      <sz val="14"/>
      <color theme="1"/>
      <name val="Calibri"/>
      <family val="2"/>
      <scheme val="minor"/>
    </font>
    <font>
      <sz val="14"/>
      <color theme="1"/>
      <name val="Arial"/>
      <family val="2"/>
    </font>
    <font>
      <sz val="14"/>
      <color theme="1"/>
      <name val="Aptos Narrow"/>
      <family val="2"/>
    </font>
    <font>
      <sz val="16"/>
      <color theme="1"/>
      <name val="Arial"/>
      <family val="2"/>
    </font>
    <font>
      <b/>
      <sz val="16"/>
      <color theme="1"/>
      <name val="Arial"/>
      <family val="2"/>
    </font>
    <font>
      <b/>
      <i/>
      <sz val="11"/>
      <color theme="1"/>
      <name val="Calibri"/>
      <family val="2"/>
      <scheme val="minor"/>
    </font>
    <font>
      <sz val="11"/>
      <color theme="1"/>
      <name val="Arial"/>
      <family val="2"/>
    </font>
    <font>
      <sz val="9"/>
      <color theme="1"/>
      <name val="Arial"/>
      <family val="2"/>
    </font>
    <font>
      <b/>
      <i/>
      <sz val="12"/>
      <color theme="1"/>
      <name val="Arial"/>
      <family val="2"/>
    </font>
    <font>
      <i/>
      <sz val="11"/>
      <color theme="1"/>
      <name val="Calibri"/>
      <family val="2"/>
    </font>
    <font>
      <sz val="11"/>
      <color theme="1"/>
      <name val="Calibri"/>
      <family val="2"/>
      <scheme val="minor"/>
    </font>
    <font>
      <b/>
      <sz val="16"/>
      <color theme="1"/>
      <name val="Calibri"/>
      <family val="2"/>
      <scheme val="minor"/>
    </font>
    <font>
      <b/>
      <i/>
      <sz val="16"/>
      <color theme="1"/>
      <name val="Arial"/>
      <family val="2"/>
    </font>
    <font>
      <b/>
      <i/>
      <sz val="14"/>
      <color theme="1"/>
      <name val="Arial"/>
      <family val="2"/>
    </font>
    <font>
      <b/>
      <sz val="14"/>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17" fillId="0" borderId="0" applyFont="0" applyFill="0" applyBorder="0" applyAlignment="0" applyProtection="0"/>
  </cellStyleXfs>
  <cellXfs count="116">
    <xf numFmtId="0" fontId="0" fillId="0" borderId="0" xfId="0"/>
    <xf numFmtId="4" fontId="0" fillId="0" borderId="0" xfId="0" applyNumberFormat="1"/>
    <xf numFmtId="0" fontId="2" fillId="0" borderId="0" xfId="0" applyFont="1" applyAlignment="1">
      <alignment horizontal="justify" vertical="top"/>
    </xf>
    <xf numFmtId="0" fontId="3" fillId="0" borderId="0" xfId="0" applyFont="1" applyAlignment="1">
      <alignment horizontal="justify" vertical="top"/>
    </xf>
    <xf numFmtId="0" fontId="1" fillId="0" borderId="0" xfId="0" applyFont="1" applyAlignment="1">
      <alignment horizontal="justify" vertical="top"/>
    </xf>
    <xf numFmtId="0" fontId="0" fillId="0" borderId="0" xfId="0" applyAlignment="1">
      <alignment horizontal="justify" vertical="top"/>
    </xf>
    <xf numFmtId="0" fontId="4" fillId="0" borderId="0" xfId="0" applyFont="1" applyAlignment="1">
      <alignment horizontal="justify" vertical="top"/>
    </xf>
    <xf numFmtId="0" fontId="1" fillId="0" borderId="0" xfId="0" applyFont="1" applyAlignment="1">
      <alignment horizontal="center" vertical="top"/>
    </xf>
    <xf numFmtId="0" fontId="1" fillId="2" borderId="1" xfId="0" applyFont="1" applyFill="1" applyBorder="1" applyAlignment="1">
      <alignment horizontal="center" vertical="top"/>
    </xf>
    <xf numFmtId="4" fontId="1" fillId="2" borderId="1" xfId="0" applyNumberFormat="1" applyFont="1" applyFill="1" applyBorder="1" applyAlignment="1">
      <alignment horizontal="center" vertical="top"/>
    </xf>
    <xf numFmtId="4" fontId="0" fillId="0" borderId="2" xfId="0" applyNumberFormat="1" applyBorder="1"/>
    <xf numFmtId="0" fontId="0" fillId="0" borderId="0" xfId="0" applyAlignment="1">
      <alignment horizontal="center" vertical="top"/>
    </xf>
    <xf numFmtId="0" fontId="5" fillId="0" borderId="0" xfId="0" applyFont="1" applyAlignment="1">
      <alignment horizontal="justify" vertical="top"/>
    </xf>
    <xf numFmtId="0" fontId="1" fillId="2" borderId="1" xfId="0" applyFont="1" applyFill="1" applyBorder="1" applyAlignment="1">
      <alignment horizontal="justify" vertical="top"/>
    </xf>
    <xf numFmtId="0" fontId="0" fillId="2" borderId="0" xfId="0" applyFill="1" applyAlignment="1">
      <alignment horizontal="center" vertical="top"/>
    </xf>
    <xf numFmtId="0" fontId="3" fillId="2" borderId="0" xfId="0" applyFont="1" applyFill="1" applyAlignment="1">
      <alignment horizontal="justify" vertical="top"/>
    </xf>
    <xf numFmtId="4" fontId="0" fillId="2" borderId="0" xfId="0" applyNumberFormat="1" applyFill="1"/>
    <xf numFmtId="0" fontId="0" fillId="2" borderId="0" xfId="0" applyFill="1"/>
    <xf numFmtId="0" fontId="6" fillId="0" borderId="0" xfId="0" applyFont="1" applyAlignment="1">
      <alignment horizontal="justify" vertical="top"/>
    </xf>
    <xf numFmtId="0" fontId="2" fillId="0" borderId="0" xfId="0" applyFont="1" applyAlignment="1">
      <alignment horizontal="center" vertical="top"/>
    </xf>
    <xf numFmtId="0" fontId="5" fillId="0" borderId="2" xfId="0" applyFont="1" applyBorder="1" applyAlignment="1">
      <alignment horizontal="justify" vertical="top"/>
    </xf>
    <xf numFmtId="0" fontId="3" fillId="2" borderId="0" xfId="0" applyFont="1" applyFill="1" applyAlignment="1">
      <alignment horizontal="center" vertical="top"/>
    </xf>
    <xf numFmtId="0" fontId="1" fillId="2" borderId="0" xfId="0" applyFont="1" applyFill="1" applyAlignment="1">
      <alignment horizontal="center" vertical="top"/>
    </xf>
    <xf numFmtId="0" fontId="0" fillId="0" borderId="2" xfId="0" applyBorder="1"/>
    <xf numFmtId="0" fontId="4" fillId="0" borderId="0" xfId="0" applyFont="1" applyAlignment="1">
      <alignment horizontal="center" vertical="top"/>
    </xf>
    <xf numFmtId="4" fontId="7" fillId="0" borderId="0" xfId="0" applyNumberFormat="1" applyFont="1"/>
    <xf numFmtId="0" fontId="8" fillId="0" borderId="0" xfId="0" applyFont="1" applyAlignment="1">
      <alignment horizontal="justify" vertical="top"/>
    </xf>
    <xf numFmtId="4" fontId="8" fillId="0" borderId="0" xfId="0" applyNumberFormat="1" applyFont="1"/>
    <xf numFmtId="0" fontId="10" fillId="0" borderId="0" xfId="0" applyFont="1"/>
    <xf numFmtId="4" fontId="10" fillId="0" borderId="0" xfId="0" applyNumberFormat="1" applyFont="1"/>
    <xf numFmtId="0" fontId="11" fillId="0" borderId="0" xfId="0" applyFont="1" applyAlignment="1">
      <alignment horizontal="justify" vertical="top"/>
    </xf>
    <xf numFmtId="0" fontId="12" fillId="0" borderId="0" xfId="0" applyFont="1" applyAlignment="1">
      <alignment horizontal="justify" vertical="top"/>
    </xf>
    <xf numFmtId="4" fontId="1" fillId="0" borderId="0" xfId="0" applyNumberFormat="1" applyFont="1"/>
    <xf numFmtId="4" fontId="11" fillId="0" borderId="0" xfId="0" applyNumberFormat="1" applyFont="1"/>
    <xf numFmtId="0" fontId="10" fillId="0" borderId="0" xfId="0" applyFont="1" applyAlignment="1">
      <alignment horizontal="center" vertical="top"/>
    </xf>
    <xf numFmtId="0" fontId="11" fillId="0" borderId="0" xfId="0" applyFont="1" applyAlignment="1">
      <alignment horizontal="right" vertical="top"/>
    </xf>
    <xf numFmtId="4" fontId="13" fillId="0" borderId="0" xfId="0" applyNumberFormat="1" applyFont="1"/>
    <xf numFmtId="0" fontId="13" fillId="0" borderId="0" xfId="0" applyFont="1"/>
    <xf numFmtId="0" fontId="15" fillId="0" borderId="0" xfId="0" applyFont="1"/>
    <xf numFmtId="0" fontId="8" fillId="0" borderId="0" xfId="0" applyFont="1" applyAlignment="1">
      <alignment horizontal="center" vertical="top"/>
    </xf>
    <xf numFmtId="0" fontId="7" fillId="0" borderId="0" xfId="0" applyFont="1" applyAlignment="1">
      <alignment horizontal="justify" vertical="top"/>
    </xf>
    <xf numFmtId="0" fontId="8" fillId="0" borderId="0" xfId="0" applyFont="1"/>
    <xf numFmtId="0" fontId="11" fillId="0" borderId="0" xfId="0" applyFont="1" applyAlignment="1">
      <alignment horizontal="center" vertical="top"/>
    </xf>
    <xf numFmtId="0" fontId="11" fillId="0" borderId="0" xfId="0" applyFont="1"/>
    <xf numFmtId="0" fontId="13" fillId="0" borderId="4" xfId="0" applyFont="1" applyBorder="1"/>
    <xf numFmtId="4" fontId="13" fillId="0" borderId="4" xfId="0" applyNumberFormat="1" applyFont="1" applyBorder="1"/>
    <xf numFmtId="0" fontId="0" fillId="0" borderId="4" xfId="0" applyBorder="1"/>
    <xf numFmtId="0" fontId="10" fillId="0" borderId="4" xfId="0" applyFont="1" applyBorder="1"/>
    <xf numFmtId="4" fontId="10" fillId="0" borderId="4" xfId="0" applyNumberFormat="1" applyFont="1" applyBorder="1"/>
    <xf numFmtId="0" fontId="10" fillId="0" borderId="5" xfId="0" applyFont="1" applyBorder="1"/>
    <xf numFmtId="0" fontId="13" fillId="0" borderId="6" xfId="0" applyFont="1" applyBorder="1"/>
    <xf numFmtId="0" fontId="13" fillId="0" borderId="7" xfId="0" applyFont="1" applyBorder="1"/>
    <xf numFmtId="0" fontId="14" fillId="0" borderId="0" xfId="0" applyFont="1"/>
    <xf numFmtId="0" fontId="10" fillId="0" borderId="8" xfId="0" applyFont="1" applyBorder="1"/>
    <xf numFmtId="0" fontId="10" fillId="0" borderId="9" xfId="0" applyFont="1" applyBorder="1"/>
    <xf numFmtId="4" fontId="10" fillId="0" borderId="9" xfId="0" applyNumberFormat="1" applyFont="1" applyBorder="1"/>
    <xf numFmtId="0" fontId="8" fillId="0" borderId="9" xfId="0" applyFont="1" applyBorder="1"/>
    <xf numFmtId="0" fontId="10" fillId="0" borderId="10" xfId="0" applyFont="1" applyBorder="1"/>
    <xf numFmtId="0" fontId="10" fillId="0" borderId="11" xfId="0" applyFont="1" applyBorder="1"/>
    <xf numFmtId="0" fontId="10" fillId="0" borderId="12"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 xfId="0" applyFont="1" applyBorder="1"/>
    <xf numFmtId="4" fontId="10" fillId="0" borderId="1" xfId="0" applyNumberFormat="1" applyFont="1" applyBorder="1"/>
    <xf numFmtId="0" fontId="10" fillId="0" borderId="16" xfId="0" applyFont="1" applyBorder="1"/>
    <xf numFmtId="4" fontId="15" fillId="0" borderId="0" xfId="0" applyNumberFormat="1" applyFont="1"/>
    <xf numFmtId="0" fontId="0" fillId="0" borderId="0" xfId="0" applyAlignment="1">
      <alignment horizontal="right" vertical="top"/>
    </xf>
    <xf numFmtId="1" fontId="0" fillId="0" borderId="2" xfId="0" applyNumberFormat="1" applyBorder="1"/>
    <xf numFmtId="0" fontId="16" fillId="0" borderId="0" xfId="0" applyFont="1" applyAlignment="1">
      <alignment horizontal="justify" vertical="top"/>
    </xf>
    <xf numFmtId="0" fontId="7" fillId="0" borderId="0" xfId="0" applyFont="1"/>
    <xf numFmtId="0" fontId="19" fillId="0" borderId="0" xfId="0" applyFont="1"/>
    <xf numFmtId="4" fontId="6" fillId="0" borderId="0" xfId="0" applyNumberFormat="1" applyFont="1"/>
    <xf numFmtId="4" fontId="1" fillId="0" borderId="4" xfId="0" applyNumberFormat="1" applyFont="1" applyBorder="1"/>
    <xf numFmtId="4" fontId="20" fillId="0" borderId="0" xfId="0" applyNumberFormat="1" applyFont="1"/>
    <xf numFmtId="4" fontId="5" fillId="0" borderId="0" xfId="0" applyNumberFormat="1" applyFont="1"/>
    <xf numFmtId="0" fontId="11" fillId="0" borderId="5" xfId="0" applyFont="1" applyBorder="1"/>
    <xf numFmtId="10" fontId="0" fillId="0" borderId="0" xfId="0" applyNumberFormat="1"/>
    <xf numFmtId="10" fontId="7" fillId="0" borderId="0" xfId="0" applyNumberFormat="1" applyFont="1"/>
    <xf numFmtId="4" fontId="5" fillId="0" borderId="4" xfId="0" applyNumberFormat="1" applyFont="1" applyBorder="1"/>
    <xf numFmtId="0" fontId="5" fillId="0" borderId="0" xfId="0" applyFont="1"/>
    <xf numFmtId="0" fontId="1" fillId="0" borderId="1" xfId="0" applyFont="1" applyBorder="1" applyAlignment="1">
      <alignment horizontal="center" vertical="top"/>
    </xf>
    <xf numFmtId="4" fontId="1" fillId="0" borderId="1" xfId="0" applyNumberFormat="1" applyFont="1" applyBorder="1" applyAlignment="1">
      <alignment horizontal="center" vertical="top"/>
    </xf>
    <xf numFmtId="4" fontId="8" fillId="0" borderId="3" xfId="0" applyNumberFormat="1" applyFont="1" applyBorder="1"/>
    <xf numFmtId="4" fontId="9" fillId="0" borderId="0" xfId="0" applyNumberFormat="1" applyFont="1"/>
    <xf numFmtId="0" fontId="1" fillId="0" borderId="0" xfId="0" applyFont="1"/>
    <xf numFmtId="0" fontId="22" fillId="3" borderId="1" xfId="0" applyFont="1" applyFill="1" applyBorder="1" applyAlignment="1">
      <alignment horizontal="center" vertical="top"/>
    </xf>
    <xf numFmtId="0" fontId="23" fillId="3" borderId="0" xfId="0" applyFont="1" applyFill="1"/>
    <xf numFmtId="9" fontId="0" fillId="0" borderId="0" xfId="0" applyNumberFormat="1" applyAlignment="1">
      <alignment horizontal="justify" vertical="top"/>
    </xf>
    <xf numFmtId="0" fontId="18" fillId="0" borderId="0" xfId="0" applyFont="1"/>
    <xf numFmtId="9" fontId="7" fillId="0" borderId="0" xfId="1" applyFont="1" applyFill="1" applyBorder="1"/>
    <xf numFmtId="0" fontId="10" fillId="0" borderId="0" xfId="0" applyFont="1" applyBorder="1"/>
    <xf numFmtId="4" fontId="11" fillId="0" borderId="0" xfId="0" applyNumberFormat="1" applyFont="1" applyBorder="1"/>
    <xf numFmtId="10" fontId="10" fillId="0" borderId="0" xfId="0" applyNumberFormat="1" applyFont="1" applyBorder="1"/>
    <xf numFmtId="0" fontId="11" fillId="0" borderId="0" xfId="0" applyFont="1" applyBorder="1"/>
    <xf numFmtId="0" fontId="13" fillId="0" borderId="0" xfId="0" applyFont="1" applyBorder="1"/>
    <xf numFmtId="4" fontId="10" fillId="0" borderId="0" xfId="0" applyNumberFormat="1" applyFont="1" applyBorder="1"/>
    <xf numFmtId="0" fontId="8" fillId="0" borderId="0" xfId="0" applyFont="1" applyBorder="1"/>
    <xf numFmtId="0" fontId="0" fillId="0" borderId="0" xfId="0" applyBorder="1"/>
    <xf numFmtId="4" fontId="1" fillId="0" borderId="0" xfId="0" applyNumberFormat="1" applyFont="1" applyBorder="1"/>
    <xf numFmtId="10" fontId="0" fillId="0" borderId="0" xfId="0" applyNumberFormat="1" applyBorder="1"/>
    <xf numFmtId="4" fontId="0" fillId="0" borderId="0" xfId="0" applyNumberFormat="1" applyBorder="1"/>
    <xf numFmtId="0" fontId="21" fillId="0" borderId="0" xfId="0" applyFont="1" applyBorder="1"/>
    <xf numFmtId="0" fontId="21" fillId="0" borderId="0" xfId="0" applyFont="1" applyBorder="1" applyAlignment="1">
      <alignment horizontal="center" vertical="center"/>
    </xf>
    <xf numFmtId="10" fontId="21" fillId="0" borderId="0" xfId="1" applyNumberFormat="1" applyFont="1" applyFill="1" applyBorder="1" applyAlignment="1">
      <alignment horizontal="center" vertical="center"/>
    </xf>
    <xf numFmtId="10" fontId="21" fillId="0" borderId="0" xfId="0" applyNumberFormat="1" applyFont="1" applyBorder="1" applyAlignment="1">
      <alignment horizontal="center" vertical="center"/>
    </xf>
    <xf numFmtId="0" fontId="15" fillId="0" borderId="0" xfId="0" applyFont="1" applyBorder="1"/>
    <xf numFmtId="4" fontId="2" fillId="0" borderId="0" xfId="0" applyNumberFormat="1" applyFont="1" applyBorder="1"/>
    <xf numFmtId="10" fontId="2" fillId="0" borderId="0" xfId="0" applyNumberFormat="1" applyFont="1" applyBorder="1"/>
    <xf numFmtId="4" fontId="7" fillId="0" borderId="0" xfId="0" applyNumberFormat="1" applyFont="1" applyBorder="1"/>
    <xf numFmtId="10" fontId="7" fillId="0" borderId="0" xfId="0" applyNumberFormat="1" applyFont="1" applyBorder="1"/>
    <xf numFmtId="0" fontId="7" fillId="0" borderId="0" xfId="0" applyFont="1" applyBorder="1"/>
    <xf numFmtId="4" fontId="21" fillId="0" borderId="0" xfId="0" applyNumberFormat="1" applyFont="1" applyBorder="1"/>
    <xf numFmtId="10" fontId="21" fillId="0" borderId="0" xfId="0" applyNumberFormat="1" applyFont="1" applyBorder="1"/>
    <xf numFmtId="0" fontId="21" fillId="0" borderId="0" xfId="0" applyFont="1" applyBorder="1" applyAlignment="1">
      <alignment horizontal="center"/>
    </xf>
    <xf numFmtId="10" fontId="21" fillId="0" borderId="0" xfId="0" applyNumberFormat="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3FE5-4F91-47AE-829F-3A480BE5270D}">
  <sheetPr>
    <pageSetUpPr fitToPage="1"/>
  </sheetPr>
  <dimension ref="A1:Z557"/>
  <sheetViews>
    <sheetView topLeftCell="A528" workbookViewId="0">
      <selection activeCell="P540" sqref="P540"/>
    </sheetView>
  </sheetViews>
  <sheetFormatPr baseColWidth="10" defaultRowHeight="14.4" x14ac:dyDescent="0.3"/>
  <cols>
    <col min="1" max="1" width="4.77734375" style="87" customWidth="1"/>
    <col min="2" max="2" width="4.77734375" style="11" customWidth="1"/>
    <col min="3" max="3" width="6.77734375" style="11" customWidth="1"/>
    <col min="4" max="4" width="4.77734375" style="11" customWidth="1"/>
    <col min="5" max="5" width="52.33203125" style="5" customWidth="1"/>
    <col min="6" max="6" width="4.77734375" style="5" customWidth="1"/>
    <col min="7" max="7" width="4.109375" style="1" customWidth="1"/>
    <col min="8" max="8" width="10.33203125" style="1" customWidth="1"/>
    <col min="9" max="9" width="10.88671875" style="1" customWidth="1"/>
    <col min="10" max="10" width="10.77734375" style="1" customWidth="1"/>
    <col min="11" max="11" width="9.44140625" style="1" customWidth="1"/>
    <col min="12" max="12" width="10.44140625" style="1" customWidth="1"/>
    <col min="13" max="13" width="10.21875" style="1" customWidth="1"/>
    <col min="14" max="14" width="11.77734375" style="1" customWidth="1"/>
    <col min="15" max="15" width="1.77734375" customWidth="1"/>
    <col min="16" max="16" width="18.6640625" customWidth="1"/>
    <col min="17" max="17" width="2.33203125" customWidth="1"/>
    <col min="18" max="18" width="18.6640625" customWidth="1"/>
    <col min="19" max="19" width="3.21875" customWidth="1"/>
    <col min="20" max="20" width="16.33203125" style="1" customWidth="1"/>
    <col min="21" max="21" width="13.88671875" style="1" customWidth="1"/>
    <col min="22" max="22" width="17" style="1" customWidth="1"/>
    <col min="23" max="23" width="15.33203125" style="1" customWidth="1"/>
    <col min="24" max="24" width="3.33203125" customWidth="1"/>
  </cols>
  <sheetData>
    <row r="1" spans="1:26" s="8" customFormat="1" ht="15" thickBot="1" x14ac:dyDescent="0.35">
      <c r="A1" s="86"/>
      <c r="B1" s="8" t="s">
        <v>265</v>
      </c>
      <c r="C1" s="8" t="s">
        <v>149</v>
      </c>
      <c r="D1" s="8" t="s">
        <v>151</v>
      </c>
      <c r="E1" s="13" t="s">
        <v>150</v>
      </c>
      <c r="F1" s="8" t="s">
        <v>167</v>
      </c>
      <c r="G1" s="9" t="s">
        <v>151</v>
      </c>
      <c r="H1" s="9" t="s">
        <v>152</v>
      </c>
      <c r="I1" s="9" t="s">
        <v>153</v>
      </c>
      <c r="J1" s="9" t="s">
        <v>154</v>
      </c>
      <c r="K1" s="9" t="s">
        <v>155</v>
      </c>
      <c r="L1" s="9" t="s">
        <v>156</v>
      </c>
      <c r="M1" s="9" t="s">
        <v>157</v>
      </c>
      <c r="N1" s="9" t="s">
        <v>158</v>
      </c>
      <c r="O1" s="81"/>
      <c r="P1" s="81"/>
      <c r="Q1" s="81"/>
      <c r="R1" s="81"/>
      <c r="S1" s="81"/>
      <c r="T1" s="82"/>
      <c r="U1" s="82"/>
      <c r="V1" s="82"/>
      <c r="W1" s="82"/>
      <c r="X1" s="81"/>
      <c r="Y1" s="81"/>
      <c r="Z1" s="81"/>
    </row>
    <row r="3" spans="1:26" ht="17.399999999999999" x14ac:dyDescent="0.3">
      <c r="E3" s="20" t="s">
        <v>631</v>
      </c>
    </row>
    <row r="5" spans="1:26" ht="15.6" x14ac:dyDescent="0.3">
      <c r="E5" s="3" t="s">
        <v>0</v>
      </c>
      <c r="F5" s="3"/>
    </row>
    <row r="6" spans="1:26" ht="15" x14ac:dyDescent="0.3">
      <c r="E6" s="2"/>
      <c r="F6" s="2"/>
    </row>
    <row r="7" spans="1:26" s="17" customFormat="1" ht="15.6" x14ac:dyDescent="0.3">
      <c r="A7" s="87"/>
      <c r="B7" s="14">
        <v>1</v>
      </c>
      <c r="C7" s="14"/>
      <c r="D7" s="14"/>
      <c r="E7" s="15" t="s">
        <v>85</v>
      </c>
      <c r="F7" s="15"/>
      <c r="G7" s="16"/>
      <c r="H7" s="16"/>
      <c r="I7" s="16"/>
      <c r="J7" s="16"/>
      <c r="K7" s="16"/>
      <c r="L7" s="16"/>
      <c r="M7" s="16"/>
      <c r="N7" s="16"/>
      <c r="O7"/>
      <c r="P7"/>
      <c r="Q7"/>
      <c r="R7"/>
      <c r="S7"/>
      <c r="T7" s="1"/>
      <c r="U7" s="1"/>
      <c r="V7" s="1"/>
      <c r="W7" s="1"/>
      <c r="X7"/>
      <c r="Y7"/>
      <c r="Z7"/>
    </row>
    <row r="9" spans="1:26" x14ac:dyDescent="0.3">
      <c r="B9" s="11">
        <v>1</v>
      </c>
      <c r="C9" s="7" t="s">
        <v>86</v>
      </c>
      <c r="E9" s="4" t="s">
        <v>532</v>
      </c>
      <c r="F9" s="4"/>
    </row>
    <row r="11" spans="1:26" x14ac:dyDescent="0.3">
      <c r="B11" s="11">
        <v>1</v>
      </c>
      <c r="C11" s="11" t="s">
        <v>87</v>
      </c>
      <c r="D11" s="11" t="s">
        <v>161</v>
      </c>
      <c r="E11" s="6" t="s">
        <v>5</v>
      </c>
      <c r="F11" s="6"/>
    </row>
    <row r="12" spans="1:26" ht="61.2" customHeight="1" x14ac:dyDescent="0.3">
      <c r="E12" s="5" t="s">
        <v>55</v>
      </c>
    </row>
    <row r="14" spans="1:26" x14ac:dyDescent="0.3">
      <c r="E14" s="5" t="s">
        <v>145</v>
      </c>
      <c r="H14" s="1">
        <v>37.85</v>
      </c>
      <c r="J14" s="1">
        <v>11</v>
      </c>
      <c r="K14" s="1">
        <f>H14*J14</f>
        <v>416.35</v>
      </c>
    </row>
    <row r="15" spans="1:26" x14ac:dyDescent="0.3">
      <c r="E15" s="5" t="s">
        <v>146</v>
      </c>
      <c r="H15" s="1">
        <v>72.06</v>
      </c>
      <c r="J15" s="1">
        <v>11</v>
      </c>
      <c r="K15" s="1">
        <f t="shared" ref="K15:K16" si="0">H15*J15</f>
        <v>792.66000000000008</v>
      </c>
    </row>
    <row r="16" spans="1:26" x14ac:dyDescent="0.3">
      <c r="E16" s="5" t="s">
        <v>147</v>
      </c>
      <c r="H16" s="1">
        <v>36.85</v>
      </c>
      <c r="J16" s="1">
        <v>11</v>
      </c>
      <c r="K16" s="1">
        <f t="shared" si="0"/>
        <v>405.35</v>
      </c>
    </row>
    <row r="17" spans="2:25" x14ac:dyDescent="0.3">
      <c r="L17" s="10">
        <f>K14+K15+K16</f>
        <v>1614.3600000000001</v>
      </c>
      <c r="M17" s="1">
        <v>16.64</v>
      </c>
      <c r="N17" s="10">
        <f>M17*L17</f>
        <v>26862.950400000002</v>
      </c>
      <c r="Y17" s="1"/>
    </row>
    <row r="19" spans="2:25" x14ac:dyDescent="0.3">
      <c r="B19" s="11">
        <v>1</v>
      </c>
      <c r="C19" s="11" t="s">
        <v>264</v>
      </c>
      <c r="D19" s="11" t="s">
        <v>161</v>
      </c>
      <c r="E19" s="5" t="s">
        <v>454</v>
      </c>
    </row>
    <row r="20" spans="2:25" ht="28.8" x14ac:dyDescent="0.3">
      <c r="E20" s="5" t="s">
        <v>613</v>
      </c>
    </row>
    <row r="22" spans="2:25" x14ac:dyDescent="0.3">
      <c r="E22" s="5" t="s">
        <v>145</v>
      </c>
      <c r="H22" s="1">
        <v>37.85</v>
      </c>
      <c r="J22" s="1">
        <v>11</v>
      </c>
      <c r="K22" s="1">
        <f>H22*J22</f>
        <v>416.35</v>
      </c>
    </row>
    <row r="23" spans="2:25" x14ac:dyDescent="0.3">
      <c r="E23" s="5" t="s">
        <v>146</v>
      </c>
      <c r="H23" s="1">
        <v>72.06</v>
      </c>
      <c r="J23" s="1">
        <v>11</v>
      </c>
      <c r="K23" s="1">
        <f t="shared" ref="K23:K24" si="1">H23*J23</f>
        <v>792.66000000000008</v>
      </c>
    </row>
    <row r="24" spans="2:25" x14ac:dyDescent="0.3">
      <c r="E24" s="5" t="s">
        <v>147</v>
      </c>
      <c r="H24" s="1">
        <v>36.85</v>
      </c>
      <c r="J24" s="1">
        <v>11</v>
      </c>
      <c r="K24" s="1">
        <f t="shared" si="1"/>
        <v>405.35</v>
      </c>
    </row>
    <row r="25" spans="2:25" x14ac:dyDescent="0.3">
      <c r="L25" s="10">
        <f>K22+K23+K24</f>
        <v>1614.3600000000001</v>
      </c>
      <c r="M25" s="1">
        <v>3.8</v>
      </c>
      <c r="N25" s="1">
        <f>L25*M25</f>
        <v>6134.5680000000002</v>
      </c>
      <c r="Y25" s="1"/>
    </row>
    <row r="27" spans="2:25" x14ac:dyDescent="0.3">
      <c r="B27" s="11">
        <v>1</v>
      </c>
      <c r="C27" s="7" t="s">
        <v>88</v>
      </c>
      <c r="E27" s="4" t="s">
        <v>3</v>
      </c>
      <c r="F27" s="4"/>
    </row>
    <row r="28" spans="2:25" ht="15" customHeight="1" x14ac:dyDescent="0.3"/>
    <row r="29" spans="2:25" ht="15" customHeight="1" x14ac:dyDescent="0.3">
      <c r="B29" s="11">
        <v>1</v>
      </c>
      <c r="C29" s="11" t="s">
        <v>89</v>
      </c>
      <c r="D29" s="11" t="s">
        <v>161</v>
      </c>
      <c r="E29" s="6" t="s">
        <v>4</v>
      </c>
      <c r="F29" s="6"/>
    </row>
    <row r="30" spans="2:25" ht="45" customHeight="1" x14ac:dyDescent="0.3">
      <c r="E30" s="5" t="s">
        <v>75</v>
      </c>
    </row>
    <row r="31" spans="2:25" ht="16.8" customHeight="1" x14ac:dyDescent="0.3"/>
    <row r="32" spans="2:25" ht="15.6" customHeight="1" x14ac:dyDescent="0.3">
      <c r="E32" s="5" t="s">
        <v>434</v>
      </c>
      <c r="F32" s="1">
        <v>0.01</v>
      </c>
      <c r="H32" s="1">
        <v>37.85</v>
      </c>
      <c r="J32" s="1">
        <v>9</v>
      </c>
      <c r="K32" s="1">
        <f>F32*H32*J32</f>
        <v>3.4064999999999999</v>
      </c>
    </row>
    <row r="33" spans="2:26" ht="17.399999999999999" customHeight="1" x14ac:dyDescent="0.3">
      <c r="E33" s="5" t="s">
        <v>623</v>
      </c>
      <c r="F33" s="1">
        <v>0.05</v>
      </c>
      <c r="H33" s="1">
        <v>72.06</v>
      </c>
      <c r="J33" s="1">
        <v>9</v>
      </c>
      <c r="K33" s="1">
        <f t="shared" ref="K33:K34" si="2">F33*H33*J33</f>
        <v>32.427</v>
      </c>
    </row>
    <row r="34" spans="2:26" ht="18" customHeight="1" x14ac:dyDescent="0.3">
      <c r="E34" s="5" t="s">
        <v>624</v>
      </c>
      <c r="F34" s="1">
        <v>0.05</v>
      </c>
      <c r="H34" s="1">
        <v>36.85</v>
      </c>
      <c r="J34" s="1">
        <v>9</v>
      </c>
      <c r="K34" s="1">
        <f t="shared" si="2"/>
        <v>16.582500000000003</v>
      </c>
    </row>
    <row r="35" spans="2:26" ht="15" customHeight="1" x14ac:dyDescent="0.3">
      <c r="L35" s="10">
        <f>K32+K33+K34</f>
        <v>52.416000000000004</v>
      </c>
      <c r="M35" s="1">
        <v>14.54</v>
      </c>
      <c r="N35" s="10">
        <f>M35*L35</f>
        <v>762.12864000000002</v>
      </c>
      <c r="Y35" s="1"/>
    </row>
    <row r="36" spans="2:26" ht="15" customHeight="1" x14ac:dyDescent="0.3"/>
    <row r="37" spans="2:26" ht="15" customHeight="1" x14ac:dyDescent="0.3">
      <c r="B37" s="11">
        <v>1</v>
      </c>
      <c r="C37" s="11" t="s">
        <v>90</v>
      </c>
      <c r="D37" s="11" t="s">
        <v>161</v>
      </c>
      <c r="E37" s="6" t="s">
        <v>7</v>
      </c>
    </row>
    <row r="38" spans="2:26" ht="50.4" customHeight="1" x14ac:dyDescent="0.3">
      <c r="E38" s="5" t="s">
        <v>76</v>
      </c>
      <c r="Z38" s="1"/>
    </row>
    <row r="39" spans="2:26" ht="15" customHeight="1" x14ac:dyDescent="0.3"/>
    <row r="40" spans="2:26" ht="15" customHeight="1" x14ac:dyDescent="0.3">
      <c r="E40" s="5" t="s">
        <v>625</v>
      </c>
      <c r="F40" s="1">
        <v>1</v>
      </c>
      <c r="H40" s="1">
        <v>37.85</v>
      </c>
      <c r="J40" s="1">
        <v>0.8</v>
      </c>
      <c r="K40" s="1">
        <f>F40*H40*J40</f>
        <v>30.28</v>
      </c>
    </row>
    <row r="41" spans="2:26" ht="15" customHeight="1" x14ac:dyDescent="0.3">
      <c r="L41" s="10">
        <f>K40</f>
        <v>30.28</v>
      </c>
      <c r="M41" s="1">
        <v>16.54</v>
      </c>
      <c r="N41" s="10">
        <f>M41*L41</f>
        <v>500.83119999999997</v>
      </c>
      <c r="Y41" s="1"/>
    </row>
    <row r="42" spans="2:26" ht="15" customHeight="1" x14ac:dyDescent="0.3"/>
    <row r="43" spans="2:26" ht="15" customHeight="1" x14ac:dyDescent="0.3"/>
    <row r="44" spans="2:26" x14ac:dyDescent="0.3">
      <c r="B44" s="11">
        <v>1</v>
      </c>
      <c r="C44" s="7" t="s">
        <v>91</v>
      </c>
      <c r="E44" s="4" t="s">
        <v>2</v>
      </c>
      <c r="F44" s="4"/>
    </row>
    <row r="46" spans="2:26" x14ac:dyDescent="0.3">
      <c r="B46" s="11">
        <v>1</v>
      </c>
      <c r="C46" s="11" t="s">
        <v>92</v>
      </c>
      <c r="D46" s="11" t="s">
        <v>161</v>
      </c>
      <c r="E46" s="6" t="s">
        <v>8</v>
      </c>
      <c r="F46" s="6"/>
    </row>
    <row r="47" spans="2:26" ht="28.8" x14ac:dyDescent="0.3">
      <c r="E47" s="5" t="s">
        <v>57</v>
      </c>
    </row>
    <row r="49" spans="2:25" x14ac:dyDescent="0.3">
      <c r="E49" s="5" t="s">
        <v>434</v>
      </c>
      <c r="F49" s="1">
        <v>0.01</v>
      </c>
      <c r="H49" s="1">
        <v>37.85</v>
      </c>
      <c r="J49" s="1">
        <v>9</v>
      </c>
      <c r="K49" s="1">
        <f>H49*J49*F49</f>
        <v>3.4065000000000003</v>
      </c>
    </row>
    <row r="50" spans="2:25" x14ac:dyDescent="0.3">
      <c r="E50" s="5" t="s">
        <v>623</v>
      </c>
      <c r="F50" s="1">
        <v>0.05</v>
      </c>
      <c r="H50" s="1">
        <v>72.06</v>
      </c>
      <c r="J50" s="1">
        <v>9</v>
      </c>
      <c r="K50" s="1">
        <f>H50*J50*F50</f>
        <v>32.427</v>
      </c>
    </row>
    <row r="51" spans="2:25" x14ac:dyDescent="0.3">
      <c r="E51" s="5" t="s">
        <v>624</v>
      </c>
      <c r="F51" s="1">
        <v>0.05</v>
      </c>
      <c r="H51" s="1">
        <v>36.85</v>
      </c>
      <c r="J51" s="1">
        <v>9</v>
      </c>
      <c r="K51" s="1">
        <f>H51*J51*F51</f>
        <v>16.582500000000003</v>
      </c>
    </row>
    <row r="52" spans="2:25" x14ac:dyDescent="0.3">
      <c r="L52" s="10">
        <f>K49+K50+K51</f>
        <v>52.416000000000004</v>
      </c>
      <c r="M52" s="1">
        <v>108</v>
      </c>
      <c r="N52" s="10">
        <f>M52*L52</f>
        <v>5660.9280000000008</v>
      </c>
      <c r="Y52" s="1"/>
    </row>
    <row r="54" spans="2:25" x14ac:dyDescent="0.3">
      <c r="B54" s="11">
        <v>1</v>
      </c>
      <c r="C54" s="11" t="s">
        <v>93</v>
      </c>
      <c r="D54" s="11" t="s">
        <v>161</v>
      </c>
      <c r="E54" s="6" t="s">
        <v>23</v>
      </c>
    </row>
    <row r="55" spans="2:25" ht="28.8" x14ac:dyDescent="0.3">
      <c r="E55" s="5" t="s">
        <v>58</v>
      </c>
    </row>
    <row r="57" spans="2:25" x14ac:dyDescent="0.3">
      <c r="E57" s="5" t="s">
        <v>625</v>
      </c>
      <c r="F57" s="1">
        <v>1</v>
      </c>
      <c r="H57" s="1">
        <v>37.85</v>
      </c>
      <c r="J57" s="1">
        <v>1</v>
      </c>
      <c r="K57" s="1">
        <f>H57*J57*F57</f>
        <v>37.85</v>
      </c>
    </row>
    <row r="58" spans="2:25" x14ac:dyDescent="0.3">
      <c r="F58" s="1"/>
      <c r="L58" s="10">
        <f>K57</f>
        <v>37.85</v>
      </c>
      <c r="M58" s="1">
        <v>150</v>
      </c>
      <c r="N58" s="10">
        <f>L58*M58</f>
        <v>5677.5</v>
      </c>
      <c r="Y58" s="1"/>
    </row>
    <row r="59" spans="2:25" x14ac:dyDescent="0.3">
      <c r="F59" s="1"/>
    </row>
    <row r="60" spans="2:25" x14ac:dyDescent="0.3">
      <c r="B60" s="11">
        <v>1</v>
      </c>
      <c r="C60" s="11" t="s">
        <v>94</v>
      </c>
      <c r="D60" s="11" t="s">
        <v>161</v>
      </c>
      <c r="E60" s="6" t="s">
        <v>59</v>
      </c>
      <c r="F60" s="6"/>
    </row>
    <row r="61" spans="2:25" ht="72" x14ac:dyDescent="0.3">
      <c r="E61" s="5" t="s">
        <v>416</v>
      </c>
    </row>
    <row r="63" spans="2:25" x14ac:dyDescent="0.3">
      <c r="E63" s="5" t="s">
        <v>159</v>
      </c>
      <c r="H63" s="1">
        <v>37.85</v>
      </c>
      <c r="J63" s="1">
        <v>10</v>
      </c>
      <c r="K63" s="1">
        <f>H63*J63</f>
        <v>378.5</v>
      </c>
    </row>
    <row r="64" spans="2:25" x14ac:dyDescent="0.3">
      <c r="E64" s="5" t="s">
        <v>160</v>
      </c>
      <c r="H64" s="1">
        <v>72.06</v>
      </c>
      <c r="J64" s="1">
        <v>9</v>
      </c>
      <c r="K64" s="1">
        <f t="shared" ref="K64:K65" si="3">H64*J64</f>
        <v>648.54</v>
      </c>
    </row>
    <row r="65" spans="2:25" x14ac:dyDescent="0.3">
      <c r="E65" s="5" t="s">
        <v>147</v>
      </c>
      <c r="H65" s="1">
        <v>36.85</v>
      </c>
      <c r="J65" s="1">
        <v>9</v>
      </c>
      <c r="K65" s="1">
        <f t="shared" si="3"/>
        <v>331.65000000000003</v>
      </c>
    </row>
    <row r="66" spans="2:25" ht="15" customHeight="1" x14ac:dyDescent="0.3">
      <c r="L66" s="10">
        <f>K63+K64+K65</f>
        <v>1358.69</v>
      </c>
      <c r="M66" s="1">
        <v>11.8</v>
      </c>
      <c r="N66" s="10">
        <f>M66*L66</f>
        <v>16032.542000000001</v>
      </c>
      <c r="Y66" s="1"/>
    </row>
    <row r="68" spans="2:25" x14ac:dyDescent="0.3">
      <c r="B68" s="11">
        <v>1</v>
      </c>
      <c r="C68" s="7" t="s">
        <v>95</v>
      </c>
      <c r="E68" s="4" t="s">
        <v>9</v>
      </c>
      <c r="F68" s="4"/>
    </row>
    <row r="70" spans="2:25" x14ac:dyDescent="0.3">
      <c r="B70" s="11">
        <v>1</v>
      </c>
      <c r="C70" s="11" t="s">
        <v>96</v>
      </c>
      <c r="D70" s="11" t="s">
        <v>162</v>
      </c>
      <c r="E70" s="6" t="s">
        <v>18</v>
      </c>
      <c r="F70" s="6"/>
    </row>
    <row r="71" spans="2:25" ht="149.4" customHeight="1" x14ac:dyDescent="0.3">
      <c r="E71" s="5" t="s">
        <v>417</v>
      </c>
    </row>
    <row r="72" spans="2:25" ht="15" customHeight="1" x14ac:dyDescent="0.3"/>
    <row r="73" spans="2:25" ht="15" customHeight="1" x14ac:dyDescent="0.3">
      <c r="E73" s="5" t="s">
        <v>641</v>
      </c>
      <c r="F73" s="5">
        <v>0.25</v>
      </c>
      <c r="H73" s="1">
        <v>8.8000000000000007</v>
      </c>
      <c r="K73" s="1">
        <f>H73*F73</f>
        <v>2.2000000000000002</v>
      </c>
    </row>
    <row r="74" spans="2:25" x14ac:dyDescent="0.3">
      <c r="L74" s="10">
        <f>K73</f>
        <v>2.2000000000000002</v>
      </c>
      <c r="M74" s="1">
        <v>196</v>
      </c>
      <c r="N74" s="10">
        <f>L74*M74</f>
        <v>431.20000000000005</v>
      </c>
      <c r="Y74" s="1"/>
    </row>
    <row r="76" spans="2:25" x14ac:dyDescent="0.3">
      <c r="B76" s="11">
        <v>1</v>
      </c>
      <c r="C76" s="11" t="s">
        <v>97</v>
      </c>
      <c r="D76" s="11" t="s">
        <v>163</v>
      </c>
      <c r="E76" s="6" t="s">
        <v>10</v>
      </c>
      <c r="F76" s="6"/>
    </row>
    <row r="77" spans="2:25" ht="48" customHeight="1" x14ac:dyDescent="0.3">
      <c r="E77" s="5" t="s">
        <v>77</v>
      </c>
    </row>
    <row r="79" spans="2:25" x14ac:dyDescent="0.3">
      <c r="E79" s="5" t="s">
        <v>447</v>
      </c>
      <c r="H79" s="1">
        <v>5</v>
      </c>
      <c r="K79" s="1">
        <f>H79</f>
        <v>5</v>
      </c>
    </row>
    <row r="80" spans="2:25" x14ac:dyDescent="0.3">
      <c r="L80" s="10">
        <f>K79</f>
        <v>5</v>
      </c>
      <c r="M80" s="1">
        <v>14.2</v>
      </c>
      <c r="N80" s="10">
        <f>L80*M80</f>
        <v>71</v>
      </c>
      <c r="Y80" s="1"/>
    </row>
    <row r="81" spans="2:25" ht="13.2" customHeight="1" x14ac:dyDescent="0.3"/>
    <row r="82" spans="2:25" ht="14.4" customHeight="1" x14ac:dyDescent="0.3">
      <c r="B82" s="11">
        <v>1</v>
      </c>
      <c r="C82" s="11" t="s">
        <v>298</v>
      </c>
      <c r="D82" s="11" t="s">
        <v>162</v>
      </c>
      <c r="E82" s="6" t="s">
        <v>61</v>
      </c>
      <c r="F82" s="6"/>
    </row>
    <row r="83" spans="2:25" ht="103.2" customHeight="1" x14ac:dyDescent="0.3">
      <c r="E83" s="5" t="s">
        <v>419</v>
      </c>
    </row>
    <row r="84" spans="2:25" ht="16.8" customHeight="1" x14ac:dyDescent="0.3">
      <c r="E84" s="5" t="s">
        <v>418</v>
      </c>
    </row>
    <row r="85" spans="2:25" ht="19.2" customHeight="1" x14ac:dyDescent="0.3">
      <c r="E85" s="5" t="s">
        <v>164</v>
      </c>
      <c r="F85" s="5">
        <v>0.1</v>
      </c>
      <c r="G85" s="1">
        <f>54+25+24</f>
        <v>103</v>
      </c>
      <c r="H85" s="1">
        <f>0.83+0.83+1.3+1.3</f>
        <v>4.26</v>
      </c>
      <c r="K85" s="1">
        <f>G85*H85*F85</f>
        <v>43.878</v>
      </c>
    </row>
    <row r="86" spans="2:25" ht="15.6" customHeight="1" x14ac:dyDescent="0.3">
      <c r="E86" s="5" t="s">
        <v>165</v>
      </c>
      <c r="F86" s="5">
        <v>0.1</v>
      </c>
      <c r="G86" s="1">
        <f>22+10+12</f>
        <v>44</v>
      </c>
      <c r="H86" s="1">
        <f>2+2+1.3+1.3</f>
        <v>6.6</v>
      </c>
      <c r="K86" s="1">
        <f>G86*H86*F86</f>
        <v>29.04</v>
      </c>
    </row>
    <row r="87" spans="2:25" ht="15.6" customHeight="1" x14ac:dyDescent="0.3">
      <c r="L87" s="10">
        <f>K85+K86</f>
        <v>72.918000000000006</v>
      </c>
      <c r="M87" s="1">
        <v>27.32</v>
      </c>
      <c r="N87" s="10">
        <f>L87*M87</f>
        <v>1992.1197600000003</v>
      </c>
      <c r="Y87" s="1"/>
    </row>
    <row r="88" spans="2:25" ht="15.6" customHeight="1" x14ac:dyDescent="0.3"/>
    <row r="89" spans="2:25" ht="15.6" customHeight="1" x14ac:dyDescent="0.3">
      <c r="B89" s="11">
        <v>1</v>
      </c>
      <c r="C89" s="7" t="s">
        <v>98</v>
      </c>
      <c r="E89" s="4" t="s">
        <v>11</v>
      </c>
      <c r="F89" s="4"/>
    </row>
    <row r="90" spans="2:25" ht="15.6" customHeight="1" x14ac:dyDescent="0.3"/>
    <row r="91" spans="2:25" ht="15.6" customHeight="1" x14ac:dyDescent="0.3">
      <c r="B91" s="11">
        <v>1</v>
      </c>
      <c r="C91" s="11" t="s">
        <v>99</v>
      </c>
      <c r="D91" s="11" t="s">
        <v>166</v>
      </c>
      <c r="E91" s="6" t="s">
        <v>24</v>
      </c>
      <c r="F91" s="6"/>
    </row>
    <row r="92" spans="2:25" ht="43.2" x14ac:dyDescent="0.3">
      <c r="E92" s="5" t="s">
        <v>62</v>
      </c>
    </row>
    <row r="94" spans="2:25" x14ac:dyDescent="0.3">
      <c r="E94" s="5" t="s">
        <v>420</v>
      </c>
      <c r="G94" s="1">
        <v>103</v>
      </c>
      <c r="K94" s="1">
        <f>G94</f>
        <v>103</v>
      </c>
    </row>
    <row r="95" spans="2:25" x14ac:dyDescent="0.3">
      <c r="E95" s="5" t="s">
        <v>421</v>
      </c>
      <c r="G95" s="1">
        <v>44</v>
      </c>
      <c r="K95" s="1">
        <f>G95</f>
        <v>44</v>
      </c>
    </row>
    <row r="96" spans="2:25" x14ac:dyDescent="0.3">
      <c r="E96" s="5" t="s">
        <v>426</v>
      </c>
      <c r="G96" s="1">
        <v>1</v>
      </c>
      <c r="K96" s="1">
        <f>G96</f>
        <v>1</v>
      </c>
    </row>
    <row r="97" spans="2:25" x14ac:dyDescent="0.3">
      <c r="L97" s="10">
        <f>K94+K95+K96</f>
        <v>148</v>
      </c>
      <c r="M97" s="1">
        <v>90</v>
      </c>
      <c r="N97" s="10">
        <f>L97*M97</f>
        <v>13320</v>
      </c>
      <c r="Y97" s="1"/>
    </row>
    <row r="99" spans="2:25" x14ac:dyDescent="0.3">
      <c r="B99" s="11">
        <v>1</v>
      </c>
      <c r="C99" s="11" t="s">
        <v>100</v>
      </c>
      <c r="D99" s="11" t="s">
        <v>166</v>
      </c>
      <c r="E99" s="6" t="s">
        <v>65</v>
      </c>
      <c r="F99" s="6"/>
    </row>
    <row r="100" spans="2:25" ht="34.200000000000003" customHeight="1" x14ac:dyDescent="0.3">
      <c r="E100" s="5" t="s">
        <v>66</v>
      </c>
    </row>
    <row r="102" spans="2:25" x14ac:dyDescent="0.3">
      <c r="E102" s="5" t="s">
        <v>168</v>
      </c>
      <c r="G102" s="1">
        <v>15</v>
      </c>
      <c r="K102" s="1">
        <f>G102</f>
        <v>15</v>
      </c>
    </row>
    <row r="103" spans="2:25" x14ac:dyDescent="0.3">
      <c r="L103" s="10">
        <f>K102</f>
        <v>15</v>
      </c>
      <c r="M103" s="1">
        <v>30</v>
      </c>
      <c r="N103" s="10">
        <f>L103*M103</f>
        <v>450</v>
      </c>
      <c r="Y103" s="1"/>
    </row>
    <row r="105" spans="2:25" x14ac:dyDescent="0.3">
      <c r="B105" s="11">
        <v>1</v>
      </c>
      <c r="C105" s="11" t="s">
        <v>101</v>
      </c>
      <c r="D105" s="11" t="s">
        <v>166</v>
      </c>
      <c r="E105" s="6" t="s">
        <v>25</v>
      </c>
      <c r="F105" s="6"/>
    </row>
    <row r="106" spans="2:25" ht="43.2" x14ac:dyDescent="0.3">
      <c r="E106" s="5" t="s">
        <v>64</v>
      </c>
    </row>
    <row r="108" spans="2:25" x14ac:dyDescent="0.3">
      <c r="E108" s="5" t="s">
        <v>422</v>
      </c>
      <c r="G108" s="1">
        <v>103</v>
      </c>
      <c r="K108" s="1">
        <f>G108</f>
        <v>103</v>
      </c>
    </row>
    <row r="109" spans="2:25" x14ac:dyDescent="0.3">
      <c r="L109" s="10">
        <f>K108</f>
        <v>103</v>
      </c>
      <c r="M109" s="1">
        <v>95</v>
      </c>
      <c r="N109" s="10">
        <f>L109*M109</f>
        <v>9785</v>
      </c>
      <c r="Y109" s="1"/>
    </row>
    <row r="111" spans="2:25" x14ac:dyDescent="0.3">
      <c r="B111" s="11">
        <v>1</v>
      </c>
      <c r="C111" s="11" t="s">
        <v>102</v>
      </c>
      <c r="D111" s="11" t="s">
        <v>166</v>
      </c>
      <c r="E111" s="6" t="s">
        <v>67</v>
      </c>
      <c r="F111" s="6"/>
    </row>
    <row r="112" spans="2:25" ht="57.6" x14ac:dyDescent="0.3">
      <c r="E112" s="5" t="s">
        <v>614</v>
      </c>
    </row>
    <row r="114" spans="2:25" x14ac:dyDescent="0.3">
      <c r="E114" s="5" t="s">
        <v>423</v>
      </c>
      <c r="G114" s="1">
        <v>6</v>
      </c>
      <c r="K114" s="1">
        <f>G114</f>
        <v>6</v>
      </c>
    </row>
    <row r="115" spans="2:25" x14ac:dyDescent="0.3">
      <c r="L115" s="10">
        <f>K114</f>
        <v>6</v>
      </c>
      <c r="M115" s="1">
        <v>600</v>
      </c>
      <c r="N115" s="10">
        <f>L115*M115</f>
        <v>3600</v>
      </c>
      <c r="Y115" s="1"/>
    </row>
    <row r="117" spans="2:25" x14ac:dyDescent="0.3">
      <c r="B117" s="11">
        <v>1</v>
      </c>
      <c r="C117" s="11" t="s">
        <v>103</v>
      </c>
      <c r="D117" s="11" t="s">
        <v>166</v>
      </c>
      <c r="E117" s="6" t="s">
        <v>465</v>
      </c>
    </row>
    <row r="118" spans="2:25" ht="57.6" x14ac:dyDescent="0.3">
      <c r="E118" s="5" t="s">
        <v>430</v>
      </c>
    </row>
    <row r="120" spans="2:25" x14ac:dyDescent="0.3">
      <c r="E120" s="5" t="s">
        <v>171</v>
      </c>
      <c r="G120" s="1">
        <v>5</v>
      </c>
      <c r="K120" s="1">
        <f>G120</f>
        <v>5</v>
      </c>
    </row>
    <row r="121" spans="2:25" x14ac:dyDescent="0.3">
      <c r="L121" s="10">
        <f>K120</f>
        <v>5</v>
      </c>
      <c r="M121" s="1">
        <v>60</v>
      </c>
      <c r="N121" s="10">
        <f>L121*M121</f>
        <v>300</v>
      </c>
      <c r="Y121" s="1"/>
    </row>
    <row r="123" spans="2:25" x14ac:dyDescent="0.3">
      <c r="B123" s="11">
        <v>1</v>
      </c>
      <c r="C123" s="11" t="s">
        <v>303</v>
      </c>
      <c r="D123" s="11" t="s">
        <v>166</v>
      </c>
      <c r="E123" s="6" t="s">
        <v>431</v>
      </c>
    </row>
    <row r="124" spans="2:25" ht="75" customHeight="1" x14ac:dyDescent="0.3">
      <c r="E124" s="5" t="s">
        <v>448</v>
      </c>
    </row>
    <row r="125" spans="2:25" ht="13.8" customHeight="1" x14ac:dyDescent="0.3"/>
    <row r="126" spans="2:25" ht="13.8" customHeight="1" x14ac:dyDescent="0.3">
      <c r="E126" s="5" t="s">
        <v>642</v>
      </c>
      <c r="G126" s="1">
        <v>2</v>
      </c>
      <c r="K126" s="1">
        <f>G126</f>
        <v>2</v>
      </c>
    </row>
    <row r="127" spans="2:25" ht="13.8" customHeight="1" x14ac:dyDescent="0.3">
      <c r="L127" s="10">
        <f>K126</f>
        <v>2</v>
      </c>
      <c r="M127" s="1">
        <v>200</v>
      </c>
      <c r="N127" s="10">
        <f>L127*M127</f>
        <v>400</v>
      </c>
      <c r="Y127" s="1"/>
    </row>
    <row r="128" spans="2:25" ht="13.8" customHeight="1" x14ac:dyDescent="0.3"/>
    <row r="129" spans="2:25" ht="13.8" customHeight="1" x14ac:dyDescent="0.3">
      <c r="B129" s="11">
        <v>1</v>
      </c>
      <c r="C129" s="11" t="s">
        <v>304</v>
      </c>
      <c r="D129" s="11" t="s">
        <v>288</v>
      </c>
      <c r="E129" s="6" t="s">
        <v>380</v>
      </c>
    </row>
    <row r="130" spans="2:25" ht="63" customHeight="1" x14ac:dyDescent="0.3">
      <c r="E130" s="5" t="s">
        <v>456</v>
      </c>
    </row>
    <row r="131" spans="2:25" ht="13.8" customHeight="1" x14ac:dyDescent="0.3"/>
    <row r="132" spans="2:25" ht="13.8" customHeight="1" x14ac:dyDescent="0.3">
      <c r="E132" s="5" t="s">
        <v>457</v>
      </c>
      <c r="G132" s="1">
        <v>1</v>
      </c>
      <c r="K132" s="1">
        <f>G132</f>
        <v>1</v>
      </c>
      <c r="L132" s="10">
        <f>K132*G132</f>
        <v>1</v>
      </c>
      <c r="M132" s="1">
        <f>450+25+25</f>
        <v>500</v>
      </c>
      <c r="N132" s="10">
        <f>M132*L132</f>
        <v>500</v>
      </c>
      <c r="Y132" s="1"/>
    </row>
    <row r="133" spans="2:25" ht="13.8" customHeight="1" x14ac:dyDescent="0.3">
      <c r="E133" s="5" t="s">
        <v>458</v>
      </c>
      <c r="G133" s="1">
        <v>1</v>
      </c>
      <c r="K133" s="1">
        <f>G133</f>
        <v>1</v>
      </c>
      <c r="L133" s="10">
        <f>K133*G133</f>
        <v>1</v>
      </c>
      <c r="M133" s="1">
        <v>1000</v>
      </c>
      <c r="N133" s="10">
        <f>M133*L133</f>
        <v>1000</v>
      </c>
      <c r="Y133" s="1"/>
    </row>
    <row r="134" spans="2:25" ht="13.2" customHeight="1" x14ac:dyDescent="0.3"/>
    <row r="136" spans="2:25" x14ac:dyDescent="0.3">
      <c r="B136" s="11">
        <v>1</v>
      </c>
      <c r="C136" s="11" t="s">
        <v>591</v>
      </c>
      <c r="D136" s="11" t="s">
        <v>166</v>
      </c>
      <c r="E136" s="6" t="s">
        <v>26</v>
      </c>
      <c r="F136" s="6"/>
    </row>
    <row r="137" spans="2:25" ht="43.2" x14ac:dyDescent="0.3">
      <c r="E137" s="5" t="s">
        <v>63</v>
      </c>
    </row>
    <row r="139" spans="2:25" x14ac:dyDescent="0.3">
      <c r="E139" s="5" t="s">
        <v>169</v>
      </c>
      <c r="G139" s="1">
        <v>24</v>
      </c>
      <c r="K139" s="1">
        <f>G139</f>
        <v>24</v>
      </c>
      <c r="L139" s="10">
        <f>K139</f>
        <v>24</v>
      </c>
      <c r="M139" s="1">
        <f>52*1*1.5</f>
        <v>78</v>
      </c>
      <c r="N139" s="10">
        <f>L139*M139</f>
        <v>1872</v>
      </c>
      <c r="Y139" s="1"/>
    </row>
    <row r="140" spans="2:25" x14ac:dyDescent="0.3">
      <c r="E140" s="5" t="s">
        <v>424</v>
      </c>
      <c r="G140" s="1">
        <v>12</v>
      </c>
      <c r="K140" s="1">
        <f>G140</f>
        <v>12</v>
      </c>
      <c r="L140" s="10">
        <f t="shared" ref="L140:L141" si="4">K140</f>
        <v>12</v>
      </c>
      <c r="M140" s="1">
        <f>52*2*1.5</f>
        <v>156</v>
      </c>
      <c r="N140" s="10">
        <f t="shared" ref="N140:N141" si="5">L140*M140</f>
        <v>1872</v>
      </c>
      <c r="Y140" s="1"/>
    </row>
    <row r="141" spans="2:25" x14ac:dyDescent="0.3">
      <c r="E141" s="5" t="s">
        <v>425</v>
      </c>
      <c r="G141" s="1">
        <v>1</v>
      </c>
      <c r="K141" s="1">
        <f>G141</f>
        <v>1</v>
      </c>
      <c r="L141" s="10">
        <f t="shared" si="4"/>
        <v>1</v>
      </c>
      <c r="M141" s="1">
        <f>52*0.9*1.87</f>
        <v>87.51600000000002</v>
      </c>
      <c r="N141" s="10">
        <f t="shared" si="5"/>
        <v>87.51600000000002</v>
      </c>
      <c r="Y141" s="1"/>
    </row>
    <row r="142" spans="2:25" x14ac:dyDescent="0.3">
      <c r="E142" s="5" t="s">
        <v>622</v>
      </c>
      <c r="G142" s="1">
        <v>1</v>
      </c>
      <c r="K142" s="1">
        <f>G142</f>
        <v>1</v>
      </c>
      <c r="L142" s="10">
        <f>K142</f>
        <v>1</v>
      </c>
      <c r="M142" s="1">
        <f>M140*5</f>
        <v>780</v>
      </c>
      <c r="N142" s="10">
        <f>M142*L142</f>
        <v>780</v>
      </c>
      <c r="Y142" s="1"/>
    </row>
    <row r="144" spans="2:25" x14ac:dyDescent="0.3">
      <c r="B144" s="11">
        <v>1</v>
      </c>
      <c r="C144" s="7" t="s">
        <v>104</v>
      </c>
      <c r="E144" s="4" t="s">
        <v>12</v>
      </c>
      <c r="F144" s="4"/>
    </row>
    <row r="146" spans="2:25" x14ac:dyDescent="0.3">
      <c r="B146" s="11">
        <v>1</v>
      </c>
      <c r="C146" s="11" t="s">
        <v>105</v>
      </c>
      <c r="D146" s="11" t="s">
        <v>166</v>
      </c>
      <c r="E146" s="6" t="s">
        <v>13</v>
      </c>
      <c r="F146" s="6"/>
    </row>
    <row r="147" spans="2:25" ht="43.2" x14ac:dyDescent="0.3">
      <c r="E147" s="5" t="s">
        <v>170</v>
      </c>
    </row>
    <row r="148" spans="2:25" x14ac:dyDescent="0.3">
      <c r="E148" s="5" t="s">
        <v>643</v>
      </c>
      <c r="G148" s="1">
        <v>8</v>
      </c>
      <c r="K148" s="1">
        <f>G148</f>
        <v>8</v>
      </c>
    </row>
    <row r="149" spans="2:25" x14ac:dyDescent="0.3">
      <c r="L149" s="10">
        <f>K148</f>
        <v>8</v>
      </c>
      <c r="M149" s="1">
        <v>80</v>
      </c>
      <c r="N149" s="10">
        <f>L149*M149</f>
        <v>640</v>
      </c>
      <c r="Y149" s="1"/>
    </row>
    <row r="151" spans="2:25" x14ac:dyDescent="0.3">
      <c r="B151" s="11">
        <v>1</v>
      </c>
      <c r="C151" s="11" t="s">
        <v>106</v>
      </c>
      <c r="D151" s="11" t="s">
        <v>166</v>
      </c>
      <c r="E151" s="6" t="s">
        <v>14</v>
      </c>
      <c r="F151" s="6"/>
    </row>
    <row r="152" spans="2:25" ht="50.4" customHeight="1" x14ac:dyDescent="0.3">
      <c r="E152" s="5" t="s">
        <v>432</v>
      </c>
    </row>
    <row r="153" spans="2:25" ht="16.8" customHeight="1" x14ac:dyDescent="0.3">
      <c r="E153" s="5" t="s">
        <v>427</v>
      </c>
      <c r="G153" s="1">
        <v>10</v>
      </c>
      <c r="K153" s="1">
        <f>G153</f>
        <v>10</v>
      </c>
    </row>
    <row r="154" spans="2:25" ht="16.8" customHeight="1" x14ac:dyDescent="0.3">
      <c r="L154" s="10">
        <f>K153</f>
        <v>10</v>
      </c>
      <c r="M154" s="1">
        <v>20</v>
      </c>
      <c r="N154" s="10">
        <f>L154*M154</f>
        <v>200</v>
      </c>
      <c r="Y154" s="1"/>
    </row>
    <row r="155" spans="2:25" ht="16.8" customHeight="1" x14ac:dyDescent="0.3"/>
    <row r="156" spans="2:25" ht="16.8" customHeight="1" x14ac:dyDescent="0.3">
      <c r="B156" s="11">
        <v>1</v>
      </c>
      <c r="C156" s="11" t="s">
        <v>107</v>
      </c>
      <c r="D156" s="11" t="s">
        <v>166</v>
      </c>
      <c r="E156" s="6" t="s">
        <v>69</v>
      </c>
      <c r="F156" s="6"/>
    </row>
    <row r="157" spans="2:25" ht="59.4" customHeight="1" x14ac:dyDescent="0.3">
      <c r="E157" s="5" t="s">
        <v>70</v>
      </c>
    </row>
    <row r="158" spans="2:25" ht="17.399999999999999" customHeight="1" x14ac:dyDescent="0.3"/>
    <row r="159" spans="2:25" ht="16.2" customHeight="1" x14ac:dyDescent="0.3">
      <c r="E159" s="5" t="s">
        <v>427</v>
      </c>
      <c r="G159" s="1">
        <v>10</v>
      </c>
      <c r="K159" s="1">
        <f>G159</f>
        <v>10</v>
      </c>
    </row>
    <row r="160" spans="2:25" ht="18.600000000000001" customHeight="1" x14ac:dyDescent="0.3">
      <c r="L160" s="10">
        <f>K159</f>
        <v>10</v>
      </c>
      <c r="M160" s="1">
        <v>14</v>
      </c>
      <c r="N160" s="10">
        <f>L160*M160</f>
        <v>140</v>
      </c>
      <c r="Y160" s="1"/>
    </row>
    <row r="162" spans="2:25" x14ac:dyDescent="0.3">
      <c r="B162" s="11">
        <v>1</v>
      </c>
      <c r="C162" s="11" t="s">
        <v>108</v>
      </c>
      <c r="D162" s="11" t="s">
        <v>162</v>
      </c>
      <c r="E162" s="6" t="s">
        <v>22</v>
      </c>
      <c r="F162" s="6"/>
    </row>
    <row r="163" spans="2:25" ht="144" x14ac:dyDescent="0.3">
      <c r="E163" s="5" t="s">
        <v>78</v>
      </c>
    </row>
    <row r="165" spans="2:25" x14ac:dyDescent="0.3">
      <c r="E165" s="5" t="s">
        <v>346</v>
      </c>
      <c r="G165" s="1">
        <v>10</v>
      </c>
      <c r="K165" s="1">
        <f>G165</f>
        <v>10</v>
      </c>
    </row>
    <row r="166" spans="2:25" x14ac:dyDescent="0.3">
      <c r="L166" s="10">
        <f>K165</f>
        <v>10</v>
      </c>
      <c r="M166" s="1">
        <v>85.22</v>
      </c>
      <c r="N166" s="10">
        <f>L166*M166</f>
        <v>852.2</v>
      </c>
      <c r="Y166" s="1"/>
    </row>
    <row r="167" spans="2:25" ht="19.8" customHeight="1" x14ac:dyDescent="0.3"/>
    <row r="168" spans="2:25" x14ac:dyDescent="0.3">
      <c r="B168" s="11">
        <v>1</v>
      </c>
      <c r="C168" s="11" t="s">
        <v>109</v>
      </c>
      <c r="D168" s="11" t="s">
        <v>162</v>
      </c>
      <c r="E168" s="6" t="s">
        <v>15</v>
      </c>
      <c r="F168" s="6"/>
    </row>
    <row r="169" spans="2:25" ht="43.2" x14ac:dyDescent="0.3">
      <c r="E169" s="5" t="s">
        <v>428</v>
      </c>
    </row>
    <row r="171" spans="2:25" x14ac:dyDescent="0.3">
      <c r="E171" s="5" t="s">
        <v>172</v>
      </c>
      <c r="H171" s="1">
        <v>37.799999999999997</v>
      </c>
      <c r="K171" s="1">
        <f>H171</f>
        <v>37.799999999999997</v>
      </c>
    </row>
    <row r="172" spans="2:25" x14ac:dyDescent="0.3">
      <c r="E172" s="5" t="s">
        <v>173</v>
      </c>
      <c r="H172" s="1">
        <v>71.06</v>
      </c>
      <c r="K172" s="1">
        <f t="shared" ref="K172:K173" si="6">H172</f>
        <v>71.06</v>
      </c>
    </row>
    <row r="173" spans="2:25" x14ac:dyDescent="0.3">
      <c r="E173" s="5" t="s">
        <v>270</v>
      </c>
      <c r="H173" s="1">
        <v>36.85</v>
      </c>
      <c r="K173" s="1">
        <f t="shared" si="6"/>
        <v>36.85</v>
      </c>
    </row>
    <row r="174" spans="2:25" x14ac:dyDescent="0.3">
      <c r="L174" s="10">
        <f>K171+K172+K173</f>
        <v>145.71</v>
      </c>
      <c r="M174" s="1">
        <v>30.5</v>
      </c>
      <c r="N174" s="10">
        <f>L174*M174</f>
        <v>4444.1550000000007</v>
      </c>
      <c r="Y174" s="1"/>
    </row>
    <row r="176" spans="2:25" x14ac:dyDescent="0.3">
      <c r="B176" s="11">
        <v>1</v>
      </c>
      <c r="C176" s="11" t="s">
        <v>174</v>
      </c>
      <c r="D176" s="11" t="s">
        <v>162</v>
      </c>
      <c r="E176" s="6" t="s">
        <v>175</v>
      </c>
    </row>
    <row r="177" spans="1:26" ht="57.6" x14ac:dyDescent="0.3">
      <c r="E177" s="5" t="s">
        <v>429</v>
      </c>
    </row>
    <row r="179" spans="1:26" x14ac:dyDescent="0.3">
      <c r="E179" s="5" t="s">
        <v>260</v>
      </c>
      <c r="H179" s="1">
        <v>2</v>
      </c>
      <c r="K179" s="1">
        <f>H179</f>
        <v>2</v>
      </c>
    </row>
    <row r="180" spans="1:26" x14ac:dyDescent="0.3">
      <c r="L180" s="10">
        <f>K179</f>
        <v>2</v>
      </c>
      <c r="M180" s="1">
        <v>110</v>
      </c>
      <c r="N180" s="10">
        <f>L180*M180</f>
        <v>220</v>
      </c>
      <c r="Y180" s="1"/>
    </row>
    <row r="182" spans="1:26" ht="28.8" x14ac:dyDescent="0.3">
      <c r="B182" s="11">
        <v>1</v>
      </c>
      <c r="C182" s="11" t="s">
        <v>178</v>
      </c>
      <c r="D182" s="11" t="s">
        <v>319</v>
      </c>
      <c r="E182" s="5" t="s">
        <v>179</v>
      </c>
    </row>
    <row r="183" spans="1:26" x14ac:dyDescent="0.3">
      <c r="G183" s="1">
        <v>1</v>
      </c>
      <c r="K183" s="1">
        <f>G183</f>
        <v>1</v>
      </c>
    </row>
    <row r="184" spans="1:26" x14ac:dyDescent="0.3">
      <c r="L184" s="10">
        <f>K183</f>
        <v>1</v>
      </c>
      <c r="M184" s="1">
        <v>100</v>
      </c>
      <c r="N184" s="10">
        <f>L184*M184</f>
        <v>100</v>
      </c>
      <c r="Y184" s="1"/>
    </row>
    <row r="185" spans="1:26" ht="15" thickBot="1" x14ac:dyDescent="0.35"/>
    <row r="186" spans="1:26" ht="18" thickBot="1" x14ac:dyDescent="0.35">
      <c r="E186" s="26" t="s">
        <v>459</v>
      </c>
      <c r="F186" s="2"/>
      <c r="P186" s="83">
        <f>SUM(N3:N185)</f>
        <v>104688.63900000001</v>
      </c>
      <c r="Q186" s="27"/>
      <c r="R186" s="27"/>
      <c r="S186" s="27"/>
    </row>
    <row r="187" spans="1:26" ht="18" x14ac:dyDescent="0.35">
      <c r="E187" s="2"/>
      <c r="F187" s="2"/>
      <c r="T187" s="25"/>
    </row>
    <row r="188" spans="1:26" s="17" customFormat="1" ht="20.399999999999999" customHeight="1" x14ac:dyDescent="0.3">
      <c r="A188" s="87"/>
      <c r="B188" s="22">
        <v>1</v>
      </c>
      <c r="C188" s="14"/>
      <c r="D188" s="14"/>
      <c r="E188" s="15" t="s">
        <v>110</v>
      </c>
      <c r="F188" s="15"/>
      <c r="G188" s="16"/>
      <c r="H188" s="16"/>
      <c r="I188" s="16"/>
      <c r="J188" s="16"/>
      <c r="K188" s="16"/>
      <c r="L188" s="16"/>
      <c r="M188" s="16"/>
      <c r="N188" s="16"/>
      <c r="O188"/>
      <c r="P188"/>
      <c r="Q188"/>
      <c r="R188"/>
      <c r="S188"/>
      <c r="T188" s="1"/>
      <c r="U188" s="1"/>
      <c r="V188" s="1"/>
      <c r="W188" s="1"/>
      <c r="X188"/>
      <c r="Y188"/>
      <c r="Z188"/>
    </row>
    <row r="190" spans="1:26" x14ac:dyDescent="0.3">
      <c r="B190" s="11">
        <v>1</v>
      </c>
      <c r="C190" s="7" t="s">
        <v>111</v>
      </c>
      <c r="E190" s="4" t="s">
        <v>532</v>
      </c>
      <c r="F190" s="4"/>
    </row>
    <row r="192" spans="1:26" x14ac:dyDescent="0.3">
      <c r="B192" s="11">
        <v>1</v>
      </c>
      <c r="C192" s="11" t="s">
        <v>112</v>
      </c>
      <c r="D192" s="11" t="s">
        <v>161</v>
      </c>
      <c r="E192" s="6" t="s">
        <v>5</v>
      </c>
      <c r="F192" s="6"/>
    </row>
    <row r="193" spans="2:25" ht="57.6" x14ac:dyDescent="0.3">
      <c r="E193" s="5" t="s">
        <v>55</v>
      </c>
    </row>
    <row r="195" spans="2:25" x14ac:dyDescent="0.3">
      <c r="E195" s="5" t="s">
        <v>159</v>
      </c>
      <c r="H195" s="1">
        <v>25.76</v>
      </c>
      <c r="J195" s="1">
        <v>12</v>
      </c>
      <c r="K195" s="1">
        <f>J195*H195</f>
        <v>309.12</v>
      </c>
    </row>
    <row r="196" spans="2:25" x14ac:dyDescent="0.3">
      <c r="E196" s="5" t="s">
        <v>146</v>
      </c>
      <c r="H196" s="1">
        <v>51.9</v>
      </c>
      <c r="J196" s="1">
        <v>12</v>
      </c>
      <c r="K196" s="1">
        <f t="shared" ref="K196:K197" si="7">J196*H196</f>
        <v>622.79999999999995</v>
      </c>
    </row>
    <row r="197" spans="2:25" x14ac:dyDescent="0.3">
      <c r="E197" s="5" t="s">
        <v>147</v>
      </c>
      <c r="H197" s="1">
        <v>26.51</v>
      </c>
      <c r="J197" s="1">
        <v>12</v>
      </c>
      <c r="K197" s="1">
        <f t="shared" si="7"/>
        <v>318.12</v>
      </c>
    </row>
    <row r="198" spans="2:25" x14ac:dyDescent="0.3">
      <c r="E198" s="5" t="s">
        <v>262</v>
      </c>
      <c r="H198" s="1">
        <v>20</v>
      </c>
      <c r="J198" s="1">
        <v>4</v>
      </c>
      <c r="K198" s="1">
        <f>J198*H198</f>
        <v>80</v>
      </c>
    </row>
    <row r="199" spans="2:25" ht="15" customHeight="1" x14ac:dyDescent="0.3">
      <c r="L199" s="10">
        <f>K195+K196+K197+K198</f>
        <v>1330.04</v>
      </c>
      <c r="M199" s="1">
        <f>M17</f>
        <v>16.64</v>
      </c>
      <c r="N199" s="10">
        <f>M199*L199</f>
        <v>22131.865600000001</v>
      </c>
      <c r="Y199" s="1"/>
    </row>
    <row r="200" spans="2:25" ht="15" customHeight="1" x14ac:dyDescent="0.3"/>
    <row r="201" spans="2:25" ht="15" customHeight="1" x14ac:dyDescent="0.3">
      <c r="B201" s="11">
        <v>1</v>
      </c>
      <c r="C201" s="11" t="s">
        <v>369</v>
      </c>
      <c r="D201" s="11" t="s">
        <v>161</v>
      </c>
      <c r="E201" s="5" t="s">
        <v>454</v>
      </c>
    </row>
    <row r="202" spans="2:25" ht="28.8" x14ac:dyDescent="0.3">
      <c r="E202" s="5" t="s">
        <v>613</v>
      </c>
    </row>
    <row r="204" spans="2:25" x14ac:dyDescent="0.3">
      <c r="E204" s="5" t="s">
        <v>159</v>
      </c>
      <c r="H204" s="1">
        <v>25.76</v>
      </c>
      <c r="J204" s="1">
        <v>12</v>
      </c>
      <c r="K204" s="1">
        <f>J204*H204</f>
        <v>309.12</v>
      </c>
    </row>
    <row r="205" spans="2:25" x14ac:dyDescent="0.3">
      <c r="E205" s="5" t="s">
        <v>146</v>
      </c>
      <c r="H205" s="1">
        <v>51.9</v>
      </c>
      <c r="J205" s="1">
        <v>12</v>
      </c>
      <c r="K205" s="1">
        <f t="shared" ref="K205:K206" si="8">J205*H205</f>
        <v>622.79999999999995</v>
      </c>
    </row>
    <row r="206" spans="2:25" x14ac:dyDescent="0.3">
      <c r="E206" s="5" t="s">
        <v>147</v>
      </c>
      <c r="H206" s="1">
        <v>26.51</v>
      </c>
      <c r="J206" s="1">
        <v>12</v>
      </c>
      <c r="K206" s="1">
        <f t="shared" si="8"/>
        <v>318.12</v>
      </c>
    </row>
    <row r="207" spans="2:25" x14ac:dyDescent="0.3">
      <c r="E207" s="5" t="s">
        <v>262</v>
      </c>
      <c r="H207" s="1">
        <v>20</v>
      </c>
      <c r="J207" s="1">
        <v>4</v>
      </c>
      <c r="K207" s="1">
        <f>J207*H207</f>
        <v>80</v>
      </c>
    </row>
    <row r="208" spans="2:25" x14ac:dyDescent="0.3">
      <c r="L208" s="10">
        <f>K204+K205+K206+K207</f>
        <v>1330.04</v>
      </c>
      <c r="M208" s="1">
        <v>3.8</v>
      </c>
      <c r="N208" s="10">
        <f>M208*L208</f>
        <v>5054.152</v>
      </c>
      <c r="Y208" s="1"/>
    </row>
    <row r="210" spans="2:25" x14ac:dyDescent="0.3">
      <c r="B210" s="11">
        <v>1</v>
      </c>
      <c r="C210" s="7" t="s">
        <v>176</v>
      </c>
      <c r="E210" s="4" t="s">
        <v>3</v>
      </c>
      <c r="F210" s="4"/>
    </row>
    <row r="212" spans="2:25" x14ac:dyDescent="0.3">
      <c r="B212" s="11">
        <v>1</v>
      </c>
      <c r="C212" s="11" t="s">
        <v>177</v>
      </c>
      <c r="D212" s="11" t="s">
        <v>161</v>
      </c>
      <c r="E212" s="6" t="s">
        <v>4</v>
      </c>
      <c r="F212" s="6"/>
    </row>
    <row r="213" spans="2:25" ht="43.2" x14ac:dyDescent="0.3">
      <c r="E213" s="5" t="s">
        <v>79</v>
      </c>
    </row>
    <row r="215" spans="2:25" x14ac:dyDescent="0.3">
      <c r="E215" s="5" t="s">
        <v>434</v>
      </c>
      <c r="F215" s="5">
        <v>0.01</v>
      </c>
      <c r="H215" s="1">
        <v>25.76</v>
      </c>
      <c r="J215" s="1">
        <v>11</v>
      </c>
      <c r="K215" s="1">
        <f t="shared" ref="K215:K220" si="9">J215*H215*F215</f>
        <v>2.8336000000000001</v>
      </c>
    </row>
    <row r="216" spans="2:25" x14ac:dyDescent="0.3">
      <c r="E216" s="5" t="s">
        <v>435</v>
      </c>
      <c r="F216" s="5">
        <v>0.01</v>
      </c>
      <c r="H216" s="1">
        <v>51.9</v>
      </c>
      <c r="J216" s="1">
        <v>11</v>
      </c>
      <c r="K216" s="1">
        <f t="shared" si="9"/>
        <v>5.7089999999999996</v>
      </c>
    </row>
    <row r="217" spans="2:25" x14ac:dyDescent="0.3">
      <c r="E217" s="5" t="s">
        <v>436</v>
      </c>
      <c r="F217" s="5">
        <v>0.01</v>
      </c>
      <c r="H217" s="1">
        <v>26.51</v>
      </c>
      <c r="J217" s="1">
        <v>11</v>
      </c>
      <c r="K217" s="1">
        <f t="shared" si="9"/>
        <v>2.9161000000000001</v>
      </c>
    </row>
    <row r="218" spans="2:25" x14ac:dyDescent="0.3">
      <c r="E218" s="5" t="s">
        <v>437</v>
      </c>
      <c r="F218" s="5">
        <v>0.01</v>
      </c>
      <c r="H218" s="1">
        <f>25.76+51.9+26.51+(6*7)</f>
        <v>146.17000000000002</v>
      </c>
      <c r="J218" s="1">
        <v>2</v>
      </c>
      <c r="K218" s="1">
        <f t="shared" si="9"/>
        <v>2.9234000000000004</v>
      </c>
    </row>
    <row r="219" spans="2:25" x14ac:dyDescent="0.3">
      <c r="E219" s="5" t="s">
        <v>438</v>
      </c>
      <c r="F219" s="5">
        <v>0.01</v>
      </c>
      <c r="H219" s="1">
        <f>(3*11)+25.76+51.9+26.51</f>
        <v>137.16999999999999</v>
      </c>
      <c r="J219" s="1">
        <v>1</v>
      </c>
      <c r="K219" s="1">
        <f t="shared" si="9"/>
        <v>1.3716999999999999</v>
      </c>
    </row>
    <row r="220" spans="2:25" x14ac:dyDescent="0.3">
      <c r="E220" s="5" t="s">
        <v>464</v>
      </c>
      <c r="F220" s="5">
        <v>0.2</v>
      </c>
      <c r="H220" s="1">
        <v>20</v>
      </c>
      <c r="J220" s="1">
        <v>4</v>
      </c>
      <c r="K220" s="1">
        <f t="shared" si="9"/>
        <v>16</v>
      </c>
    </row>
    <row r="221" spans="2:25" x14ac:dyDescent="0.3">
      <c r="L221" s="10">
        <f>K215+K216+K217+K218+K219+K220</f>
        <v>31.753800000000002</v>
      </c>
      <c r="M221" s="1">
        <f>14.54</f>
        <v>14.54</v>
      </c>
      <c r="N221" s="10">
        <f>M221*L221</f>
        <v>461.70025199999998</v>
      </c>
      <c r="Y221" s="1"/>
    </row>
    <row r="222" spans="2:25" x14ac:dyDescent="0.3">
      <c r="B222" s="11">
        <v>1</v>
      </c>
      <c r="C222" s="11" t="s">
        <v>183</v>
      </c>
      <c r="D222" s="11" t="s">
        <v>161</v>
      </c>
      <c r="E222" s="6" t="s">
        <v>7</v>
      </c>
      <c r="F222" s="6"/>
    </row>
    <row r="223" spans="2:25" ht="43.2" x14ac:dyDescent="0.3">
      <c r="E223" s="5" t="s">
        <v>76</v>
      </c>
    </row>
    <row r="225" spans="2:25" x14ac:dyDescent="0.3">
      <c r="E225" s="5" t="s">
        <v>180</v>
      </c>
      <c r="F225" s="5">
        <v>0.02</v>
      </c>
      <c r="H225" s="1">
        <v>25.76</v>
      </c>
      <c r="J225" s="1">
        <v>1</v>
      </c>
      <c r="K225" s="1">
        <f t="shared" ref="K225:K227" si="10">J225*H225*F225</f>
        <v>0.51519999999999999</v>
      </c>
    </row>
    <row r="226" spans="2:25" x14ac:dyDescent="0.3">
      <c r="E226" s="5" t="s">
        <v>181</v>
      </c>
      <c r="F226" s="5">
        <v>0.02</v>
      </c>
      <c r="H226" s="1">
        <v>51.9</v>
      </c>
      <c r="J226" s="1">
        <v>1</v>
      </c>
      <c r="K226" s="1">
        <f t="shared" si="10"/>
        <v>1.038</v>
      </c>
    </row>
    <row r="227" spans="2:25" x14ac:dyDescent="0.3">
      <c r="E227" s="5" t="s">
        <v>182</v>
      </c>
      <c r="F227" s="5">
        <v>0.02</v>
      </c>
      <c r="H227" s="1">
        <v>26.51</v>
      </c>
      <c r="J227" s="1">
        <v>1</v>
      </c>
      <c r="K227" s="1">
        <f t="shared" si="10"/>
        <v>0.5302</v>
      </c>
    </row>
    <row r="228" spans="2:25" x14ac:dyDescent="0.3">
      <c r="E228" s="5" t="s">
        <v>433</v>
      </c>
      <c r="F228" s="5">
        <v>1</v>
      </c>
      <c r="H228" s="1">
        <v>20</v>
      </c>
      <c r="J228" s="1">
        <v>1</v>
      </c>
      <c r="K228" s="1">
        <f>F228*H228*J228</f>
        <v>20</v>
      </c>
    </row>
    <row r="229" spans="2:25" x14ac:dyDescent="0.3">
      <c r="L229" s="10">
        <f>K225+K228+K226+K227</f>
        <v>22.083400000000001</v>
      </c>
      <c r="M229" s="1">
        <v>16.54</v>
      </c>
      <c r="N229" s="10">
        <f>M229*L229</f>
        <v>365.25943599999999</v>
      </c>
      <c r="Y229" s="1"/>
    </row>
    <row r="231" spans="2:25" x14ac:dyDescent="0.3">
      <c r="B231" s="11">
        <v>1</v>
      </c>
      <c r="C231" s="7" t="s">
        <v>184</v>
      </c>
      <c r="E231" s="4" t="s">
        <v>2</v>
      </c>
      <c r="F231" s="4"/>
    </row>
    <row r="233" spans="2:25" x14ac:dyDescent="0.3">
      <c r="B233" s="11">
        <v>1</v>
      </c>
      <c r="C233" s="11" t="s">
        <v>185</v>
      </c>
      <c r="D233" s="11" t="s">
        <v>161</v>
      </c>
      <c r="E233" s="6" t="s">
        <v>8</v>
      </c>
      <c r="F233" s="6"/>
    </row>
    <row r="234" spans="2:25" ht="28.8" x14ac:dyDescent="0.3">
      <c r="E234" s="5" t="s">
        <v>57</v>
      </c>
    </row>
    <row r="236" spans="2:25" x14ac:dyDescent="0.3">
      <c r="E236" s="5" t="s">
        <v>434</v>
      </c>
      <c r="F236" s="5">
        <v>0.01</v>
      </c>
      <c r="H236" s="1">
        <v>25.76</v>
      </c>
      <c r="J236" s="1">
        <v>11</v>
      </c>
      <c r="K236" s="1">
        <f t="shared" ref="K236:K241" si="11">J236*H236*F236</f>
        <v>2.8336000000000001</v>
      </c>
    </row>
    <row r="237" spans="2:25" x14ac:dyDescent="0.3">
      <c r="E237" s="5" t="s">
        <v>439</v>
      </c>
      <c r="F237" s="5">
        <v>0.01</v>
      </c>
      <c r="H237" s="1">
        <v>51.9</v>
      </c>
      <c r="J237" s="1">
        <v>11</v>
      </c>
      <c r="K237" s="1">
        <f t="shared" si="11"/>
        <v>5.7089999999999996</v>
      </c>
    </row>
    <row r="238" spans="2:25" x14ac:dyDescent="0.3">
      <c r="E238" s="5" t="s">
        <v>440</v>
      </c>
      <c r="F238" s="5">
        <v>0.01</v>
      </c>
      <c r="H238" s="1">
        <v>26.51</v>
      </c>
      <c r="J238" s="1">
        <v>11</v>
      </c>
      <c r="K238" s="1">
        <f t="shared" si="11"/>
        <v>2.9161000000000001</v>
      </c>
    </row>
    <row r="239" spans="2:25" x14ac:dyDescent="0.3">
      <c r="E239" s="5" t="s">
        <v>437</v>
      </c>
      <c r="F239" s="5">
        <v>0.01</v>
      </c>
      <c r="H239" s="1">
        <f>25.76+51.9+26.51+(6*7)</f>
        <v>146.17000000000002</v>
      </c>
      <c r="J239" s="1">
        <v>2</v>
      </c>
      <c r="K239" s="1">
        <f t="shared" si="11"/>
        <v>2.9234000000000004</v>
      </c>
    </row>
    <row r="240" spans="2:25" x14ac:dyDescent="0.3">
      <c r="E240" s="5" t="s">
        <v>438</v>
      </c>
      <c r="F240" s="5">
        <v>0.01</v>
      </c>
      <c r="H240" s="1">
        <f>(3*11)+25.76+51.9+26.51</f>
        <v>137.16999999999999</v>
      </c>
      <c r="J240" s="1">
        <v>1</v>
      </c>
      <c r="K240" s="1">
        <f t="shared" si="11"/>
        <v>1.3716999999999999</v>
      </c>
    </row>
    <row r="241" spans="2:25" x14ac:dyDescent="0.3">
      <c r="E241" s="5" t="s">
        <v>464</v>
      </c>
      <c r="F241" s="5">
        <v>0.2</v>
      </c>
      <c r="H241" s="1">
        <v>20</v>
      </c>
      <c r="J241" s="1">
        <v>4</v>
      </c>
      <c r="K241" s="1">
        <f t="shared" si="11"/>
        <v>16</v>
      </c>
    </row>
    <row r="242" spans="2:25" x14ac:dyDescent="0.3">
      <c r="L242" s="10">
        <f>K236+K237+K238+K239+K240+K241</f>
        <v>31.753800000000002</v>
      </c>
      <c r="M242" s="1">
        <v>108</v>
      </c>
      <c r="N242" s="10">
        <f>M242*L242</f>
        <v>3429.4104000000002</v>
      </c>
      <c r="Y242" s="1"/>
    </row>
    <row r="244" spans="2:25" ht="16.2" customHeight="1" x14ac:dyDescent="0.3">
      <c r="B244" s="11">
        <v>1</v>
      </c>
      <c r="C244" s="11" t="s">
        <v>186</v>
      </c>
      <c r="D244" s="11" t="s">
        <v>161</v>
      </c>
      <c r="E244" s="6" t="s">
        <v>23</v>
      </c>
      <c r="F244" s="6"/>
    </row>
    <row r="245" spans="2:25" ht="28.8" x14ac:dyDescent="0.3">
      <c r="E245" s="5" t="s">
        <v>58</v>
      </c>
    </row>
    <row r="247" spans="2:25" x14ac:dyDescent="0.3">
      <c r="E247" s="5" t="s">
        <v>180</v>
      </c>
      <c r="F247" s="5">
        <v>0.02</v>
      </c>
      <c r="H247" s="1">
        <v>25.76</v>
      </c>
      <c r="J247" s="1">
        <v>1</v>
      </c>
      <c r="K247" s="1">
        <f t="shared" ref="K247:K249" si="12">J247*H247*F247</f>
        <v>0.51519999999999999</v>
      </c>
    </row>
    <row r="248" spans="2:25" x14ac:dyDescent="0.3">
      <c r="E248" s="5" t="s">
        <v>181</v>
      </c>
      <c r="F248" s="5">
        <v>0.02</v>
      </c>
      <c r="H248" s="1">
        <v>51.9</v>
      </c>
      <c r="J248" s="1">
        <v>1</v>
      </c>
      <c r="K248" s="1">
        <f t="shared" si="12"/>
        <v>1.038</v>
      </c>
    </row>
    <row r="249" spans="2:25" x14ac:dyDescent="0.3">
      <c r="E249" s="5" t="s">
        <v>182</v>
      </c>
      <c r="F249" s="5">
        <v>0.02</v>
      </c>
      <c r="H249" s="1">
        <v>26.51</v>
      </c>
      <c r="J249" s="1">
        <v>1</v>
      </c>
      <c r="K249" s="1">
        <f t="shared" si="12"/>
        <v>0.5302</v>
      </c>
    </row>
    <row r="250" spans="2:25" x14ac:dyDescent="0.3">
      <c r="E250" s="5" t="s">
        <v>433</v>
      </c>
      <c r="F250" s="5">
        <v>1</v>
      </c>
      <c r="H250" s="1">
        <v>20</v>
      </c>
      <c r="J250" s="1">
        <v>1</v>
      </c>
      <c r="K250" s="1">
        <f>F250*H250*J250</f>
        <v>20</v>
      </c>
    </row>
    <row r="251" spans="2:25" x14ac:dyDescent="0.3">
      <c r="L251" s="10">
        <f>K247+K248+K249+K250</f>
        <v>22.083400000000001</v>
      </c>
      <c r="M251" s="1">
        <v>150</v>
      </c>
      <c r="N251" s="10">
        <f>M251*L251</f>
        <v>3312.51</v>
      </c>
      <c r="Y251" s="1"/>
    </row>
    <row r="253" spans="2:25" x14ac:dyDescent="0.3">
      <c r="B253" s="11">
        <v>1</v>
      </c>
      <c r="C253" s="11" t="s">
        <v>187</v>
      </c>
      <c r="D253" s="11" t="s">
        <v>161</v>
      </c>
      <c r="E253" s="6" t="s">
        <v>27</v>
      </c>
      <c r="F253" s="6"/>
    </row>
    <row r="254" spans="2:25" ht="28.8" x14ac:dyDescent="0.3">
      <c r="E254" s="5" t="s">
        <v>246</v>
      </c>
    </row>
    <row r="256" spans="2:25" x14ac:dyDescent="0.3">
      <c r="E256" s="5" t="s">
        <v>159</v>
      </c>
      <c r="H256" s="1">
        <v>25.76</v>
      </c>
      <c r="J256" s="1">
        <v>11</v>
      </c>
      <c r="K256" s="1">
        <f>J256*H256</f>
        <v>283.36</v>
      </c>
    </row>
    <row r="257" spans="2:25" x14ac:dyDescent="0.3">
      <c r="E257" s="5" t="s">
        <v>160</v>
      </c>
      <c r="H257" s="1">
        <v>51.9</v>
      </c>
      <c r="J257" s="1">
        <v>11</v>
      </c>
      <c r="K257" s="1">
        <f>J257*H257</f>
        <v>570.9</v>
      </c>
    </row>
    <row r="258" spans="2:25" x14ac:dyDescent="0.3">
      <c r="E258" s="5" t="s">
        <v>147</v>
      </c>
      <c r="H258" s="1">
        <v>26.51</v>
      </c>
      <c r="J258" s="1">
        <v>11</v>
      </c>
      <c r="K258" s="1">
        <f>J258*H258</f>
        <v>291.61</v>
      </c>
    </row>
    <row r="259" spans="2:25" x14ac:dyDescent="0.3">
      <c r="E259" s="5" t="s">
        <v>189</v>
      </c>
      <c r="H259" s="1">
        <f>25.76+51.9+26.51+(6*7)</f>
        <v>146.17000000000002</v>
      </c>
      <c r="J259" s="1">
        <v>2</v>
      </c>
      <c r="K259" s="1">
        <f t="shared" ref="K259:K261" si="13">J259*H259</f>
        <v>292.34000000000003</v>
      </c>
    </row>
    <row r="260" spans="2:25" x14ac:dyDescent="0.3">
      <c r="E260" s="5" t="s">
        <v>188</v>
      </c>
      <c r="H260" s="1">
        <f>(3*11)+25.76+51.9+26.51</f>
        <v>137.16999999999999</v>
      </c>
      <c r="J260" s="1">
        <v>1</v>
      </c>
      <c r="K260" s="1">
        <f t="shared" si="13"/>
        <v>137.16999999999999</v>
      </c>
    </row>
    <row r="261" spans="2:25" x14ac:dyDescent="0.3">
      <c r="E261" s="5" t="s">
        <v>263</v>
      </c>
      <c r="H261" s="1">
        <f>20+12</f>
        <v>32</v>
      </c>
      <c r="J261" s="1">
        <v>4</v>
      </c>
      <c r="K261" s="1">
        <f t="shared" si="13"/>
        <v>128</v>
      </c>
    </row>
    <row r="262" spans="2:25" x14ac:dyDescent="0.3">
      <c r="E262" s="5" t="s">
        <v>271</v>
      </c>
      <c r="H262" s="1">
        <v>8.8000000000000007</v>
      </c>
      <c r="J262" s="1">
        <v>10</v>
      </c>
      <c r="K262" s="1">
        <f>H262*J262</f>
        <v>88</v>
      </c>
    </row>
    <row r="263" spans="2:25" x14ac:dyDescent="0.3">
      <c r="L263" s="10">
        <f>K256+K257+K258+K259+K260+K261+K262</f>
        <v>1791.38</v>
      </c>
      <c r="M263" s="1">
        <v>11.8</v>
      </c>
      <c r="N263" s="10">
        <f>M263*L263</f>
        <v>21138.284000000003</v>
      </c>
      <c r="Y263" s="1"/>
    </row>
    <row r="265" spans="2:25" x14ac:dyDescent="0.3">
      <c r="B265" s="11">
        <v>1</v>
      </c>
      <c r="C265" s="11" t="s">
        <v>190</v>
      </c>
      <c r="D265" s="11" t="s">
        <v>166</v>
      </c>
      <c r="E265" s="6" t="s">
        <v>17</v>
      </c>
      <c r="F265" s="6"/>
    </row>
    <row r="266" spans="2:25" ht="148.19999999999999" customHeight="1" x14ac:dyDescent="0.3">
      <c r="E266" s="5" t="s">
        <v>441</v>
      </c>
    </row>
    <row r="267" spans="2:25" x14ac:dyDescent="0.3">
      <c r="E267" s="5" t="s">
        <v>442</v>
      </c>
      <c r="G267" s="1">
        <v>6</v>
      </c>
      <c r="K267" s="1">
        <f>G267</f>
        <v>6</v>
      </c>
    </row>
    <row r="268" spans="2:25" x14ac:dyDescent="0.3">
      <c r="L268" s="10">
        <f>K267</f>
        <v>6</v>
      </c>
      <c r="M268" s="1">
        <f>197*1.5</f>
        <v>295.5</v>
      </c>
      <c r="N268" s="10">
        <f>M268*L268</f>
        <v>1773</v>
      </c>
      <c r="Y268" s="1"/>
    </row>
    <row r="269" spans="2:25" ht="15" customHeight="1" x14ac:dyDescent="0.3"/>
    <row r="270" spans="2:25" x14ac:dyDescent="0.3">
      <c r="B270" s="11">
        <v>1</v>
      </c>
      <c r="C270" s="11" t="s">
        <v>191</v>
      </c>
      <c r="D270" s="11" t="s">
        <v>162</v>
      </c>
      <c r="E270" s="6" t="s">
        <v>18</v>
      </c>
      <c r="F270" s="6"/>
    </row>
    <row r="271" spans="2:25" ht="144" x14ac:dyDescent="0.3">
      <c r="E271" s="5" t="s">
        <v>443</v>
      </c>
    </row>
    <row r="272" spans="2:25" x14ac:dyDescent="0.3">
      <c r="E272" s="5" t="s">
        <v>641</v>
      </c>
      <c r="F272" s="5">
        <v>0.25</v>
      </c>
      <c r="H272" s="1">
        <v>8.8000000000000007</v>
      </c>
      <c r="K272" s="1">
        <f>H272*F272</f>
        <v>2.2000000000000002</v>
      </c>
    </row>
    <row r="273" spans="2:25" x14ac:dyDescent="0.3">
      <c r="L273" s="10">
        <f>K272</f>
        <v>2.2000000000000002</v>
      </c>
      <c r="M273" s="1">
        <v>197</v>
      </c>
      <c r="N273" s="10">
        <f>L273*M273</f>
        <v>433.40000000000003</v>
      </c>
      <c r="Y273" s="1"/>
    </row>
    <row r="275" spans="2:25" x14ac:dyDescent="0.3">
      <c r="B275" s="11">
        <v>1</v>
      </c>
      <c r="C275" s="11" t="s">
        <v>592</v>
      </c>
      <c r="D275" s="11" t="s">
        <v>162</v>
      </c>
      <c r="E275" s="6" t="s">
        <v>61</v>
      </c>
      <c r="F275" s="6"/>
    </row>
    <row r="276" spans="2:25" ht="86.4" x14ac:dyDescent="0.3">
      <c r="E276" s="5" t="s">
        <v>445</v>
      </c>
      <c r="O276" s="1"/>
      <c r="P276" s="1"/>
      <c r="Q276" s="1"/>
      <c r="R276" s="1"/>
      <c r="S276" s="1"/>
    </row>
    <row r="278" spans="2:25" x14ac:dyDescent="0.3">
      <c r="E278" s="5" t="s">
        <v>444</v>
      </c>
      <c r="G278" s="1">
        <v>30</v>
      </c>
      <c r="K278" s="1">
        <f>G278</f>
        <v>30</v>
      </c>
    </row>
    <row r="279" spans="2:25" x14ac:dyDescent="0.3">
      <c r="L279" s="10">
        <f>K278</f>
        <v>30</v>
      </c>
      <c r="M279" s="1">
        <v>27.32</v>
      </c>
      <c r="N279" s="10">
        <f>L279*M279</f>
        <v>819.6</v>
      </c>
      <c r="Y279" s="1"/>
    </row>
    <row r="281" spans="2:25" x14ac:dyDescent="0.3">
      <c r="B281" s="11">
        <v>1</v>
      </c>
      <c r="C281" s="11" t="s">
        <v>192</v>
      </c>
      <c r="D281" s="11" t="s">
        <v>166</v>
      </c>
      <c r="E281" s="6" t="s">
        <v>378</v>
      </c>
      <c r="F281" s="6"/>
    </row>
    <row r="282" spans="2:25" ht="57.6" x14ac:dyDescent="0.3">
      <c r="E282" s="5" t="s">
        <v>455</v>
      </c>
    </row>
    <row r="283" spans="2:25" x14ac:dyDescent="0.3">
      <c r="G283" s="1">
        <v>7</v>
      </c>
      <c r="K283" s="1">
        <f>G283</f>
        <v>7</v>
      </c>
    </row>
    <row r="284" spans="2:25" x14ac:dyDescent="0.3">
      <c r="L284" s="10">
        <f>K283</f>
        <v>7</v>
      </c>
      <c r="M284" s="1">
        <f>180*1.5</f>
        <v>270</v>
      </c>
      <c r="N284" s="10">
        <f>L284*M284</f>
        <v>1890</v>
      </c>
      <c r="Y284" s="1"/>
    </row>
    <row r="286" spans="2:25" x14ac:dyDescent="0.3">
      <c r="B286" s="11">
        <v>1</v>
      </c>
      <c r="C286" s="11" t="s">
        <v>193</v>
      </c>
      <c r="D286" s="11" t="s">
        <v>166</v>
      </c>
      <c r="E286" s="6" t="s">
        <v>118</v>
      </c>
    </row>
    <row r="287" spans="2:25" ht="72" x14ac:dyDescent="0.3">
      <c r="E287" s="5" t="s">
        <v>615</v>
      </c>
    </row>
    <row r="288" spans="2:25" x14ac:dyDescent="0.3">
      <c r="G288" s="1">
        <v>24</v>
      </c>
      <c r="K288" s="1">
        <f>G288</f>
        <v>24</v>
      </c>
    </row>
    <row r="289" spans="2:25" x14ac:dyDescent="0.3">
      <c r="L289" s="10">
        <f>K288</f>
        <v>24</v>
      </c>
      <c r="M289" s="1">
        <v>12</v>
      </c>
      <c r="N289" s="10">
        <f>L289*M289</f>
        <v>288</v>
      </c>
      <c r="Y289" s="1"/>
    </row>
    <row r="291" spans="2:25" x14ac:dyDescent="0.3">
      <c r="B291" s="11">
        <v>1</v>
      </c>
      <c r="C291" s="7" t="s">
        <v>194</v>
      </c>
      <c r="E291" s="4" t="s">
        <v>11</v>
      </c>
      <c r="F291" s="4"/>
    </row>
    <row r="293" spans="2:25" x14ac:dyDescent="0.3">
      <c r="B293" s="11">
        <v>1</v>
      </c>
      <c r="C293" s="11" t="s">
        <v>195</v>
      </c>
      <c r="D293" s="11" t="s">
        <v>166</v>
      </c>
      <c r="E293" s="6" t="s">
        <v>24</v>
      </c>
      <c r="F293" s="6"/>
    </row>
    <row r="294" spans="2:25" ht="46.2" customHeight="1" x14ac:dyDescent="0.3">
      <c r="E294" s="5" t="s">
        <v>62</v>
      </c>
    </row>
    <row r="296" spans="2:25" x14ac:dyDescent="0.3">
      <c r="E296" s="5" t="s">
        <v>196</v>
      </c>
      <c r="G296" s="1">
        <f>(12*5)+6+4</f>
        <v>70</v>
      </c>
      <c r="K296" s="1">
        <f>G296</f>
        <v>70</v>
      </c>
      <c r="L296" s="10">
        <f>K296</f>
        <v>70</v>
      </c>
      <c r="M296" s="1">
        <v>90</v>
      </c>
      <c r="N296" s="10">
        <f>L296*M296</f>
        <v>6300</v>
      </c>
      <c r="Y296" s="1"/>
    </row>
    <row r="297" spans="2:25" x14ac:dyDescent="0.3">
      <c r="E297" s="5" t="s">
        <v>385</v>
      </c>
      <c r="G297" s="1">
        <v>1</v>
      </c>
      <c r="K297" s="1">
        <f>G297</f>
        <v>1</v>
      </c>
      <c r="L297" s="10">
        <f>K297</f>
        <v>1</v>
      </c>
      <c r="M297" s="1">
        <v>95</v>
      </c>
      <c r="N297" s="10">
        <f>L297*M297</f>
        <v>95</v>
      </c>
      <c r="Y297" s="1"/>
    </row>
    <row r="300" spans="2:25" x14ac:dyDescent="0.3">
      <c r="B300" s="11">
        <v>1</v>
      </c>
      <c r="C300" s="11" t="s">
        <v>198</v>
      </c>
      <c r="D300" s="11" t="s">
        <v>166</v>
      </c>
      <c r="E300" s="6" t="s">
        <v>65</v>
      </c>
      <c r="F300" s="6"/>
    </row>
    <row r="301" spans="2:25" ht="43.2" x14ac:dyDescent="0.3">
      <c r="E301" s="5" t="s">
        <v>66</v>
      </c>
    </row>
    <row r="303" spans="2:25" x14ac:dyDescent="0.3">
      <c r="E303" s="5" t="s">
        <v>197</v>
      </c>
      <c r="G303" s="1">
        <v>20</v>
      </c>
      <c r="K303" s="1">
        <f>G303</f>
        <v>20</v>
      </c>
    </row>
    <row r="304" spans="2:25" x14ac:dyDescent="0.3">
      <c r="L304" s="10">
        <f>K303</f>
        <v>20</v>
      </c>
      <c r="M304" s="1">
        <v>30</v>
      </c>
      <c r="N304" s="10">
        <f>L304*M304</f>
        <v>600</v>
      </c>
      <c r="Y304" s="1"/>
    </row>
    <row r="307" spans="2:25" x14ac:dyDescent="0.3">
      <c r="B307" s="11">
        <v>1</v>
      </c>
      <c r="C307" s="11" t="s">
        <v>199</v>
      </c>
      <c r="D307" s="11" t="s">
        <v>166</v>
      </c>
      <c r="E307" s="6" t="s">
        <v>25</v>
      </c>
      <c r="F307" s="6"/>
    </row>
    <row r="308" spans="2:25" ht="43.2" x14ac:dyDescent="0.3">
      <c r="E308" s="5" t="s">
        <v>64</v>
      </c>
    </row>
    <row r="309" spans="2:25" x14ac:dyDescent="0.3">
      <c r="G309" s="1">
        <v>70</v>
      </c>
      <c r="K309" s="1">
        <f>G309</f>
        <v>70</v>
      </c>
    </row>
    <row r="310" spans="2:25" x14ac:dyDescent="0.3">
      <c r="L310" s="10">
        <f>K309</f>
        <v>70</v>
      </c>
      <c r="M310" s="1">
        <v>95</v>
      </c>
      <c r="N310" s="10">
        <f>L310*M310</f>
        <v>6650</v>
      </c>
      <c r="Y310" s="1"/>
    </row>
    <row r="313" spans="2:25" x14ac:dyDescent="0.3">
      <c r="B313" s="11">
        <v>1</v>
      </c>
      <c r="C313" s="11" t="s">
        <v>201</v>
      </c>
      <c r="D313" s="11" t="s">
        <v>166</v>
      </c>
      <c r="E313" s="6" t="s">
        <v>67</v>
      </c>
      <c r="F313" s="6"/>
    </row>
    <row r="314" spans="2:25" ht="57.6" x14ac:dyDescent="0.3">
      <c r="E314" s="5" t="s">
        <v>446</v>
      </c>
    </row>
    <row r="316" spans="2:25" x14ac:dyDescent="0.3">
      <c r="E316" s="5" t="s">
        <v>200</v>
      </c>
      <c r="G316" s="1">
        <v>4</v>
      </c>
      <c r="K316" s="1">
        <f>G316</f>
        <v>4</v>
      </c>
    </row>
    <row r="317" spans="2:25" x14ac:dyDescent="0.3">
      <c r="L317" s="10">
        <f>K316</f>
        <v>4</v>
      </c>
      <c r="M317" s="1">
        <v>500</v>
      </c>
      <c r="N317" s="10">
        <f>L317*M317</f>
        <v>2000</v>
      </c>
      <c r="Y317" s="1"/>
    </row>
    <row r="319" spans="2:25" x14ac:dyDescent="0.3">
      <c r="B319" s="11">
        <v>1</v>
      </c>
      <c r="C319" s="11" t="s">
        <v>379</v>
      </c>
      <c r="D319" s="11" t="s">
        <v>288</v>
      </c>
      <c r="E319" s="6" t="s">
        <v>380</v>
      </c>
    </row>
    <row r="320" spans="2:25" ht="74.400000000000006" customHeight="1" x14ac:dyDescent="0.3">
      <c r="E320" s="5" t="s">
        <v>534</v>
      </c>
    </row>
    <row r="322" spans="2:25" x14ac:dyDescent="0.3">
      <c r="E322" s="5" t="s">
        <v>381</v>
      </c>
      <c r="G322" s="1">
        <v>1</v>
      </c>
      <c r="K322" s="1">
        <f>G322</f>
        <v>1</v>
      </c>
      <c r="L322" s="10">
        <f>K322*G322</f>
        <v>1</v>
      </c>
      <c r="M322" s="1">
        <v>630</v>
      </c>
      <c r="N322" s="10">
        <f>M322*L322</f>
        <v>630</v>
      </c>
      <c r="Y322" s="1"/>
    </row>
    <row r="325" spans="2:25" x14ac:dyDescent="0.3">
      <c r="B325" s="11">
        <v>1</v>
      </c>
      <c r="C325" s="11" t="s">
        <v>203</v>
      </c>
      <c r="D325" s="11" t="s">
        <v>166</v>
      </c>
      <c r="E325" s="6" t="s">
        <v>204</v>
      </c>
      <c r="F325" s="6"/>
    </row>
    <row r="326" spans="2:25" ht="43.2" x14ac:dyDescent="0.3">
      <c r="E326" s="5" t="s">
        <v>63</v>
      </c>
    </row>
    <row r="328" spans="2:25" x14ac:dyDescent="0.3">
      <c r="E328" s="5" t="s">
        <v>384</v>
      </c>
      <c r="G328" s="1">
        <v>9</v>
      </c>
      <c r="K328" s="1">
        <f>G328</f>
        <v>9</v>
      </c>
    </row>
    <row r="329" spans="2:25" x14ac:dyDescent="0.3">
      <c r="L329" s="10">
        <f>K328</f>
        <v>9</v>
      </c>
      <c r="M329" s="1">
        <f>52*1.45*0.45</f>
        <v>33.93</v>
      </c>
      <c r="N329" s="10">
        <f>L329*M329</f>
        <v>305.37</v>
      </c>
      <c r="Y329" s="1"/>
    </row>
    <row r="331" spans="2:25" x14ac:dyDescent="0.3">
      <c r="B331" s="11">
        <v>1</v>
      </c>
      <c r="C331" s="11" t="s">
        <v>651</v>
      </c>
      <c r="D331" s="11" t="s">
        <v>166</v>
      </c>
      <c r="E331" s="6" t="s">
        <v>616</v>
      </c>
      <c r="F331" s="6"/>
    </row>
    <row r="332" spans="2:25" ht="100.8" x14ac:dyDescent="0.3">
      <c r="E332" s="5" t="s">
        <v>617</v>
      </c>
    </row>
    <row r="333" spans="2:25" ht="28.8" x14ac:dyDescent="0.3">
      <c r="E333" s="5" t="s">
        <v>460</v>
      </c>
      <c r="G333" s="1">
        <v>7</v>
      </c>
      <c r="K333" s="1">
        <f>G333</f>
        <v>7</v>
      </c>
    </row>
    <row r="334" spans="2:25" x14ac:dyDescent="0.3">
      <c r="L334" s="10">
        <f>K333</f>
        <v>7</v>
      </c>
      <c r="M334" s="1">
        <f>1890+600</f>
        <v>2490</v>
      </c>
      <c r="N334" s="10">
        <f>L334*M334</f>
        <v>17430</v>
      </c>
      <c r="Y334" s="1"/>
    </row>
    <row r="336" spans="2:25" x14ac:dyDescent="0.3">
      <c r="B336" s="11">
        <v>1</v>
      </c>
      <c r="C336" s="11" t="s">
        <v>652</v>
      </c>
      <c r="D336" s="11" t="s">
        <v>166</v>
      </c>
      <c r="E336" s="6" t="s">
        <v>382</v>
      </c>
      <c r="F336" s="6"/>
    </row>
    <row r="337" spans="2:25" ht="158.4" x14ac:dyDescent="0.3">
      <c r="E337" s="5" t="s">
        <v>632</v>
      </c>
    </row>
    <row r="338" spans="2:25" x14ac:dyDescent="0.3">
      <c r="G338" s="1">
        <v>6</v>
      </c>
      <c r="K338" s="1">
        <f>G338</f>
        <v>6</v>
      </c>
    </row>
    <row r="339" spans="2:25" x14ac:dyDescent="0.3">
      <c r="L339" s="10">
        <f>K338</f>
        <v>6</v>
      </c>
      <c r="M339" s="1">
        <f>3749+500+500</f>
        <v>4749</v>
      </c>
      <c r="N339" s="10">
        <f>L339*M339</f>
        <v>28494</v>
      </c>
      <c r="Y339" s="1"/>
    </row>
    <row r="340" spans="2:25" x14ac:dyDescent="0.3">
      <c r="B340" s="11">
        <v>1</v>
      </c>
      <c r="C340" s="7" t="s">
        <v>205</v>
      </c>
      <c r="E340" s="4" t="s">
        <v>12</v>
      </c>
      <c r="F340" s="4"/>
    </row>
    <row r="342" spans="2:25" x14ac:dyDescent="0.3">
      <c r="B342" s="11">
        <v>1</v>
      </c>
      <c r="C342" s="11" t="s">
        <v>206</v>
      </c>
      <c r="D342" s="11" t="s">
        <v>162</v>
      </c>
      <c r="E342" s="6" t="s">
        <v>22</v>
      </c>
      <c r="F342" s="6"/>
    </row>
    <row r="343" spans="2:25" ht="144" x14ac:dyDescent="0.3">
      <c r="E343" s="5" t="s">
        <v>78</v>
      </c>
    </row>
    <row r="345" spans="2:25" x14ac:dyDescent="0.3">
      <c r="E345" s="5" t="s">
        <v>207</v>
      </c>
      <c r="H345" s="1">
        <v>10</v>
      </c>
      <c r="K345" s="1">
        <f>H345</f>
        <v>10</v>
      </c>
    </row>
    <row r="346" spans="2:25" x14ac:dyDescent="0.3">
      <c r="L346" s="10">
        <f>K345</f>
        <v>10</v>
      </c>
      <c r="M346" s="1">
        <v>85.22</v>
      </c>
      <c r="N346" s="10">
        <f>L346*M346</f>
        <v>852.2</v>
      </c>
      <c r="Y346" s="1"/>
    </row>
    <row r="348" spans="2:25" x14ac:dyDescent="0.3">
      <c r="B348" s="11">
        <v>1</v>
      </c>
      <c r="C348" s="11" t="s">
        <v>208</v>
      </c>
      <c r="D348" s="11" t="s">
        <v>162</v>
      </c>
      <c r="E348" s="6" t="s">
        <v>19</v>
      </c>
      <c r="F348" s="6"/>
    </row>
    <row r="349" spans="2:25" ht="57.6" x14ac:dyDescent="0.3">
      <c r="E349" s="5" t="s">
        <v>209</v>
      </c>
    </row>
    <row r="351" spans="2:25" x14ac:dyDescent="0.3">
      <c r="E351" s="5" t="s">
        <v>447</v>
      </c>
      <c r="H351" s="1">
        <v>5</v>
      </c>
      <c r="K351" s="1">
        <f>H351</f>
        <v>5</v>
      </c>
    </row>
    <row r="352" spans="2:25" ht="13.8" customHeight="1" x14ac:dyDescent="0.3">
      <c r="L352" s="10">
        <f>K351</f>
        <v>5</v>
      </c>
      <c r="M352" s="1">
        <v>23.82</v>
      </c>
      <c r="N352" s="10">
        <f>L352*M352</f>
        <v>119.1</v>
      </c>
      <c r="Y352" s="1"/>
    </row>
    <row r="354" spans="1:26" x14ac:dyDescent="0.3">
      <c r="B354" s="11">
        <v>1</v>
      </c>
      <c r="C354" s="11" t="s">
        <v>210</v>
      </c>
      <c r="D354" s="11" t="s">
        <v>166</v>
      </c>
      <c r="E354" s="6" t="s">
        <v>20</v>
      </c>
      <c r="F354" s="6"/>
    </row>
    <row r="355" spans="1:26" ht="57.6" x14ac:dyDescent="0.3">
      <c r="E355" s="5" t="s">
        <v>461</v>
      </c>
    </row>
    <row r="357" spans="1:26" x14ac:dyDescent="0.3">
      <c r="G357" s="1">
        <v>1</v>
      </c>
      <c r="K357" s="1">
        <f>G357</f>
        <v>1</v>
      </c>
    </row>
    <row r="358" spans="1:26" x14ac:dyDescent="0.3">
      <c r="L358" s="10">
        <f>K357</f>
        <v>1</v>
      </c>
      <c r="M358" s="1">
        <v>100</v>
      </c>
      <c r="N358" s="10">
        <f>L358*M358</f>
        <v>100</v>
      </c>
      <c r="Y358" s="1"/>
    </row>
    <row r="360" spans="1:26" ht="28.8" x14ac:dyDescent="0.3">
      <c r="B360" s="11">
        <v>1</v>
      </c>
      <c r="C360" s="11" t="s">
        <v>211</v>
      </c>
      <c r="D360" s="11" t="s">
        <v>212</v>
      </c>
      <c r="E360" s="6" t="s">
        <v>213</v>
      </c>
    </row>
    <row r="361" spans="1:26" ht="43.2" x14ac:dyDescent="0.3">
      <c r="E361" s="5" t="s">
        <v>71</v>
      </c>
    </row>
    <row r="362" spans="1:26" x14ac:dyDescent="0.3">
      <c r="G362" s="1">
        <v>7</v>
      </c>
      <c r="K362" s="1">
        <f>G362</f>
        <v>7</v>
      </c>
    </row>
    <row r="363" spans="1:26" x14ac:dyDescent="0.3">
      <c r="L363" s="10">
        <f>K362</f>
        <v>7</v>
      </c>
      <c r="M363" s="1">
        <f>28.61*2*2</f>
        <v>114.44</v>
      </c>
      <c r="N363" s="10">
        <f>L363*M363</f>
        <v>801.07999999999993</v>
      </c>
      <c r="Y363" s="1"/>
    </row>
    <row r="364" spans="1:26" ht="15" thickBot="1" x14ac:dyDescent="0.35"/>
    <row r="365" spans="1:26" ht="18" thickBot="1" x14ac:dyDescent="0.35">
      <c r="E365" s="26" t="s">
        <v>462</v>
      </c>
      <c r="P365" s="83">
        <f>SUM(N188:N364)</f>
        <v>125473.931688</v>
      </c>
      <c r="Q365" s="27"/>
      <c r="R365" s="27"/>
    </row>
    <row r="366" spans="1:26" x14ac:dyDescent="0.3">
      <c r="Z366" s="1"/>
    </row>
    <row r="367" spans="1:26" s="17" customFormat="1" ht="15.6" x14ac:dyDescent="0.3">
      <c r="A367" s="87"/>
      <c r="B367" s="14">
        <v>1</v>
      </c>
      <c r="C367" s="14"/>
      <c r="D367" s="14"/>
      <c r="E367" s="15" t="s">
        <v>113</v>
      </c>
      <c r="F367" s="15"/>
      <c r="G367" s="16"/>
      <c r="H367" s="16"/>
      <c r="I367" s="16"/>
      <c r="J367" s="16"/>
      <c r="K367" s="16"/>
      <c r="L367" s="16"/>
      <c r="M367" s="16"/>
      <c r="N367" s="16"/>
      <c r="O367"/>
      <c r="P367"/>
      <c r="Q367"/>
      <c r="R367"/>
      <c r="S367"/>
      <c r="T367" s="1"/>
      <c r="U367" s="1"/>
      <c r="V367" s="1"/>
      <c r="W367" s="1"/>
      <c r="X367"/>
      <c r="Y367"/>
      <c r="Z367"/>
    </row>
    <row r="369" spans="2:25" x14ac:dyDescent="0.3">
      <c r="B369" s="11">
        <v>1</v>
      </c>
      <c r="C369" s="7" t="s">
        <v>215</v>
      </c>
      <c r="E369" s="4" t="s">
        <v>6</v>
      </c>
      <c r="F369" s="4"/>
    </row>
    <row r="371" spans="2:25" x14ac:dyDescent="0.3">
      <c r="B371" s="11">
        <v>1</v>
      </c>
      <c r="C371" s="11" t="s">
        <v>214</v>
      </c>
      <c r="D371" s="11" t="s">
        <v>166</v>
      </c>
      <c r="E371" s="6" t="s">
        <v>1</v>
      </c>
      <c r="F371" s="6"/>
    </row>
    <row r="372" spans="2:25" ht="43.2" x14ac:dyDescent="0.3">
      <c r="E372" s="5" t="s">
        <v>56</v>
      </c>
    </row>
    <row r="374" spans="2:25" ht="16.8" customHeight="1" x14ac:dyDescent="0.3">
      <c r="G374" s="1">
        <v>2</v>
      </c>
      <c r="K374" s="1">
        <f>G374</f>
        <v>2</v>
      </c>
    </row>
    <row r="375" spans="2:25" x14ac:dyDescent="0.3">
      <c r="L375" s="10">
        <f>K374</f>
        <v>2</v>
      </c>
      <c r="M375" s="1">
        <v>600</v>
      </c>
      <c r="N375" s="10">
        <f>L375*M375</f>
        <v>1200</v>
      </c>
      <c r="Y375" s="1"/>
    </row>
    <row r="377" spans="2:25" x14ac:dyDescent="0.3">
      <c r="B377" s="11">
        <v>1</v>
      </c>
      <c r="C377" s="11" t="s">
        <v>370</v>
      </c>
      <c r="D377" s="11" t="s">
        <v>161</v>
      </c>
      <c r="E377" s="5" t="s">
        <v>454</v>
      </c>
    </row>
    <row r="378" spans="2:25" ht="28.8" x14ac:dyDescent="0.3">
      <c r="E378" s="5" t="s">
        <v>613</v>
      </c>
    </row>
    <row r="380" spans="2:25" x14ac:dyDescent="0.3">
      <c r="G380" s="1">
        <v>2</v>
      </c>
      <c r="H380" s="1">
        <v>10.199999999999999</v>
      </c>
      <c r="J380" s="1">
        <v>15</v>
      </c>
      <c r="K380" s="1">
        <f>J380*H380*G380</f>
        <v>306</v>
      </c>
    </row>
    <row r="381" spans="2:25" x14ac:dyDescent="0.3">
      <c r="L381" s="10">
        <f>K380</f>
        <v>306</v>
      </c>
      <c r="M381" s="1">
        <v>3.8</v>
      </c>
      <c r="N381" s="10">
        <f>M381*L381</f>
        <v>1162.8</v>
      </c>
      <c r="Y381" s="1"/>
    </row>
    <row r="383" spans="2:25" x14ac:dyDescent="0.3">
      <c r="B383" s="11">
        <v>1</v>
      </c>
      <c r="C383" s="7" t="s">
        <v>216</v>
      </c>
      <c r="E383" s="4" t="s">
        <v>3</v>
      </c>
      <c r="F383" s="4"/>
    </row>
    <row r="385" spans="2:25" x14ac:dyDescent="0.3">
      <c r="B385" s="11">
        <v>1</v>
      </c>
      <c r="C385" s="11" t="s">
        <v>217</v>
      </c>
      <c r="D385" s="11" t="s">
        <v>218</v>
      </c>
      <c r="E385" s="6" t="s">
        <v>4</v>
      </c>
      <c r="F385" s="6"/>
    </row>
    <row r="386" spans="2:25" ht="43.2" x14ac:dyDescent="0.3">
      <c r="E386" s="5" t="s">
        <v>79</v>
      </c>
    </row>
    <row r="388" spans="2:25" x14ac:dyDescent="0.3">
      <c r="E388" s="5" t="s">
        <v>219</v>
      </c>
      <c r="F388" s="5">
        <v>0.05</v>
      </c>
      <c r="G388" s="1">
        <v>2</v>
      </c>
      <c r="H388" s="1">
        <v>10.199999999999999</v>
      </c>
      <c r="J388" s="1">
        <v>15</v>
      </c>
      <c r="K388" s="1">
        <f>J388*H388*G388*F388</f>
        <v>15.3</v>
      </c>
    </row>
    <row r="389" spans="2:25" x14ac:dyDescent="0.3">
      <c r="L389" s="10">
        <f>K388</f>
        <v>15.3</v>
      </c>
      <c r="M389" s="1">
        <f>14.54*2</f>
        <v>29.08</v>
      </c>
      <c r="N389" s="10">
        <f>L389*M389</f>
        <v>444.92399999999998</v>
      </c>
      <c r="Y389" s="1"/>
    </row>
    <row r="392" spans="2:25" x14ac:dyDescent="0.3">
      <c r="B392" s="11">
        <v>1</v>
      </c>
      <c r="C392" s="7" t="s">
        <v>220</v>
      </c>
      <c r="E392" s="4" t="s">
        <v>2</v>
      </c>
      <c r="F392" s="4"/>
    </row>
    <row r="394" spans="2:25" x14ac:dyDescent="0.3">
      <c r="B394" s="11">
        <v>1</v>
      </c>
      <c r="C394" s="11" t="s">
        <v>221</v>
      </c>
      <c r="D394" s="11" t="s">
        <v>161</v>
      </c>
      <c r="E394" s="6" t="s">
        <v>8</v>
      </c>
      <c r="F394" s="6"/>
    </row>
    <row r="395" spans="2:25" ht="28.8" x14ac:dyDescent="0.3">
      <c r="E395" s="5" t="s">
        <v>57</v>
      </c>
    </row>
    <row r="397" spans="2:25" x14ac:dyDescent="0.3">
      <c r="E397" s="5" t="s">
        <v>219</v>
      </c>
      <c r="F397" s="5">
        <v>0.05</v>
      </c>
      <c r="G397" s="1">
        <v>2</v>
      </c>
      <c r="H397" s="1">
        <v>10.199999999999999</v>
      </c>
      <c r="J397" s="1">
        <v>15</v>
      </c>
      <c r="K397" s="1">
        <f>J397*H397*G397*F397</f>
        <v>15.3</v>
      </c>
    </row>
    <row r="398" spans="2:25" x14ac:dyDescent="0.3">
      <c r="L398" s="10">
        <f>K397</f>
        <v>15.3</v>
      </c>
      <c r="M398" s="1">
        <f>108*2</f>
        <v>216</v>
      </c>
      <c r="N398" s="10">
        <f>L398*M398</f>
        <v>3304.8</v>
      </c>
      <c r="Y398" s="1"/>
    </row>
    <row r="400" spans="2:25" x14ac:dyDescent="0.3">
      <c r="B400" s="11">
        <v>1</v>
      </c>
      <c r="C400" s="11" t="s">
        <v>222</v>
      </c>
      <c r="D400" s="11" t="s">
        <v>161</v>
      </c>
      <c r="E400" s="6" t="s">
        <v>27</v>
      </c>
      <c r="F400" s="6"/>
    </row>
    <row r="401" spans="2:25" ht="28.8" x14ac:dyDescent="0.3">
      <c r="E401" s="5" t="s">
        <v>60</v>
      </c>
    </row>
    <row r="403" spans="2:25" x14ac:dyDescent="0.3">
      <c r="G403" s="1">
        <v>2</v>
      </c>
      <c r="H403" s="1">
        <v>10.199999999999999</v>
      </c>
      <c r="J403" s="1">
        <v>15</v>
      </c>
      <c r="K403" s="1">
        <f>J403*H403*G403</f>
        <v>306</v>
      </c>
    </row>
    <row r="404" spans="2:25" x14ac:dyDescent="0.3">
      <c r="L404" s="10">
        <f>K403</f>
        <v>306</v>
      </c>
      <c r="M404" s="1">
        <f>11.8*2</f>
        <v>23.6</v>
      </c>
      <c r="N404" s="10">
        <f>L404*M404</f>
        <v>7221.6</v>
      </c>
      <c r="Y404" s="1"/>
    </row>
    <row r="406" spans="2:25" x14ac:dyDescent="0.3">
      <c r="B406" s="11">
        <v>1</v>
      </c>
      <c r="C406" s="7" t="s">
        <v>223</v>
      </c>
      <c r="E406" s="4" t="s">
        <v>9</v>
      </c>
      <c r="F406" s="4"/>
    </row>
    <row r="408" spans="2:25" x14ac:dyDescent="0.3">
      <c r="B408" s="11">
        <v>1</v>
      </c>
      <c r="C408" s="11" t="s">
        <v>224</v>
      </c>
      <c r="D408" s="11" t="s">
        <v>162</v>
      </c>
      <c r="E408" s="6" t="s">
        <v>21</v>
      </c>
      <c r="F408" s="6"/>
    </row>
    <row r="409" spans="2:25" ht="72" x14ac:dyDescent="0.3">
      <c r="E409" s="5" t="s">
        <v>80</v>
      </c>
    </row>
    <row r="411" spans="2:25" x14ac:dyDescent="0.3">
      <c r="E411" s="5" t="s">
        <v>233</v>
      </c>
      <c r="G411" s="1">
        <v>2</v>
      </c>
      <c r="K411" s="1">
        <f>G411</f>
        <v>2</v>
      </c>
    </row>
    <row r="412" spans="2:25" x14ac:dyDescent="0.3">
      <c r="L412" s="10">
        <f>K411</f>
        <v>2</v>
      </c>
      <c r="M412" s="1">
        <f>27.32*2</f>
        <v>54.64</v>
      </c>
      <c r="N412" s="10">
        <f>L412*M412</f>
        <v>109.28</v>
      </c>
      <c r="Y412" s="1"/>
    </row>
    <row r="414" spans="2:25" x14ac:dyDescent="0.3">
      <c r="B414" s="11">
        <v>1</v>
      </c>
      <c r="C414" s="7" t="s">
        <v>225</v>
      </c>
      <c r="E414" s="4" t="s">
        <v>11</v>
      </c>
      <c r="F414" s="4"/>
    </row>
    <row r="416" spans="2:25" x14ac:dyDescent="0.3">
      <c r="B416" s="11">
        <v>1</v>
      </c>
      <c r="C416" s="11" t="s">
        <v>226</v>
      </c>
      <c r="D416" s="11" t="s">
        <v>166</v>
      </c>
      <c r="E416" s="6" t="s">
        <v>24</v>
      </c>
      <c r="F416" s="6"/>
    </row>
    <row r="417" spans="2:25" ht="43.2" x14ac:dyDescent="0.3">
      <c r="E417" s="5" t="s">
        <v>62</v>
      </c>
    </row>
    <row r="419" spans="2:25" x14ac:dyDescent="0.3">
      <c r="E419" s="5" t="s">
        <v>230</v>
      </c>
      <c r="G419" s="1">
        <v>4</v>
      </c>
      <c r="K419" s="1">
        <f>G419</f>
        <v>4</v>
      </c>
    </row>
    <row r="420" spans="2:25" x14ac:dyDescent="0.3">
      <c r="L420" s="10">
        <f>K419</f>
        <v>4</v>
      </c>
      <c r="M420" s="1">
        <f>40*1.4</f>
        <v>56</v>
      </c>
      <c r="N420" s="10">
        <f>L420*M420</f>
        <v>224</v>
      </c>
      <c r="Y420" s="1"/>
    </row>
    <row r="422" spans="2:25" x14ac:dyDescent="0.3">
      <c r="B422" s="11">
        <v>1</v>
      </c>
      <c r="C422" s="7" t="s">
        <v>227</v>
      </c>
      <c r="E422" s="4" t="s">
        <v>12</v>
      </c>
      <c r="F422" s="4"/>
    </row>
    <row r="424" spans="2:25" x14ac:dyDescent="0.3">
      <c r="B424" s="11">
        <v>1</v>
      </c>
      <c r="C424" s="11" t="s">
        <v>228</v>
      </c>
      <c r="D424" s="11" t="s">
        <v>166</v>
      </c>
      <c r="E424" s="6" t="s">
        <v>14</v>
      </c>
      <c r="F424" s="6"/>
    </row>
    <row r="425" spans="2:25" ht="43.2" x14ac:dyDescent="0.3">
      <c r="E425" s="5" t="s">
        <v>68</v>
      </c>
    </row>
    <row r="427" spans="2:25" x14ac:dyDescent="0.3">
      <c r="E427" s="5" t="s">
        <v>229</v>
      </c>
      <c r="G427" s="1">
        <v>1</v>
      </c>
      <c r="K427" s="1">
        <f>G427</f>
        <v>1</v>
      </c>
    </row>
    <row r="428" spans="2:25" x14ac:dyDescent="0.3">
      <c r="L428" s="10">
        <f>K427</f>
        <v>1</v>
      </c>
      <c r="M428" s="1">
        <f>20*1.5</f>
        <v>30</v>
      </c>
      <c r="N428" s="10">
        <f>L428*M428</f>
        <v>30</v>
      </c>
      <c r="Y428" s="1"/>
    </row>
    <row r="430" spans="2:25" x14ac:dyDescent="0.3">
      <c r="B430" s="11">
        <v>1</v>
      </c>
      <c r="C430" s="11" t="s">
        <v>231</v>
      </c>
      <c r="D430" s="11" t="s">
        <v>162</v>
      </c>
      <c r="E430" s="6" t="s">
        <v>22</v>
      </c>
      <c r="F430" s="6"/>
    </row>
    <row r="431" spans="2:25" ht="145.19999999999999" customHeight="1" x14ac:dyDescent="0.3">
      <c r="E431" s="5" t="s">
        <v>81</v>
      </c>
    </row>
    <row r="432" spans="2:25" ht="16.8" customHeight="1" x14ac:dyDescent="0.3"/>
    <row r="433" spans="1:26" ht="16.8" customHeight="1" x14ac:dyDescent="0.3">
      <c r="E433" s="5" t="s">
        <v>232</v>
      </c>
      <c r="G433" s="1">
        <v>4</v>
      </c>
      <c r="K433" s="1">
        <f>G433</f>
        <v>4</v>
      </c>
    </row>
    <row r="434" spans="1:26" ht="12.6" customHeight="1" x14ac:dyDescent="0.3">
      <c r="L434" s="10">
        <f>K433</f>
        <v>4</v>
      </c>
      <c r="M434" s="1">
        <f>85.22*2</f>
        <v>170.44</v>
      </c>
      <c r="N434" s="10">
        <f>L434*M434</f>
        <v>681.76</v>
      </c>
      <c r="Y434" s="1"/>
    </row>
    <row r="435" spans="1:26" ht="12.6" customHeight="1" thickBot="1" x14ac:dyDescent="0.35"/>
    <row r="436" spans="1:26" ht="18.600000000000001" customHeight="1" thickBot="1" x14ac:dyDescent="0.35">
      <c r="E436" s="26" t="s">
        <v>463</v>
      </c>
      <c r="O436" s="1"/>
      <c r="P436" s="83">
        <f>SUM(N370:N435)</f>
        <v>14379.164000000001</v>
      </c>
      <c r="Q436" s="27"/>
      <c r="R436" s="27"/>
      <c r="S436" s="1"/>
    </row>
    <row r="438" spans="1:26" s="17" customFormat="1" ht="15.6" x14ac:dyDescent="0.3">
      <c r="A438" s="87"/>
      <c r="B438" s="22">
        <v>1</v>
      </c>
      <c r="C438" s="14"/>
      <c r="D438" s="14"/>
      <c r="E438" s="15" t="s">
        <v>114</v>
      </c>
      <c r="F438" s="15"/>
      <c r="G438" s="16"/>
      <c r="H438" s="16"/>
      <c r="I438" s="16"/>
      <c r="J438" s="16"/>
      <c r="K438" s="16"/>
      <c r="L438" s="16"/>
      <c r="M438" s="16"/>
      <c r="N438" s="16"/>
      <c r="O438"/>
      <c r="P438"/>
      <c r="Q438"/>
      <c r="R438"/>
      <c r="S438"/>
      <c r="T438" s="1"/>
      <c r="U438" s="1"/>
      <c r="V438" s="1"/>
      <c r="W438" s="1"/>
      <c r="X438"/>
      <c r="Y438"/>
      <c r="Z438"/>
    </row>
    <row r="440" spans="1:26" x14ac:dyDescent="0.3">
      <c r="B440" s="11">
        <v>1</v>
      </c>
      <c r="C440" s="7" t="s">
        <v>234</v>
      </c>
      <c r="E440" s="4" t="s">
        <v>29</v>
      </c>
      <c r="F440" s="4"/>
    </row>
    <row r="442" spans="1:26" x14ac:dyDescent="0.3">
      <c r="B442" s="11">
        <v>1</v>
      </c>
      <c r="C442" s="11" t="s">
        <v>235</v>
      </c>
      <c r="D442" s="11" t="s">
        <v>319</v>
      </c>
      <c r="E442" s="5" t="s">
        <v>28</v>
      </c>
    </row>
    <row r="443" spans="1:26" ht="43.2" x14ac:dyDescent="0.3">
      <c r="E443" s="5" t="s">
        <v>72</v>
      </c>
    </row>
    <row r="444" spans="1:26" x14ac:dyDescent="0.3">
      <c r="G444" s="1">
        <v>1</v>
      </c>
      <c r="K444" s="1">
        <f>G444</f>
        <v>1</v>
      </c>
    </row>
    <row r="445" spans="1:26" x14ac:dyDescent="0.3">
      <c r="L445" s="10">
        <f>K444</f>
        <v>1</v>
      </c>
      <c r="M445" s="1">
        <f>51.96*10*8</f>
        <v>4156.8</v>
      </c>
      <c r="N445" s="10">
        <f>M445*L445</f>
        <v>4156.8</v>
      </c>
      <c r="Y445" s="1"/>
    </row>
    <row r="447" spans="1:26" x14ac:dyDescent="0.3">
      <c r="B447" s="11">
        <v>1</v>
      </c>
      <c r="C447" s="11" t="s">
        <v>371</v>
      </c>
      <c r="D447" s="11" t="s">
        <v>161</v>
      </c>
      <c r="E447" s="5" t="s">
        <v>454</v>
      </c>
    </row>
    <row r="448" spans="1:26" ht="28.8" x14ac:dyDescent="0.3">
      <c r="E448" s="5" t="s">
        <v>613</v>
      </c>
    </row>
    <row r="450" spans="2:25" x14ac:dyDescent="0.3">
      <c r="H450" s="1">
        <f>26.58+50.05+26.4</f>
        <v>103.03</v>
      </c>
      <c r="J450" s="1">
        <f>4.66+1</f>
        <v>5.66</v>
      </c>
      <c r="K450" s="1">
        <f>J450*H450</f>
        <v>583.14980000000003</v>
      </c>
    </row>
    <row r="451" spans="2:25" x14ac:dyDescent="0.3">
      <c r="L451" s="10">
        <f>K450</f>
        <v>583.14980000000003</v>
      </c>
      <c r="M451" s="1">
        <v>3.8</v>
      </c>
      <c r="N451" s="10">
        <f>M451*L451</f>
        <v>2215.9692399999999</v>
      </c>
      <c r="Y451" s="1"/>
    </row>
    <row r="452" spans="2:25" x14ac:dyDescent="0.3">
      <c r="B452" s="11">
        <v>1</v>
      </c>
      <c r="C452" s="7" t="s">
        <v>236</v>
      </c>
      <c r="E452" s="4" t="s">
        <v>3</v>
      </c>
      <c r="F452" s="4"/>
    </row>
    <row r="454" spans="2:25" x14ac:dyDescent="0.3">
      <c r="B454" s="11">
        <v>1</v>
      </c>
      <c r="C454" s="11" t="s">
        <v>237</v>
      </c>
      <c r="D454" s="11" t="s">
        <v>161</v>
      </c>
      <c r="E454" s="6" t="s">
        <v>238</v>
      </c>
      <c r="F454" s="6"/>
    </row>
    <row r="455" spans="2:25" ht="57.6" x14ac:dyDescent="0.3">
      <c r="E455" s="5" t="s">
        <v>241</v>
      </c>
    </row>
    <row r="457" spans="2:25" x14ac:dyDescent="0.3">
      <c r="E457" s="5" t="s">
        <v>240</v>
      </c>
      <c r="F457" s="5">
        <v>0.5</v>
      </c>
      <c r="H457" s="1">
        <f>26.58+50.05+26.4</f>
        <v>103.03</v>
      </c>
      <c r="J457" s="1">
        <f>4.66+1</f>
        <v>5.66</v>
      </c>
      <c r="K457" s="1">
        <f>J457*H457*F457</f>
        <v>291.57490000000001</v>
      </c>
    </row>
    <row r="458" spans="2:25" x14ac:dyDescent="0.3">
      <c r="L458" s="10">
        <f>K457</f>
        <v>291.57490000000001</v>
      </c>
      <c r="M458" s="1">
        <v>14.54</v>
      </c>
      <c r="N458" s="10">
        <f>M458*L458</f>
        <v>4239.4990459999999</v>
      </c>
      <c r="Y458" s="1"/>
    </row>
    <row r="460" spans="2:25" ht="18.600000000000001" customHeight="1" x14ac:dyDescent="0.3">
      <c r="B460" s="11">
        <v>1</v>
      </c>
      <c r="C460" s="11" t="s">
        <v>239</v>
      </c>
      <c r="D460" s="11" t="s">
        <v>162</v>
      </c>
      <c r="E460" s="6" t="s">
        <v>73</v>
      </c>
      <c r="F460" s="6"/>
    </row>
    <row r="461" spans="2:25" ht="149.4" customHeight="1" x14ac:dyDescent="0.3">
      <c r="E461" s="5" t="s">
        <v>383</v>
      </c>
    </row>
    <row r="463" spans="2:25" x14ac:dyDescent="0.3">
      <c r="E463" s="5" t="s">
        <v>618</v>
      </c>
      <c r="F463" s="5">
        <v>0.7</v>
      </c>
      <c r="H463" s="1">
        <f>26.58+50.05+26.4</f>
        <v>103.03</v>
      </c>
      <c r="K463" s="1">
        <f>H463*F463</f>
        <v>72.120999999999995</v>
      </c>
    </row>
    <row r="464" spans="2:25" x14ac:dyDescent="0.3">
      <c r="L464" s="10">
        <f>K463</f>
        <v>72.120999999999995</v>
      </c>
      <c r="M464" s="1">
        <f>33.51+35+80</f>
        <v>148.51</v>
      </c>
      <c r="N464" s="10">
        <f>L464*M464</f>
        <v>10710.689709999999</v>
      </c>
      <c r="Y464" s="1"/>
    </row>
    <row r="466" spans="2:25" x14ac:dyDescent="0.3">
      <c r="B466" s="11">
        <v>1</v>
      </c>
      <c r="C466" s="7" t="s">
        <v>242</v>
      </c>
      <c r="E466" s="4" t="s">
        <v>30</v>
      </c>
      <c r="F466" s="4"/>
    </row>
    <row r="468" spans="2:25" x14ac:dyDescent="0.3">
      <c r="B468" s="11">
        <v>1</v>
      </c>
      <c r="C468" s="11" t="s">
        <v>243</v>
      </c>
      <c r="D468" s="11" t="s">
        <v>161</v>
      </c>
      <c r="E468" s="6" t="s">
        <v>8</v>
      </c>
      <c r="F468" s="6"/>
    </row>
    <row r="469" spans="2:25" ht="86.4" x14ac:dyDescent="0.3">
      <c r="E469" s="5" t="s">
        <v>533</v>
      </c>
    </row>
    <row r="471" spans="2:25" x14ac:dyDescent="0.3">
      <c r="E471" s="5" t="s">
        <v>240</v>
      </c>
      <c r="F471" s="5">
        <v>0.5</v>
      </c>
      <c r="H471" s="1">
        <f>26.58+50.05+26.4</f>
        <v>103.03</v>
      </c>
      <c r="J471" s="1">
        <f>4.66+1</f>
        <v>5.66</v>
      </c>
      <c r="K471" s="1">
        <f>J471*H471*F471</f>
        <v>291.57490000000001</v>
      </c>
    </row>
    <row r="472" spans="2:25" x14ac:dyDescent="0.3">
      <c r="L472" s="10">
        <f>K471</f>
        <v>291.57490000000001</v>
      </c>
      <c r="M472" s="1">
        <v>24.26</v>
      </c>
      <c r="N472" s="10">
        <f>L472*M472</f>
        <v>7073.6070740000005</v>
      </c>
      <c r="Y472" s="1"/>
    </row>
    <row r="474" spans="2:25" x14ac:dyDescent="0.3">
      <c r="B474" s="11">
        <v>1</v>
      </c>
      <c r="C474" s="11" t="s">
        <v>244</v>
      </c>
      <c r="D474" s="11" t="s">
        <v>162</v>
      </c>
      <c r="E474" s="6" t="s">
        <v>74</v>
      </c>
      <c r="F474" s="6"/>
    </row>
    <row r="475" spans="2:25" ht="115.2" customHeight="1" x14ac:dyDescent="0.3">
      <c r="E475" s="5" t="s">
        <v>619</v>
      </c>
    </row>
    <row r="477" spans="2:25" x14ac:dyDescent="0.3">
      <c r="E477" s="5" t="s">
        <v>620</v>
      </c>
      <c r="F477" s="5">
        <v>1</v>
      </c>
      <c r="H477" s="1">
        <f>26.58+50.05+26.4</f>
        <v>103.03</v>
      </c>
      <c r="K477" s="1">
        <f>H477*F477</f>
        <v>103.03</v>
      </c>
    </row>
    <row r="478" spans="2:25" x14ac:dyDescent="0.3">
      <c r="L478" s="10">
        <f>K477</f>
        <v>103.03</v>
      </c>
      <c r="M478" s="1">
        <f>(12.2*3.5)+25</f>
        <v>67.699999999999989</v>
      </c>
      <c r="N478" s="10">
        <f>L478*M478</f>
        <v>6975.1309999999985</v>
      </c>
      <c r="Y478" s="1"/>
    </row>
    <row r="480" spans="2:25" x14ac:dyDescent="0.3">
      <c r="B480" s="11">
        <v>1</v>
      </c>
      <c r="C480" s="11" t="s">
        <v>245</v>
      </c>
      <c r="D480" s="11" t="s">
        <v>218</v>
      </c>
      <c r="E480" s="6" t="s">
        <v>27</v>
      </c>
      <c r="F480" s="6"/>
    </row>
    <row r="481" spans="2:25" ht="28.8" x14ac:dyDescent="0.3">
      <c r="E481" s="5" t="s">
        <v>246</v>
      </c>
    </row>
    <row r="483" spans="2:25" x14ac:dyDescent="0.3">
      <c r="E483" s="5" t="s">
        <v>240</v>
      </c>
      <c r="F483" s="5">
        <v>0.5</v>
      </c>
      <c r="H483" s="1">
        <f>26.58+50.05+26.4</f>
        <v>103.03</v>
      </c>
      <c r="J483" s="1">
        <f>4.66+1</f>
        <v>5.66</v>
      </c>
      <c r="K483" s="1">
        <f>J483*H483*F483</f>
        <v>291.57490000000001</v>
      </c>
    </row>
    <row r="484" spans="2:25" x14ac:dyDescent="0.3">
      <c r="L484" s="10">
        <f>K483</f>
        <v>291.57490000000001</v>
      </c>
      <c r="M484" s="1">
        <v>11.8</v>
      </c>
      <c r="N484" s="10">
        <f>L484*M484</f>
        <v>3440.5838200000003</v>
      </c>
      <c r="Y484" s="1"/>
    </row>
    <row r="486" spans="2:25" x14ac:dyDescent="0.3">
      <c r="B486" s="11">
        <v>1</v>
      </c>
      <c r="C486" s="11" t="s">
        <v>247</v>
      </c>
      <c r="D486" s="11" t="s">
        <v>218</v>
      </c>
      <c r="E486" s="6" t="s">
        <v>27</v>
      </c>
    </row>
    <row r="487" spans="2:25" ht="43.2" x14ac:dyDescent="0.3">
      <c r="E487" s="5" t="s">
        <v>248</v>
      </c>
    </row>
    <row r="489" spans="2:25" x14ac:dyDescent="0.3">
      <c r="E489" s="5" t="s">
        <v>240</v>
      </c>
      <c r="F489" s="5">
        <v>0.5</v>
      </c>
      <c r="H489" s="1">
        <f>26.58+50.05+26.4</f>
        <v>103.03</v>
      </c>
      <c r="J489" s="1">
        <f>4.66+1</f>
        <v>5.66</v>
      </c>
      <c r="K489" s="1">
        <f>J489*H489*F489</f>
        <v>291.57490000000001</v>
      </c>
    </row>
    <row r="490" spans="2:25" x14ac:dyDescent="0.3">
      <c r="L490" s="10">
        <f>K489</f>
        <v>291.57490000000001</v>
      </c>
      <c r="M490" s="1">
        <v>15</v>
      </c>
      <c r="N490" s="10">
        <f>L490*M490</f>
        <v>4373.6235000000006</v>
      </c>
      <c r="Y490" s="1"/>
    </row>
    <row r="492" spans="2:25" x14ac:dyDescent="0.3">
      <c r="B492" s="11">
        <v>1</v>
      </c>
      <c r="C492" s="7" t="s">
        <v>249</v>
      </c>
      <c r="E492" s="4" t="s">
        <v>9</v>
      </c>
      <c r="F492" s="4"/>
    </row>
    <row r="494" spans="2:25" x14ac:dyDescent="0.3">
      <c r="B494" s="11">
        <v>1</v>
      </c>
      <c r="C494" s="11" t="s">
        <v>250</v>
      </c>
      <c r="D494" s="11" t="s">
        <v>162</v>
      </c>
      <c r="E494" s="6" t="s">
        <v>31</v>
      </c>
    </row>
    <row r="495" spans="2:25" ht="104.4" customHeight="1" x14ac:dyDescent="0.3">
      <c r="E495" s="5" t="s">
        <v>449</v>
      </c>
    </row>
    <row r="496" spans="2:25" ht="18.600000000000001" customHeight="1" x14ac:dyDescent="0.3"/>
    <row r="497" spans="2:25" x14ac:dyDescent="0.3">
      <c r="E497" s="5" t="s">
        <v>450</v>
      </c>
      <c r="F497" s="5">
        <v>0.1</v>
      </c>
      <c r="H497" s="1">
        <f>26.58+50.05+26.4</f>
        <v>103.03</v>
      </c>
      <c r="K497" s="1">
        <f>H497*F497</f>
        <v>10.303000000000001</v>
      </c>
    </row>
    <row r="498" spans="2:25" x14ac:dyDescent="0.3">
      <c r="L498" s="10">
        <f>K497</f>
        <v>10.303000000000001</v>
      </c>
      <c r="M498" s="1">
        <v>56.64</v>
      </c>
      <c r="N498" s="10">
        <f>L498*M498</f>
        <v>583.5619200000001</v>
      </c>
      <c r="Y498" s="1"/>
    </row>
    <row r="500" spans="2:25" x14ac:dyDescent="0.3">
      <c r="B500" s="11">
        <v>1</v>
      </c>
      <c r="C500" s="7" t="s">
        <v>251</v>
      </c>
      <c r="E500" s="4" t="s">
        <v>11</v>
      </c>
      <c r="F500" s="4"/>
    </row>
    <row r="502" spans="2:25" x14ac:dyDescent="0.3">
      <c r="B502" s="11">
        <v>1</v>
      </c>
      <c r="C502" s="11" t="s">
        <v>252</v>
      </c>
      <c r="D502" s="11" t="s">
        <v>166</v>
      </c>
      <c r="E502" s="6" t="s">
        <v>24</v>
      </c>
      <c r="F502" s="6"/>
    </row>
    <row r="503" spans="2:25" ht="43.2" x14ac:dyDescent="0.3">
      <c r="E503" s="5" t="s">
        <v>62</v>
      </c>
    </row>
    <row r="505" spans="2:25" x14ac:dyDescent="0.3">
      <c r="E505" s="5" t="s">
        <v>451</v>
      </c>
      <c r="G505" s="1">
        <v>2</v>
      </c>
      <c r="K505" s="1">
        <f>G505</f>
        <v>2</v>
      </c>
      <c r="L505" s="10">
        <f>K505</f>
        <v>2</v>
      </c>
      <c r="M505" s="1">
        <v>80</v>
      </c>
      <c r="N505" s="10">
        <f t="shared" ref="N505:N506" si="14">L505*M505</f>
        <v>160</v>
      </c>
      <c r="Y505" s="1"/>
    </row>
    <row r="506" spans="2:25" x14ac:dyDescent="0.3">
      <c r="E506" s="5" t="s">
        <v>452</v>
      </c>
      <c r="G506" s="1">
        <v>1</v>
      </c>
      <c r="K506" s="1">
        <f>G506</f>
        <v>1</v>
      </c>
      <c r="L506" s="10">
        <f>K506</f>
        <v>1</v>
      </c>
      <c r="M506" s="1">
        <v>100</v>
      </c>
      <c r="N506" s="10">
        <f t="shared" si="14"/>
        <v>100</v>
      </c>
      <c r="Y506" s="1"/>
    </row>
    <row r="508" spans="2:25" x14ac:dyDescent="0.3">
      <c r="B508" s="11">
        <v>1</v>
      </c>
      <c r="C508" s="11" t="s">
        <v>253</v>
      </c>
      <c r="D508" s="11" t="s">
        <v>166</v>
      </c>
      <c r="E508" s="6" t="s">
        <v>32</v>
      </c>
      <c r="F508" s="6"/>
    </row>
    <row r="509" spans="2:25" ht="43.2" x14ac:dyDescent="0.3">
      <c r="E509" s="5" t="s">
        <v>63</v>
      </c>
    </row>
    <row r="510" spans="2:25" ht="15.6" customHeight="1" x14ac:dyDescent="0.3"/>
    <row r="511" spans="2:25" ht="15.6" customHeight="1" x14ac:dyDescent="0.3">
      <c r="E511" s="5" t="s">
        <v>453</v>
      </c>
      <c r="G511" s="1">
        <v>2</v>
      </c>
      <c r="K511" s="1">
        <f>G511</f>
        <v>2</v>
      </c>
    </row>
    <row r="512" spans="2:25" x14ac:dyDescent="0.3">
      <c r="L512" s="10">
        <f>K511</f>
        <v>2</v>
      </c>
      <c r="M512" s="1">
        <v>50</v>
      </c>
      <c r="N512" s="10">
        <f>L512*M512</f>
        <v>100</v>
      </c>
      <c r="Y512" s="1"/>
    </row>
    <row r="514" spans="2:25" x14ac:dyDescent="0.3">
      <c r="B514" s="11">
        <v>1</v>
      </c>
      <c r="C514" s="11" t="s">
        <v>254</v>
      </c>
      <c r="D514" s="11" t="s">
        <v>163</v>
      </c>
      <c r="E514" s="6" t="s">
        <v>33</v>
      </c>
      <c r="F514" s="6"/>
    </row>
    <row r="515" spans="2:25" ht="43.2" x14ac:dyDescent="0.3">
      <c r="E515" s="5" t="s">
        <v>255</v>
      </c>
    </row>
    <row r="517" spans="2:25" x14ac:dyDescent="0.3">
      <c r="G517" s="1">
        <f>H497-(0.3*33)</f>
        <v>93.13</v>
      </c>
      <c r="K517" s="1">
        <f>G517</f>
        <v>93.13</v>
      </c>
    </row>
    <row r="518" spans="2:25" x14ac:dyDescent="0.3">
      <c r="L518" s="10">
        <f>K517</f>
        <v>93.13</v>
      </c>
      <c r="M518" s="1">
        <v>55</v>
      </c>
      <c r="N518" s="10">
        <f>L518*M518</f>
        <v>5122.1499999999996</v>
      </c>
      <c r="Y518" s="1"/>
    </row>
    <row r="520" spans="2:25" x14ac:dyDescent="0.3">
      <c r="B520" s="11">
        <v>1</v>
      </c>
      <c r="C520" s="7" t="s">
        <v>256</v>
      </c>
      <c r="E520" s="4" t="s">
        <v>12</v>
      </c>
      <c r="F520" s="4"/>
    </row>
    <row r="522" spans="2:25" x14ac:dyDescent="0.3">
      <c r="B522" s="11">
        <v>1</v>
      </c>
      <c r="C522" s="11" t="s">
        <v>257</v>
      </c>
      <c r="D522" s="11" t="s">
        <v>166</v>
      </c>
      <c r="E522" s="6" t="s">
        <v>14</v>
      </c>
      <c r="F522" s="6"/>
    </row>
    <row r="523" spans="2:25" ht="43.2" x14ac:dyDescent="0.3">
      <c r="E523" s="5" t="s">
        <v>68</v>
      </c>
    </row>
    <row r="525" spans="2:25" x14ac:dyDescent="0.3">
      <c r="E525" s="5" t="s">
        <v>258</v>
      </c>
      <c r="G525" s="1">
        <v>8</v>
      </c>
      <c r="K525" s="1">
        <f>G525</f>
        <v>8</v>
      </c>
    </row>
    <row r="526" spans="2:25" x14ac:dyDescent="0.3">
      <c r="L526" s="10">
        <f>K525</f>
        <v>8</v>
      </c>
      <c r="M526" s="1">
        <v>20</v>
      </c>
      <c r="N526" s="10">
        <f>L526*M526</f>
        <v>160</v>
      </c>
      <c r="Y526" s="1"/>
    </row>
    <row r="528" spans="2:25" x14ac:dyDescent="0.3">
      <c r="B528" s="11">
        <v>1</v>
      </c>
      <c r="C528" s="11" t="s">
        <v>259</v>
      </c>
      <c r="D528" s="11" t="s">
        <v>163</v>
      </c>
      <c r="E528" s="6" t="s">
        <v>22</v>
      </c>
      <c r="F528" s="6"/>
    </row>
    <row r="529" spans="5:25" ht="144" x14ac:dyDescent="0.3">
      <c r="E529" s="5" t="s">
        <v>81</v>
      </c>
    </row>
    <row r="531" spans="5:25" x14ac:dyDescent="0.3">
      <c r="E531" s="5" t="s">
        <v>260</v>
      </c>
      <c r="G531" s="1">
        <v>2</v>
      </c>
      <c r="K531" s="1">
        <f>G531</f>
        <v>2</v>
      </c>
    </row>
    <row r="532" spans="5:25" x14ac:dyDescent="0.3">
      <c r="L532" s="10">
        <f>K531</f>
        <v>2</v>
      </c>
      <c r="M532" s="1">
        <v>85.22</v>
      </c>
      <c r="N532" s="10">
        <f>L532*M532</f>
        <v>170.44</v>
      </c>
      <c r="Y532" s="1"/>
    </row>
    <row r="533" spans="5:25" ht="15" thickBot="1" x14ac:dyDescent="0.35"/>
    <row r="534" spans="5:25" ht="18.600000000000001" thickBot="1" x14ac:dyDescent="0.4">
      <c r="E534" s="26" t="s">
        <v>466</v>
      </c>
      <c r="P534" s="83">
        <f>SUM(N439:N533)</f>
        <v>49582.055310000003</v>
      </c>
      <c r="Q534" s="84"/>
      <c r="R534" s="84"/>
    </row>
    <row r="535" spans="5:25" ht="15.6" x14ac:dyDescent="0.3">
      <c r="E535" s="3"/>
      <c r="F535" s="3"/>
    </row>
    <row r="537" spans="5:25" x14ac:dyDescent="0.3">
      <c r="E537" s="4"/>
      <c r="F537" s="4"/>
    </row>
    <row r="539" spans="5:25" ht="24" customHeight="1" x14ac:dyDescent="0.4">
      <c r="E539" s="30" t="s">
        <v>467</v>
      </c>
      <c r="F539" s="31"/>
      <c r="G539" s="32"/>
      <c r="H539" s="32"/>
      <c r="I539" s="32"/>
      <c r="J539" s="32"/>
      <c r="K539" s="32"/>
      <c r="L539" s="32"/>
      <c r="M539" s="32"/>
      <c r="N539" s="32"/>
      <c r="O539" s="85"/>
      <c r="P539" s="33">
        <f>SUM(P3:P534)</f>
        <v>294123.78999800002</v>
      </c>
      <c r="Q539" s="33"/>
      <c r="R539" s="33"/>
      <c r="S539" s="85"/>
      <c r="V539" s="33"/>
    </row>
    <row r="542" spans="5:25" ht="21" x14ac:dyDescent="0.4">
      <c r="E542" s="88"/>
      <c r="P542" s="89"/>
      <c r="Q542" s="89"/>
      <c r="R542" s="89"/>
    </row>
    <row r="544" spans="5:25" x14ac:dyDescent="0.3">
      <c r="R544" s="32"/>
      <c r="T544" s="32"/>
      <c r="U544" s="32"/>
      <c r="V544" s="32"/>
      <c r="W544" s="32"/>
      <c r="X544" s="85"/>
      <c r="Y544" s="32"/>
    </row>
    <row r="545" spans="5:25" x14ac:dyDescent="0.3">
      <c r="R545" s="32"/>
      <c r="T545" s="32"/>
      <c r="U545" s="32"/>
      <c r="V545" s="32"/>
      <c r="W545" s="32"/>
      <c r="X545" s="85"/>
      <c r="Y545" s="32"/>
    </row>
    <row r="546" spans="5:25" ht="18" x14ac:dyDescent="0.35">
      <c r="R546" s="25"/>
      <c r="T546" s="32"/>
      <c r="U546" s="32"/>
      <c r="V546" s="32"/>
      <c r="W546" s="32"/>
      <c r="X546" s="85"/>
      <c r="Y546" s="32"/>
    </row>
    <row r="548" spans="5:25" ht="18" x14ac:dyDescent="0.35">
      <c r="E548" s="40"/>
      <c r="T548" s="25"/>
      <c r="U548" s="90"/>
      <c r="V548" s="25"/>
      <c r="W548" s="25"/>
      <c r="X548" s="70"/>
      <c r="Y548" s="70"/>
    </row>
    <row r="549" spans="5:25" ht="18" x14ac:dyDescent="0.35">
      <c r="E549" s="40"/>
      <c r="T549" s="25"/>
      <c r="U549" s="25"/>
      <c r="V549" s="25"/>
      <c r="W549" s="25"/>
      <c r="X549" s="70"/>
      <c r="Y549" s="70"/>
    </row>
    <row r="550" spans="5:25" ht="18" x14ac:dyDescent="0.35">
      <c r="E550" s="40"/>
      <c r="T550" s="25"/>
      <c r="U550" s="25"/>
      <c r="V550" s="25"/>
      <c r="W550" s="25"/>
      <c r="X550" s="70"/>
      <c r="Y550" s="70"/>
    </row>
    <row r="551" spans="5:25" ht="18" x14ac:dyDescent="0.35">
      <c r="E551" s="40"/>
      <c r="T551" s="25"/>
      <c r="U551" s="25"/>
      <c r="V551" s="25"/>
      <c r="W551" s="25"/>
      <c r="X551" s="70"/>
      <c r="Y551" s="70"/>
    </row>
    <row r="552" spans="5:25" ht="18" x14ac:dyDescent="0.35">
      <c r="E552" s="40"/>
      <c r="T552" s="25"/>
      <c r="U552" s="25"/>
      <c r="V552" s="25"/>
      <c r="W552" s="25"/>
      <c r="X552" s="70"/>
      <c r="Y552" s="70"/>
    </row>
    <row r="553" spans="5:25" ht="18" x14ac:dyDescent="0.35">
      <c r="E553" s="40"/>
      <c r="T553" s="25"/>
      <c r="U553" s="25"/>
      <c r="V553" s="25"/>
      <c r="W553" s="25"/>
      <c r="X553" s="70"/>
      <c r="Y553" s="70"/>
    </row>
    <row r="554" spans="5:25" ht="18" x14ac:dyDescent="0.35">
      <c r="E554" s="40"/>
      <c r="T554" s="25"/>
      <c r="U554" s="25"/>
      <c r="V554" s="25"/>
      <c r="W554" s="25"/>
      <c r="X554" s="70"/>
      <c r="Y554" s="70"/>
    </row>
    <row r="555" spans="5:25" ht="18" x14ac:dyDescent="0.35">
      <c r="E555" s="40"/>
      <c r="T555" s="25"/>
      <c r="U555" s="25"/>
      <c r="V555" s="25"/>
      <c r="W555" s="25"/>
      <c r="X555" s="70"/>
      <c r="Y555" s="70"/>
    </row>
    <row r="556" spans="5:25" ht="18" x14ac:dyDescent="0.35">
      <c r="E556" s="40"/>
      <c r="T556" s="25"/>
      <c r="U556" s="25"/>
      <c r="V556" s="25"/>
      <c r="W556" s="25"/>
      <c r="X556" s="70"/>
      <c r="Y556" s="25"/>
    </row>
    <row r="557" spans="5:25" ht="18" x14ac:dyDescent="0.35">
      <c r="T557" s="25"/>
      <c r="U557" s="25"/>
      <c r="V557" s="25"/>
      <c r="W557" s="25"/>
      <c r="X557" s="70"/>
      <c r="Y557" s="70"/>
    </row>
  </sheetData>
  <pageMargins left="0.39370078740157483" right="0.31496062992125984" top="0.74803149606299213" bottom="0.74803149606299213" header="0.31496062992125984" footer="0.31496062992125984"/>
  <pageSetup paperSize="9" scale="53" fitToHeight="0" orientation="portrait" verticalDpi="300" r:id="rId1"/>
  <headerFooter>
    <oddHeader xml:space="preserve">&amp;Ccarrer de Sant Isidre, núm. 3-7
Edifici Sant Cristòfol 
Barcelona </oddHeader>
  </headerFooter>
  <rowBreaks count="8" manualBreakCount="8">
    <brk id="66" max="16383" man="1"/>
    <brk id="121" max="16383" man="1"/>
    <brk id="251" max="16383" man="1"/>
    <brk id="304" max="16383" man="1"/>
    <brk id="352" max="16383" man="1"/>
    <brk id="420" max="16383" man="1"/>
    <brk id="472" max="16383" man="1"/>
    <brk id="5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E4D6-3792-403B-B162-B89A2B0825BB}">
  <sheetPr>
    <pageSetUpPr fitToPage="1"/>
  </sheetPr>
  <dimension ref="A1:Z350"/>
  <sheetViews>
    <sheetView topLeftCell="A329" workbookViewId="0">
      <selection activeCell="E339" sqref="E339"/>
    </sheetView>
  </sheetViews>
  <sheetFormatPr baseColWidth="10" defaultRowHeight="14.4" x14ac:dyDescent="0.3"/>
  <cols>
    <col min="1" max="2" width="4.77734375" style="11" customWidth="1"/>
    <col min="3" max="3" width="6.77734375" style="11" customWidth="1"/>
    <col min="4" max="4" width="4.77734375" style="11" customWidth="1"/>
    <col min="5" max="5" width="50.77734375" style="5" customWidth="1"/>
    <col min="6" max="6" width="4.77734375" style="1" customWidth="1"/>
    <col min="7" max="7" width="7.5546875" style="1" customWidth="1"/>
    <col min="8" max="8" width="10" style="1" customWidth="1"/>
    <col min="9" max="9" width="12.44140625" style="1" customWidth="1"/>
    <col min="10" max="10" width="14.44140625" style="1" customWidth="1"/>
    <col min="11" max="11" width="13.6640625" style="1" customWidth="1"/>
    <col min="12" max="12" width="14.88671875" customWidth="1"/>
    <col min="13" max="13" width="16" style="1" customWidth="1"/>
    <col min="14" max="14" width="17.109375" style="1" customWidth="1"/>
    <col min="15" max="15" width="1.33203125" customWidth="1"/>
    <col min="16" max="16" width="16.44140625" bestFit="1" customWidth="1"/>
    <col min="17" max="17" width="3.77734375" customWidth="1"/>
    <col min="18" max="18" width="12.88671875" customWidth="1"/>
    <col min="19" max="19" width="3.21875" customWidth="1"/>
    <col min="20" max="20" width="13.77734375" style="1" customWidth="1"/>
    <col min="21" max="21" width="14" style="1" customWidth="1"/>
    <col min="22" max="22" width="14.33203125" style="1" customWidth="1"/>
    <col min="23" max="23" width="15.77734375" style="1" customWidth="1"/>
    <col min="24" max="24" width="3.5546875" style="1" customWidth="1"/>
    <col min="25" max="25" width="11.5546875" style="1"/>
  </cols>
  <sheetData>
    <row r="1" spans="1:26" s="8" customFormat="1" ht="15" thickBot="1" x14ac:dyDescent="0.35">
      <c r="A1" s="81" t="s">
        <v>148</v>
      </c>
      <c r="B1" s="8" t="s">
        <v>265</v>
      </c>
      <c r="C1" s="8" t="s">
        <v>149</v>
      </c>
      <c r="D1" s="8" t="s">
        <v>151</v>
      </c>
      <c r="E1" s="13" t="s">
        <v>151</v>
      </c>
      <c r="F1" s="8" t="s">
        <v>167</v>
      </c>
      <c r="G1" s="9" t="s">
        <v>151</v>
      </c>
      <c r="H1" s="9" t="s">
        <v>152</v>
      </c>
      <c r="I1" s="9" t="s">
        <v>153</v>
      </c>
      <c r="J1" s="9" t="s">
        <v>154</v>
      </c>
      <c r="K1" s="9" t="s">
        <v>155</v>
      </c>
      <c r="L1" s="9" t="s">
        <v>156</v>
      </c>
      <c r="M1" s="9" t="s">
        <v>157</v>
      </c>
      <c r="N1" s="9" t="s">
        <v>158</v>
      </c>
      <c r="O1" s="81"/>
      <c r="P1" s="81"/>
      <c r="Q1" s="81"/>
      <c r="R1" s="81"/>
      <c r="S1" s="81"/>
      <c r="T1" s="82"/>
      <c r="U1" s="82"/>
      <c r="V1" s="82"/>
      <c r="W1" s="82"/>
      <c r="X1" s="82"/>
      <c r="Y1" s="82"/>
      <c r="Z1" s="81"/>
    </row>
    <row r="2" spans="1:26" ht="15" customHeight="1" x14ac:dyDescent="0.3">
      <c r="F2" s="5"/>
      <c r="L2" s="1"/>
    </row>
    <row r="3" spans="1:26" ht="15" customHeight="1" x14ac:dyDescent="0.3">
      <c r="E3" s="20" t="s">
        <v>261</v>
      </c>
      <c r="F3" s="5"/>
      <c r="L3" s="1"/>
    </row>
    <row r="4" spans="1:26" x14ac:dyDescent="0.3">
      <c r="E4" s="18"/>
    </row>
    <row r="5" spans="1:26" ht="15.6" x14ac:dyDescent="0.3">
      <c r="D5" s="19"/>
      <c r="E5" s="3" t="s">
        <v>16</v>
      </c>
    </row>
    <row r="6" spans="1:26" ht="15" x14ac:dyDescent="0.3">
      <c r="D6" s="19"/>
      <c r="E6" s="2"/>
    </row>
    <row r="7" spans="1:26" s="17" customFormat="1" ht="15.6" x14ac:dyDescent="0.3">
      <c r="A7" s="11"/>
      <c r="B7" s="14">
        <v>2</v>
      </c>
      <c r="C7" s="14"/>
      <c r="D7" s="21"/>
      <c r="E7" s="15" t="s">
        <v>266</v>
      </c>
      <c r="F7" s="16"/>
      <c r="G7" s="16"/>
      <c r="H7" s="16"/>
      <c r="I7" s="16"/>
      <c r="J7" s="16"/>
      <c r="K7" s="16"/>
      <c r="M7" s="16"/>
      <c r="N7" s="16"/>
      <c r="O7"/>
      <c r="P7"/>
      <c r="Q7"/>
      <c r="R7"/>
      <c r="S7"/>
      <c r="T7" s="1"/>
      <c r="U7" s="1"/>
      <c r="V7" s="1"/>
      <c r="W7" s="1"/>
      <c r="X7" s="1"/>
      <c r="Y7" s="1"/>
      <c r="Z7"/>
    </row>
    <row r="8" spans="1:26" s="17" customFormat="1" ht="15.6" x14ac:dyDescent="0.3">
      <c r="A8" s="11"/>
      <c r="B8" s="14"/>
      <c r="C8" s="14"/>
      <c r="D8" s="21"/>
      <c r="E8" s="15" t="s">
        <v>52</v>
      </c>
      <c r="F8" s="16"/>
      <c r="G8" s="16"/>
      <c r="H8" s="16"/>
      <c r="I8" s="16"/>
      <c r="J8" s="16"/>
      <c r="K8" s="16"/>
      <c r="M8" s="16"/>
      <c r="N8" s="16"/>
      <c r="O8"/>
      <c r="P8"/>
      <c r="Q8"/>
      <c r="R8"/>
      <c r="S8"/>
      <c r="T8" s="1"/>
      <c r="U8" s="1"/>
      <c r="V8" s="1"/>
      <c r="W8" s="1"/>
      <c r="X8" s="1"/>
      <c r="Y8" s="1"/>
      <c r="Z8"/>
    </row>
    <row r="10" spans="1:26" x14ac:dyDescent="0.3">
      <c r="B10" s="11">
        <v>2</v>
      </c>
      <c r="C10" s="7" t="s">
        <v>86</v>
      </c>
      <c r="D10" s="7"/>
      <c r="E10" s="4" t="s">
        <v>34</v>
      </c>
    </row>
    <row r="12" spans="1:26" x14ac:dyDescent="0.3">
      <c r="B12" s="11">
        <v>2</v>
      </c>
      <c r="C12" s="11" t="s">
        <v>87</v>
      </c>
      <c r="D12" s="11" t="s">
        <v>319</v>
      </c>
      <c r="E12" s="6" t="s">
        <v>29</v>
      </c>
    </row>
    <row r="13" spans="1:26" ht="57.6" x14ac:dyDescent="0.3">
      <c r="E13" s="5" t="s">
        <v>129</v>
      </c>
    </row>
    <row r="14" spans="1:26" x14ac:dyDescent="0.3">
      <c r="G14" s="1">
        <v>1</v>
      </c>
      <c r="K14" s="1">
        <f>G14</f>
        <v>1</v>
      </c>
    </row>
    <row r="15" spans="1:26" x14ac:dyDescent="0.3">
      <c r="L15" s="10">
        <f>K14</f>
        <v>1</v>
      </c>
      <c r="M15" s="1">
        <f>100*7*6</f>
        <v>4200</v>
      </c>
      <c r="N15" s="10">
        <f>L15*M15</f>
        <v>4200</v>
      </c>
    </row>
    <row r="17" spans="2:14" x14ac:dyDescent="0.3">
      <c r="B17" s="11">
        <v>2</v>
      </c>
      <c r="C17" s="11" t="s">
        <v>264</v>
      </c>
      <c r="D17" s="11" t="s">
        <v>166</v>
      </c>
      <c r="E17" s="6" t="s">
        <v>35</v>
      </c>
    </row>
    <row r="18" spans="2:14" ht="57.6" x14ac:dyDescent="0.3">
      <c r="E18" s="5" t="s">
        <v>326</v>
      </c>
    </row>
    <row r="20" spans="2:14" x14ac:dyDescent="0.3">
      <c r="E20" s="5" t="s">
        <v>329</v>
      </c>
      <c r="G20" s="1">
        <v>4</v>
      </c>
      <c r="K20" s="1">
        <f>G20</f>
        <v>4</v>
      </c>
    </row>
    <row r="21" spans="2:14" x14ac:dyDescent="0.3">
      <c r="E21" s="5" t="s">
        <v>330</v>
      </c>
      <c r="G21" s="1">
        <v>5</v>
      </c>
      <c r="K21" s="1">
        <f t="shared" ref="K21:K25" si="0">G21</f>
        <v>5</v>
      </c>
    </row>
    <row r="22" spans="2:14" x14ac:dyDescent="0.3">
      <c r="E22" s="5" t="s">
        <v>331</v>
      </c>
      <c r="G22" s="1">
        <v>4</v>
      </c>
      <c r="K22" s="1">
        <f t="shared" si="0"/>
        <v>4</v>
      </c>
    </row>
    <row r="23" spans="2:14" x14ac:dyDescent="0.3">
      <c r="E23" s="5" t="s">
        <v>332</v>
      </c>
      <c r="G23" s="1">
        <v>4</v>
      </c>
      <c r="K23" s="1">
        <f t="shared" si="0"/>
        <v>4</v>
      </c>
    </row>
    <row r="24" spans="2:14" x14ac:dyDescent="0.3">
      <c r="E24" s="5" t="s">
        <v>333</v>
      </c>
      <c r="G24" s="1">
        <v>4</v>
      </c>
      <c r="K24" s="1">
        <f t="shared" si="0"/>
        <v>4</v>
      </c>
    </row>
    <row r="25" spans="2:14" x14ac:dyDescent="0.3">
      <c r="E25" s="5" t="s">
        <v>334</v>
      </c>
      <c r="G25" s="1">
        <v>4</v>
      </c>
      <c r="K25" s="1">
        <f t="shared" si="0"/>
        <v>4</v>
      </c>
    </row>
    <row r="26" spans="2:14" x14ac:dyDescent="0.3">
      <c r="L26" s="10">
        <f>K20+K21+K22+K23+K24+K25</f>
        <v>25</v>
      </c>
      <c r="M26" s="1">
        <v>150</v>
      </c>
      <c r="N26" s="10">
        <f>L26*M26</f>
        <v>3750</v>
      </c>
    </row>
    <row r="28" spans="2:14" x14ac:dyDescent="0.3">
      <c r="B28" s="11">
        <v>2</v>
      </c>
      <c r="C28" s="11" t="s">
        <v>267</v>
      </c>
      <c r="D28" s="11" t="s">
        <v>166</v>
      </c>
      <c r="E28" s="6" t="s">
        <v>36</v>
      </c>
    </row>
    <row r="29" spans="2:14" ht="43.2" x14ac:dyDescent="0.3">
      <c r="E29" s="5" t="s">
        <v>327</v>
      </c>
    </row>
    <row r="31" spans="2:14" x14ac:dyDescent="0.3">
      <c r="E31" s="5" t="s">
        <v>328</v>
      </c>
      <c r="K31" s="1">
        <f>L26</f>
        <v>25</v>
      </c>
    </row>
    <row r="32" spans="2:14" x14ac:dyDescent="0.3">
      <c r="L32" s="10">
        <f>K31</f>
        <v>25</v>
      </c>
      <c r="M32" s="1">
        <v>100</v>
      </c>
      <c r="N32" s="10">
        <f>L32*M32</f>
        <v>2500</v>
      </c>
    </row>
    <row r="34" spans="2:14" x14ac:dyDescent="0.3">
      <c r="B34" s="11">
        <v>2</v>
      </c>
      <c r="C34" s="11" t="s">
        <v>268</v>
      </c>
      <c r="D34" s="11" t="s">
        <v>166</v>
      </c>
      <c r="E34" s="6" t="s">
        <v>37</v>
      </c>
    </row>
    <row r="35" spans="2:14" ht="72" x14ac:dyDescent="0.3">
      <c r="E35" s="5" t="s">
        <v>468</v>
      </c>
    </row>
    <row r="37" spans="2:14" x14ac:dyDescent="0.3">
      <c r="E37" s="5" t="s">
        <v>410</v>
      </c>
      <c r="G37" s="1">
        <v>4</v>
      </c>
      <c r="K37" s="1">
        <f>G37</f>
        <v>4</v>
      </c>
    </row>
    <row r="38" spans="2:14" x14ac:dyDescent="0.3">
      <c r="E38" s="5" t="s">
        <v>330</v>
      </c>
      <c r="G38" s="1">
        <v>5</v>
      </c>
      <c r="K38" s="1">
        <f t="shared" ref="K38:K42" si="1">G38</f>
        <v>5</v>
      </c>
    </row>
    <row r="39" spans="2:14" x14ac:dyDescent="0.3">
      <c r="E39" s="5" t="s">
        <v>411</v>
      </c>
      <c r="G39" s="1">
        <v>4</v>
      </c>
      <c r="K39" s="1">
        <f t="shared" si="1"/>
        <v>4</v>
      </c>
    </row>
    <row r="40" spans="2:14" x14ac:dyDescent="0.3">
      <c r="E40" s="5" t="s">
        <v>412</v>
      </c>
      <c r="G40" s="1">
        <v>4</v>
      </c>
      <c r="K40" s="1">
        <f t="shared" si="1"/>
        <v>4</v>
      </c>
    </row>
    <row r="41" spans="2:14" x14ac:dyDescent="0.3">
      <c r="E41" s="5" t="s">
        <v>413</v>
      </c>
      <c r="G41" s="1">
        <v>4</v>
      </c>
      <c r="K41" s="1">
        <f t="shared" si="1"/>
        <v>4</v>
      </c>
    </row>
    <row r="42" spans="2:14" x14ac:dyDescent="0.3">
      <c r="E42" s="5" t="s">
        <v>414</v>
      </c>
      <c r="G42" s="1">
        <v>4</v>
      </c>
      <c r="K42" s="1">
        <f t="shared" si="1"/>
        <v>4</v>
      </c>
    </row>
    <row r="43" spans="2:14" x14ac:dyDescent="0.3">
      <c r="L43" s="10">
        <f>K37+K38+K39+K40+K41+K42</f>
        <v>25</v>
      </c>
      <c r="M43" s="1">
        <v>100</v>
      </c>
      <c r="N43" s="10">
        <f>L43*M43</f>
        <v>2500</v>
      </c>
    </row>
    <row r="45" spans="2:14" x14ac:dyDescent="0.3">
      <c r="B45" s="11">
        <v>2</v>
      </c>
      <c r="C45" s="7" t="s">
        <v>88</v>
      </c>
      <c r="D45" s="7"/>
      <c r="E45" s="4" t="s">
        <v>595</v>
      </c>
    </row>
    <row r="47" spans="2:14" x14ac:dyDescent="0.3">
      <c r="B47" s="11">
        <v>2</v>
      </c>
      <c r="C47" s="11" t="s">
        <v>89</v>
      </c>
      <c r="D47" s="11" t="s">
        <v>161</v>
      </c>
      <c r="E47" s="6" t="s">
        <v>39</v>
      </c>
    </row>
    <row r="48" spans="2:14" ht="57.6" x14ac:dyDescent="0.3">
      <c r="E48" s="5" t="s">
        <v>272</v>
      </c>
    </row>
    <row r="50" spans="2:14" x14ac:dyDescent="0.3">
      <c r="E50" s="5" t="s">
        <v>273</v>
      </c>
      <c r="F50" s="1">
        <v>3</v>
      </c>
      <c r="G50" s="1">
        <f>10+6+5</f>
        <v>21</v>
      </c>
      <c r="K50" s="1">
        <f>G50*F50</f>
        <v>63</v>
      </c>
    </row>
    <row r="51" spans="2:14" x14ac:dyDescent="0.3">
      <c r="E51" s="5" t="s">
        <v>366</v>
      </c>
      <c r="F51" s="1">
        <v>2</v>
      </c>
      <c r="G51" s="1">
        <f>5+10+9</f>
        <v>24</v>
      </c>
      <c r="K51" s="1">
        <f t="shared" ref="K51:K56" si="2">G51*F51</f>
        <v>48</v>
      </c>
    </row>
    <row r="52" spans="2:14" x14ac:dyDescent="0.3">
      <c r="E52" s="5" t="s">
        <v>365</v>
      </c>
      <c r="F52" s="1">
        <v>1</v>
      </c>
      <c r="G52" s="1">
        <f>11+10+8+4</f>
        <v>33</v>
      </c>
      <c r="K52" s="1">
        <f t="shared" si="2"/>
        <v>33</v>
      </c>
    </row>
    <row r="53" spans="2:14" x14ac:dyDescent="0.3">
      <c r="E53" s="5" t="s">
        <v>276</v>
      </c>
      <c r="F53" s="1">
        <v>3</v>
      </c>
      <c r="G53" s="1">
        <f>25+4+6</f>
        <v>35</v>
      </c>
      <c r="K53" s="1">
        <f t="shared" si="2"/>
        <v>105</v>
      </c>
    </row>
    <row r="54" spans="2:14" x14ac:dyDescent="0.3">
      <c r="E54" s="5" t="s">
        <v>277</v>
      </c>
      <c r="F54" s="1">
        <v>3</v>
      </c>
      <c r="G54" s="1">
        <f t="shared" ref="G54:G55" si="3">25+4+6</f>
        <v>35</v>
      </c>
      <c r="K54" s="1">
        <f t="shared" si="2"/>
        <v>105</v>
      </c>
    </row>
    <row r="55" spans="2:14" x14ac:dyDescent="0.3">
      <c r="E55" s="5" t="s">
        <v>278</v>
      </c>
      <c r="F55" s="1">
        <v>3</v>
      </c>
      <c r="G55" s="1">
        <f t="shared" si="3"/>
        <v>35</v>
      </c>
      <c r="K55" s="1">
        <f t="shared" si="2"/>
        <v>105</v>
      </c>
    </row>
    <row r="56" spans="2:14" x14ac:dyDescent="0.3">
      <c r="E56" s="5" t="s">
        <v>279</v>
      </c>
      <c r="F56" s="1">
        <v>3</v>
      </c>
      <c r="G56" s="1">
        <f>8.8+5+4+4</f>
        <v>21.8</v>
      </c>
      <c r="K56" s="1">
        <f t="shared" si="2"/>
        <v>65.400000000000006</v>
      </c>
    </row>
    <row r="57" spans="2:14" x14ac:dyDescent="0.3">
      <c r="E57" s="5" t="s">
        <v>415</v>
      </c>
      <c r="F57" s="1">
        <v>6</v>
      </c>
      <c r="G57" s="1">
        <v>2</v>
      </c>
      <c r="K57" s="1">
        <f>G57*F57</f>
        <v>12</v>
      </c>
    </row>
    <row r="58" spans="2:14" x14ac:dyDescent="0.3">
      <c r="L58" s="10">
        <f>K50+K51+K52+K53+K54+K55+K56+K57</f>
        <v>536.4</v>
      </c>
      <c r="M58" s="1">
        <v>12.7</v>
      </c>
      <c r="N58" s="10">
        <f>L58*M58</f>
        <v>6812.28</v>
      </c>
    </row>
    <row r="61" spans="2:14" x14ac:dyDescent="0.3">
      <c r="B61" s="11">
        <v>2</v>
      </c>
      <c r="C61" s="11" t="s">
        <v>90</v>
      </c>
      <c r="D61" s="11" t="s">
        <v>162</v>
      </c>
      <c r="E61" s="6" t="s">
        <v>280</v>
      </c>
    </row>
    <row r="62" spans="2:14" ht="132.6" customHeight="1" x14ac:dyDescent="0.3">
      <c r="E62" s="5" t="s">
        <v>653</v>
      </c>
    </row>
    <row r="64" spans="2:14" x14ac:dyDescent="0.3">
      <c r="E64" s="5" t="s">
        <v>273</v>
      </c>
      <c r="G64" s="1">
        <v>6</v>
      </c>
      <c r="H64" s="1">
        <v>2.1</v>
      </c>
      <c r="K64" s="1">
        <f>G64*H64</f>
        <v>12.600000000000001</v>
      </c>
    </row>
    <row r="65" spans="2:14" x14ac:dyDescent="0.3">
      <c r="E65" s="5" t="s">
        <v>274</v>
      </c>
      <c r="K65" s="1">
        <f t="shared" ref="K65:K70" si="4">G65*H65</f>
        <v>0</v>
      </c>
    </row>
    <row r="66" spans="2:14" x14ac:dyDescent="0.3">
      <c r="E66" s="5" t="s">
        <v>275</v>
      </c>
      <c r="K66" s="1">
        <f t="shared" si="4"/>
        <v>0</v>
      </c>
    </row>
    <row r="67" spans="2:14" x14ac:dyDescent="0.3">
      <c r="E67" s="5" t="s">
        <v>276</v>
      </c>
      <c r="G67" s="1">
        <v>6</v>
      </c>
      <c r="H67" s="1">
        <v>2.15</v>
      </c>
      <c r="K67" s="1">
        <f t="shared" si="4"/>
        <v>12.899999999999999</v>
      </c>
    </row>
    <row r="68" spans="2:14" x14ac:dyDescent="0.3">
      <c r="E68" s="5" t="s">
        <v>277</v>
      </c>
      <c r="G68" s="1">
        <v>6</v>
      </c>
      <c r="H68" s="1">
        <v>2.15</v>
      </c>
      <c r="K68" s="1">
        <f t="shared" si="4"/>
        <v>12.899999999999999</v>
      </c>
    </row>
    <row r="69" spans="2:14" x14ac:dyDescent="0.3">
      <c r="E69" s="5" t="s">
        <v>278</v>
      </c>
      <c r="G69" s="1">
        <v>6</v>
      </c>
      <c r="H69" s="1">
        <v>2.15</v>
      </c>
      <c r="K69" s="1">
        <f t="shared" si="4"/>
        <v>12.899999999999999</v>
      </c>
    </row>
    <row r="70" spans="2:14" ht="15" customHeight="1" x14ac:dyDescent="0.3">
      <c r="E70" s="5" t="s">
        <v>279</v>
      </c>
      <c r="G70" s="1">
        <v>6</v>
      </c>
      <c r="H70" s="1">
        <v>2.15</v>
      </c>
      <c r="K70" s="1">
        <f t="shared" si="4"/>
        <v>12.899999999999999</v>
      </c>
    </row>
    <row r="71" spans="2:14" ht="15" customHeight="1" x14ac:dyDescent="0.3">
      <c r="L71" s="23">
        <f>K64+K65+K66+K67+K68+K69+K70</f>
        <v>64.199999999999989</v>
      </c>
      <c r="M71" s="1">
        <v>248.46</v>
      </c>
      <c r="N71" s="10">
        <f>L71*M71</f>
        <v>15951.131999999998</v>
      </c>
    </row>
    <row r="72" spans="2:14" ht="15" customHeight="1" x14ac:dyDescent="0.3"/>
    <row r="74" spans="2:14" x14ac:dyDescent="0.3">
      <c r="B74" s="11">
        <v>2</v>
      </c>
      <c r="C74" s="11" t="s">
        <v>283</v>
      </c>
      <c r="D74" s="11" t="s">
        <v>162</v>
      </c>
      <c r="E74" s="6" t="s">
        <v>282</v>
      </c>
    </row>
    <row r="75" spans="2:14" ht="118.8" customHeight="1" x14ac:dyDescent="0.3">
      <c r="E75" s="5" t="s">
        <v>281</v>
      </c>
    </row>
    <row r="77" spans="2:14" x14ac:dyDescent="0.3">
      <c r="E77" s="5" t="s">
        <v>341</v>
      </c>
      <c r="G77" s="1">
        <v>1</v>
      </c>
      <c r="K77" s="1">
        <f>G77</f>
        <v>1</v>
      </c>
    </row>
    <row r="78" spans="2:14" x14ac:dyDescent="0.3">
      <c r="E78" s="5" t="s">
        <v>342</v>
      </c>
      <c r="G78" s="1">
        <v>3</v>
      </c>
      <c r="K78" s="1">
        <f>G78</f>
        <v>3</v>
      </c>
    </row>
    <row r="79" spans="2:14" x14ac:dyDescent="0.3">
      <c r="E79" s="5" t="s">
        <v>685</v>
      </c>
      <c r="G79" s="1">
        <v>20</v>
      </c>
      <c r="K79" s="1">
        <f t="shared" ref="K79" si="5">G79</f>
        <v>20</v>
      </c>
    </row>
    <row r="80" spans="2:14" x14ac:dyDescent="0.3">
      <c r="E80" s="5" t="s">
        <v>686</v>
      </c>
      <c r="G80" s="1">
        <v>50</v>
      </c>
      <c r="K80" s="1">
        <f>G80</f>
        <v>50</v>
      </c>
    </row>
    <row r="81" spans="2:14" x14ac:dyDescent="0.3">
      <c r="L81" s="10">
        <f>K77+K78+K79+K80</f>
        <v>74</v>
      </c>
      <c r="M81" s="1">
        <v>200.46</v>
      </c>
      <c r="N81" s="10">
        <f>L81*M81</f>
        <v>14834.04</v>
      </c>
    </row>
    <row r="82" spans="2:14" x14ac:dyDescent="0.3">
      <c r="B82" s="11">
        <v>2</v>
      </c>
      <c r="C82" s="11" t="s">
        <v>284</v>
      </c>
      <c r="D82" s="11" t="s">
        <v>166</v>
      </c>
      <c r="E82" s="6" t="s">
        <v>40</v>
      </c>
    </row>
    <row r="83" spans="2:14" ht="86.4" x14ac:dyDescent="0.3">
      <c r="E83" s="5" t="s">
        <v>654</v>
      </c>
    </row>
    <row r="85" spans="2:14" x14ac:dyDescent="0.3">
      <c r="E85" s="5" t="s">
        <v>320</v>
      </c>
      <c r="G85" s="1">
        <f>9*2+12</f>
        <v>30</v>
      </c>
      <c r="K85" s="1">
        <f>G85</f>
        <v>30</v>
      </c>
    </row>
    <row r="86" spans="2:14" x14ac:dyDescent="0.3">
      <c r="E86" s="5" t="s">
        <v>321</v>
      </c>
      <c r="G86" s="1">
        <v>12</v>
      </c>
      <c r="K86" s="1">
        <f t="shared" ref="K86:K90" si="6">G86</f>
        <v>12</v>
      </c>
    </row>
    <row r="87" spans="2:14" x14ac:dyDescent="0.3">
      <c r="E87" s="5" t="s">
        <v>343</v>
      </c>
      <c r="G87" s="1">
        <f>13*2+12</f>
        <v>38</v>
      </c>
      <c r="K87" s="1">
        <f t="shared" si="6"/>
        <v>38</v>
      </c>
    </row>
    <row r="88" spans="2:14" x14ac:dyDescent="0.3">
      <c r="E88" s="5" t="s">
        <v>323</v>
      </c>
      <c r="G88" s="1">
        <f>7*2+12</f>
        <v>26</v>
      </c>
      <c r="K88" s="1">
        <f t="shared" si="6"/>
        <v>26</v>
      </c>
    </row>
    <row r="89" spans="2:14" x14ac:dyDescent="0.3">
      <c r="E89" s="5" t="s">
        <v>324</v>
      </c>
      <c r="G89" s="1">
        <f>2*2+12</f>
        <v>16</v>
      </c>
      <c r="K89" s="1">
        <f t="shared" si="6"/>
        <v>16</v>
      </c>
    </row>
    <row r="90" spans="2:14" x14ac:dyDescent="0.3">
      <c r="E90" s="5" t="s">
        <v>344</v>
      </c>
      <c r="G90" s="1">
        <f>4*2+12</f>
        <v>20</v>
      </c>
      <c r="K90" s="1">
        <f t="shared" si="6"/>
        <v>20</v>
      </c>
    </row>
    <row r="91" spans="2:14" x14ac:dyDescent="0.3">
      <c r="L91" s="10">
        <f>K85+K86+K87+K88+K89+K90</f>
        <v>142</v>
      </c>
      <c r="M91" s="1">
        <f>(9.79*0.2*0.25*5)+8+20</f>
        <v>30.447499999999998</v>
      </c>
      <c r="N91" s="10">
        <f>L91*M91</f>
        <v>4323.5450000000001</v>
      </c>
    </row>
    <row r="93" spans="2:14" x14ac:dyDescent="0.3">
      <c r="B93" s="11">
        <v>2</v>
      </c>
      <c r="C93" s="11" t="s">
        <v>285</v>
      </c>
      <c r="D93" s="11" t="s">
        <v>162</v>
      </c>
      <c r="E93" s="6" t="s">
        <v>45</v>
      </c>
    </row>
    <row r="94" spans="2:14" ht="86.4" x14ac:dyDescent="0.3">
      <c r="E94" s="5" t="s">
        <v>345</v>
      </c>
    </row>
    <row r="96" spans="2:14" x14ac:dyDescent="0.3">
      <c r="E96" s="5" t="s">
        <v>346</v>
      </c>
      <c r="G96" s="1">
        <v>10</v>
      </c>
      <c r="K96" s="1">
        <f>G96</f>
        <v>10</v>
      </c>
    </row>
    <row r="97" spans="2:14" x14ac:dyDescent="0.3">
      <c r="L97" s="10">
        <f>K96</f>
        <v>10</v>
      </c>
      <c r="M97" s="1">
        <f>13.82</f>
        <v>13.82</v>
      </c>
      <c r="N97" s="10">
        <f>L97*M97</f>
        <v>138.19999999999999</v>
      </c>
    </row>
    <row r="99" spans="2:14" x14ac:dyDescent="0.3">
      <c r="B99" s="11">
        <v>2</v>
      </c>
      <c r="C99" s="11" t="s">
        <v>286</v>
      </c>
      <c r="D99" s="11" t="s">
        <v>166</v>
      </c>
      <c r="E99" s="6" t="s">
        <v>46</v>
      </c>
    </row>
    <row r="100" spans="2:14" ht="86.4" x14ac:dyDescent="0.3">
      <c r="E100" s="5" t="s">
        <v>626</v>
      </c>
    </row>
    <row r="102" spans="2:14" x14ac:dyDescent="0.3">
      <c r="E102" s="5" t="s">
        <v>347</v>
      </c>
      <c r="F102" s="1">
        <v>0.6</v>
      </c>
      <c r="G102" s="1">
        <v>1</v>
      </c>
      <c r="K102" s="1">
        <f>G102*F102</f>
        <v>0.6</v>
      </c>
    </row>
    <row r="103" spans="2:14" x14ac:dyDescent="0.3">
      <c r="E103" s="5" t="s">
        <v>348</v>
      </c>
      <c r="F103" s="1">
        <v>0.6</v>
      </c>
      <c r="G103" s="1">
        <v>1</v>
      </c>
      <c r="K103" s="1">
        <f t="shared" ref="K103:K107" si="7">G103*F103</f>
        <v>0.6</v>
      </c>
    </row>
    <row r="104" spans="2:14" x14ac:dyDescent="0.3">
      <c r="E104" s="5" t="s">
        <v>343</v>
      </c>
      <c r="F104" s="1">
        <v>0.6</v>
      </c>
      <c r="G104" s="1">
        <v>3</v>
      </c>
      <c r="K104" s="1">
        <f t="shared" si="7"/>
        <v>1.7999999999999998</v>
      </c>
    </row>
    <row r="105" spans="2:14" x14ac:dyDescent="0.3">
      <c r="E105" s="5" t="s">
        <v>323</v>
      </c>
      <c r="F105" s="1">
        <v>0.6</v>
      </c>
      <c r="G105" s="1">
        <v>3</v>
      </c>
      <c r="K105" s="1">
        <f t="shared" si="7"/>
        <v>1.7999999999999998</v>
      </c>
    </row>
    <row r="106" spans="2:14" x14ac:dyDescent="0.3">
      <c r="E106" s="5" t="s">
        <v>349</v>
      </c>
      <c r="F106" s="1">
        <v>0.6</v>
      </c>
      <c r="G106" s="1">
        <v>2</v>
      </c>
      <c r="K106" s="1">
        <f t="shared" si="7"/>
        <v>1.2</v>
      </c>
    </row>
    <row r="107" spans="2:14" x14ac:dyDescent="0.3">
      <c r="E107" s="5" t="s">
        <v>344</v>
      </c>
      <c r="F107" s="1">
        <v>0.6</v>
      </c>
      <c r="G107" s="1">
        <v>1</v>
      </c>
      <c r="K107" s="1">
        <f t="shared" si="7"/>
        <v>0.6</v>
      </c>
    </row>
    <row r="108" spans="2:14" x14ac:dyDescent="0.3">
      <c r="L108" s="10">
        <v>7</v>
      </c>
      <c r="M108" s="1">
        <f>28.61*2+120</f>
        <v>177.22</v>
      </c>
      <c r="N108" s="10">
        <f>L108*M108</f>
        <v>1240.54</v>
      </c>
    </row>
    <row r="110" spans="2:14" x14ac:dyDescent="0.3">
      <c r="B110" s="11">
        <v>2</v>
      </c>
      <c r="C110" s="11" t="s">
        <v>287</v>
      </c>
      <c r="D110" s="11" t="s">
        <v>288</v>
      </c>
      <c r="E110" s="6" t="s">
        <v>41</v>
      </c>
    </row>
    <row r="111" spans="2:14" ht="75.599999999999994" customHeight="1" x14ac:dyDescent="0.3">
      <c r="E111" s="5" t="s">
        <v>621</v>
      </c>
    </row>
    <row r="112" spans="2:14" ht="16.8" customHeight="1" x14ac:dyDescent="0.3"/>
    <row r="113" spans="2:14" ht="18" customHeight="1" x14ac:dyDescent="0.3">
      <c r="E113" s="5" t="s">
        <v>320</v>
      </c>
      <c r="G113" s="1">
        <v>17</v>
      </c>
      <c r="K113" s="1">
        <f>G113</f>
        <v>17</v>
      </c>
    </row>
    <row r="114" spans="2:14" ht="17.399999999999999" customHeight="1" x14ac:dyDescent="0.3">
      <c r="E114" s="5" t="s">
        <v>321</v>
      </c>
      <c r="G114" s="1">
        <v>17</v>
      </c>
      <c r="K114" s="1">
        <f t="shared" ref="K114:K118" si="8">G114</f>
        <v>17</v>
      </c>
    </row>
    <row r="115" spans="2:14" ht="15" customHeight="1" x14ac:dyDescent="0.3">
      <c r="E115" s="5" t="s">
        <v>343</v>
      </c>
      <c r="G115" s="1">
        <v>18</v>
      </c>
      <c r="K115" s="1">
        <f t="shared" si="8"/>
        <v>18</v>
      </c>
    </row>
    <row r="116" spans="2:14" ht="15.6" customHeight="1" x14ac:dyDescent="0.3">
      <c r="E116" s="5" t="s">
        <v>350</v>
      </c>
      <c r="G116" s="1">
        <v>15</v>
      </c>
      <c r="K116" s="1">
        <f t="shared" si="8"/>
        <v>15</v>
      </c>
    </row>
    <row r="117" spans="2:14" ht="16.8" customHeight="1" x14ac:dyDescent="0.3">
      <c r="E117" s="5" t="s">
        <v>324</v>
      </c>
      <c r="G117" s="1">
        <v>8</v>
      </c>
      <c r="K117" s="1">
        <f t="shared" si="8"/>
        <v>8</v>
      </c>
      <c r="L117" s="1"/>
    </row>
    <row r="118" spans="2:14" ht="16.2" customHeight="1" x14ac:dyDescent="0.3">
      <c r="E118" s="5" t="s">
        <v>351</v>
      </c>
      <c r="G118" s="1">
        <v>15</v>
      </c>
      <c r="K118" s="1">
        <f t="shared" si="8"/>
        <v>15</v>
      </c>
    </row>
    <row r="119" spans="2:14" ht="16.2" customHeight="1" x14ac:dyDescent="0.3">
      <c r="E119" s="5" t="s">
        <v>682</v>
      </c>
      <c r="F119" s="1">
        <v>0.5</v>
      </c>
      <c r="G119" s="1">
        <f>G113+G114+G115+G116+G117+G118</f>
        <v>90</v>
      </c>
      <c r="K119" s="1">
        <f>G119*F119</f>
        <v>45</v>
      </c>
    </row>
    <row r="120" spans="2:14" x14ac:dyDescent="0.3">
      <c r="L120" s="10">
        <f>K113+K114+K115+K116+K117+K118+K119</f>
        <v>135</v>
      </c>
      <c r="M120" s="1">
        <f>28.61*2</f>
        <v>57.22</v>
      </c>
      <c r="N120" s="10">
        <f>L120*M120</f>
        <v>7724.7</v>
      </c>
    </row>
    <row r="121" spans="2:14" x14ac:dyDescent="0.3">
      <c r="L121" s="1"/>
    </row>
    <row r="122" spans="2:14" x14ac:dyDescent="0.3">
      <c r="B122" s="11">
        <v>2</v>
      </c>
      <c r="C122" s="11" t="s">
        <v>289</v>
      </c>
      <c r="D122" s="11" t="s">
        <v>162</v>
      </c>
      <c r="E122" s="6" t="s">
        <v>130</v>
      </c>
    </row>
    <row r="123" spans="2:14" ht="158.4" x14ac:dyDescent="0.3">
      <c r="E123" s="5" t="s">
        <v>689</v>
      </c>
    </row>
    <row r="125" spans="2:14" x14ac:dyDescent="0.3">
      <c r="E125" s="5" t="s">
        <v>672</v>
      </c>
      <c r="G125" s="1">
        <f>L229</f>
        <v>166</v>
      </c>
      <c r="K125" s="1">
        <f>G125</f>
        <v>166</v>
      </c>
    </row>
    <row r="126" spans="2:14" x14ac:dyDescent="0.3">
      <c r="E126" s="5" t="s">
        <v>688</v>
      </c>
      <c r="F126" s="1">
        <v>0.1</v>
      </c>
      <c r="G126" s="1">
        <f>G125</f>
        <v>166</v>
      </c>
      <c r="K126" s="1">
        <f>G126*F126</f>
        <v>16.600000000000001</v>
      </c>
    </row>
    <row r="127" spans="2:14" x14ac:dyDescent="0.3">
      <c r="L127" s="10">
        <f>K125+K126</f>
        <v>182.6</v>
      </c>
      <c r="M127" s="1">
        <f>96.5+16.42</f>
        <v>112.92</v>
      </c>
      <c r="N127" s="10">
        <f>M127*L127</f>
        <v>20619.191999999999</v>
      </c>
    </row>
    <row r="128" spans="2:14" x14ac:dyDescent="0.3">
      <c r="L128" s="1"/>
    </row>
    <row r="129" spans="2:26" x14ac:dyDescent="0.3">
      <c r="B129" s="11">
        <v>2</v>
      </c>
      <c r="C129" s="11" t="s">
        <v>293</v>
      </c>
      <c r="D129" s="11" t="s">
        <v>162</v>
      </c>
      <c r="E129" s="6" t="s">
        <v>690</v>
      </c>
      <c r="L129" s="1"/>
    </row>
    <row r="130" spans="2:26" ht="57.6" x14ac:dyDescent="0.3">
      <c r="E130" s="5" t="s">
        <v>691</v>
      </c>
      <c r="L130" s="1"/>
    </row>
    <row r="131" spans="2:26" x14ac:dyDescent="0.3">
      <c r="L131" s="1"/>
    </row>
    <row r="132" spans="2:26" x14ac:dyDescent="0.3">
      <c r="E132" s="5" t="s">
        <v>692</v>
      </c>
      <c r="G132" s="1">
        <f>(166/2)*6*0.7</f>
        <v>348.59999999999997</v>
      </c>
      <c r="K132" s="1">
        <f>G132</f>
        <v>348.59999999999997</v>
      </c>
      <c r="L132" s="1"/>
    </row>
    <row r="133" spans="2:26" x14ac:dyDescent="0.3">
      <c r="L133" s="10">
        <f>K132</f>
        <v>348.59999999999997</v>
      </c>
      <c r="M133" s="1">
        <v>16.5</v>
      </c>
      <c r="N133" s="10">
        <f>M133*L133</f>
        <v>5751.9</v>
      </c>
    </row>
    <row r="134" spans="2:26" x14ac:dyDescent="0.3">
      <c r="L134" s="1"/>
    </row>
    <row r="135" spans="2:26" ht="28.8" x14ac:dyDescent="0.3">
      <c r="B135" s="11">
        <v>2</v>
      </c>
      <c r="C135" s="11" t="s">
        <v>294</v>
      </c>
      <c r="D135" s="11" t="s">
        <v>161</v>
      </c>
      <c r="E135" s="6" t="s">
        <v>292</v>
      </c>
    </row>
    <row r="136" spans="2:26" ht="86.4" x14ac:dyDescent="0.3">
      <c r="E136" s="5" t="s">
        <v>299</v>
      </c>
      <c r="Z136" s="1"/>
    </row>
    <row r="138" spans="2:26" x14ac:dyDescent="0.3">
      <c r="E138" s="5" t="s">
        <v>347</v>
      </c>
      <c r="G138" s="1">
        <f>(9.57*3)+8.65+(4.4*2)+(3.64*4)</f>
        <v>60.72</v>
      </c>
      <c r="K138" s="1">
        <f>G138</f>
        <v>60.72</v>
      </c>
    </row>
    <row r="139" spans="2:26" x14ac:dyDescent="0.3">
      <c r="E139" s="5" t="s">
        <v>348</v>
      </c>
      <c r="G139" s="1">
        <f>(5.45*3)+(2*4.4)</f>
        <v>25.150000000000002</v>
      </c>
      <c r="K139" s="1">
        <f t="shared" ref="K139:K143" si="9">G139</f>
        <v>25.150000000000002</v>
      </c>
    </row>
    <row r="140" spans="2:26" x14ac:dyDescent="0.3">
      <c r="E140" s="5" t="s">
        <v>322</v>
      </c>
      <c r="G140" s="1">
        <f>(11.86*2)+(3*(8.65+4.1))+(6*3.64)</f>
        <v>83.81</v>
      </c>
      <c r="K140" s="1">
        <f t="shared" si="9"/>
        <v>83.81</v>
      </c>
    </row>
    <row r="141" spans="2:26" x14ac:dyDescent="0.3">
      <c r="E141" s="5" t="s">
        <v>323</v>
      </c>
      <c r="G141" s="1">
        <f>(11.86*2)+8.65+4.1+(6*3.64)</f>
        <v>58.31</v>
      </c>
      <c r="K141" s="1">
        <f t="shared" si="9"/>
        <v>58.31</v>
      </c>
    </row>
    <row r="142" spans="2:26" x14ac:dyDescent="0.3">
      <c r="E142" s="5" t="s">
        <v>349</v>
      </c>
      <c r="G142" s="1">
        <f>9.57+3.64*6</f>
        <v>31.41</v>
      </c>
      <c r="K142" s="1">
        <f t="shared" si="9"/>
        <v>31.41</v>
      </c>
    </row>
    <row r="143" spans="2:26" x14ac:dyDescent="0.3">
      <c r="E143" s="5" t="s">
        <v>325</v>
      </c>
      <c r="G143" s="1">
        <f>11.86+8.65+4.1+(3.65*3)+(3*4.4)</f>
        <v>48.760000000000005</v>
      </c>
      <c r="K143" s="1">
        <f t="shared" si="9"/>
        <v>48.760000000000005</v>
      </c>
    </row>
    <row r="144" spans="2:26" x14ac:dyDescent="0.3">
      <c r="E144" s="5" t="s">
        <v>353</v>
      </c>
      <c r="G144" s="1">
        <v>150</v>
      </c>
      <c r="K144" s="1">
        <f>G144</f>
        <v>150</v>
      </c>
    </row>
    <row r="145" spans="2:14" x14ac:dyDescent="0.3">
      <c r="L145" s="10">
        <f>K138+K139+K140+K141+K142+K143+K144</f>
        <v>458.16</v>
      </c>
      <c r="M145" s="1">
        <v>58</v>
      </c>
      <c r="N145" s="10">
        <f>M145*L145</f>
        <v>26573.280000000002</v>
      </c>
    </row>
    <row r="146" spans="2:14" x14ac:dyDescent="0.3">
      <c r="L146" s="1"/>
    </row>
    <row r="147" spans="2:14" x14ac:dyDescent="0.3">
      <c r="B147" s="11">
        <v>2</v>
      </c>
      <c r="C147" s="11" t="s">
        <v>295</v>
      </c>
      <c r="D147" s="11" t="s">
        <v>161</v>
      </c>
      <c r="E147" s="6" t="s">
        <v>47</v>
      </c>
    </row>
    <row r="148" spans="2:14" ht="86.4" x14ac:dyDescent="0.3">
      <c r="E148" s="5" t="s">
        <v>683</v>
      </c>
    </row>
    <row r="150" spans="2:14" x14ac:dyDescent="0.3">
      <c r="E150" s="5" t="s">
        <v>347</v>
      </c>
      <c r="G150" s="1">
        <v>6</v>
      </c>
      <c r="H150" s="1">
        <v>2</v>
      </c>
      <c r="K150" s="1">
        <f>G150*H150</f>
        <v>12</v>
      </c>
    </row>
    <row r="151" spans="2:14" x14ac:dyDescent="0.3">
      <c r="E151" s="5" t="s">
        <v>348</v>
      </c>
      <c r="G151" s="1">
        <v>6</v>
      </c>
      <c r="H151" s="1">
        <v>2</v>
      </c>
      <c r="K151" s="1">
        <f t="shared" ref="K151:K155" si="10">G151*H151</f>
        <v>12</v>
      </c>
    </row>
    <row r="152" spans="2:14" x14ac:dyDescent="0.3">
      <c r="E152" s="5" t="s">
        <v>343</v>
      </c>
      <c r="G152" s="1">
        <v>6</v>
      </c>
      <c r="H152" s="1">
        <v>2</v>
      </c>
      <c r="K152" s="1">
        <f t="shared" si="10"/>
        <v>12</v>
      </c>
    </row>
    <row r="153" spans="2:14" x14ac:dyDescent="0.3">
      <c r="E153" s="5" t="s">
        <v>323</v>
      </c>
      <c r="G153" s="1">
        <v>6</v>
      </c>
      <c r="H153" s="1">
        <v>2</v>
      </c>
      <c r="K153" s="1">
        <f t="shared" si="10"/>
        <v>12</v>
      </c>
    </row>
    <row r="154" spans="2:14" x14ac:dyDescent="0.3">
      <c r="E154" s="5" t="s">
        <v>324</v>
      </c>
      <c r="G154" s="1">
        <v>6</v>
      </c>
      <c r="H154" s="1">
        <v>2</v>
      </c>
      <c r="K154" s="1">
        <f t="shared" si="10"/>
        <v>12</v>
      </c>
    </row>
    <row r="155" spans="2:14" x14ac:dyDescent="0.3">
      <c r="E155" s="5" t="s">
        <v>344</v>
      </c>
      <c r="G155" s="1">
        <v>6</v>
      </c>
      <c r="H155" s="1">
        <v>2</v>
      </c>
      <c r="K155" s="1">
        <f t="shared" si="10"/>
        <v>12</v>
      </c>
    </row>
    <row r="156" spans="2:14" x14ac:dyDescent="0.3">
      <c r="L156" s="23">
        <f>K150+K151+K152+K153+K154+K155</f>
        <v>72</v>
      </c>
      <c r="M156" s="1">
        <v>45</v>
      </c>
      <c r="N156" s="10">
        <f>M156*L156</f>
        <v>3240</v>
      </c>
    </row>
    <row r="157" spans="2:14" x14ac:dyDescent="0.3">
      <c r="L157" s="1"/>
    </row>
    <row r="158" spans="2:14" x14ac:dyDescent="0.3">
      <c r="B158" s="11">
        <v>2</v>
      </c>
      <c r="C158" s="11" t="s">
        <v>296</v>
      </c>
      <c r="D158" s="11" t="s">
        <v>161</v>
      </c>
      <c r="E158" s="6" t="s">
        <v>291</v>
      </c>
    </row>
    <row r="159" spans="2:14" ht="57.6" x14ac:dyDescent="0.3">
      <c r="E159" s="5" t="s">
        <v>367</v>
      </c>
    </row>
    <row r="161" spans="2:14" x14ac:dyDescent="0.3">
      <c r="E161" s="5" t="s">
        <v>347</v>
      </c>
      <c r="H161" s="1">
        <f>(10+6+5)*3</f>
        <v>63</v>
      </c>
      <c r="I161" s="1">
        <f>(9.57*3)+8.65+(4.4*2)+(3.64*4)</f>
        <v>60.72</v>
      </c>
      <c r="K161" s="1">
        <f>H161-I161</f>
        <v>2.2800000000000011</v>
      </c>
    </row>
    <row r="162" spans="2:14" x14ac:dyDescent="0.3">
      <c r="E162" s="5" t="s">
        <v>348</v>
      </c>
      <c r="H162" s="1">
        <f>(5+10+9)*2</f>
        <v>48</v>
      </c>
      <c r="I162" s="1">
        <f>(5.45*3)+(2*4.4)</f>
        <v>25.150000000000002</v>
      </c>
      <c r="K162" s="1">
        <f t="shared" ref="K162:K166" si="11">H162-I162</f>
        <v>22.849999999999998</v>
      </c>
    </row>
    <row r="163" spans="2:14" x14ac:dyDescent="0.3">
      <c r="E163" s="5" t="s">
        <v>348</v>
      </c>
      <c r="H163" s="1">
        <f>11+10+8+4</f>
        <v>33</v>
      </c>
      <c r="I163" s="1">
        <v>3</v>
      </c>
      <c r="K163" s="1">
        <f t="shared" si="11"/>
        <v>30</v>
      </c>
    </row>
    <row r="164" spans="2:14" x14ac:dyDescent="0.3">
      <c r="E164" s="5" t="s">
        <v>343</v>
      </c>
      <c r="H164" s="1">
        <f>(25+4+6)*3</f>
        <v>105</v>
      </c>
      <c r="I164" s="1">
        <f>(11.86*2)+(3*(8.65+4.1))+(6*3.64)</f>
        <v>83.81</v>
      </c>
      <c r="K164" s="1">
        <f t="shared" si="11"/>
        <v>21.189999999999998</v>
      </c>
    </row>
    <row r="165" spans="2:14" x14ac:dyDescent="0.3">
      <c r="E165" s="5" t="s">
        <v>323</v>
      </c>
      <c r="H165" s="1">
        <f>(25+4+6)*3</f>
        <v>105</v>
      </c>
      <c r="I165" s="1">
        <f>(11.86*2)+8.65+4.1+(6*3.64)</f>
        <v>58.31</v>
      </c>
      <c r="K165" s="1">
        <f t="shared" si="11"/>
        <v>46.69</v>
      </c>
    </row>
    <row r="166" spans="2:14" x14ac:dyDescent="0.3">
      <c r="E166" s="5" t="s">
        <v>324</v>
      </c>
      <c r="H166" s="1">
        <f>(25+4+6)*3</f>
        <v>105</v>
      </c>
      <c r="I166" s="1">
        <f>9.57+3.64*6</f>
        <v>31.41</v>
      </c>
      <c r="K166" s="1">
        <f t="shared" si="11"/>
        <v>73.59</v>
      </c>
    </row>
    <row r="167" spans="2:14" x14ac:dyDescent="0.3">
      <c r="E167" s="5" t="s">
        <v>344</v>
      </c>
      <c r="H167" s="1">
        <f>(8.8+5+4+4)*3</f>
        <v>65.400000000000006</v>
      </c>
      <c r="I167" s="1">
        <f>11.86+8.65+4.1+(3.65*3)+(3*4.4)</f>
        <v>48.760000000000005</v>
      </c>
      <c r="K167" s="1">
        <f>H167-I167</f>
        <v>16.64</v>
      </c>
    </row>
    <row r="168" spans="2:14" x14ac:dyDescent="0.3">
      <c r="L168" s="10">
        <f>K161+K162+K163+K164+K165+K166+K167</f>
        <v>213.24</v>
      </c>
      <c r="M168" s="1">
        <f>9.87*2</f>
        <v>19.739999999999998</v>
      </c>
      <c r="N168" s="10">
        <f>M168*L168</f>
        <v>4209.3576000000003</v>
      </c>
    </row>
    <row r="169" spans="2:14" x14ac:dyDescent="0.3">
      <c r="L169" s="1"/>
    </row>
    <row r="170" spans="2:14" x14ac:dyDescent="0.3">
      <c r="B170" s="11">
        <v>2</v>
      </c>
      <c r="C170" s="11" t="s">
        <v>599</v>
      </c>
      <c r="D170" s="11" t="s">
        <v>161</v>
      </c>
      <c r="E170" s="6" t="s">
        <v>136</v>
      </c>
    </row>
    <row r="171" spans="2:14" ht="91.8" customHeight="1" x14ac:dyDescent="0.3">
      <c r="E171" s="5" t="s">
        <v>301</v>
      </c>
    </row>
    <row r="173" spans="2:14" x14ac:dyDescent="0.3">
      <c r="E173" s="5" t="s">
        <v>355</v>
      </c>
      <c r="G173" s="1">
        <f>(3*8.65)+4.1</f>
        <v>30.050000000000004</v>
      </c>
      <c r="K173" s="1">
        <f>G173</f>
        <v>30.050000000000004</v>
      </c>
    </row>
    <row r="174" spans="2:14" x14ac:dyDescent="0.3">
      <c r="E174" s="5" t="s">
        <v>356</v>
      </c>
      <c r="G174" s="1">
        <f>8.65*2</f>
        <v>17.3</v>
      </c>
      <c r="K174" s="1">
        <f t="shared" ref="K174:K175" si="12">G174</f>
        <v>17.3</v>
      </c>
    </row>
    <row r="175" spans="2:14" x14ac:dyDescent="0.3">
      <c r="E175" s="5" t="s">
        <v>357</v>
      </c>
      <c r="G175" s="1">
        <v>8.65</v>
      </c>
      <c r="K175" s="1">
        <f t="shared" si="12"/>
        <v>8.65</v>
      </c>
    </row>
    <row r="176" spans="2:14" x14ac:dyDescent="0.3">
      <c r="E176" s="5" t="s">
        <v>358</v>
      </c>
      <c r="G176" s="1">
        <f>8.65+3.64+8.65</f>
        <v>20.94</v>
      </c>
      <c r="K176" s="1">
        <f>G176</f>
        <v>20.94</v>
      </c>
    </row>
    <row r="177" spans="2:14" x14ac:dyDescent="0.3">
      <c r="L177" s="10">
        <f>K173+K174+K175+K176</f>
        <v>76.940000000000012</v>
      </c>
      <c r="M177" s="1">
        <v>10.25</v>
      </c>
      <c r="N177" s="10">
        <f>L177*M177</f>
        <v>788.6350000000001</v>
      </c>
    </row>
    <row r="178" spans="2:14" x14ac:dyDescent="0.3">
      <c r="L178" s="1"/>
    </row>
    <row r="179" spans="2:14" x14ac:dyDescent="0.3">
      <c r="B179" s="11">
        <v>2</v>
      </c>
      <c r="C179" s="11" t="s">
        <v>600</v>
      </c>
      <c r="D179" s="11" t="s">
        <v>161</v>
      </c>
      <c r="E179" s="6" t="s">
        <v>137</v>
      </c>
    </row>
    <row r="180" spans="2:14" ht="43.2" x14ac:dyDescent="0.3">
      <c r="E180" s="5" t="s">
        <v>302</v>
      </c>
    </row>
    <row r="182" spans="2:14" x14ac:dyDescent="0.3">
      <c r="E182" s="5" t="s">
        <v>359</v>
      </c>
      <c r="G182" s="1">
        <v>50</v>
      </c>
      <c r="K182" s="1">
        <f>G182</f>
        <v>50</v>
      </c>
    </row>
    <row r="183" spans="2:14" x14ac:dyDescent="0.3">
      <c r="L183" s="10">
        <f>K182</f>
        <v>50</v>
      </c>
      <c r="M183" s="1">
        <v>50</v>
      </c>
      <c r="N183" s="10">
        <f>L183*M183</f>
        <v>2500</v>
      </c>
    </row>
    <row r="184" spans="2:14" x14ac:dyDescent="0.3">
      <c r="L184" s="1"/>
    </row>
    <row r="185" spans="2:14" x14ac:dyDescent="0.3">
      <c r="B185" s="11">
        <v>2</v>
      </c>
      <c r="C185" s="11" t="s">
        <v>601</v>
      </c>
      <c r="D185" s="11" t="s">
        <v>162</v>
      </c>
      <c r="E185" s="6" t="s">
        <v>133</v>
      </c>
    </row>
    <row r="186" spans="2:14" ht="86.4" x14ac:dyDescent="0.3">
      <c r="E186" s="5" t="s">
        <v>360</v>
      </c>
    </row>
    <row r="187" spans="2:14" ht="15.6" customHeight="1" x14ac:dyDescent="0.3"/>
    <row r="188" spans="2:14" x14ac:dyDescent="0.3">
      <c r="E188" s="5" t="s">
        <v>361</v>
      </c>
      <c r="G188" s="1">
        <v>8</v>
      </c>
      <c r="K188" s="1">
        <f>G188</f>
        <v>8</v>
      </c>
    </row>
    <row r="189" spans="2:14" x14ac:dyDescent="0.3">
      <c r="E189" s="5" t="s">
        <v>362</v>
      </c>
      <c r="G189" s="1">
        <v>25</v>
      </c>
      <c r="K189" s="1">
        <f t="shared" ref="K189:K190" si="13">G189</f>
        <v>25</v>
      </c>
    </row>
    <row r="190" spans="2:14" x14ac:dyDescent="0.3">
      <c r="E190" s="5" t="s">
        <v>363</v>
      </c>
      <c r="G190" s="1">
        <v>8</v>
      </c>
      <c r="K190" s="1">
        <f t="shared" si="13"/>
        <v>8</v>
      </c>
    </row>
    <row r="191" spans="2:14" x14ac:dyDescent="0.3">
      <c r="E191" s="5" t="s">
        <v>590</v>
      </c>
      <c r="F191" s="1">
        <v>0.2</v>
      </c>
      <c r="G191" s="1">
        <f>SUM(G188:G190)</f>
        <v>41</v>
      </c>
      <c r="K191" s="1">
        <f>G191*F191</f>
        <v>8.2000000000000011</v>
      </c>
    </row>
    <row r="192" spans="2:14" x14ac:dyDescent="0.3">
      <c r="L192" s="10">
        <f>K188+K189+K190+K191</f>
        <v>49.2</v>
      </c>
      <c r="M192" s="1">
        <v>25.8</v>
      </c>
      <c r="N192" s="10">
        <f>L192*M192</f>
        <v>1269.3600000000001</v>
      </c>
    </row>
    <row r="193" spans="2:14" x14ac:dyDescent="0.3">
      <c r="L193" s="1"/>
    </row>
    <row r="194" spans="2:14" x14ac:dyDescent="0.3">
      <c r="B194" s="11">
        <v>2</v>
      </c>
      <c r="C194" s="11" t="s">
        <v>694</v>
      </c>
      <c r="D194" s="11" t="s">
        <v>161</v>
      </c>
      <c r="E194" s="6" t="s">
        <v>134</v>
      </c>
    </row>
    <row r="195" spans="2:14" ht="115.2" x14ac:dyDescent="0.3">
      <c r="E195" s="5" t="s">
        <v>656</v>
      </c>
    </row>
    <row r="197" spans="2:14" x14ac:dyDescent="0.3">
      <c r="E197" s="5" t="s">
        <v>346</v>
      </c>
      <c r="G197" s="1">
        <v>10</v>
      </c>
      <c r="H197" s="1">
        <v>5.3</v>
      </c>
      <c r="J197" s="1">
        <v>2.8</v>
      </c>
      <c r="K197" s="1">
        <f>J197*H197*G197</f>
        <v>148.39999999999998</v>
      </c>
    </row>
    <row r="198" spans="2:14" x14ac:dyDescent="0.3">
      <c r="L198" s="23">
        <f>K197</f>
        <v>148.39999999999998</v>
      </c>
      <c r="M198" s="1">
        <f>(28.61+23.88)*0.75+66.5</f>
        <v>105.86749999999999</v>
      </c>
      <c r="N198" s="10">
        <f>L198*M198</f>
        <v>15710.736999999997</v>
      </c>
    </row>
    <row r="199" spans="2:14" x14ac:dyDescent="0.3">
      <c r="L199" s="1"/>
    </row>
    <row r="200" spans="2:14" ht="18" customHeight="1" x14ac:dyDescent="0.3">
      <c r="B200" s="11">
        <v>2</v>
      </c>
      <c r="C200" s="7" t="s">
        <v>91</v>
      </c>
      <c r="E200" s="4" t="s">
        <v>593</v>
      </c>
    </row>
    <row r="202" spans="2:14" x14ac:dyDescent="0.3">
      <c r="B202" s="11">
        <v>2</v>
      </c>
      <c r="C202" s="11" t="s">
        <v>92</v>
      </c>
      <c r="D202" s="11" t="s">
        <v>166</v>
      </c>
      <c r="E202" s="6" t="s">
        <v>676</v>
      </c>
    </row>
    <row r="203" spans="2:14" ht="144" x14ac:dyDescent="0.3">
      <c r="E203" s="5" t="s">
        <v>574</v>
      </c>
    </row>
    <row r="205" spans="2:14" x14ac:dyDescent="0.3">
      <c r="E205" s="5" t="s">
        <v>320</v>
      </c>
      <c r="G205" s="1">
        <v>6</v>
      </c>
      <c r="K205" s="1">
        <f>G205</f>
        <v>6</v>
      </c>
    </row>
    <row r="206" spans="2:14" x14ac:dyDescent="0.3">
      <c r="E206" s="5" t="s">
        <v>321</v>
      </c>
      <c r="G206" s="1">
        <v>5</v>
      </c>
      <c r="K206" s="1">
        <f t="shared" ref="K206:K210" si="14">G206</f>
        <v>5</v>
      </c>
    </row>
    <row r="207" spans="2:14" x14ac:dyDescent="0.3">
      <c r="E207" s="5" t="s">
        <v>343</v>
      </c>
      <c r="G207" s="1">
        <v>6</v>
      </c>
      <c r="K207" s="1">
        <f t="shared" si="14"/>
        <v>6</v>
      </c>
    </row>
    <row r="208" spans="2:14" x14ac:dyDescent="0.3">
      <c r="E208" s="5" t="s">
        <v>350</v>
      </c>
      <c r="G208" s="1">
        <v>6</v>
      </c>
      <c r="K208" s="1">
        <f t="shared" si="14"/>
        <v>6</v>
      </c>
    </row>
    <row r="209" spans="2:14" x14ac:dyDescent="0.3">
      <c r="E209" s="5" t="s">
        <v>324</v>
      </c>
      <c r="G209" s="1">
        <v>6</v>
      </c>
      <c r="K209" s="1">
        <f t="shared" si="14"/>
        <v>6</v>
      </c>
    </row>
    <row r="210" spans="2:14" x14ac:dyDescent="0.3">
      <c r="E210" s="5" t="s">
        <v>351</v>
      </c>
      <c r="G210" s="1">
        <v>6</v>
      </c>
      <c r="K210" s="1">
        <f t="shared" si="14"/>
        <v>6</v>
      </c>
    </row>
    <row r="211" spans="2:14" x14ac:dyDescent="0.3">
      <c r="L211" s="23">
        <f>K205+K206+K207+K208+K209+K210</f>
        <v>35</v>
      </c>
      <c r="M211" s="1">
        <f>(2610.32/6)*1.2</f>
        <v>522.06399999999996</v>
      </c>
      <c r="N211" s="10">
        <f>L211*M211</f>
        <v>18272.239999999998</v>
      </c>
    </row>
    <row r="213" spans="2:14" x14ac:dyDescent="0.3">
      <c r="B213" s="11">
        <v>2</v>
      </c>
      <c r="C213" s="11" t="s">
        <v>93</v>
      </c>
      <c r="D213" s="11" t="s">
        <v>166</v>
      </c>
      <c r="E213" s="6" t="s">
        <v>596</v>
      </c>
    </row>
    <row r="214" spans="2:14" ht="191.4" customHeight="1" x14ac:dyDescent="0.3">
      <c r="E214" s="5" t="s">
        <v>687</v>
      </c>
    </row>
    <row r="216" spans="2:14" x14ac:dyDescent="0.3">
      <c r="E216" s="5" t="s">
        <v>575</v>
      </c>
      <c r="F216" s="1">
        <v>1</v>
      </c>
      <c r="G216" s="1">
        <f>7+4+6</f>
        <v>17</v>
      </c>
      <c r="K216" s="1">
        <f>G216*F216</f>
        <v>17</v>
      </c>
    </row>
    <row r="217" spans="2:14" x14ac:dyDescent="0.3">
      <c r="E217" s="5" t="s">
        <v>576</v>
      </c>
      <c r="F217" s="1">
        <v>1</v>
      </c>
      <c r="G217" s="1">
        <v>5</v>
      </c>
      <c r="K217" s="1">
        <f t="shared" ref="K217:K227" si="15">G217*F217</f>
        <v>5</v>
      </c>
    </row>
    <row r="218" spans="2:14" ht="15" customHeight="1" x14ac:dyDescent="0.3">
      <c r="E218" s="5" t="s">
        <v>577</v>
      </c>
      <c r="F218" s="1">
        <v>1</v>
      </c>
      <c r="G218" s="1">
        <v>8</v>
      </c>
      <c r="K218" s="1">
        <f t="shared" si="15"/>
        <v>8</v>
      </c>
    </row>
    <row r="219" spans="2:14" ht="15" customHeight="1" x14ac:dyDescent="0.3">
      <c r="E219" s="5" t="s">
        <v>578</v>
      </c>
      <c r="F219" s="1">
        <v>1</v>
      </c>
      <c r="G219" s="1">
        <f>7+8</f>
        <v>15</v>
      </c>
      <c r="K219" s="1">
        <f t="shared" si="15"/>
        <v>15</v>
      </c>
    </row>
    <row r="220" spans="2:14" x14ac:dyDescent="0.3">
      <c r="E220" s="5" t="s">
        <v>579</v>
      </c>
      <c r="F220" s="1">
        <v>1</v>
      </c>
      <c r="G220" s="1">
        <v>13</v>
      </c>
      <c r="K220" s="1">
        <f t="shared" si="15"/>
        <v>13</v>
      </c>
    </row>
    <row r="221" spans="2:14" x14ac:dyDescent="0.3">
      <c r="E221" s="5" t="s">
        <v>580</v>
      </c>
      <c r="F221" s="1">
        <v>1</v>
      </c>
      <c r="G221" s="1">
        <v>8</v>
      </c>
      <c r="K221" s="1">
        <f t="shared" si="15"/>
        <v>8</v>
      </c>
    </row>
    <row r="222" spans="2:14" x14ac:dyDescent="0.3">
      <c r="E222" s="5" t="s">
        <v>581</v>
      </c>
      <c r="F222" s="1">
        <v>1</v>
      </c>
      <c r="G222" s="1">
        <v>10</v>
      </c>
      <c r="K222" s="1">
        <f t="shared" si="15"/>
        <v>10</v>
      </c>
    </row>
    <row r="223" spans="2:14" x14ac:dyDescent="0.3">
      <c r="E223" s="5" t="s">
        <v>582</v>
      </c>
      <c r="F223" s="1">
        <v>1</v>
      </c>
      <c r="G223" s="1">
        <v>10</v>
      </c>
      <c r="K223" s="1">
        <f t="shared" si="15"/>
        <v>10</v>
      </c>
    </row>
    <row r="224" spans="2:14" x14ac:dyDescent="0.3">
      <c r="E224" s="5" t="s">
        <v>583</v>
      </c>
      <c r="F224" s="1">
        <v>1</v>
      </c>
      <c r="G224" s="1">
        <v>6</v>
      </c>
      <c r="K224" s="1">
        <f t="shared" si="15"/>
        <v>6</v>
      </c>
    </row>
    <row r="225" spans="2:14" x14ac:dyDescent="0.3">
      <c r="E225" s="5" t="s">
        <v>584</v>
      </c>
      <c r="F225" s="1">
        <v>1</v>
      </c>
      <c r="G225" s="1">
        <v>2</v>
      </c>
      <c r="K225" s="1">
        <f t="shared" si="15"/>
        <v>2</v>
      </c>
    </row>
    <row r="226" spans="2:14" x14ac:dyDescent="0.3">
      <c r="E226" s="5" t="s">
        <v>585</v>
      </c>
      <c r="F226" s="1">
        <v>1</v>
      </c>
      <c r="G226" s="1">
        <v>8</v>
      </c>
      <c r="K226" s="1">
        <f t="shared" si="15"/>
        <v>8</v>
      </c>
    </row>
    <row r="227" spans="2:14" x14ac:dyDescent="0.3">
      <c r="E227" s="5" t="s">
        <v>586</v>
      </c>
      <c r="F227" s="1">
        <v>1</v>
      </c>
      <c r="G227" s="1">
        <v>9</v>
      </c>
      <c r="K227" s="1">
        <f t="shared" si="15"/>
        <v>9</v>
      </c>
    </row>
    <row r="228" spans="2:14" x14ac:dyDescent="0.3">
      <c r="E228" s="5" t="s">
        <v>657</v>
      </c>
      <c r="F228" s="1">
        <v>0.5</v>
      </c>
      <c r="G228" s="1">
        <f>K216+K217+K218+K219+K220+K221+K222+K223+K224+K225+K226+K227</f>
        <v>111</v>
      </c>
      <c r="K228" s="1">
        <v>55</v>
      </c>
    </row>
    <row r="229" spans="2:14" x14ac:dyDescent="0.3">
      <c r="L229" s="10">
        <f>K216+K218+K220+K221+K222+K223+K224+K225+K226+K227+K217+K219+K228</f>
        <v>166</v>
      </c>
      <c r="M229" s="1">
        <f>(652.75*1.3)</f>
        <v>848.57500000000005</v>
      </c>
      <c r="N229" s="10">
        <f>M229*L229</f>
        <v>140863.45000000001</v>
      </c>
    </row>
    <row r="230" spans="2:14" x14ac:dyDescent="0.3">
      <c r="L230" s="1"/>
    </row>
    <row r="231" spans="2:14" x14ac:dyDescent="0.3">
      <c r="L231" s="1"/>
    </row>
    <row r="232" spans="2:14" ht="13.8" customHeight="1" x14ac:dyDescent="0.3">
      <c r="B232" s="11">
        <v>2</v>
      </c>
      <c r="C232" s="7" t="s">
        <v>95</v>
      </c>
      <c r="D232" s="7"/>
      <c r="E232" s="4" t="s">
        <v>42</v>
      </c>
    </row>
    <row r="234" spans="2:14" x14ac:dyDescent="0.3">
      <c r="B234" s="11">
        <v>2</v>
      </c>
      <c r="C234" s="11" t="s">
        <v>96</v>
      </c>
      <c r="D234" s="11" t="s">
        <v>161</v>
      </c>
      <c r="E234" s="6" t="s">
        <v>43</v>
      </c>
    </row>
    <row r="235" spans="2:14" ht="57.6" x14ac:dyDescent="0.3">
      <c r="E235" s="5" t="s">
        <v>470</v>
      </c>
    </row>
    <row r="237" spans="2:14" x14ac:dyDescent="0.3">
      <c r="E237" s="5" t="s">
        <v>347</v>
      </c>
      <c r="G237" s="1">
        <f>(4.39+2.1)*3*2+(1.7+2.2)*2</f>
        <v>46.739999999999995</v>
      </c>
      <c r="J237" s="1">
        <v>2.5</v>
      </c>
      <c r="K237" s="1">
        <f>G237*J237</f>
        <v>116.85</v>
      </c>
    </row>
    <row r="238" spans="2:14" x14ac:dyDescent="0.3">
      <c r="E238" s="5" t="s">
        <v>343</v>
      </c>
      <c r="G238" s="1">
        <f>(3.8+3.4)*2+3*(1.7+2.2)</f>
        <v>26.1</v>
      </c>
      <c r="J238" s="1">
        <v>2.5</v>
      </c>
      <c r="K238" s="1">
        <f>G238*J238</f>
        <v>65.25</v>
      </c>
    </row>
    <row r="239" spans="2:14" x14ac:dyDescent="0.3">
      <c r="E239" s="5" t="s">
        <v>323</v>
      </c>
      <c r="G239" s="1">
        <f>2*(1.7+2.2)+2*(3.4+3.8)*2</f>
        <v>36.599999999999994</v>
      </c>
      <c r="J239" s="1">
        <v>2.5</v>
      </c>
      <c r="K239" s="1">
        <f>G239*J239</f>
        <v>91.499999999999986</v>
      </c>
    </row>
    <row r="240" spans="2:14" x14ac:dyDescent="0.3">
      <c r="E240" s="5" t="s">
        <v>324</v>
      </c>
      <c r="G240" s="1">
        <f>2*(4.39+2.1)</f>
        <v>12.98</v>
      </c>
      <c r="J240" s="1">
        <v>2.5</v>
      </c>
      <c r="K240" s="1">
        <f>G240*J240</f>
        <v>32.450000000000003</v>
      </c>
    </row>
    <row r="241" spans="2:14" x14ac:dyDescent="0.3">
      <c r="E241" s="5" t="s">
        <v>344</v>
      </c>
      <c r="G241" s="1">
        <f>2*(3.8+3.4)+2*(1.7+2.2)</f>
        <v>22.2</v>
      </c>
      <c r="J241" s="1">
        <v>2.5</v>
      </c>
      <c r="K241" s="1">
        <f>G241*J241</f>
        <v>55.5</v>
      </c>
    </row>
    <row r="242" spans="2:14" x14ac:dyDescent="0.3">
      <c r="E242" s="5" t="s">
        <v>587</v>
      </c>
      <c r="F242" s="1">
        <v>0.5</v>
      </c>
      <c r="G242" s="1">
        <f>SUM(G237:G241)</f>
        <v>144.62</v>
      </c>
      <c r="J242" s="1">
        <v>2.5</v>
      </c>
      <c r="K242" s="1">
        <f>J242*G242</f>
        <v>361.55</v>
      </c>
    </row>
    <row r="243" spans="2:14" x14ac:dyDescent="0.3">
      <c r="L243" s="23">
        <f>K237+K238+K239+K240+K241+K242</f>
        <v>723.09999999999991</v>
      </c>
      <c r="M243" s="1">
        <v>9.25</v>
      </c>
      <c r="N243" s="10">
        <f>L243*M243</f>
        <v>6688.6749999999993</v>
      </c>
    </row>
    <row r="245" spans="2:14" x14ac:dyDescent="0.3">
      <c r="B245" s="11">
        <v>2</v>
      </c>
      <c r="C245" s="11" t="s">
        <v>97</v>
      </c>
      <c r="D245" s="11" t="s">
        <v>161</v>
      </c>
      <c r="E245" s="6" t="s">
        <v>44</v>
      </c>
    </row>
    <row r="246" spans="2:14" ht="57.6" x14ac:dyDescent="0.3">
      <c r="E246" s="5" t="s">
        <v>368</v>
      </c>
    </row>
    <row r="248" spans="2:14" x14ac:dyDescent="0.3">
      <c r="E248" s="5" t="s">
        <v>347</v>
      </c>
      <c r="G248" s="1">
        <f>9.57+4.4+8.65+4.1+8.65+4.1+11.86+3.65+4.4+4.4+3.65+3.65</f>
        <v>71.08</v>
      </c>
      <c r="K248" s="1">
        <f>G248</f>
        <v>71.08</v>
      </c>
    </row>
    <row r="249" spans="2:14" x14ac:dyDescent="0.3">
      <c r="E249" s="5" t="s">
        <v>348</v>
      </c>
      <c r="G249" s="1">
        <f>(3*5.45)+(4.4*2)</f>
        <v>25.150000000000002</v>
      </c>
      <c r="K249" s="1">
        <f t="shared" ref="K249:K253" si="16">G249</f>
        <v>25.150000000000002</v>
      </c>
    </row>
    <row r="250" spans="2:14" x14ac:dyDescent="0.3">
      <c r="E250" s="5" t="s">
        <v>343</v>
      </c>
      <c r="G250" s="1">
        <f>(11.86*2)+3*(8.65+4.1)+(6*3.64)</f>
        <v>83.81</v>
      </c>
      <c r="K250" s="1">
        <f t="shared" si="16"/>
        <v>83.81</v>
      </c>
    </row>
    <row r="251" spans="2:14" x14ac:dyDescent="0.3">
      <c r="E251" s="5" t="s">
        <v>323</v>
      </c>
      <c r="G251" s="1">
        <f>8.65+4.1+11.86+11.86+6*(3.64)</f>
        <v>58.31</v>
      </c>
      <c r="K251" s="1">
        <f t="shared" si="16"/>
        <v>58.31</v>
      </c>
    </row>
    <row r="252" spans="2:14" x14ac:dyDescent="0.3">
      <c r="E252" s="5" t="s">
        <v>349</v>
      </c>
      <c r="G252" s="1">
        <f>6*3.64+9.57</f>
        <v>31.41</v>
      </c>
      <c r="K252" s="1">
        <f t="shared" si="16"/>
        <v>31.41</v>
      </c>
    </row>
    <row r="253" spans="2:14" x14ac:dyDescent="0.3">
      <c r="E253" s="5" t="s">
        <v>344</v>
      </c>
      <c r="G253" s="1">
        <f>11.86+8.65+4.1+(3*3.64)+3*(4.4)</f>
        <v>48.730000000000004</v>
      </c>
      <c r="K253" s="1">
        <f t="shared" si="16"/>
        <v>48.730000000000004</v>
      </c>
    </row>
    <row r="254" spans="2:14" x14ac:dyDescent="0.3">
      <c r="E254" s="5" t="s">
        <v>588</v>
      </c>
      <c r="F254" s="1">
        <v>0.5</v>
      </c>
      <c r="G254" s="1">
        <f>SUM(G248:G253)</f>
        <v>318.49000000000007</v>
      </c>
      <c r="K254" s="1">
        <f>G254*F254</f>
        <v>159.24500000000003</v>
      </c>
    </row>
    <row r="255" spans="2:14" ht="16.2" customHeight="1" x14ac:dyDescent="0.3">
      <c r="L255" s="10">
        <f>K248+K249+K250+K251+K252+K253+K254</f>
        <v>477.73500000000013</v>
      </c>
      <c r="M255" s="1">
        <v>10.65</v>
      </c>
      <c r="N255" s="10">
        <f>L255*M255</f>
        <v>5087.8777500000015</v>
      </c>
    </row>
    <row r="256" spans="2:14" ht="16.2" customHeight="1" x14ac:dyDescent="0.3">
      <c r="L256" s="1"/>
    </row>
    <row r="257" spans="2:11" ht="16.2" customHeight="1" x14ac:dyDescent="0.3">
      <c r="B257" s="11">
        <v>2</v>
      </c>
      <c r="C257" s="11" t="s">
        <v>298</v>
      </c>
      <c r="D257" s="11" t="s">
        <v>162</v>
      </c>
      <c r="E257" s="6" t="s">
        <v>51</v>
      </c>
    </row>
    <row r="258" spans="2:11" ht="41.4" customHeight="1" x14ac:dyDescent="0.3">
      <c r="E258" s="5" t="s">
        <v>658</v>
      </c>
    </row>
    <row r="259" spans="2:11" ht="16.2" customHeight="1" x14ac:dyDescent="0.3"/>
    <row r="260" spans="2:11" ht="16.2" customHeight="1" x14ac:dyDescent="0.3">
      <c r="E260" s="5" t="s">
        <v>347</v>
      </c>
      <c r="G260" s="1">
        <v>9</v>
      </c>
      <c r="H260" s="1">
        <v>4.8</v>
      </c>
      <c r="K260" s="1">
        <f>G260*H260</f>
        <v>43.199999999999996</v>
      </c>
    </row>
    <row r="261" spans="2:11" ht="16.2" customHeight="1" x14ac:dyDescent="0.3">
      <c r="G261" s="1">
        <v>6</v>
      </c>
      <c r="H261" s="1">
        <v>2.1</v>
      </c>
      <c r="K261" s="1">
        <f t="shared" ref="K261:K273" si="17">G261*H261</f>
        <v>12.600000000000001</v>
      </c>
    </row>
    <row r="262" spans="2:11" ht="16.2" customHeight="1" x14ac:dyDescent="0.3">
      <c r="E262" s="5" t="s">
        <v>321</v>
      </c>
      <c r="G262" s="1">
        <v>6</v>
      </c>
      <c r="H262" s="1">
        <v>2.1</v>
      </c>
      <c r="K262" s="1">
        <f t="shared" si="17"/>
        <v>12.600000000000001</v>
      </c>
    </row>
    <row r="263" spans="2:11" ht="16.2" customHeight="1" x14ac:dyDescent="0.3">
      <c r="E263" s="5" t="s">
        <v>343</v>
      </c>
      <c r="G263" s="1">
        <v>7</v>
      </c>
      <c r="H263" s="1">
        <v>4.8</v>
      </c>
      <c r="K263" s="1">
        <f t="shared" si="17"/>
        <v>33.6</v>
      </c>
    </row>
    <row r="264" spans="2:11" ht="16.2" customHeight="1" x14ac:dyDescent="0.3">
      <c r="G264" s="1">
        <v>6</v>
      </c>
      <c r="H264" s="1">
        <v>2.1</v>
      </c>
      <c r="K264" s="1">
        <f t="shared" si="17"/>
        <v>12.600000000000001</v>
      </c>
    </row>
    <row r="265" spans="2:11" ht="16.2" customHeight="1" x14ac:dyDescent="0.3">
      <c r="G265" s="1">
        <v>6</v>
      </c>
      <c r="H265" s="1">
        <v>4.5</v>
      </c>
      <c r="K265" s="1">
        <f t="shared" si="17"/>
        <v>27</v>
      </c>
    </row>
    <row r="266" spans="2:11" ht="16.2" customHeight="1" x14ac:dyDescent="0.3">
      <c r="E266" s="5" t="s">
        <v>350</v>
      </c>
      <c r="G266" s="1">
        <v>2</v>
      </c>
      <c r="H266" s="1">
        <v>4.8</v>
      </c>
      <c r="K266" s="1">
        <f t="shared" si="17"/>
        <v>9.6</v>
      </c>
    </row>
    <row r="267" spans="2:11" ht="16.2" customHeight="1" x14ac:dyDescent="0.3">
      <c r="G267" s="1">
        <v>6</v>
      </c>
      <c r="H267" s="1">
        <v>2.1</v>
      </c>
      <c r="K267" s="1">
        <f t="shared" si="17"/>
        <v>12.600000000000001</v>
      </c>
    </row>
    <row r="268" spans="2:11" ht="16.2" customHeight="1" x14ac:dyDescent="0.3">
      <c r="G268" s="1">
        <v>5</v>
      </c>
      <c r="H268" s="1">
        <v>4.5</v>
      </c>
      <c r="K268" s="1">
        <f t="shared" si="17"/>
        <v>22.5</v>
      </c>
    </row>
    <row r="269" spans="2:11" ht="16.2" customHeight="1" x14ac:dyDescent="0.3">
      <c r="E269" s="5" t="s">
        <v>324</v>
      </c>
      <c r="G269" s="1">
        <v>2</v>
      </c>
      <c r="H269" s="1">
        <v>4.8</v>
      </c>
      <c r="K269" s="1">
        <f t="shared" si="17"/>
        <v>9.6</v>
      </c>
    </row>
    <row r="270" spans="2:11" ht="16.2" customHeight="1" x14ac:dyDescent="0.3">
      <c r="G270" s="1">
        <v>6</v>
      </c>
      <c r="H270" s="1">
        <v>2.1</v>
      </c>
      <c r="K270" s="1">
        <f t="shared" si="17"/>
        <v>12.600000000000001</v>
      </c>
    </row>
    <row r="271" spans="2:11" ht="16.2" customHeight="1" x14ac:dyDescent="0.3">
      <c r="E271" s="5" t="s">
        <v>344</v>
      </c>
      <c r="G271" s="1">
        <v>2</v>
      </c>
      <c r="H271" s="1">
        <v>4.8</v>
      </c>
      <c r="K271" s="1">
        <f t="shared" si="17"/>
        <v>9.6</v>
      </c>
    </row>
    <row r="272" spans="2:11" x14ac:dyDescent="0.3">
      <c r="G272" s="1">
        <v>6</v>
      </c>
      <c r="H272" s="1">
        <v>2.1</v>
      </c>
      <c r="K272" s="1">
        <f t="shared" si="17"/>
        <v>12.600000000000001</v>
      </c>
    </row>
    <row r="273" spans="2:19" x14ac:dyDescent="0.3">
      <c r="G273" s="1">
        <v>2</v>
      </c>
      <c r="H273" s="1">
        <v>4.5</v>
      </c>
      <c r="K273" s="1">
        <f t="shared" si="17"/>
        <v>9</v>
      </c>
    </row>
    <row r="274" spans="2:19" x14ac:dyDescent="0.3">
      <c r="E274" s="5" t="s">
        <v>589</v>
      </c>
      <c r="F274" s="1">
        <v>0.5</v>
      </c>
      <c r="G274" s="1">
        <f>SUM(G260:G273)</f>
        <v>71</v>
      </c>
      <c r="H274" s="1">
        <v>4.5</v>
      </c>
      <c r="K274" s="1">
        <f>H274*G274*F274</f>
        <v>159.75</v>
      </c>
    </row>
    <row r="275" spans="2:19" x14ac:dyDescent="0.3">
      <c r="L275" s="10">
        <f>K260+K261+K262+K263+K264+K265+K266+K267+K268+K269+K270+K271+K272+K273+K274</f>
        <v>399.44999999999993</v>
      </c>
      <c r="M275" s="1">
        <f>48.72*2</f>
        <v>97.44</v>
      </c>
      <c r="N275" s="10">
        <f>L275*M275</f>
        <v>38922.407999999996</v>
      </c>
    </row>
    <row r="276" spans="2:19" x14ac:dyDescent="0.3">
      <c r="L276" s="1"/>
    </row>
    <row r="277" spans="2:19" x14ac:dyDescent="0.3">
      <c r="L277" s="1"/>
    </row>
    <row r="278" spans="2:19" x14ac:dyDescent="0.3">
      <c r="B278" s="11">
        <v>2</v>
      </c>
      <c r="C278" s="7" t="s">
        <v>98</v>
      </c>
      <c r="D278" s="7"/>
      <c r="E278" s="4" t="s">
        <v>48</v>
      </c>
      <c r="S278" s="1"/>
    </row>
    <row r="280" spans="2:19" x14ac:dyDescent="0.3">
      <c r="B280" s="11">
        <v>2</v>
      </c>
      <c r="C280" s="11" t="s">
        <v>99</v>
      </c>
      <c r="D280" s="11" t="s">
        <v>166</v>
      </c>
      <c r="E280" s="6" t="s">
        <v>49</v>
      </c>
    </row>
    <row r="281" spans="2:19" ht="57.6" x14ac:dyDescent="0.3">
      <c r="E281" s="5" t="s">
        <v>471</v>
      </c>
    </row>
    <row r="283" spans="2:19" x14ac:dyDescent="0.3">
      <c r="E283" s="5" t="s">
        <v>347</v>
      </c>
      <c r="G283" s="1">
        <v>1</v>
      </c>
      <c r="K283" s="1">
        <f>G283</f>
        <v>1</v>
      </c>
    </row>
    <row r="284" spans="2:19" x14ac:dyDescent="0.3">
      <c r="E284" s="5" t="s">
        <v>343</v>
      </c>
      <c r="G284" s="1">
        <v>3</v>
      </c>
      <c r="K284" s="1">
        <f t="shared" ref="K284:K287" si="18">G284</f>
        <v>3</v>
      </c>
    </row>
    <row r="285" spans="2:19" x14ac:dyDescent="0.3">
      <c r="E285" s="5" t="s">
        <v>354</v>
      </c>
      <c r="G285" s="1">
        <v>1</v>
      </c>
      <c r="K285" s="1">
        <f t="shared" si="18"/>
        <v>1</v>
      </c>
    </row>
    <row r="286" spans="2:19" x14ac:dyDescent="0.3">
      <c r="E286" s="5" t="s">
        <v>344</v>
      </c>
      <c r="G286" s="1">
        <v>1</v>
      </c>
      <c r="K286" s="1">
        <f t="shared" si="18"/>
        <v>1</v>
      </c>
    </row>
    <row r="287" spans="2:19" x14ac:dyDescent="0.3">
      <c r="E287" s="5" t="s">
        <v>352</v>
      </c>
      <c r="G287" s="1">
        <v>5</v>
      </c>
      <c r="K287" s="1">
        <f t="shared" si="18"/>
        <v>5</v>
      </c>
    </row>
    <row r="288" spans="2:19" x14ac:dyDescent="0.3">
      <c r="L288" s="10">
        <f>K283+K284+K285+K286+K287</f>
        <v>11</v>
      </c>
      <c r="M288" s="1">
        <v>210.5</v>
      </c>
      <c r="N288" s="10">
        <f>L288*M288</f>
        <v>2315.5</v>
      </c>
    </row>
    <row r="290" spans="2:14" x14ac:dyDescent="0.3">
      <c r="B290" s="11">
        <v>2</v>
      </c>
      <c r="C290" s="11" t="s">
        <v>100</v>
      </c>
      <c r="D290" s="11" t="s">
        <v>212</v>
      </c>
      <c r="E290" s="6" t="s">
        <v>297</v>
      </c>
    </row>
    <row r="291" spans="2:14" ht="43.2" x14ac:dyDescent="0.3">
      <c r="E291" s="5" t="s">
        <v>655</v>
      </c>
    </row>
    <row r="293" spans="2:14" x14ac:dyDescent="0.3">
      <c r="E293" s="5" t="s">
        <v>347</v>
      </c>
      <c r="G293" s="1">
        <v>6</v>
      </c>
      <c r="K293" s="1">
        <f>G293</f>
        <v>6</v>
      </c>
    </row>
    <row r="294" spans="2:14" x14ac:dyDescent="0.3">
      <c r="E294" s="5" t="s">
        <v>348</v>
      </c>
      <c r="G294" s="1">
        <v>5</v>
      </c>
      <c r="K294" s="1">
        <f t="shared" ref="K294:K298" si="19">G294</f>
        <v>5</v>
      </c>
    </row>
    <row r="295" spans="2:14" x14ac:dyDescent="0.3">
      <c r="E295" s="5" t="s">
        <v>343</v>
      </c>
      <c r="G295" s="1">
        <v>6</v>
      </c>
      <c r="K295" s="1">
        <f t="shared" si="19"/>
        <v>6</v>
      </c>
    </row>
    <row r="296" spans="2:14" x14ac:dyDescent="0.3">
      <c r="E296" s="5" t="s">
        <v>354</v>
      </c>
      <c r="G296" s="1">
        <v>6</v>
      </c>
      <c r="K296" s="1">
        <f t="shared" si="19"/>
        <v>6</v>
      </c>
    </row>
    <row r="297" spans="2:14" x14ac:dyDescent="0.3">
      <c r="E297" s="5" t="s">
        <v>349</v>
      </c>
      <c r="G297" s="1">
        <v>6</v>
      </c>
      <c r="K297" s="1">
        <f t="shared" si="19"/>
        <v>6</v>
      </c>
    </row>
    <row r="298" spans="2:14" x14ac:dyDescent="0.3">
      <c r="E298" s="5" t="s">
        <v>344</v>
      </c>
      <c r="G298" s="1">
        <v>6</v>
      </c>
      <c r="K298" s="1">
        <f t="shared" si="19"/>
        <v>6</v>
      </c>
    </row>
    <row r="299" spans="2:14" x14ac:dyDescent="0.3">
      <c r="L299" s="10">
        <f>K293+K294+K295+K296+K297+K298</f>
        <v>35</v>
      </c>
      <c r="M299" s="1">
        <f>29.57*2+250</f>
        <v>309.14</v>
      </c>
      <c r="N299" s="10">
        <f>L299*M299</f>
        <v>10819.9</v>
      </c>
    </row>
    <row r="301" spans="2:14" x14ac:dyDescent="0.3">
      <c r="B301" s="11">
        <v>2</v>
      </c>
      <c r="C301" s="11" t="s">
        <v>101</v>
      </c>
      <c r="D301" s="11" t="s">
        <v>212</v>
      </c>
      <c r="E301" s="6" t="s">
        <v>644</v>
      </c>
    </row>
    <row r="302" spans="2:14" ht="43.2" x14ac:dyDescent="0.3">
      <c r="E302" s="5" t="s">
        <v>472</v>
      </c>
    </row>
    <row r="304" spans="2:14" x14ac:dyDescent="0.3">
      <c r="E304" s="5" t="s">
        <v>347</v>
      </c>
      <c r="G304" s="1">
        <v>4</v>
      </c>
      <c r="K304" s="1">
        <f>G304</f>
        <v>4</v>
      </c>
    </row>
    <row r="305" spans="2:14" x14ac:dyDescent="0.3">
      <c r="E305" s="5" t="s">
        <v>348</v>
      </c>
      <c r="G305" s="1">
        <v>0</v>
      </c>
      <c r="K305" s="1">
        <f t="shared" ref="K305:K309" si="20">G305</f>
        <v>0</v>
      </c>
    </row>
    <row r="306" spans="2:14" x14ac:dyDescent="0.3">
      <c r="E306" s="5" t="s">
        <v>343</v>
      </c>
      <c r="G306" s="1">
        <v>5</v>
      </c>
      <c r="K306" s="1">
        <f t="shared" si="20"/>
        <v>5</v>
      </c>
    </row>
    <row r="307" spans="2:14" x14ac:dyDescent="0.3">
      <c r="E307" s="5" t="s">
        <v>354</v>
      </c>
      <c r="G307" s="1">
        <v>3</v>
      </c>
      <c r="K307" s="1">
        <f t="shared" si="20"/>
        <v>3</v>
      </c>
    </row>
    <row r="308" spans="2:14" x14ac:dyDescent="0.3">
      <c r="E308" s="5" t="s">
        <v>349</v>
      </c>
      <c r="G308" s="1">
        <v>1</v>
      </c>
      <c r="K308" s="1">
        <f t="shared" si="20"/>
        <v>1</v>
      </c>
    </row>
    <row r="309" spans="2:14" x14ac:dyDescent="0.3">
      <c r="E309" s="5" t="s">
        <v>344</v>
      </c>
      <c r="G309" s="1">
        <v>2</v>
      </c>
      <c r="K309" s="1">
        <f t="shared" si="20"/>
        <v>2</v>
      </c>
    </row>
    <row r="310" spans="2:14" ht="15.6" customHeight="1" x14ac:dyDescent="0.3">
      <c r="L310" s="10">
        <f>K304+K305+K306+K307+K308+K309</f>
        <v>15</v>
      </c>
      <c r="M310" s="1">
        <f>29.57*2 +300</f>
        <v>359.14</v>
      </c>
      <c r="N310" s="10">
        <f>L310*M310</f>
        <v>5387.0999999999995</v>
      </c>
    </row>
    <row r="311" spans="2:14" ht="15.6" customHeight="1" x14ac:dyDescent="0.3">
      <c r="L311" s="1"/>
    </row>
    <row r="312" spans="2:14" x14ac:dyDescent="0.3">
      <c r="B312" s="11">
        <v>2</v>
      </c>
      <c r="C312" s="11" t="s">
        <v>102</v>
      </c>
      <c r="D312" s="11" t="s">
        <v>212</v>
      </c>
      <c r="E312" s="6" t="s">
        <v>50</v>
      </c>
    </row>
    <row r="313" spans="2:14" ht="72" x14ac:dyDescent="0.3">
      <c r="E313" s="5" t="s">
        <v>473</v>
      </c>
    </row>
    <row r="315" spans="2:14" x14ac:dyDescent="0.3">
      <c r="E315" s="5" t="s">
        <v>347</v>
      </c>
      <c r="G315" s="1">
        <v>4</v>
      </c>
      <c r="K315" s="1">
        <f>G315</f>
        <v>4</v>
      </c>
    </row>
    <row r="316" spans="2:14" x14ac:dyDescent="0.3">
      <c r="E316" s="5" t="s">
        <v>348</v>
      </c>
      <c r="G316" s="1">
        <v>5</v>
      </c>
      <c r="K316" s="1">
        <f t="shared" ref="K316:K320" si="21">G316</f>
        <v>5</v>
      </c>
    </row>
    <row r="317" spans="2:14" x14ac:dyDescent="0.3">
      <c r="E317" s="5" t="s">
        <v>343</v>
      </c>
      <c r="G317" s="1">
        <v>4</v>
      </c>
      <c r="K317" s="1">
        <f t="shared" si="21"/>
        <v>4</v>
      </c>
    </row>
    <row r="318" spans="2:14" x14ac:dyDescent="0.3">
      <c r="E318" s="5" t="s">
        <v>354</v>
      </c>
      <c r="G318" s="1">
        <v>4</v>
      </c>
      <c r="K318" s="1">
        <f t="shared" si="21"/>
        <v>4</v>
      </c>
    </row>
    <row r="319" spans="2:14" x14ac:dyDescent="0.3">
      <c r="E319" s="5" t="s">
        <v>349</v>
      </c>
      <c r="G319" s="1">
        <v>4</v>
      </c>
      <c r="K319" s="1">
        <f t="shared" si="21"/>
        <v>4</v>
      </c>
    </row>
    <row r="320" spans="2:14" x14ac:dyDescent="0.3">
      <c r="E320" s="5" t="s">
        <v>344</v>
      </c>
      <c r="G320" s="1">
        <v>4</v>
      </c>
      <c r="K320" s="1">
        <f t="shared" si="21"/>
        <v>4</v>
      </c>
    </row>
    <row r="321" spans="1:25" x14ac:dyDescent="0.3">
      <c r="L321" s="10">
        <f>K315+K316+K317+K318+K319+K320</f>
        <v>25</v>
      </c>
      <c r="M321" s="1">
        <f>29.57+28.61+300</f>
        <v>358.18</v>
      </c>
      <c r="N321" s="10">
        <f>L321*M321</f>
        <v>8954.5</v>
      </c>
    </row>
    <row r="323" spans="1:25" x14ac:dyDescent="0.3">
      <c r="B323" s="11">
        <v>2</v>
      </c>
      <c r="C323" s="7" t="s">
        <v>104</v>
      </c>
      <c r="D323" s="7"/>
      <c r="E323" s="4" t="s">
        <v>597</v>
      </c>
    </row>
    <row r="324" spans="1:25" x14ac:dyDescent="0.3">
      <c r="D324" s="7"/>
      <c r="E324" s="4"/>
    </row>
    <row r="325" spans="1:25" x14ac:dyDescent="0.3">
      <c r="B325" s="11">
        <v>2</v>
      </c>
      <c r="C325" s="11" t="s">
        <v>598</v>
      </c>
      <c r="D325" s="11" t="s">
        <v>319</v>
      </c>
      <c r="E325" s="6" t="s">
        <v>135</v>
      </c>
    </row>
    <row r="326" spans="1:25" ht="43.2" x14ac:dyDescent="0.3">
      <c r="D326" s="7"/>
      <c r="E326" s="5" t="s">
        <v>300</v>
      </c>
    </row>
    <row r="327" spans="1:25" x14ac:dyDescent="0.3">
      <c r="D327" s="7"/>
      <c r="G327" s="1">
        <v>1</v>
      </c>
      <c r="K327" s="1">
        <f>G327</f>
        <v>1</v>
      </c>
    </row>
    <row r="328" spans="1:25" x14ac:dyDescent="0.3">
      <c r="D328" s="7"/>
      <c r="L328" s="10">
        <f>K327</f>
        <v>1</v>
      </c>
      <c r="M328" s="1">
        <v>1000</v>
      </c>
      <c r="N328" s="10">
        <f>L328*M328</f>
        <v>1000</v>
      </c>
    </row>
    <row r="329" spans="1:25" x14ac:dyDescent="0.3">
      <c r="D329" s="7"/>
    </row>
    <row r="330" spans="1:25" x14ac:dyDescent="0.3">
      <c r="B330" s="11">
        <v>2</v>
      </c>
      <c r="C330" s="11" t="s">
        <v>106</v>
      </c>
      <c r="D330" s="11" t="s">
        <v>166</v>
      </c>
      <c r="E330" s="6" t="s">
        <v>305</v>
      </c>
    </row>
    <row r="331" spans="1:25" ht="43.2" x14ac:dyDescent="0.3">
      <c r="E331" s="5" t="s">
        <v>627</v>
      </c>
    </row>
    <row r="333" spans="1:25" x14ac:dyDescent="0.3">
      <c r="E333" s="5" t="s">
        <v>364</v>
      </c>
      <c r="G333" s="1">
        <v>5</v>
      </c>
      <c r="K333" s="1">
        <f>G333</f>
        <v>5</v>
      </c>
    </row>
    <row r="334" spans="1:25" x14ac:dyDescent="0.3">
      <c r="L334" s="23">
        <f>K333</f>
        <v>5</v>
      </c>
      <c r="M334" s="1">
        <v>255</v>
      </c>
      <c r="N334" s="10">
        <f>L334*M334</f>
        <v>1275</v>
      </c>
    </row>
    <row r="336" spans="1:25" s="28" customFormat="1" ht="21" x14ac:dyDescent="0.4">
      <c r="A336" s="34"/>
      <c r="B336" s="34"/>
      <c r="C336" s="34"/>
      <c r="D336" s="34"/>
      <c r="E336" s="30" t="s">
        <v>474</v>
      </c>
      <c r="F336" s="29"/>
      <c r="G336" s="29"/>
      <c r="H336" s="29"/>
      <c r="I336" s="29"/>
      <c r="J336" s="29"/>
      <c r="K336" s="29"/>
      <c r="M336" s="29"/>
      <c r="N336" s="29"/>
      <c r="P336" s="33">
        <f>SUM(N3:N334)</f>
        <v>384223.54934999999</v>
      </c>
      <c r="Q336" s="33"/>
      <c r="T336" s="29"/>
      <c r="U336" s="29"/>
      <c r="V336" s="29"/>
      <c r="W336" s="29"/>
      <c r="X336" s="29"/>
      <c r="Y336" s="29"/>
    </row>
    <row r="338" spans="5:25" x14ac:dyDescent="0.3">
      <c r="R338" s="32"/>
      <c r="T338" s="32"/>
      <c r="U338" s="32"/>
      <c r="V338" s="32"/>
      <c r="W338" s="32"/>
      <c r="X338" s="32"/>
      <c r="Y338" s="32"/>
    </row>
    <row r="339" spans="5:25" x14ac:dyDescent="0.3">
      <c r="R339" s="32"/>
      <c r="T339" s="32"/>
      <c r="U339" s="32"/>
      <c r="V339" s="32"/>
      <c r="W339" s="32"/>
      <c r="X339" s="32"/>
      <c r="Y339" s="32"/>
    </row>
    <row r="340" spans="5:25" ht="18" x14ac:dyDescent="0.35">
      <c r="E340" s="40"/>
      <c r="R340" s="25"/>
      <c r="T340" s="32"/>
      <c r="U340" s="32"/>
      <c r="V340" s="32"/>
      <c r="W340" s="32"/>
      <c r="X340" s="32"/>
      <c r="Y340" s="32"/>
    </row>
    <row r="342" spans="5:25" ht="18" x14ac:dyDescent="0.35">
      <c r="E342" s="40"/>
      <c r="T342" s="25"/>
      <c r="U342" s="25"/>
      <c r="V342" s="25"/>
      <c r="W342" s="25"/>
      <c r="X342" s="25"/>
      <c r="Y342" s="25"/>
    </row>
    <row r="343" spans="5:25" ht="18" x14ac:dyDescent="0.35">
      <c r="E343" s="40"/>
      <c r="T343" s="25"/>
      <c r="U343" s="25"/>
      <c r="V343" s="25"/>
      <c r="W343" s="25"/>
      <c r="X343" s="25"/>
      <c r="Y343" s="25"/>
    </row>
    <row r="344" spans="5:25" ht="18" x14ac:dyDescent="0.35">
      <c r="E344" s="40"/>
      <c r="T344" s="25"/>
      <c r="U344" s="25"/>
      <c r="V344" s="25"/>
      <c r="W344" s="25"/>
      <c r="X344" s="25"/>
      <c r="Y344" s="25"/>
    </row>
    <row r="345" spans="5:25" ht="18" x14ac:dyDescent="0.35">
      <c r="E345" s="40"/>
      <c r="T345" s="25"/>
      <c r="U345" s="25"/>
      <c r="V345" s="25"/>
      <c r="W345" s="25"/>
      <c r="X345" s="25"/>
      <c r="Y345" s="25"/>
    </row>
    <row r="346" spans="5:25" ht="18" x14ac:dyDescent="0.35">
      <c r="E346" s="40"/>
      <c r="T346" s="25"/>
      <c r="U346" s="25"/>
      <c r="V346" s="25"/>
      <c r="W346" s="25"/>
      <c r="X346" s="25"/>
      <c r="Y346" s="25"/>
    </row>
    <row r="347" spans="5:25" ht="18" x14ac:dyDescent="0.35">
      <c r="E347" s="40"/>
      <c r="T347" s="25"/>
      <c r="U347" s="25"/>
      <c r="V347" s="25"/>
      <c r="W347" s="25"/>
      <c r="X347" s="25"/>
      <c r="Y347" s="25"/>
    </row>
    <row r="348" spans="5:25" ht="18" x14ac:dyDescent="0.35">
      <c r="E348" s="40"/>
      <c r="T348" s="25"/>
      <c r="U348" s="25"/>
      <c r="V348" s="25"/>
      <c r="W348" s="25"/>
      <c r="X348" s="25"/>
      <c r="Y348" s="25"/>
    </row>
    <row r="349" spans="5:25" ht="18" x14ac:dyDescent="0.35">
      <c r="E349" s="40"/>
      <c r="T349" s="25"/>
      <c r="U349" s="25"/>
      <c r="V349" s="25"/>
      <c r="W349" s="25"/>
      <c r="X349" s="25"/>
      <c r="Y349" s="25"/>
    </row>
    <row r="350" spans="5:25" ht="18" x14ac:dyDescent="0.35">
      <c r="E350" s="40"/>
      <c r="T350" s="25"/>
      <c r="U350" s="25"/>
      <c r="V350" s="25"/>
      <c r="W350" s="25"/>
      <c r="X350" s="25"/>
      <c r="Y350" s="25"/>
    </row>
  </sheetData>
  <pageMargins left="0.39370078740157483" right="0.39370078740157483" top="0.74803149606299213" bottom="0.74803149606299213" header="0.31496062992125984" footer="0.31496062992125984"/>
  <pageSetup paperSize="9" scale="51" fitToHeight="0" orientation="portrait" verticalDpi="300" r:id="rId1"/>
  <rowBreaks count="4" manualBreakCount="4">
    <brk id="72" max="16383" man="1"/>
    <brk id="127" max="16383" man="1"/>
    <brk id="192" max="16383" man="1"/>
    <brk id="2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7B1F-1EE1-4C62-8155-FB3D23B2D11A}">
  <sheetPr>
    <pageSetUpPr fitToPage="1"/>
  </sheetPr>
  <dimension ref="A1:AA339"/>
  <sheetViews>
    <sheetView topLeftCell="A320" workbookViewId="0">
      <selection activeCell="F7" sqref="F7"/>
    </sheetView>
  </sheetViews>
  <sheetFormatPr baseColWidth="10" defaultRowHeight="14.4" x14ac:dyDescent="0.3"/>
  <cols>
    <col min="1" max="2" width="4.77734375" style="11" customWidth="1"/>
    <col min="3" max="3" width="6.77734375" style="11" customWidth="1"/>
    <col min="4" max="4" width="4.77734375" style="11" customWidth="1"/>
    <col min="5" max="5" width="50.77734375" style="5" customWidth="1"/>
    <col min="6" max="6" width="5.33203125" style="1" customWidth="1"/>
    <col min="7" max="7" width="11" style="1" customWidth="1"/>
    <col min="8" max="8" width="9.88671875" style="1" customWidth="1"/>
    <col min="9" max="9" width="10.33203125" style="1" customWidth="1"/>
    <col min="10" max="10" width="11.109375" style="1" customWidth="1"/>
    <col min="11" max="11" width="11.5546875" style="1" customWidth="1"/>
    <col min="12" max="12" width="10.5546875" style="1" customWidth="1"/>
    <col min="13" max="13" width="12.44140625" style="1" customWidth="1"/>
    <col min="14" max="14" width="11.5546875" style="1"/>
    <col min="15" max="15" width="9.33203125" style="1" customWidth="1"/>
    <col min="16" max="17" width="19.88671875" customWidth="1"/>
    <col min="18" max="18" width="4.77734375" customWidth="1"/>
    <col min="19" max="19" width="13.21875" style="1" customWidth="1"/>
    <col min="20" max="20" width="11.5546875" style="1"/>
    <col min="21" max="21" width="12.88671875" style="1" customWidth="1"/>
    <col min="22" max="22" width="11.5546875" style="1"/>
    <col min="23" max="23" width="3.88671875" style="1" customWidth="1"/>
    <col min="24" max="24" width="14.44140625" style="1" customWidth="1"/>
  </cols>
  <sheetData>
    <row r="1" spans="1:24" s="8" customFormat="1" ht="15" thickBot="1" x14ac:dyDescent="0.35">
      <c r="A1" s="81" t="s">
        <v>148</v>
      </c>
      <c r="B1" s="8" t="s">
        <v>265</v>
      </c>
      <c r="C1" s="8" t="s">
        <v>149</v>
      </c>
      <c r="D1" s="8" t="s">
        <v>151</v>
      </c>
      <c r="E1" s="8" t="s">
        <v>150</v>
      </c>
      <c r="F1" s="8" t="s">
        <v>167</v>
      </c>
      <c r="G1" s="9" t="s">
        <v>151</v>
      </c>
      <c r="H1" s="9" t="s">
        <v>152</v>
      </c>
      <c r="I1" s="9" t="s">
        <v>153</v>
      </c>
      <c r="J1" s="9" t="s">
        <v>154</v>
      </c>
      <c r="K1" s="9" t="s">
        <v>155</v>
      </c>
      <c r="L1" s="9" t="s">
        <v>156</v>
      </c>
      <c r="M1" s="9" t="s">
        <v>157</v>
      </c>
      <c r="N1" s="9" t="s">
        <v>158</v>
      </c>
      <c r="O1" s="9"/>
      <c r="P1" s="81"/>
      <c r="Q1" s="81"/>
      <c r="R1" s="81"/>
      <c r="S1" s="82"/>
      <c r="T1" s="82"/>
      <c r="U1" s="82"/>
      <c r="V1" s="82"/>
      <c r="W1" s="82"/>
      <c r="X1" s="82"/>
    </row>
    <row r="2" spans="1:24" x14ac:dyDescent="0.3">
      <c r="F2" s="5"/>
    </row>
    <row r="3" spans="1:24" ht="17.399999999999999" x14ac:dyDescent="0.3">
      <c r="E3" s="20" t="s">
        <v>306</v>
      </c>
    </row>
    <row r="5" spans="1:24" ht="15.6" x14ac:dyDescent="0.3">
      <c r="E5" s="3" t="s">
        <v>122</v>
      </c>
    </row>
    <row r="6" spans="1:24" ht="15" x14ac:dyDescent="0.3">
      <c r="E6" s="2"/>
    </row>
    <row r="7" spans="1:24" s="17" customFormat="1" ht="15.6" x14ac:dyDescent="0.3">
      <c r="A7" s="11"/>
      <c r="B7" s="22">
        <v>3</v>
      </c>
      <c r="C7" s="14"/>
      <c r="D7" s="14"/>
      <c r="E7" s="15" t="s">
        <v>307</v>
      </c>
      <c r="F7" s="16"/>
      <c r="G7" s="16"/>
      <c r="H7" s="16"/>
      <c r="I7" s="16"/>
      <c r="J7" s="16"/>
      <c r="K7" s="16"/>
      <c r="L7" s="16"/>
      <c r="M7" s="16"/>
      <c r="N7" s="16"/>
      <c r="O7" s="16"/>
      <c r="P7"/>
      <c r="Q7"/>
      <c r="R7"/>
      <c r="S7" s="1"/>
      <c r="T7" s="1"/>
      <c r="U7" s="1"/>
      <c r="V7" s="1"/>
      <c r="W7" s="1"/>
      <c r="X7" s="1"/>
    </row>
    <row r="9" spans="1:24" x14ac:dyDescent="0.3">
      <c r="B9" s="11">
        <v>3</v>
      </c>
      <c r="C9" s="7" t="s">
        <v>86</v>
      </c>
      <c r="E9" s="4" t="s">
        <v>34</v>
      </c>
    </row>
    <row r="11" spans="1:24" x14ac:dyDescent="0.3">
      <c r="B11" s="11">
        <v>3</v>
      </c>
      <c r="C11" s="11" t="s">
        <v>87</v>
      </c>
      <c r="D11" s="11" t="s">
        <v>288</v>
      </c>
      <c r="E11" s="6" t="s">
        <v>475</v>
      </c>
    </row>
    <row r="12" spans="1:24" ht="57.6" x14ac:dyDescent="0.3">
      <c r="E12" s="5" t="s">
        <v>477</v>
      </c>
    </row>
    <row r="13" spans="1:24" x14ac:dyDescent="0.3">
      <c r="G13" s="1">
        <v>12</v>
      </c>
      <c r="K13" s="1">
        <f>G13</f>
        <v>12</v>
      </c>
    </row>
    <row r="14" spans="1:24" x14ac:dyDescent="0.3">
      <c r="L14" s="10">
        <f>K13</f>
        <v>12</v>
      </c>
      <c r="M14" s="1">
        <f>39.71+36.66+73.31+150+50</f>
        <v>349.68</v>
      </c>
      <c r="N14" s="10">
        <f>L14*M14</f>
        <v>4196.16</v>
      </c>
    </row>
    <row r="16" spans="1:24" x14ac:dyDescent="0.3">
      <c r="B16" s="11">
        <v>3</v>
      </c>
      <c r="C16" s="11" t="s">
        <v>264</v>
      </c>
      <c r="D16" s="11" t="s">
        <v>166</v>
      </c>
      <c r="E16" s="6" t="s">
        <v>269</v>
      </c>
      <c r="L16"/>
    </row>
    <row r="17" spans="2:14" ht="72" x14ac:dyDescent="0.3">
      <c r="E17" s="5" t="s">
        <v>469</v>
      </c>
      <c r="L17"/>
    </row>
    <row r="18" spans="2:14" x14ac:dyDescent="0.3">
      <c r="L18"/>
    </row>
    <row r="19" spans="2:14" x14ac:dyDescent="0.3">
      <c r="E19" s="5" t="s">
        <v>335</v>
      </c>
      <c r="G19" s="1">
        <v>2</v>
      </c>
      <c r="K19" s="1">
        <f>G19</f>
        <v>2</v>
      </c>
      <c r="L19"/>
    </row>
    <row r="20" spans="2:14" x14ac:dyDescent="0.3">
      <c r="E20" s="5" t="s">
        <v>337</v>
      </c>
      <c r="G20" s="1">
        <v>2</v>
      </c>
      <c r="K20" s="1">
        <f t="shared" ref="K20:K24" si="0">G20</f>
        <v>2</v>
      </c>
      <c r="L20"/>
    </row>
    <row r="21" spans="2:14" x14ac:dyDescent="0.3">
      <c r="E21" s="5" t="s">
        <v>338</v>
      </c>
      <c r="G21" s="1">
        <v>2</v>
      </c>
      <c r="K21" s="1">
        <f t="shared" si="0"/>
        <v>2</v>
      </c>
      <c r="L21"/>
    </row>
    <row r="22" spans="2:14" x14ac:dyDescent="0.3">
      <c r="E22" s="5" t="s">
        <v>339</v>
      </c>
      <c r="G22" s="1">
        <v>2</v>
      </c>
      <c r="K22" s="1">
        <f t="shared" si="0"/>
        <v>2</v>
      </c>
      <c r="L22"/>
    </row>
    <row r="23" spans="2:14" x14ac:dyDescent="0.3">
      <c r="E23" s="5" t="s">
        <v>336</v>
      </c>
      <c r="G23" s="1">
        <v>2</v>
      </c>
      <c r="K23" s="1">
        <f t="shared" si="0"/>
        <v>2</v>
      </c>
      <c r="L23"/>
    </row>
    <row r="24" spans="2:14" x14ac:dyDescent="0.3">
      <c r="E24" s="5" t="s">
        <v>340</v>
      </c>
      <c r="G24" s="1">
        <v>2</v>
      </c>
      <c r="K24" s="1">
        <f t="shared" si="0"/>
        <v>2</v>
      </c>
      <c r="L24"/>
    </row>
    <row r="25" spans="2:14" x14ac:dyDescent="0.3">
      <c r="L25" s="10">
        <f>K19+K20+K21+K22+K23+K24</f>
        <v>12</v>
      </c>
      <c r="M25" s="1">
        <f>(200*2)+100</f>
        <v>500</v>
      </c>
      <c r="N25" s="10">
        <f>L25*M25</f>
        <v>6000</v>
      </c>
    </row>
    <row r="28" spans="2:14" x14ac:dyDescent="0.3">
      <c r="B28" s="11">
        <v>3</v>
      </c>
      <c r="C28" s="7" t="s">
        <v>88</v>
      </c>
      <c r="E28" s="4" t="s">
        <v>53</v>
      </c>
    </row>
    <row r="30" spans="2:14" x14ac:dyDescent="0.3">
      <c r="B30" s="11">
        <v>3</v>
      </c>
      <c r="C30" s="11" t="s">
        <v>89</v>
      </c>
      <c r="D30" s="11" t="s">
        <v>166</v>
      </c>
      <c r="E30" s="6" t="s">
        <v>400</v>
      </c>
    </row>
    <row r="31" spans="2:14" ht="58.8" customHeight="1" x14ac:dyDescent="0.3">
      <c r="E31" s="5" t="s">
        <v>476</v>
      </c>
    </row>
    <row r="33" spans="2:25" x14ac:dyDescent="0.3">
      <c r="G33" s="1">
        <v>5</v>
      </c>
      <c r="K33" s="1">
        <f>G33</f>
        <v>5</v>
      </c>
    </row>
    <row r="34" spans="2:25" x14ac:dyDescent="0.3">
      <c r="L34" s="10">
        <f>K33</f>
        <v>5</v>
      </c>
      <c r="M34" s="1">
        <f>(28.61+23.88)*3</f>
        <v>157.46999999999997</v>
      </c>
      <c r="N34" s="10">
        <f>L34*M34</f>
        <v>787.34999999999991</v>
      </c>
    </row>
    <row r="36" spans="2:25" x14ac:dyDescent="0.3">
      <c r="B36" s="11">
        <v>3</v>
      </c>
      <c r="C36" s="11" t="s">
        <v>90</v>
      </c>
      <c r="D36" s="11" t="s">
        <v>161</v>
      </c>
      <c r="E36" s="6" t="s">
        <v>478</v>
      </c>
    </row>
    <row r="37" spans="2:25" ht="33" customHeight="1" x14ac:dyDescent="0.3">
      <c r="E37" s="5" t="s">
        <v>479</v>
      </c>
    </row>
    <row r="39" spans="2:25" x14ac:dyDescent="0.3">
      <c r="E39" s="5" t="s">
        <v>481</v>
      </c>
      <c r="G39" s="1">
        <v>2</v>
      </c>
      <c r="H39" s="1">
        <f>4.79+4.79+1+3.5+0.6+3.42+3.43+0.6+2.1+(4.79*0.5)+2.26</f>
        <v>28.885000000000005</v>
      </c>
      <c r="J39" s="1">
        <v>2.8</v>
      </c>
      <c r="K39" s="1">
        <f>H39*J39*G39</f>
        <v>161.75600000000003</v>
      </c>
    </row>
    <row r="40" spans="2:25" x14ac:dyDescent="0.3">
      <c r="E40" s="5" t="s">
        <v>482</v>
      </c>
      <c r="G40" s="1">
        <v>2</v>
      </c>
      <c r="H40" s="1">
        <f t="shared" ref="H40:H43" si="1">4.79+4.79+1+3.5+0.6+3.42+3.43+0.6+2.1+(4.79*0.5)+2.26</f>
        <v>28.885000000000005</v>
      </c>
      <c r="J40" s="1">
        <v>2.8</v>
      </c>
      <c r="K40" s="1">
        <f t="shared" ref="K40:K44" si="2">H40*J40*G40</f>
        <v>161.75600000000003</v>
      </c>
    </row>
    <row r="41" spans="2:25" x14ac:dyDescent="0.3">
      <c r="E41" s="5" t="s">
        <v>480</v>
      </c>
      <c r="G41" s="1">
        <v>2</v>
      </c>
      <c r="H41" s="1">
        <f t="shared" si="1"/>
        <v>28.885000000000005</v>
      </c>
      <c r="J41" s="1">
        <v>2.8</v>
      </c>
      <c r="K41" s="1">
        <f t="shared" si="2"/>
        <v>161.75600000000003</v>
      </c>
    </row>
    <row r="42" spans="2:25" x14ac:dyDescent="0.3">
      <c r="E42" s="5" t="s">
        <v>483</v>
      </c>
      <c r="G42" s="1">
        <v>2</v>
      </c>
      <c r="H42" s="1">
        <f t="shared" si="1"/>
        <v>28.885000000000005</v>
      </c>
      <c r="J42" s="1">
        <v>2.8</v>
      </c>
      <c r="K42" s="1">
        <f>H42*J42*G42</f>
        <v>161.75600000000003</v>
      </c>
    </row>
    <row r="43" spans="2:25" x14ac:dyDescent="0.3">
      <c r="E43" s="5" t="s">
        <v>498</v>
      </c>
      <c r="G43" s="1">
        <v>1</v>
      </c>
      <c r="H43" s="1">
        <f t="shared" si="1"/>
        <v>28.885000000000005</v>
      </c>
      <c r="J43" s="1">
        <v>2.8</v>
      </c>
      <c r="K43" s="1">
        <f>J43*H43*G43</f>
        <v>80.878000000000014</v>
      </c>
      <c r="Y43" s="1"/>
    </row>
    <row r="44" spans="2:25" x14ac:dyDescent="0.3">
      <c r="E44" s="5" t="s">
        <v>499</v>
      </c>
      <c r="G44" s="1">
        <v>1</v>
      </c>
      <c r="H44" s="1">
        <f>5.3+5.3+4.5+1.7+5.38+3.05+2.05+2.05</f>
        <v>29.330000000000002</v>
      </c>
      <c r="J44" s="1">
        <v>2.8</v>
      </c>
      <c r="K44" s="1">
        <f t="shared" si="2"/>
        <v>82.123999999999995</v>
      </c>
    </row>
    <row r="45" spans="2:25" ht="15" customHeight="1" x14ac:dyDescent="0.3">
      <c r="E45" s="5" t="s">
        <v>484</v>
      </c>
      <c r="G45" s="1">
        <v>2</v>
      </c>
      <c r="H45" s="1">
        <f>4.79+4.79+1+3.5+0.6+3.42+3.43+0.6+2.1+(4.79*0.5)+2.26</f>
        <v>28.885000000000005</v>
      </c>
      <c r="J45" s="1">
        <v>2.8</v>
      </c>
      <c r="K45" s="1">
        <f t="shared" ref="K45" si="3">H45*J45*G45</f>
        <v>161.75600000000003</v>
      </c>
    </row>
    <row r="46" spans="2:25" ht="15" customHeight="1" x14ac:dyDescent="0.3">
      <c r="E46" s="5" t="s">
        <v>684</v>
      </c>
      <c r="G46" s="1">
        <v>5</v>
      </c>
      <c r="H46" s="1">
        <v>9.3000000000000007</v>
      </c>
      <c r="J46" s="1">
        <v>2.8</v>
      </c>
      <c r="K46" s="1">
        <f>G46*J46*H46</f>
        <v>130.20000000000002</v>
      </c>
    </row>
    <row r="47" spans="2:25" x14ac:dyDescent="0.3">
      <c r="L47" s="10">
        <f>K39+K40+K41+K42+K43+K44+K45+K46</f>
        <v>1101.9820000000002</v>
      </c>
      <c r="M47" s="1">
        <v>11.8</v>
      </c>
      <c r="N47" s="10">
        <f>L47*M47</f>
        <v>13003.387600000004</v>
      </c>
    </row>
    <row r="49" spans="2:14" x14ac:dyDescent="0.3">
      <c r="B49" s="11">
        <v>3</v>
      </c>
      <c r="C49" s="11" t="s">
        <v>283</v>
      </c>
      <c r="D49" s="11" t="s">
        <v>161</v>
      </c>
      <c r="E49" s="6" t="s">
        <v>394</v>
      </c>
    </row>
    <row r="50" spans="2:14" ht="63" customHeight="1" x14ac:dyDescent="0.3">
      <c r="E50" s="5" t="s">
        <v>500</v>
      </c>
    </row>
    <row r="52" spans="2:14" x14ac:dyDescent="0.3">
      <c r="E52" s="5" t="s">
        <v>636</v>
      </c>
      <c r="G52" s="1">
        <v>1</v>
      </c>
      <c r="H52" s="1">
        <v>74.319999999999993</v>
      </c>
      <c r="K52" s="1">
        <f>H52*G52</f>
        <v>74.319999999999993</v>
      </c>
    </row>
    <row r="53" spans="2:14" x14ac:dyDescent="0.3">
      <c r="E53" s="5" t="s">
        <v>637</v>
      </c>
      <c r="G53" s="1">
        <v>1</v>
      </c>
      <c r="H53" s="1">
        <v>74.87</v>
      </c>
      <c r="K53" s="1">
        <f>H53*G53</f>
        <v>74.87</v>
      </c>
    </row>
    <row r="54" spans="2:14" x14ac:dyDescent="0.3">
      <c r="E54" s="5" t="s">
        <v>482</v>
      </c>
      <c r="G54" s="1">
        <v>2</v>
      </c>
      <c r="H54" s="1">
        <v>74.319999999999993</v>
      </c>
      <c r="K54" s="1">
        <f t="shared" ref="K54:K60" si="4">H54*G54</f>
        <v>148.63999999999999</v>
      </c>
    </row>
    <row r="55" spans="2:14" x14ac:dyDescent="0.3">
      <c r="E55" s="5" t="s">
        <v>480</v>
      </c>
      <c r="G55" s="1">
        <v>2</v>
      </c>
      <c r="H55" s="1">
        <v>74.319999999999993</v>
      </c>
      <c r="K55" s="1">
        <f t="shared" si="4"/>
        <v>148.63999999999999</v>
      </c>
    </row>
    <row r="56" spans="2:14" x14ac:dyDescent="0.3">
      <c r="E56" s="5" t="s">
        <v>483</v>
      </c>
      <c r="G56" s="1">
        <v>2</v>
      </c>
      <c r="H56" s="1">
        <v>74.319999999999993</v>
      </c>
      <c r="K56" s="1">
        <f t="shared" si="4"/>
        <v>148.63999999999999</v>
      </c>
    </row>
    <row r="57" spans="2:14" x14ac:dyDescent="0.3">
      <c r="E57" s="5" t="s">
        <v>501</v>
      </c>
      <c r="G57" s="1">
        <v>1</v>
      </c>
      <c r="H57" s="1">
        <v>74.319999999999993</v>
      </c>
      <c r="K57" s="1">
        <f t="shared" si="4"/>
        <v>74.319999999999993</v>
      </c>
    </row>
    <row r="58" spans="2:14" x14ac:dyDescent="0.3">
      <c r="E58" s="5" t="s">
        <v>499</v>
      </c>
      <c r="G58" s="1">
        <v>1</v>
      </c>
      <c r="H58" s="1">
        <v>97.56</v>
      </c>
      <c r="K58" s="1">
        <f t="shared" si="4"/>
        <v>97.56</v>
      </c>
    </row>
    <row r="59" spans="2:14" x14ac:dyDescent="0.3">
      <c r="E59" s="5" t="s">
        <v>639</v>
      </c>
      <c r="G59" s="1">
        <v>1</v>
      </c>
      <c r="H59" s="1">
        <v>74.87</v>
      </c>
      <c r="K59" s="1">
        <f t="shared" si="4"/>
        <v>74.87</v>
      </c>
    </row>
    <row r="60" spans="2:14" x14ac:dyDescent="0.3">
      <c r="E60" s="5" t="s">
        <v>638</v>
      </c>
      <c r="G60" s="1">
        <v>1</v>
      </c>
      <c r="H60" s="1">
        <v>74.319999999999993</v>
      </c>
      <c r="K60" s="1">
        <f t="shared" si="4"/>
        <v>74.319999999999993</v>
      </c>
    </row>
    <row r="61" spans="2:14" x14ac:dyDescent="0.3">
      <c r="L61" s="10">
        <f>K52+K54+K55+K56+K57+K58+K59+K53+K60</f>
        <v>916.17999999999984</v>
      </c>
      <c r="M61" s="1">
        <f>14.08+56.3+20</f>
        <v>90.38</v>
      </c>
      <c r="N61" s="10">
        <f>L61*M61</f>
        <v>82804.348399999988</v>
      </c>
    </row>
    <row r="63" spans="2:14" x14ac:dyDescent="0.3">
      <c r="B63" s="11">
        <v>3</v>
      </c>
      <c r="C63" s="11" t="s">
        <v>310</v>
      </c>
      <c r="D63" s="11" t="s">
        <v>162</v>
      </c>
      <c r="E63" s="6" t="s">
        <v>123</v>
      </c>
    </row>
    <row r="64" spans="2:14" ht="57.6" x14ac:dyDescent="0.3">
      <c r="E64" s="5" t="s">
        <v>628</v>
      </c>
    </row>
    <row r="66" spans="2:14" x14ac:dyDescent="0.3">
      <c r="E66" s="5" t="s">
        <v>488</v>
      </c>
      <c r="G66" s="1">
        <f>20-2.5</f>
        <v>17.5</v>
      </c>
      <c r="K66" s="1">
        <f>G66</f>
        <v>17.5</v>
      </c>
    </row>
    <row r="67" spans="2:14" x14ac:dyDescent="0.3">
      <c r="E67" s="5" t="s">
        <v>322</v>
      </c>
      <c r="G67" s="1">
        <f>18-2.5</f>
        <v>15.5</v>
      </c>
      <c r="K67" s="1">
        <f t="shared" ref="K67:K71" si="5">G67</f>
        <v>15.5</v>
      </c>
    </row>
    <row r="68" spans="2:14" x14ac:dyDescent="0.3">
      <c r="E68" s="5" t="s">
        <v>350</v>
      </c>
      <c r="G68" s="1">
        <f t="shared" ref="G68:G71" si="6">18-2.5</f>
        <v>15.5</v>
      </c>
      <c r="K68" s="1">
        <f t="shared" si="5"/>
        <v>15.5</v>
      </c>
    </row>
    <row r="69" spans="2:14" x14ac:dyDescent="0.3">
      <c r="E69" s="5" t="s">
        <v>349</v>
      </c>
      <c r="G69" s="1">
        <f t="shared" si="6"/>
        <v>15.5</v>
      </c>
      <c r="K69" s="1">
        <f t="shared" si="5"/>
        <v>15.5</v>
      </c>
    </row>
    <row r="70" spans="2:14" x14ac:dyDescent="0.3">
      <c r="E70" s="5" t="s">
        <v>489</v>
      </c>
      <c r="G70" s="1">
        <f>30-2.5</f>
        <v>27.5</v>
      </c>
      <c r="K70" s="1">
        <f t="shared" si="5"/>
        <v>27.5</v>
      </c>
    </row>
    <row r="71" spans="2:14" x14ac:dyDescent="0.3">
      <c r="E71" s="5" t="s">
        <v>344</v>
      </c>
      <c r="G71" s="1">
        <f t="shared" si="6"/>
        <v>15.5</v>
      </c>
      <c r="K71" s="1">
        <f t="shared" si="5"/>
        <v>15.5</v>
      </c>
    </row>
    <row r="72" spans="2:14" x14ac:dyDescent="0.3">
      <c r="L72" s="10">
        <f>K66+K67+K68+K69+K70+K71</f>
        <v>107</v>
      </c>
      <c r="M72" s="1">
        <f>75.38+80</f>
        <v>155.38</v>
      </c>
      <c r="N72" s="10">
        <f>L72*M72</f>
        <v>16625.66</v>
      </c>
    </row>
    <row r="74" spans="2:14" x14ac:dyDescent="0.3">
      <c r="B74" s="11">
        <v>3</v>
      </c>
      <c r="C74" s="11" t="s">
        <v>285</v>
      </c>
      <c r="D74" s="11" t="s">
        <v>162</v>
      </c>
      <c r="E74" s="6" t="s">
        <v>124</v>
      </c>
    </row>
    <row r="75" spans="2:14" ht="57.6" x14ac:dyDescent="0.3">
      <c r="E75" s="5" t="s">
        <v>487</v>
      </c>
    </row>
    <row r="77" spans="2:14" x14ac:dyDescent="0.3">
      <c r="E77" s="5" t="s">
        <v>488</v>
      </c>
      <c r="G77" s="1">
        <f>24-2.5</f>
        <v>21.5</v>
      </c>
      <c r="K77" s="1">
        <f>G77</f>
        <v>21.5</v>
      </c>
    </row>
    <row r="78" spans="2:14" x14ac:dyDescent="0.3">
      <c r="E78" s="5" t="s">
        <v>322</v>
      </c>
      <c r="G78" s="1">
        <f>18-2.5</f>
        <v>15.5</v>
      </c>
      <c r="K78" s="1">
        <f t="shared" ref="K78:K82" si="7">G78</f>
        <v>15.5</v>
      </c>
    </row>
    <row r="79" spans="2:14" x14ac:dyDescent="0.3">
      <c r="E79" s="5" t="s">
        <v>350</v>
      </c>
      <c r="G79" s="1">
        <f t="shared" ref="G79:G82" si="8">18-2.5</f>
        <v>15.5</v>
      </c>
      <c r="K79" s="1">
        <f t="shared" si="7"/>
        <v>15.5</v>
      </c>
    </row>
    <row r="80" spans="2:14" x14ac:dyDescent="0.3">
      <c r="E80" s="5" t="s">
        <v>349</v>
      </c>
      <c r="G80" s="1">
        <f t="shared" si="8"/>
        <v>15.5</v>
      </c>
      <c r="K80" s="1">
        <f t="shared" si="7"/>
        <v>15.5</v>
      </c>
    </row>
    <row r="81" spans="2:14" x14ac:dyDescent="0.3">
      <c r="E81" s="5" t="s">
        <v>489</v>
      </c>
      <c r="G81" s="1">
        <f>30-2.5</f>
        <v>27.5</v>
      </c>
      <c r="K81" s="1">
        <f t="shared" si="7"/>
        <v>27.5</v>
      </c>
    </row>
    <row r="82" spans="2:14" x14ac:dyDescent="0.3">
      <c r="E82" s="5" t="s">
        <v>344</v>
      </c>
      <c r="G82" s="1">
        <f t="shared" si="8"/>
        <v>15.5</v>
      </c>
      <c r="K82" s="1">
        <f t="shared" si="7"/>
        <v>15.5</v>
      </c>
    </row>
    <row r="83" spans="2:14" x14ac:dyDescent="0.3">
      <c r="L83" s="10">
        <f>K77+K78+K79+K80+K81+K82</f>
        <v>111</v>
      </c>
      <c r="M83" s="1">
        <v>170</v>
      </c>
      <c r="N83" s="10">
        <f>M83*L83</f>
        <v>18870</v>
      </c>
    </row>
    <row r="85" spans="2:14" x14ac:dyDescent="0.3">
      <c r="B85" s="11">
        <v>3</v>
      </c>
      <c r="C85" s="11" t="s">
        <v>286</v>
      </c>
      <c r="D85" s="11" t="s">
        <v>162</v>
      </c>
      <c r="E85" s="6" t="s">
        <v>502</v>
      </c>
    </row>
    <row r="86" spans="2:14" ht="158.4" x14ac:dyDescent="0.3">
      <c r="E86" s="5" t="s">
        <v>519</v>
      </c>
    </row>
    <row r="88" spans="2:14" x14ac:dyDescent="0.3">
      <c r="E88" s="5" t="s">
        <v>488</v>
      </c>
      <c r="G88" s="1">
        <f>24-2.5</f>
        <v>21.5</v>
      </c>
      <c r="K88" s="1">
        <f>G88</f>
        <v>21.5</v>
      </c>
    </row>
    <row r="89" spans="2:14" x14ac:dyDescent="0.3">
      <c r="E89" s="5" t="s">
        <v>322</v>
      </c>
      <c r="G89" s="1">
        <f>18-2.5</f>
        <v>15.5</v>
      </c>
      <c r="K89" s="1">
        <f t="shared" ref="K89:K93" si="9">G89</f>
        <v>15.5</v>
      </c>
    </row>
    <row r="90" spans="2:14" x14ac:dyDescent="0.3">
      <c r="E90" s="5" t="s">
        <v>350</v>
      </c>
      <c r="G90" s="1">
        <f>18-2.5</f>
        <v>15.5</v>
      </c>
      <c r="K90" s="1">
        <f t="shared" si="9"/>
        <v>15.5</v>
      </c>
    </row>
    <row r="91" spans="2:14" x14ac:dyDescent="0.3">
      <c r="E91" s="5" t="s">
        <v>349</v>
      </c>
      <c r="G91" s="1">
        <f>18-2.5</f>
        <v>15.5</v>
      </c>
      <c r="K91" s="1">
        <f t="shared" si="9"/>
        <v>15.5</v>
      </c>
    </row>
    <row r="92" spans="2:14" x14ac:dyDescent="0.3">
      <c r="E92" s="5" t="s">
        <v>489</v>
      </c>
      <c r="G92" s="1">
        <f>30-2.5</f>
        <v>27.5</v>
      </c>
      <c r="K92" s="1">
        <f t="shared" si="9"/>
        <v>27.5</v>
      </c>
    </row>
    <row r="93" spans="2:14" x14ac:dyDescent="0.3">
      <c r="E93" s="5" t="s">
        <v>344</v>
      </c>
      <c r="G93" s="1">
        <f>18-2.5</f>
        <v>15.5</v>
      </c>
      <c r="K93" s="1">
        <f t="shared" si="9"/>
        <v>15.5</v>
      </c>
    </row>
    <row r="94" spans="2:14" x14ac:dyDescent="0.3">
      <c r="L94" s="10">
        <f>K88+K89+K90+K91+K92+K93</f>
        <v>111</v>
      </c>
      <c r="M94" s="1">
        <f>48.79+20</f>
        <v>68.789999999999992</v>
      </c>
      <c r="N94" s="10">
        <f>M94*L94</f>
        <v>7635.6899999999987</v>
      </c>
    </row>
    <row r="95" spans="2:14" ht="16.2" customHeight="1" x14ac:dyDescent="0.3"/>
    <row r="96" spans="2:14" x14ac:dyDescent="0.3">
      <c r="B96" s="11">
        <v>3</v>
      </c>
      <c r="C96" s="11" t="s">
        <v>602</v>
      </c>
      <c r="D96" s="11" t="s">
        <v>166</v>
      </c>
      <c r="E96" s="6" t="s">
        <v>309</v>
      </c>
    </row>
    <row r="97" spans="2:14" ht="107.4" customHeight="1" x14ac:dyDescent="0.3">
      <c r="E97" s="5" t="s">
        <v>669</v>
      </c>
    </row>
    <row r="99" spans="2:14" x14ac:dyDescent="0.3">
      <c r="E99" s="5" t="s">
        <v>488</v>
      </c>
      <c r="G99" s="1">
        <v>3</v>
      </c>
      <c r="K99" s="1">
        <v>2</v>
      </c>
    </row>
    <row r="100" spans="2:14" x14ac:dyDescent="0.3">
      <c r="E100" s="5" t="s">
        <v>348</v>
      </c>
      <c r="G100" s="1">
        <v>1</v>
      </c>
      <c r="K100" s="1">
        <f>G100</f>
        <v>1</v>
      </c>
    </row>
    <row r="101" spans="2:14" x14ac:dyDescent="0.3">
      <c r="E101" s="5" t="s">
        <v>322</v>
      </c>
      <c r="G101" s="1">
        <v>2</v>
      </c>
      <c r="K101" s="1">
        <f t="shared" ref="K101:K105" si="10">G101</f>
        <v>2</v>
      </c>
    </row>
    <row r="102" spans="2:14" x14ac:dyDescent="0.3">
      <c r="E102" s="5" t="s">
        <v>350</v>
      </c>
      <c r="G102" s="1">
        <v>2</v>
      </c>
      <c r="K102" s="1">
        <f t="shared" si="10"/>
        <v>2</v>
      </c>
    </row>
    <row r="103" spans="2:14" x14ac:dyDescent="0.3">
      <c r="E103" s="5" t="s">
        <v>349</v>
      </c>
      <c r="G103" s="1">
        <v>2</v>
      </c>
      <c r="K103" s="1">
        <f t="shared" si="10"/>
        <v>2</v>
      </c>
    </row>
    <row r="104" spans="2:14" x14ac:dyDescent="0.3">
      <c r="E104" s="5" t="s">
        <v>489</v>
      </c>
      <c r="G104" s="1">
        <v>2</v>
      </c>
      <c r="K104" s="1">
        <f t="shared" si="10"/>
        <v>2</v>
      </c>
    </row>
    <row r="105" spans="2:14" x14ac:dyDescent="0.3">
      <c r="E105" s="5" t="s">
        <v>344</v>
      </c>
      <c r="G105" s="1">
        <v>2</v>
      </c>
      <c r="K105" s="1">
        <f t="shared" si="10"/>
        <v>2</v>
      </c>
    </row>
    <row r="106" spans="2:14" ht="13.8" customHeight="1" x14ac:dyDescent="0.3">
      <c r="L106" s="10">
        <v>13</v>
      </c>
      <c r="M106" s="1">
        <v>259.38</v>
      </c>
      <c r="N106" s="10">
        <f>L106*M106</f>
        <v>3371.94</v>
      </c>
    </row>
    <row r="107" spans="2:14" ht="13.8" customHeight="1" x14ac:dyDescent="0.3"/>
    <row r="108" spans="2:14" x14ac:dyDescent="0.3">
      <c r="B108" s="11">
        <v>3</v>
      </c>
      <c r="C108" s="11" t="s">
        <v>289</v>
      </c>
      <c r="D108" s="11" t="s">
        <v>161</v>
      </c>
      <c r="E108" s="6" t="s">
        <v>125</v>
      </c>
    </row>
    <row r="109" spans="2:14" ht="90.6" customHeight="1" x14ac:dyDescent="0.3">
      <c r="E109" s="5" t="s">
        <v>677</v>
      </c>
    </row>
    <row r="111" spans="2:14" x14ac:dyDescent="0.3">
      <c r="E111" s="5" t="s">
        <v>488</v>
      </c>
      <c r="G111" s="1">
        <v>2</v>
      </c>
      <c r="H111" s="1">
        <v>77.8</v>
      </c>
      <c r="K111" s="1">
        <f>H111*G111</f>
        <v>155.6</v>
      </c>
    </row>
    <row r="112" spans="2:14" x14ac:dyDescent="0.3">
      <c r="E112" s="5" t="s">
        <v>322</v>
      </c>
      <c r="G112" s="1">
        <v>2</v>
      </c>
      <c r="H112" s="1">
        <v>77.8</v>
      </c>
      <c r="K112" s="1">
        <f t="shared" ref="K112:K117" si="11">H112*G112</f>
        <v>155.6</v>
      </c>
    </row>
    <row r="113" spans="2:14" x14ac:dyDescent="0.3">
      <c r="E113" s="5" t="s">
        <v>350</v>
      </c>
      <c r="G113" s="1">
        <v>2</v>
      </c>
      <c r="H113" s="1">
        <v>77.8</v>
      </c>
      <c r="K113" s="1">
        <f t="shared" si="11"/>
        <v>155.6</v>
      </c>
    </row>
    <row r="114" spans="2:14" x14ac:dyDescent="0.3">
      <c r="E114" s="5" t="s">
        <v>349</v>
      </c>
      <c r="G114" s="1">
        <v>2</v>
      </c>
      <c r="H114" s="1">
        <v>77.8</v>
      </c>
      <c r="K114" s="1">
        <f t="shared" si="11"/>
        <v>155.6</v>
      </c>
    </row>
    <row r="115" spans="2:14" x14ac:dyDescent="0.3">
      <c r="E115" s="5" t="s">
        <v>503</v>
      </c>
      <c r="G115" s="1">
        <v>1</v>
      </c>
      <c r="H115" s="1">
        <v>77.8</v>
      </c>
      <c r="K115" s="1">
        <f t="shared" si="11"/>
        <v>77.8</v>
      </c>
    </row>
    <row r="116" spans="2:14" x14ac:dyDescent="0.3">
      <c r="E116" s="5" t="s">
        <v>504</v>
      </c>
      <c r="G116" s="1">
        <v>1</v>
      </c>
      <c r="H116" s="1">
        <v>103</v>
      </c>
      <c r="K116" s="1">
        <f t="shared" si="11"/>
        <v>103</v>
      </c>
    </row>
    <row r="117" spans="2:14" x14ac:dyDescent="0.3">
      <c r="E117" s="5" t="s">
        <v>344</v>
      </c>
      <c r="G117" s="1">
        <v>2</v>
      </c>
      <c r="H117" s="1">
        <v>77.8</v>
      </c>
      <c r="K117" s="1">
        <f t="shared" si="11"/>
        <v>155.6</v>
      </c>
    </row>
    <row r="118" spans="2:14" x14ac:dyDescent="0.3">
      <c r="L118" s="10">
        <f>K111+K112+K113+K114+K115+K116+K117</f>
        <v>958.8</v>
      </c>
      <c r="M118" s="1">
        <f>(29.09+11.76)*2*1.1</f>
        <v>89.87</v>
      </c>
      <c r="N118" s="10">
        <f>M118*L118</f>
        <v>86167.356</v>
      </c>
    </row>
    <row r="119" spans="2:14" x14ac:dyDescent="0.3">
      <c r="B119" s="11">
        <v>3</v>
      </c>
      <c r="C119" s="11" t="s">
        <v>293</v>
      </c>
      <c r="D119" s="11" t="s">
        <v>161</v>
      </c>
      <c r="E119" s="6" t="s">
        <v>395</v>
      </c>
    </row>
    <row r="120" spans="2:14" ht="72" x14ac:dyDescent="0.3">
      <c r="E120" s="5" t="s">
        <v>398</v>
      </c>
    </row>
    <row r="122" spans="2:14" x14ac:dyDescent="0.3">
      <c r="E122" s="5" t="s">
        <v>505</v>
      </c>
      <c r="G122" s="1">
        <v>2</v>
      </c>
      <c r="H122" s="1">
        <f>4.79+3.79+3.5+0.6+3.42+1.16+0.6+2.1</f>
        <v>19.960000000000004</v>
      </c>
      <c r="J122" s="1">
        <v>2.8</v>
      </c>
      <c r="K122" s="1">
        <f>J122*H122*G122</f>
        <v>111.77600000000002</v>
      </c>
    </row>
    <row r="123" spans="2:14" x14ac:dyDescent="0.3">
      <c r="E123" s="5" t="s">
        <v>506</v>
      </c>
      <c r="G123" s="1">
        <v>2</v>
      </c>
      <c r="H123" s="1">
        <f t="shared" ref="H123:H126" si="12">4.79+3.79+3.5+0.6+3.42+1.16+0.6+2.1</f>
        <v>19.960000000000004</v>
      </c>
      <c r="J123" s="1">
        <v>2.8</v>
      </c>
      <c r="K123" s="1">
        <f t="shared" ref="K123:K128" si="13">J123*H123*G123</f>
        <v>111.77600000000002</v>
      </c>
    </row>
    <row r="124" spans="2:14" x14ac:dyDescent="0.3">
      <c r="E124" s="5" t="s">
        <v>507</v>
      </c>
      <c r="G124" s="1">
        <v>2</v>
      </c>
      <c r="H124" s="1">
        <f t="shared" si="12"/>
        <v>19.960000000000004</v>
      </c>
      <c r="J124" s="1">
        <v>2.8</v>
      </c>
      <c r="K124" s="1">
        <f t="shared" si="13"/>
        <v>111.77600000000002</v>
      </c>
    </row>
    <row r="125" spans="2:14" x14ac:dyDescent="0.3">
      <c r="E125" s="5" t="s">
        <v>508</v>
      </c>
      <c r="G125" s="1">
        <v>2</v>
      </c>
      <c r="H125" s="1">
        <f t="shared" si="12"/>
        <v>19.960000000000004</v>
      </c>
      <c r="J125" s="1">
        <v>2.8</v>
      </c>
      <c r="K125" s="1">
        <f t="shared" si="13"/>
        <v>111.77600000000002</v>
      </c>
    </row>
    <row r="126" spans="2:14" x14ac:dyDescent="0.3">
      <c r="E126" s="5" t="s">
        <v>509</v>
      </c>
      <c r="G126" s="1">
        <v>1</v>
      </c>
      <c r="H126" s="1">
        <f t="shared" si="12"/>
        <v>19.960000000000004</v>
      </c>
      <c r="J126" s="1">
        <v>2.8</v>
      </c>
      <c r="K126" s="1">
        <f t="shared" si="13"/>
        <v>55.888000000000012</v>
      </c>
    </row>
    <row r="127" spans="2:14" x14ac:dyDescent="0.3">
      <c r="E127" s="5" t="s">
        <v>510</v>
      </c>
      <c r="G127" s="1">
        <v>1</v>
      </c>
      <c r="H127" s="1">
        <f>5.38+5.38+5.34+5.34+3.2+2.5+2.1</f>
        <v>29.240000000000002</v>
      </c>
      <c r="J127" s="1">
        <v>2.8</v>
      </c>
      <c r="K127" s="1">
        <f t="shared" si="13"/>
        <v>81.872</v>
      </c>
    </row>
    <row r="128" spans="2:14" x14ac:dyDescent="0.3">
      <c r="E128" s="5" t="s">
        <v>511</v>
      </c>
      <c r="G128" s="1">
        <v>2</v>
      </c>
      <c r="H128" s="1">
        <f>4.79+3.79+3.5+0.6+3.42+1.16+0.6+2.1</f>
        <v>19.960000000000004</v>
      </c>
      <c r="J128" s="1">
        <v>2.8</v>
      </c>
      <c r="K128" s="1">
        <f t="shared" si="13"/>
        <v>111.77600000000002</v>
      </c>
    </row>
    <row r="129" spans="2:27" x14ac:dyDescent="0.3">
      <c r="E129" s="6"/>
      <c r="L129" s="10">
        <f>K122+K123+K124+K125+K126+K127+K128</f>
        <v>696.64000000000021</v>
      </c>
      <c r="M129" s="1">
        <f>66.5</f>
        <v>66.5</v>
      </c>
      <c r="N129" s="10">
        <f>M129*L129</f>
        <v>46326.560000000012</v>
      </c>
    </row>
    <row r="130" spans="2:27" x14ac:dyDescent="0.3">
      <c r="E130" s="6"/>
    </row>
    <row r="131" spans="2:27" x14ac:dyDescent="0.3">
      <c r="B131" s="11">
        <v>3</v>
      </c>
      <c r="C131" s="11" t="s">
        <v>294</v>
      </c>
      <c r="D131" s="11" t="s">
        <v>161</v>
      </c>
      <c r="E131" s="6" t="s">
        <v>396</v>
      </c>
    </row>
    <row r="132" spans="2:27" ht="72" x14ac:dyDescent="0.3">
      <c r="E132" s="5" t="s">
        <v>397</v>
      </c>
    </row>
    <row r="134" spans="2:27" x14ac:dyDescent="0.3">
      <c r="E134" s="5" t="s">
        <v>505</v>
      </c>
      <c r="G134" s="1">
        <v>2</v>
      </c>
      <c r="H134" s="1">
        <f>1+1+2.26+2.26+(2.15*0.5)+0.3</f>
        <v>7.8949999999999996</v>
      </c>
      <c r="J134" s="1">
        <v>2.8</v>
      </c>
      <c r="K134" s="1">
        <f>J134*H134*G134</f>
        <v>44.211999999999996</v>
      </c>
    </row>
    <row r="135" spans="2:27" x14ac:dyDescent="0.3">
      <c r="E135" s="5" t="s">
        <v>506</v>
      </c>
      <c r="G135" s="1">
        <v>2</v>
      </c>
      <c r="H135" s="1">
        <f t="shared" ref="H135:H138" si="14">1+1+2.26+2.26+(2.15*0.5)+0.3</f>
        <v>7.8949999999999996</v>
      </c>
      <c r="J135" s="1">
        <v>2.8</v>
      </c>
      <c r="K135" s="1">
        <f t="shared" ref="K135:K140" si="15">J135*H135*G135</f>
        <v>44.211999999999996</v>
      </c>
    </row>
    <row r="136" spans="2:27" x14ac:dyDescent="0.3">
      <c r="E136" s="5" t="s">
        <v>507</v>
      </c>
      <c r="G136" s="1">
        <v>2</v>
      </c>
      <c r="H136" s="1">
        <f t="shared" si="14"/>
        <v>7.8949999999999996</v>
      </c>
      <c r="J136" s="1">
        <v>2.8</v>
      </c>
      <c r="K136" s="1">
        <f t="shared" si="15"/>
        <v>44.211999999999996</v>
      </c>
    </row>
    <row r="137" spans="2:27" x14ac:dyDescent="0.3">
      <c r="E137" s="5" t="s">
        <v>508</v>
      </c>
      <c r="G137" s="1">
        <v>2</v>
      </c>
      <c r="H137" s="1">
        <f t="shared" si="14"/>
        <v>7.8949999999999996</v>
      </c>
      <c r="J137" s="1">
        <v>2.8</v>
      </c>
      <c r="K137" s="1">
        <f t="shared" si="15"/>
        <v>44.211999999999996</v>
      </c>
    </row>
    <row r="138" spans="2:27" x14ac:dyDescent="0.3">
      <c r="E138" s="5" t="s">
        <v>509</v>
      </c>
      <c r="G138" s="1">
        <v>1</v>
      </c>
      <c r="H138" s="1">
        <f t="shared" si="14"/>
        <v>7.8949999999999996</v>
      </c>
      <c r="J138" s="1">
        <v>2.8</v>
      </c>
      <c r="K138" s="1">
        <f t="shared" si="15"/>
        <v>22.105999999999998</v>
      </c>
    </row>
    <row r="139" spans="2:27" x14ac:dyDescent="0.3">
      <c r="E139" s="5" t="s">
        <v>510</v>
      </c>
      <c r="G139" s="1">
        <v>1</v>
      </c>
      <c r="H139" s="1">
        <f>3.05+2.04+3</f>
        <v>8.09</v>
      </c>
      <c r="J139" s="1">
        <v>2.8</v>
      </c>
      <c r="K139" s="1">
        <f t="shared" si="15"/>
        <v>22.651999999999997</v>
      </c>
    </row>
    <row r="140" spans="2:27" x14ac:dyDescent="0.3">
      <c r="E140" s="5" t="s">
        <v>511</v>
      </c>
      <c r="G140" s="1">
        <v>2</v>
      </c>
      <c r="H140" s="1">
        <f>1+1+2.26+2.26+(2.15*0.5)+0.3</f>
        <v>7.8949999999999996</v>
      </c>
      <c r="J140" s="1">
        <v>2.8</v>
      </c>
      <c r="K140" s="1">
        <f t="shared" si="15"/>
        <v>44.211999999999996</v>
      </c>
    </row>
    <row r="141" spans="2:27" x14ac:dyDescent="0.3">
      <c r="L141" s="10">
        <f>K134+K135+K136+K137+K138+K139+K140</f>
        <v>265.81799999999998</v>
      </c>
      <c r="M141" s="1">
        <v>127.29</v>
      </c>
      <c r="N141" s="10">
        <f>M141*L141</f>
        <v>33835.97322</v>
      </c>
      <c r="AA141" s="1"/>
    </row>
    <row r="144" spans="2:27" x14ac:dyDescent="0.3">
      <c r="B144" s="11">
        <v>3</v>
      </c>
      <c r="C144" s="11" t="s">
        <v>295</v>
      </c>
      <c r="D144" s="11" t="s">
        <v>161</v>
      </c>
      <c r="E144" s="6" t="s">
        <v>495</v>
      </c>
    </row>
    <row r="145" spans="2:25" ht="115.2" x14ac:dyDescent="0.3">
      <c r="E145" s="5" t="s">
        <v>494</v>
      </c>
    </row>
    <row r="147" spans="2:25" x14ac:dyDescent="0.3">
      <c r="E147" s="5" t="s">
        <v>505</v>
      </c>
      <c r="H147" s="1">
        <v>4.79</v>
      </c>
      <c r="J147" s="1">
        <v>2.8</v>
      </c>
      <c r="K147" s="1">
        <f>H147*J147</f>
        <v>13.411999999999999</v>
      </c>
    </row>
    <row r="148" spans="2:25" x14ac:dyDescent="0.3">
      <c r="E148" s="5" t="s">
        <v>506</v>
      </c>
      <c r="H148" s="1">
        <v>4.79</v>
      </c>
      <c r="J148" s="1">
        <v>2.8</v>
      </c>
      <c r="K148" s="1">
        <f t="shared" ref="K148:K152" si="16">H148*J148</f>
        <v>13.411999999999999</v>
      </c>
    </row>
    <row r="149" spans="2:25" x14ac:dyDescent="0.3">
      <c r="E149" s="5" t="s">
        <v>507</v>
      </c>
      <c r="H149" s="1">
        <v>4.79</v>
      </c>
      <c r="J149" s="1">
        <v>2.8</v>
      </c>
      <c r="K149" s="1">
        <f t="shared" si="16"/>
        <v>13.411999999999999</v>
      </c>
    </row>
    <row r="150" spans="2:25" x14ac:dyDescent="0.3">
      <c r="E150" s="5" t="s">
        <v>508</v>
      </c>
      <c r="H150" s="1">
        <v>4.79</v>
      </c>
      <c r="J150" s="1">
        <v>2.8</v>
      </c>
      <c r="K150" s="1">
        <f t="shared" si="16"/>
        <v>13.411999999999999</v>
      </c>
    </row>
    <row r="151" spans="2:25" x14ac:dyDescent="0.3">
      <c r="E151" s="5" t="s">
        <v>512</v>
      </c>
      <c r="H151" s="1">
        <v>4.79</v>
      </c>
      <c r="J151" s="1">
        <v>2.8</v>
      </c>
      <c r="K151" s="1">
        <f t="shared" si="16"/>
        <v>13.411999999999999</v>
      </c>
    </row>
    <row r="152" spans="2:25" x14ac:dyDescent="0.3">
      <c r="E152" s="5" t="s">
        <v>511</v>
      </c>
      <c r="H152" s="1">
        <v>4.79</v>
      </c>
      <c r="J152" s="1">
        <v>2.8</v>
      </c>
      <c r="K152" s="1">
        <f t="shared" si="16"/>
        <v>13.411999999999999</v>
      </c>
    </row>
    <row r="153" spans="2:25" x14ac:dyDescent="0.3">
      <c r="E153" s="5" t="s">
        <v>684</v>
      </c>
      <c r="G153" s="1">
        <v>5</v>
      </c>
      <c r="H153" s="1">
        <f>9-2.15</f>
        <v>6.85</v>
      </c>
      <c r="J153" s="1">
        <v>2.8</v>
      </c>
      <c r="K153" s="1">
        <f>J153*H153*G153</f>
        <v>95.899999999999977</v>
      </c>
    </row>
    <row r="154" spans="2:25" x14ac:dyDescent="0.3">
      <c r="L154" s="10">
        <f>K147+K148+K149+K150+K151+K152+K153</f>
        <v>176.37199999999999</v>
      </c>
      <c r="M154" s="1">
        <v>87.98</v>
      </c>
      <c r="N154" s="10">
        <f>M154*L154</f>
        <v>15517.208559999999</v>
      </c>
    </row>
    <row r="156" spans="2:25" x14ac:dyDescent="0.3">
      <c r="Y156" s="1"/>
    </row>
    <row r="157" spans="2:25" x14ac:dyDescent="0.3">
      <c r="B157" s="11">
        <v>3</v>
      </c>
      <c r="C157" s="11" t="s">
        <v>296</v>
      </c>
      <c r="D157" s="11" t="s">
        <v>161</v>
      </c>
      <c r="E157" s="6" t="s">
        <v>126</v>
      </c>
    </row>
    <row r="158" spans="2:25" ht="57.6" x14ac:dyDescent="0.3">
      <c r="E158" s="5" t="s">
        <v>649</v>
      </c>
    </row>
    <row r="160" spans="2:25" x14ac:dyDescent="0.3">
      <c r="E160" s="5" t="s">
        <v>636</v>
      </c>
      <c r="G160" s="1">
        <v>1</v>
      </c>
      <c r="H160" s="1">
        <v>74.319999999999993</v>
      </c>
      <c r="K160" s="1">
        <f>H160*G160</f>
        <v>74.319999999999993</v>
      </c>
    </row>
    <row r="161" spans="2:14" x14ac:dyDescent="0.3">
      <c r="E161" s="5" t="s">
        <v>637</v>
      </c>
      <c r="G161" s="1">
        <v>1</v>
      </c>
      <c r="H161" s="1">
        <v>74.87</v>
      </c>
      <c r="K161" s="1">
        <f>H161*G161</f>
        <v>74.87</v>
      </c>
    </row>
    <row r="162" spans="2:14" x14ac:dyDescent="0.3">
      <c r="E162" s="5" t="s">
        <v>482</v>
      </c>
      <c r="G162" s="1">
        <v>2</v>
      </c>
      <c r="H162" s="1">
        <v>74.319999999999993</v>
      </c>
      <c r="K162" s="1">
        <f t="shared" ref="K162:K168" si="17">H162*G162</f>
        <v>148.63999999999999</v>
      </c>
    </row>
    <row r="163" spans="2:14" x14ac:dyDescent="0.3">
      <c r="E163" s="5" t="s">
        <v>480</v>
      </c>
      <c r="G163" s="1">
        <v>2</v>
      </c>
      <c r="H163" s="1">
        <v>74.319999999999993</v>
      </c>
      <c r="K163" s="1">
        <f t="shared" si="17"/>
        <v>148.63999999999999</v>
      </c>
    </row>
    <row r="164" spans="2:14" x14ac:dyDescent="0.3">
      <c r="E164" s="5" t="s">
        <v>483</v>
      </c>
      <c r="G164" s="1">
        <v>2</v>
      </c>
      <c r="H164" s="1">
        <v>74.319999999999993</v>
      </c>
      <c r="K164" s="1">
        <f t="shared" si="17"/>
        <v>148.63999999999999</v>
      </c>
    </row>
    <row r="165" spans="2:14" x14ac:dyDescent="0.3">
      <c r="E165" s="5" t="s">
        <v>501</v>
      </c>
      <c r="G165" s="1">
        <v>1</v>
      </c>
      <c r="H165" s="1">
        <v>74.319999999999993</v>
      </c>
      <c r="K165" s="1">
        <f t="shared" si="17"/>
        <v>74.319999999999993</v>
      </c>
    </row>
    <row r="166" spans="2:14" x14ac:dyDescent="0.3">
      <c r="E166" s="5" t="s">
        <v>499</v>
      </c>
      <c r="G166" s="1">
        <v>1</v>
      </c>
      <c r="H166" s="1">
        <v>97.56</v>
      </c>
      <c r="K166" s="1">
        <f t="shared" si="17"/>
        <v>97.56</v>
      </c>
    </row>
    <row r="167" spans="2:14" ht="15" customHeight="1" x14ac:dyDescent="0.3">
      <c r="E167" s="5" t="s">
        <v>639</v>
      </c>
      <c r="G167" s="1">
        <v>1</v>
      </c>
      <c r="H167" s="1">
        <v>74.87</v>
      </c>
      <c r="K167" s="1">
        <f t="shared" si="17"/>
        <v>74.87</v>
      </c>
    </row>
    <row r="168" spans="2:14" x14ac:dyDescent="0.3">
      <c r="E168" s="5" t="s">
        <v>638</v>
      </c>
      <c r="G168" s="1">
        <v>1</v>
      </c>
      <c r="H168" s="1">
        <v>74.319999999999993</v>
      </c>
      <c r="K168" s="1">
        <f t="shared" si="17"/>
        <v>74.319999999999993</v>
      </c>
    </row>
    <row r="169" spans="2:14" x14ac:dyDescent="0.3">
      <c r="L169" s="10">
        <f>SUM(K160:K168)</f>
        <v>916.17999999999984</v>
      </c>
      <c r="M169" s="1">
        <f>36.82*1.8</f>
        <v>66.275999999999996</v>
      </c>
      <c r="N169" s="10">
        <f>M169*L169</f>
        <v>60720.745679999985</v>
      </c>
    </row>
    <row r="171" spans="2:14" x14ac:dyDescent="0.3">
      <c r="B171" s="11">
        <v>3</v>
      </c>
      <c r="C171" s="11" t="s">
        <v>599</v>
      </c>
      <c r="D171" s="11" t="s">
        <v>161</v>
      </c>
      <c r="E171" s="6" t="s">
        <v>399</v>
      </c>
    </row>
    <row r="172" spans="2:14" ht="43.2" x14ac:dyDescent="0.3">
      <c r="E172" s="5" t="s">
        <v>670</v>
      </c>
    </row>
    <row r="174" spans="2:14" x14ac:dyDescent="0.3">
      <c r="E174" s="5" t="s">
        <v>490</v>
      </c>
      <c r="H174" s="1">
        <v>2.1</v>
      </c>
      <c r="K174" s="1">
        <f>H174</f>
        <v>2.1</v>
      </c>
    </row>
    <row r="175" spans="2:14" x14ac:dyDescent="0.3">
      <c r="E175" s="5" t="s">
        <v>491</v>
      </c>
      <c r="H175" s="1">
        <v>2.1</v>
      </c>
      <c r="K175" s="1">
        <f t="shared" ref="K175:K177" si="18">H175</f>
        <v>2.1</v>
      </c>
    </row>
    <row r="176" spans="2:14" x14ac:dyDescent="0.3">
      <c r="E176" s="5" t="s">
        <v>492</v>
      </c>
      <c r="H176" s="1">
        <v>4.8</v>
      </c>
      <c r="K176" s="1">
        <f t="shared" si="18"/>
        <v>4.8</v>
      </c>
    </row>
    <row r="177" spans="2:14" x14ac:dyDescent="0.3">
      <c r="E177" s="5" t="s">
        <v>493</v>
      </c>
      <c r="H177" s="1">
        <v>2.1</v>
      </c>
      <c r="K177" s="1">
        <f t="shared" si="18"/>
        <v>2.1</v>
      </c>
    </row>
    <row r="178" spans="2:14" x14ac:dyDescent="0.3">
      <c r="L178" s="10">
        <f>SUM(K174:K177)</f>
        <v>11.1</v>
      </c>
      <c r="M178" s="1">
        <f>32*1.5</f>
        <v>48</v>
      </c>
      <c r="N178" s="10">
        <f>M178*L178</f>
        <v>532.79999999999995</v>
      </c>
    </row>
    <row r="180" spans="2:14" x14ac:dyDescent="0.3">
      <c r="B180" s="11">
        <v>3</v>
      </c>
      <c r="C180" s="11" t="s">
        <v>678</v>
      </c>
      <c r="D180" s="11" t="s">
        <v>161</v>
      </c>
      <c r="E180" s="6" t="s">
        <v>679</v>
      </c>
    </row>
    <row r="181" spans="2:14" ht="43.2" x14ac:dyDescent="0.3">
      <c r="E181" s="5" t="s">
        <v>680</v>
      </c>
    </row>
    <row r="183" spans="2:14" x14ac:dyDescent="0.3">
      <c r="E183" s="5" t="s">
        <v>681</v>
      </c>
      <c r="G183" s="1">
        <v>12</v>
      </c>
      <c r="H183" s="1">
        <f>2.21+2.21+1.3+1.3</f>
        <v>7.02</v>
      </c>
      <c r="J183" s="1">
        <v>2</v>
      </c>
      <c r="K183" s="1">
        <f>J183*H183*G183</f>
        <v>168.48</v>
      </c>
    </row>
    <row r="184" spans="2:14" x14ac:dyDescent="0.3">
      <c r="L184" s="10">
        <f>K183</f>
        <v>168.48</v>
      </c>
      <c r="M184" s="1">
        <v>45</v>
      </c>
      <c r="N184" s="10">
        <f>M184*L184</f>
        <v>7581.5999999999995</v>
      </c>
    </row>
    <row r="186" spans="2:14" x14ac:dyDescent="0.3">
      <c r="B186" s="11">
        <v>3</v>
      </c>
      <c r="C186" s="11" t="s">
        <v>91</v>
      </c>
      <c r="E186" s="4" t="s">
        <v>603</v>
      </c>
    </row>
    <row r="188" spans="2:14" x14ac:dyDescent="0.3">
      <c r="B188" s="11">
        <v>3</v>
      </c>
      <c r="C188" s="11" t="s">
        <v>92</v>
      </c>
      <c r="D188" s="11" t="s">
        <v>166</v>
      </c>
      <c r="E188" s="6" t="s">
        <v>404</v>
      </c>
    </row>
    <row r="189" spans="2:14" ht="43.2" x14ac:dyDescent="0.3">
      <c r="E189" s="5" t="s">
        <v>403</v>
      </c>
    </row>
    <row r="191" spans="2:14" x14ac:dyDescent="0.3">
      <c r="E191" s="5" t="s">
        <v>347</v>
      </c>
      <c r="G191" s="1">
        <v>2</v>
      </c>
      <c r="H191" s="1">
        <v>7</v>
      </c>
      <c r="K191" s="1">
        <f>G191*H191</f>
        <v>14</v>
      </c>
    </row>
    <row r="192" spans="2:14" x14ac:dyDescent="0.3">
      <c r="E192" s="5" t="s">
        <v>343</v>
      </c>
      <c r="G192" s="1">
        <v>2</v>
      </c>
      <c r="H192" s="1">
        <v>7</v>
      </c>
      <c r="K192" s="1">
        <f t="shared" ref="K192:K196" si="19">G192*H192</f>
        <v>14</v>
      </c>
    </row>
    <row r="193" spans="2:14" x14ac:dyDescent="0.3">
      <c r="E193" s="5" t="s">
        <v>323</v>
      </c>
      <c r="G193" s="1">
        <v>2</v>
      </c>
      <c r="H193" s="1">
        <v>7</v>
      </c>
      <c r="K193" s="1">
        <f t="shared" si="19"/>
        <v>14</v>
      </c>
    </row>
    <row r="194" spans="2:14" x14ac:dyDescent="0.3">
      <c r="E194" s="5" t="s">
        <v>324</v>
      </c>
      <c r="G194" s="1">
        <v>2</v>
      </c>
      <c r="H194" s="1">
        <v>7</v>
      </c>
      <c r="K194" s="1">
        <f t="shared" si="19"/>
        <v>14</v>
      </c>
    </row>
    <row r="195" spans="2:14" x14ac:dyDescent="0.3">
      <c r="E195" s="5" t="s">
        <v>485</v>
      </c>
      <c r="G195" s="1">
        <v>2</v>
      </c>
      <c r="H195" s="1">
        <v>7</v>
      </c>
      <c r="K195" s="1">
        <f t="shared" si="19"/>
        <v>14</v>
      </c>
    </row>
    <row r="196" spans="2:14" ht="13.2" customHeight="1" x14ac:dyDescent="0.3">
      <c r="E196" s="5" t="s">
        <v>325</v>
      </c>
      <c r="G196" s="1">
        <v>2</v>
      </c>
      <c r="H196" s="1">
        <v>7</v>
      </c>
      <c r="K196" s="1">
        <f t="shared" si="19"/>
        <v>14</v>
      </c>
    </row>
    <row r="197" spans="2:14" ht="12.6" customHeight="1" x14ac:dyDescent="0.3">
      <c r="L197" s="10">
        <f>SUM(K191:K196)</f>
        <v>84</v>
      </c>
      <c r="M197" s="1">
        <v>250</v>
      </c>
      <c r="N197" s="10">
        <f>M197*L197</f>
        <v>21000</v>
      </c>
    </row>
    <row r="198" spans="2:14" ht="20.399999999999999" customHeight="1" x14ac:dyDescent="0.3"/>
    <row r="199" spans="2:14" ht="15" customHeight="1" x14ac:dyDescent="0.3">
      <c r="B199" s="11">
        <v>3</v>
      </c>
      <c r="C199" s="11" t="s">
        <v>93</v>
      </c>
      <c r="D199" s="11" t="s">
        <v>166</v>
      </c>
      <c r="E199" s="6" t="s">
        <v>645</v>
      </c>
    </row>
    <row r="200" spans="2:14" ht="72" customHeight="1" x14ac:dyDescent="0.3">
      <c r="E200" s="5" t="s">
        <v>646</v>
      </c>
    </row>
    <row r="201" spans="2:14" ht="14.4" customHeight="1" x14ac:dyDescent="0.3"/>
    <row r="202" spans="2:14" ht="14.4" customHeight="1" x14ac:dyDescent="0.3">
      <c r="E202" s="5" t="s">
        <v>347</v>
      </c>
      <c r="G202" s="1">
        <v>2</v>
      </c>
      <c r="K202" s="1">
        <v>2</v>
      </c>
    </row>
    <row r="203" spans="2:14" ht="14.4" customHeight="1" x14ac:dyDescent="0.3">
      <c r="E203" s="5" t="s">
        <v>343</v>
      </c>
      <c r="G203" s="1">
        <v>2</v>
      </c>
      <c r="K203" s="1">
        <f t="shared" ref="K203:K207" si="20">G203</f>
        <v>2</v>
      </c>
    </row>
    <row r="204" spans="2:14" ht="15" customHeight="1" x14ac:dyDescent="0.3">
      <c r="E204" s="5" t="s">
        <v>323</v>
      </c>
      <c r="G204" s="1">
        <v>2</v>
      </c>
      <c r="K204" s="1">
        <v>2</v>
      </c>
    </row>
    <row r="205" spans="2:14" ht="12" customHeight="1" x14ac:dyDescent="0.3">
      <c r="E205" s="5" t="s">
        <v>324</v>
      </c>
      <c r="G205" s="1">
        <v>2</v>
      </c>
      <c r="K205" s="1">
        <f t="shared" si="20"/>
        <v>2</v>
      </c>
    </row>
    <row r="206" spans="2:14" ht="12.6" customHeight="1" x14ac:dyDescent="0.3">
      <c r="E206" s="5" t="s">
        <v>485</v>
      </c>
      <c r="G206" s="1">
        <v>2</v>
      </c>
      <c r="K206" s="1">
        <f t="shared" si="20"/>
        <v>2</v>
      </c>
    </row>
    <row r="207" spans="2:14" ht="14.4" customHeight="1" x14ac:dyDescent="0.3">
      <c r="E207" s="5" t="s">
        <v>325</v>
      </c>
      <c r="G207" s="1">
        <v>2</v>
      </c>
      <c r="K207" s="1">
        <f t="shared" si="20"/>
        <v>2</v>
      </c>
    </row>
    <row r="208" spans="2:14" ht="16.8" customHeight="1" x14ac:dyDescent="0.3">
      <c r="L208" s="10">
        <f>K202+K203+K205++K206+K207+K204</f>
        <v>12</v>
      </c>
      <c r="M208" s="1">
        <f>476.5+100</f>
        <v>576.5</v>
      </c>
      <c r="N208" s="10">
        <f>L208*M208</f>
        <v>6918</v>
      </c>
    </row>
    <row r="209" spans="2:14" ht="20.399999999999999" customHeight="1" x14ac:dyDescent="0.3"/>
    <row r="210" spans="2:14" ht="20.399999999999999" customHeight="1" x14ac:dyDescent="0.3"/>
    <row r="211" spans="2:14" ht="20.399999999999999" customHeight="1" x14ac:dyDescent="0.3">
      <c r="B211" s="11">
        <v>3</v>
      </c>
      <c r="C211" s="7" t="s">
        <v>95</v>
      </c>
      <c r="E211" s="4" t="s">
        <v>48</v>
      </c>
    </row>
    <row r="213" spans="2:14" x14ac:dyDescent="0.3">
      <c r="B213" s="11">
        <v>3</v>
      </c>
      <c r="C213" s="11" t="s">
        <v>96</v>
      </c>
      <c r="D213" s="11" t="s">
        <v>288</v>
      </c>
      <c r="E213" s="6" t="s">
        <v>513</v>
      </c>
    </row>
    <row r="214" spans="2:14" ht="144" x14ac:dyDescent="0.3">
      <c r="E214" s="5" t="s">
        <v>671</v>
      </c>
    </row>
    <row r="215" spans="2:14" x14ac:dyDescent="0.3">
      <c r="G215" s="1">
        <v>12</v>
      </c>
      <c r="K215" s="1">
        <f>G215</f>
        <v>12</v>
      </c>
    </row>
    <row r="216" spans="2:14" x14ac:dyDescent="0.3">
      <c r="L216" s="10">
        <f>K215</f>
        <v>12</v>
      </c>
      <c r="M216" s="1">
        <f>970*2*2.7</f>
        <v>5238</v>
      </c>
      <c r="N216" s="10">
        <f>L216*M216</f>
        <v>62856</v>
      </c>
    </row>
    <row r="219" spans="2:14" x14ac:dyDescent="0.3">
      <c r="B219" s="11">
        <v>3</v>
      </c>
      <c r="C219" s="11" t="s">
        <v>97</v>
      </c>
      <c r="D219" s="11" t="s">
        <v>288</v>
      </c>
      <c r="E219" s="6" t="s">
        <v>127</v>
      </c>
    </row>
    <row r="220" spans="2:14" ht="57.6" x14ac:dyDescent="0.3">
      <c r="E220" s="5" t="s">
        <v>648</v>
      </c>
    </row>
    <row r="222" spans="2:14" x14ac:dyDescent="0.3">
      <c r="G222" s="1">
        <v>12</v>
      </c>
      <c r="K222" s="1">
        <f>G222</f>
        <v>12</v>
      </c>
    </row>
    <row r="223" spans="2:14" x14ac:dyDescent="0.3">
      <c r="L223" s="10">
        <f>K222</f>
        <v>12</v>
      </c>
      <c r="M223" s="1">
        <f>880*2*1.5</f>
        <v>2640</v>
      </c>
      <c r="N223" s="10">
        <f>L223*M223</f>
        <v>31680</v>
      </c>
    </row>
    <row r="225" spans="2:14" x14ac:dyDescent="0.3">
      <c r="B225" s="11">
        <v>3</v>
      </c>
      <c r="C225" s="11" t="s">
        <v>298</v>
      </c>
      <c r="D225" s="11" t="s">
        <v>166</v>
      </c>
      <c r="E225" s="6" t="s">
        <v>405</v>
      </c>
    </row>
    <row r="226" spans="2:14" ht="43.2" x14ac:dyDescent="0.3">
      <c r="E226" s="5" t="s">
        <v>647</v>
      </c>
    </row>
    <row r="228" spans="2:14" x14ac:dyDescent="0.3">
      <c r="G228" s="1">
        <v>12</v>
      </c>
      <c r="K228" s="1">
        <f>G228</f>
        <v>12</v>
      </c>
    </row>
    <row r="229" spans="2:14" x14ac:dyDescent="0.3">
      <c r="L229" s="10">
        <f>K228</f>
        <v>12</v>
      </c>
      <c r="M229" s="1">
        <v>550</v>
      </c>
      <c r="N229" s="10">
        <f>L229*M229</f>
        <v>6600</v>
      </c>
    </row>
    <row r="230" spans="2:14" x14ac:dyDescent="0.3">
      <c r="B230" s="11">
        <v>3</v>
      </c>
      <c r="C230" s="11" t="s">
        <v>594</v>
      </c>
      <c r="D230" s="11" t="s">
        <v>166</v>
      </c>
      <c r="E230" s="6" t="s">
        <v>406</v>
      </c>
    </row>
    <row r="231" spans="2:14" ht="28.8" x14ac:dyDescent="0.3">
      <c r="E231" s="5" t="s">
        <v>407</v>
      </c>
    </row>
    <row r="233" spans="2:14" x14ac:dyDescent="0.3">
      <c r="G233" s="1">
        <v>12</v>
      </c>
      <c r="K233" s="1">
        <f>G233</f>
        <v>12</v>
      </c>
    </row>
    <row r="234" spans="2:14" x14ac:dyDescent="0.3">
      <c r="L234" s="10">
        <f>K233</f>
        <v>12</v>
      </c>
      <c r="M234" s="1">
        <v>250</v>
      </c>
      <c r="N234" s="10">
        <f>L234*M234</f>
        <v>3000</v>
      </c>
    </row>
    <row r="236" spans="2:14" x14ac:dyDescent="0.3">
      <c r="B236" s="11">
        <v>3</v>
      </c>
      <c r="C236" s="7" t="s">
        <v>98</v>
      </c>
      <c r="E236" s="4" t="s">
        <v>128</v>
      </c>
    </row>
    <row r="238" spans="2:14" x14ac:dyDescent="0.3">
      <c r="B238" s="11">
        <v>3</v>
      </c>
      <c r="C238" s="11" t="s">
        <v>99</v>
      </c>
      <c r="D238" s="11" t="s">
        <v>161</v>
      </c>
      <c r="E238" s="6" t="s">
        <v>43</v>
      </c>
    </row>
    <row r="239" spans="2:14" ht="61.2" customHeight="1" x14ac:dyDescent="0.3">
      <c r="E239" s="5" t="s">
        <v>516</v>
      </c>
    </row>
    <row r="241" spans="2:14" x14ac:dyDescent="0.3">
      <c r="E241" s="5" t="s">
        <v>505</v>
      </c>
      <c r="F241" s="1">
        <v>2</v>
      </c>
      <c r="G241" s="1">
        <f>(3.49*4)+(3.42*4)+(4.79*2)+(5.12*2)+(3.9*2)+(2.26+4.11)*4</f>
        <v>80.739999999999995</v>
      </c>
      <c r="J241" s="1">
        <v>2.8</v>
      </c>
      <c r="K241" s="1">
        <f>J241*G241*F241</f>
        <v>452.14399999999995</v>
      </c>
    </row>
    <row r="242" spans="2:14" x14ac:dyDescent="0.3">
      <c r="E242" s="5" t="s">
        <v>506</v>
      </c>
      <c r="F242" s="1">
        <v>2</v>
      </c>
      <c r="G242" s="1">
        <f t="shared" ref="G242:G247" si="21">(3.49*4)+(3.42*4)+(4.79*2)+(5.12*2)+(3.9*2)+(2.26+4.11)*4</f>
        <v>80.739999999999995</v>
      </c>
      <c r="J242" s="1">
        <v>2.8</v>
      </c>
      <c r="K242" s="1">
        <f t="shared" ref="K242:K247" si="22">J242*G242*F242</f>
        <v>452.14399999999995</v>
      </c>
    </row>
    <row r="243" spans="2:14" x14ac:dyDescent="0.3">
      <c r="E243" s="5" t="s">
        <v>507</v>
      </c>
      <c r="F243" s="1">
        <v>2</v>
      </c>
      <c r="G243" s="1">
        <f t="shared" si="21"/>
        <v>80.739999999999995</v>
      </c>
      <c r="J243" s="1">
        <v>2.8</v>
      </c>
      <c r="K243" s="1">
        <f t="shared" si="22"/>
        <v>452.14399999999995</v>
      </c>
    </row>
    <row r="244" spans="2:14" x14ac:dyDescent="0.3">
      <c r="E244" s="5" t="s">
        <v>508</v>
      </c>
      <c r="F244" s="1">
        <v>2</v>
      </c>
      <c r="G244" s="1">
        <f t="shared" si="21"/>
        <v>80.739999999999995</v>
      </c>
      <c r="J244" s="1">
        <v>2.8</v>
      </c>
      <c r="K244" s="1">
        <f t="shared" si="22"/>
        <v>452.14399999999995</v>
      </c>
    </row>
    <row r="245" spans="2:14" x14ac:dyDescent="0.3">
      <c r="E245" s="5" t="s">
        <v>514</v>
      </c>
      <c r="F245" s="1">
        <v>1</v>
      </c>
      <c r="G245" s="1">
        <f t="shared" si="21"/>
        <v>80.739999999999995</v>
      </c>
      <c r="J245" s="1">
        <v>2.8</v>
      </c>
      <c r="K245" s="1">
        <f t="shared" si="22"/>
        <v>226.07199999999997</v>
      </c>
    </row>
    <row r="246" spans="2:14" x14ac:dyDescent="0.3">
      <c r="E246" s="5" t="s">
        <v>515</v>
      </c>
      <c r="F246" s="1">
        <v>1</v>
      </c>
      <c r="G246" s="1">
        <f>(5.38+3.85)*2+(3.6+3.54)*2+(4.3+3.2)*2+(3+5.38)*2+(3.2+2.05)*2+(5.2+1)*2</f>
        <v>87.4</v>
      </c>
      <c r="J246" s="1">
        <v>2.8</v>
      </c>
      <c r="K246" s="1">
        <f t="shared" si="22"/>
        <v>244.72</v>
      </c>
    </row>
    <row r="247" spans="2:14" x14ac:dyDescent="0.3">
      <c r="E247" s="5" t="s">
        <v>511</v>
      </c>
      <c r="F247" s="1">
        <v>2</v>
      </c>
      <c r="G247" s="1">
        <f t="shared" si="21"/>
        <v>80.739999999999995</v>
      </c>
      <c r="J247" s="1">
        <v>2.8</v>
      </c>
      <c r="K247" s="1">
        <f t="shared" si="22"/>
        <v>452.14399999999995</v>
      </c>
    </row>
    <row r="248" spans="2:14" x14ac:dyDescent="0.3">
      <c r="L248" s="10">
        <f>SUM(K241:K247)</f>
        <v>2731.5119999999993</v>
      </c>
      <c r="M248" s="1">
        <v>9.25</v>
      </c>
      <c r="N248" s="10">
        <f>M248*L248</f>
        <v>25266.485999999994</v>
      </c>
    </row>
    <row r="249" spans="2:14" x14ac:dyDescent="0.3">
      <c r="B249" s="11">
        <v>3</v>
      </c>
      <c r="C249" s="11" t="s">
        <v>100</v>
      </c>
      <c r="D249" s="11" t="s">
        <v>161</v>
      </c>
      <c r="E249" s="6" t="s">
        <v>44</v>
      </c>
    </row>
    <row r="250" spans="2:14" ht="57.6" x14ac:dyDescent="0.3">
      <c r="E250" s="5" t="s">
        <v>517</v>
      </c>
    </row>
    <row r="252" spans="2:14" x14ac:dyDescent="0.3">
      <c r="E252" s="5" t="s">
        <v>636</v>
      </c>
      <c r="G252" s="1">
        <v>1</v>
      </c>
      <c r="H252" s="1">
        <v>74.319999999999993</v>
      </c>
      <c r="K252" s="1">
        <f>H252*G252</f>
        <v>74.319999999999993</v>
      </c>
    </row>
    <row r="253" spans="2:14" x14ac:dyDescent="0.3">
      <c r="E253" s="5" t="s">
        <v>637</v>
      </c>
      <c r="G253" s="1">
        <v>1</v>
      </c>
      <c r="H253" s="1">
        <v>74.87</v>
      </c>
      <c r="K253" s="1">
        <f>H253*G253</f>
        <v>74.87</v>
      </c>
    </row>
    <row r="254" spans="2:14" x14ac:dyDescent="0.3">
      <c r="E254" s="5" t="s">
        <v>482</v>
      </c>
      <c r="G254" s="1">
        <v>2</v>
      </c>
      <c r="H254" s="1">
        <v>74.319999999999993</v>
      </c>
      <c r="K254" s="1">
        <f t="shared" ref="K254:K260" si="23">H254*G254</f>
        <v>148.63999999999999</v>
      </c>
    </row>
    <row r="255" spans="2:14" x14ac:dyDescent="0.3">
      <c r="E255" s="5" t="s">
        <v>480</v>
      </c>
      <c r="G255" s="1">
        <v>2</v>
      </c>
      <c r="H255" s="1">
        <v>74.319999999999993</v>
      </c>
      <c r="K255" s="1">
        <f t="shared" si="23"/>
        <v>148.63999999999999</v>
      </c>
    </row>
    <row r="256" spans="2:14" x14ac:dyDescent="0.3">
      <c r="E256" s="5" t="s">
        <v>483</v>
      </c>
      <c r="G256" s="1">
        <v>2</v>
      </c>
      <c r="H256" s="1">
        <v>74.319999999999993</v>
      </c>
      <c r="K256" s="1">
        <f t="shared" si="23"/>
        <v>148.63999999999999</v>
      </c>
    </row>
    <row r="257" spans="2:14" x14ac:dyDescent="0.3">
      <c r="E257" s="5" t="s">
        <v>501</v>
      </c>
      <c r="G257" s="1">
        <v>1</v>
      </c>
      <c r="H257" s="1">
        <v>74.319999999999993</v>
      </c>
      <c r="K257" s="1">
        <f t="shared" si="23"/>
        <v>74.319999999999993</v>
      </c>
    </row>
    <row r="258" spans="2:14" x14ac:dyDescent="0.3">
      <c r="E258" s="5" t="s">
        <v>499</v>
      </c>
      <c r="G258" s="1">
        <v>1</v>
      </c>
      <c r="H258" s="1">
        <v>97.56</v>
      </c>
      <c r="K258" s="1">
        <f t="shared" si="23"/>
        <v>97.56</v>
      </c>
    </row>
    <row r="259" spans="2:14" x14ac:dyDescent="0.3">
      <c r="E259" s="5" t="s">
        <v>639</v>
      </c>
      <c r="G259" s="1">
        <v>1</v>
      </c>
      <c r="H259" s="1">
        <v>74.87</v>
      </c>
      <c r="K259" s="1">
        <f t="shared" si="23"/>
        <v>74.87</v>
      </c>
    </row>
    <row r="260" spans="2:14" x14ac:dyDescent="0.3">
      <c r="E260" s="5" t="s">
        <v>638</v>
      </c>
      <c r="G260" s="1">
        <v>1</v>
      </c>
      <c r="H260" s="1">
        <v>74.319999999999993</v>
      </c>
      <c r="K260" s="1">
        <f t="shared" si="23"/>
        <v>74.319999999999993</v>
      </c>
    </row>
    <row r="261" spans="2:14" x14ac:dyDescent="0.3">
      <c r="L261" s="10">
        <f>SUM(K252:K260)</f>
        <v>916.17999999999984</v>
      </c>
      <c r="M261" s="1">
        <v>10.65</v>
      </c>
      <c r="N261" s="10">
        <f>M261*L261</f>
        <v>9757.3169999999991</v>
      </c>
    </row>
    <row r="263" spans="2:14" x14ac:dyDescent="0.3">
      <c r="B263" s="11">
        <v>3</v>
      </c>
      <c r="C263" s="7" t="s">
        <v>104</v>
      </c>
      <c r="D263" s="7"/>
      <c r="E263" s="4" t="s">
        <v>604</v>
      </c>
    </row>
    <row r="265" spans="2:14" x14ac:dyDescent="0.3">
      <c r="B265" s="11">
        <v>3</v>
      </c>
      <c r="C265" s="11" t="s">
        <v>105</v>
      </c>
      <c r="D265" s="11" t="s">
        <v>166</v>
      </c>
      <c r="E265" s="6" t="s">
        <v>402</v>
      </c>
    </row>
    <row r="266" spans="2:14" ht="86.4" x14ac:dyDescent="0.3">
      <c r="E266" s="5" t="s">
        <v>409</v>
      </c>
    </row>
    <row r="268" spans="2:14" x14ac:dyDescent="0.3">
      <c r="G268" s="1">
        <v>12</v>
      </c>
      <c r="K268" s="1">
        <f>G268</f>
        <v>12</v>
      </c>
    </row>
    <row r="269" spans="2:14" x14ac:dyDescent="0.3">
      <c r="L269" s="10">
        <f>K268</f>
        <v>12</v>
      </c>
      <c r="M269" s="1">
        <f>5806.04-2000-500</f>
        <v>3306.04</v>
      </c>
      <c r="N269" s="10">
        <f>M269*L269</f>
        <v>39672.479999999996</v>
      </c>
    </row>
    <row r="270" spans="2:14" x14ac:dyDescent="0.3">
      <c r="B270" s="11">
        <v>3</v>
      </c>
      <c r="C270" s="11" t="s">
        <v>106</v>
      </c>
      <c r="D270" s="11" t="s">
        <v>166</v>
      </c>
      <c r="E270" s="6" t="s">
        <v>408</v>
      </c>
    </row>
    <row r="271" spans="2:14" ht="114" customHeight="1" x14ac:dyDescent="0.3">
      <c r="E271" s="5" t="s">
        <v>668</v>
      </c>
    </row>
    <row r="273" spans="1:24" x14ac:dyDescent="0.3">
      <c r="G273" s="1">
        <v>12</v>
      </c>
      <c r="K273" s="1">
        <f>G273</f>
        <v>12</v>
      </c>
    </row>
    <row r="274" spans="1:24" x14ac:dyDescent="0.3">
      <c r="L274" s="10">
        <f>K273</f>
        <v>12</v>
      </c>
      <c r="M274" s="1">
        <f>14148.77-1900-245-500</f>
        <v>11503.77</v>
      </c>
      <c r="N274" s="10">
        <f>M274*L274</f>
        <v>138045.24</v>
      </c>
    </row>
    <row r="276" spans="1:24" ht="17.399999999999999" x14ac:dyDescent="0.3">
      <c r="E276" s="26" t="s">
        <v>561</v>
      </c>
      <c r="P276" s="27">
        <f>SUM(N3:N275)</f>
        <v>748772.30245999992</v>
      </c>
      <c r="Q276" s="27"/>
      <c r="R276" s="27"/>
    </row>
    <row r="277" spans="1:24" ht="15.6" x14ac:dyDescent="0.3">
      <c r="E277" s="3"/>
    </row>
    <row r="278" spans="1:24" s="17" customFormat="1" ht="15.6" x14ac:dyDescent="0.3">
      <c r="A278" s="11"/>
      <c r="B278" s="22">
        <v>3</v>
      </c>
      <c r="C278" s="14"/>
      <c r="D278" s="14"/>
      <c r="E278" s="15" t="s">
        <v>308</v>
      </c>
      <c r="F278" s="16"/>
      <c r="G278" s="16"/>
      <c r="H278" s="16"/>
      <c r="I278" s="16"/>
      <c r="J278" s="16"/>
      <c r="K278" s="16"/>
      <c r="L278" s="16"/>
      <c r="M278" s="16"/>
      <c r="N278" s="16"/>
      <c r="O278" s="16"/>
      <c r="P278"/>
      <c r="Q278"/>
      <c r="R278"/>
      <c r="S278" s="1"/>
      <c r="T278" s="1"/>
      <c r="U278" s="1"/>
      <c r="V278" s="1"/>
      <c r="W278" s="1"/>
      <c r="X278" s="1"/>
    </row>
    <row r="279" spans="1:24" ht="15.6" x14ac:dyDescent="0.3">
      <c r="E279" s="3"/>
    </row>
    <row r="280" spans="1:24" x14ac:dyDescent="0.3">
      <c r="B280" s="11">
        <v>3</v>
      </c>
      <c r="C280" s="7" t="s">
        <v>111</v>
      </c>
      <c r="D280" s="7"/>
      <c r="E280" s="4" t="s">
        <v>34</v>
      </c>
    </row>
    <row r="282" spans="1:24" x14ac:dyDescent="0.3">
      <c r="B282" s="11">
        <v>3</v>
      </c>
      <c r="C282" s="11" t="s">
        <v>112</v>
      </c>
      <c r="D282" s="11" t="s">
        <v>319</v>
      </c>
      <c r="E282" s="6" t="s">
        <v>139</v>
      </c>
    </row>
    <row r="283" spans="1:24" ht="43.2" x14ac:dyDescent="0.3">
      <c r="E283" s="5" t="s">
        <v>142</v>
      </c>
    </row>
    <row r="285" spans="1:24" x14ac:dyDescent="0.3">
      <c r="G285" s="1">
        <v>1</v>
      </c>
      <c r="K285" s="1">
        <f>G285</f>
        <v>1</v>
      </c>
    </row>
    <row r="286" spans="1:24" x14ac:dyDescent="0.3">
      <c r="L286" s="10">
        <f>K285</f>
        <v>1</v>
      </c>
      <c r="M286" s="1">
        <v>200</v>
      </c>
      <c r="N286" s="10">
        <f>M286*L286</f>
        <v>200</v>
      </c>
    </row>
    <row r="287" spans="1:24" x14ac:dyDescent="0.3">
      <c r="B287" s="11">
        <v>3</v>
      </c>
      <c r="C287" s="7" t="s">
        <v>176</v>
      </c>
      <c r="E287" s="4" t="s">
        <v>38</v>
      </c>
    </row>
    <row r="289" spans="2:14" x14ac:dyDescent="0.3">
      <c r="B289" s="11">
        <v>3</v>
      </c>
      <c r="C289" s="11" t="s">
        <v>177</v>
      </c>
      <c r="D289" s="11" t="s">
        <v>496</v>
      </c>
      <c r="E289" s="6" t="s">
        <v>140</v>
      </c>
    </row>
    <row r="290" spans="2:14" ht="58.2" customHeight="1" x14ac:dyDescent="0.3">
      <c r="E290" s="5" t="s">
        <v>518</v>
      </c>
    </row>
    <row r="291" spans="2:14" ht="19.8" customHeight="1" x14ac:dyDescent="0.3"/>
    <row r="292" spans="2:14" ht="17.399999999999999" customHeight="1" x14ac:dyDescent="0.3">
      <c r="E292" s="5" t="s">
        <v>488</v>
      </c>
      <c r="G292" s="1">
        <f>2.6*1.5</f>
        <v>3.9000000000000004</v>
      </c>
      <c r="K292" s="1">
        <f>G292</f>
        <v>3.9000000000000004</v>
      </c>
    </row>
    <row r="293" spans="2:14" ht="15" customHeight="1" x14ac:dyDescent="0.3">
      <c r="E293" s="5" t="s">
        <v>322</v>
      </c>
      <c r="G293" s="1">
        <f>2.6*1.3</f>
        <v>3.3800000000000003</v>
      </c>
      <c r="K293" s="1">
        <f t="shared" ref="K293:K297" si="24">G293</f>
        <v>3.3800000000000003</v>
      </c>
    </row>
    <row r="294" spans="2:14" ht="15" customHeight="1" x14ac:dyDescent="0.3">
      <c r="E294" s="5" t="s">
        <v>350</v>
      </c>
      <c r="G294" s="1">
        <f>1.2*2.6</f>
        <v>3.12</v>
      </c>
      <c r="K294" s="1">
        <f t="shared" si="24"/>
        <v>3.12</v>
      </c>
    </row>
    <row r="295" spans="2:14" ht="18" customHeight="1" x14ac:dyDescent="0.3">
      <c r="E295" s="5" t="s">
        <v>349</v>
      </c>
      <c r="G295" s="1">
        <f>2.6*1.1</f>
        <v>2.8600000000000003</v>
      </c>
      <c r="K295" s="1">
        <f t="shared" si="24"/>
        <v>2.8600000000000003</v>
      </c>
    </row>
    <row r="296" spans="2:14" ht="13.8" customHeight="1" x14ac:dyDescent="0.3">
      <c r="E296" s="5" t="s">
        <v>489</v>
      </c>
      <c r="G296" s="1">
        <v>2.6</v>
      </c>
      <c r="K296" s="1">
        <f t="shared" si="24"/>
        <v>2.6</v>
      </c>
    </row>
    <row r="297" spans="2:14" ht="12.6" customHeight="1" x14ac:dyDescent="0.3">
      <c r="E297" s="5" t="s">
        <v>344</v>
      </c>
      <c r="G297" s="1">
        <f>2.6*0.9</f>
        <v>2.3400000000000003</v>
      </c>
      <c r="K297" s="1">
        <f t="shared" si="24"/>
        <v>2.3400000000000003</v>
      </c>
    </row>
    <row r="298" spans="2:14" x14ac:dyDescent="0.3">
      <c r="L298" s="10">
        <f>K292+K293+K294+K295+K296+K297</f>
        <v>18.200000000000003</v>
      </c>
      <c r="M298" s="1">
        <v>43.61</v>
      </c>
      <c r="N298" s="10">
        <f>L298*M298</f>
        <v>793.70200000000011</v>
      </c>
    </row>
    <row r="300" spans="2:14" x14ac:dyDescent="0.3">
      <c r="B300" s="11">
        <v>3</v>
      </c>
      <c r="C300" s="11" t="s">
        <v>183</v>
      </c>
      <c r="D300" s="11" t="s">
        <v>161</v>
      </c>
      <c r="E300" s="6" t="s">
        <v>141</v>
      </c>
    </row>
    <row r="301" spans="2:14" ht="28.8" x14ac:dyDescent="0.3">
      <c r="E301" s="5" t="s">
        <v>143</v>
      </c>
    </row>
    <row r="302" spans="2:14" ht="3.6" customHeight="1" x14ac:dyDescent="0.3"/>
    <row r="303" spans="2:14" ht="158.4" x14ac:dyDescent="0.3">
      <c r="E303" s="5" t="s">
        <v>519</v>
      </c>
    </row>
    <row r="305" spans="2:14" x14ac:dyDescent="0.3">
      <c r="E305" s="5" t="s">
        <v>488</v>
      </c>
      <c r="G305" s="1">
        <f>2.6*1.5</f>
        <v>3.9000000000000004</v>
      </c>
      <c r="K305" s="1">
        <f>G305</f>
        <v>3.9000000000000004</v>
      </c>
    </row>
    <row r="306" spans="2:14" x14ac:dyDescent="0.3">
      <c r="E306" s="5" t="s">
        <v>322</v>
      </c>
      <c r="G306" s="1">
        <f>2.6*1.3</f>
        <v>3.3800000000000003</v>
      </c>
      <c r="K306" s="1">
        <f t="shared" ref="K306:K310" si="25">G306</f>
        <v>3.3800000000000003</v>
      </c>
    </row>
    <row r="307" spans="2:14" x14ac:dyDescent="0.3">
      <c r="E307" s="5" t="s">
        <v>350</v>
      </c>
      <c r="G307" s="1">
        <f>1.2*2.6</f>
        <v>3.12</v>
      </c>
      <c r="K307" s="1">
        <f t="shared" si="25"/>
        <v>3.12</v>
      </c>
    </row>
    <row r="308" spans="2:14" x14ac:dyDescent="0.3">
      <c r="E308" s="5" t="s">
        <v>349</v>
      </c>
      <c r="G308" s="1">
        <f>2.6*1.1</f>
        <v>2.8600000000000003</v>
      </c>
      <c r="K308" s="1">
        <f t="shared" si="25"/>
        <v>2.8600000000000003</v>
      </c>
    </row>
    <row r="309" spans="2:14" x14ac:dyDescent="0.3">
      <c r="E309" s="5" t="s">
        <v>489</v>
      </c>
      <c r="G309" s="1">
        <v>2.6</v>
      </c>
      <c r="K309" s="1">
        <f t="shared" si="25"/>
        <v>2.6</v>
      </c>
    </row>
    <row r="310" spans="2:14" x14ac:dyDescent="0.3">
      <c r="E310" s="5" t="s">
        <v>344</v>
      </c>
      <c r="G310" s="1">
        <f>2.6*0.9</f>
        <v>2.3400000000000003</v>
      </c>
      <c r="K310" s="1">
        <f t="shared" si="25"/>
        <v>2.3400000000000003</v>
      </c>
    </row>
    <row r="311" spans="2:14" x14ac:dyDescent="0.3">
      <c r="L311" s="10">
        <f>K305+K306+K307+K308+K309+K310</f>
        <v>18.200000000000003</v>
      </c>
      <c r="M311" s="1">
        <f>35.36+40</f>
        <v>75.36</v>
      </c>
      <c r="N311" s="10">
        <f>M311*L311</f>
        <v>1371.5520000000001</v>
      </c>
    </row>
    <row r="313" spans="2:14" x14ac:dyDescent="0.3">
      <c r="B313" s="11">
        <v>3</v>
      </c>
      <c r="C313" s="11" t="s">
        <v>311</v>
      </c>
      <c r="D313" s="11" t="s">
        <v>161</v>
      </c>
      <c r="E313" s="6" t="s">
        <v>144</v>
      </c>
    </row>
    <row r="314" spans="2:14" ht="46.2" customHeight="1" x14ac:dyDescent="0.3">
      <c r="E314" s="5" t="s">
        <v>520</v>
      </c>
    </row>
    <row r="316" spans="2:14" x14ac:dyDescent="0.3">
      <c r="E316" s="5" t="s">
        <v>488</v>
      </c>
      <c r="G316" s="1">
        <f>2.6*1.5</f>
        <v>3.9000000000000004</v>
      </c>
      <c r="K316" s="1">
        <f>G316</f>
        <v>3.9000000000000004</v>
      </c>
    </row>
    <row r="317" spans="2:14" x14ac:dyDescent="0.3">
      <c r="E317" s="5" t="s">
        <v>322</v>
      </c>
      <c r="G317" s="1">
        <f>2.6*1.3</f>
        <v>3.3800000000000003</v>
      </c>
      <c r="K317" s="1">
        <f t="shared" ref="K317:K321" si="26">G317</f>
        <v>3.3800000000000003</v>
      </c>
    </row>
    <row r="318" spans="2:14" x14ac:dyDescent="0.3">
      <c r="E318" s="5" t="s">
        <v>350</v>
      </c>
      <c r="G318" s="1">
        <f>1.2*2.6</f>
        <v>3.12</v>
      </c>
      <c r="K318" s="1">
        <f t="shared" si="26"/>
        <v>3.12</v>
      </c>
    </row>
    <row r="319" spans="2:14" x14ac:dyDescent="0.3">
      <c r="E319" s="5" t="s">
        <v>349</v>
      </c>
      <c r="G319" s="1">
        <f>2.6*1.1</f>
        <v>2.8600000000000003</v>
      </c>
      <c r="K319" s="1">
        <f t="shared" si="26"/>
        <v>2.8600000000000003</v>
      </c>
    </row>
    <row r="320" spans="2:14" x14ac:dyDescent="0.3">
      <c r="E320" s="5" t="s">
        <v>489</v>
      </c>
      <c r="G320" s="1">
        <v>2.6</v>
      </c>
      <c r="K320" s="1">
        <f t="shared" si="26"/>
        <v>2.6</v>
      </c>
    </row>
    <row r="321" spans="1:24" x14ac:dyDescent="0.3">
      <c r="E321" s="5" t="s">
        <v>344</v>
      </c>
      <c r="G321" s="1">
        <f>2.6*0.9</f>
        <v>2.3400000000000003</v>
      </c>
      <c r="K321" s="1">
        <f t="shared" si="26"/>
        <v>2.3400000000000003</v>
      </c>
    </row>
    <row r="322" spans="1:24" x14ac:dyDescent="0.3">
      <c r="L322" s="10">
        <f>K316+K317+K318+K319+K320+K321</f>
        <v>18.200000000000003</v>
      </c>
      <c r="M322" s="1">
        <v>45.27</v>
      </c>
      <c r="N322" s="10">
        <f>M322*L322</f>
        <v>823.91400000000021</v>
      </c>
    </row>
    <row r="324" spans="1:24" ht="17.399999999999999" x14ac:dyDescent="0.3">
      <c r="A324" s="39"/>
      <c r="B324" s="39"/>
      <c r="C324" s="39"/>
      <c r="D324" s="39"/>
      <c r="E324" s="26" t="s">
        <v>562</v>
      </c>
      <c r="F324" s="27"/>
      <c r="G324" s="27"/>
      <c r="H324" s="27"/>
      <c r="I324" s="27"/>
      <c r="J324" s="27"/>
      <c r="K324" s="27"/>
      <c r="L324" s="27"/>
      <c r="M324" s="27"/>
      <c r="N324" s="27"/>
      <c r="O324" s="27"/>
      <c r="P324" s="27">
        <f>SUM(N279:N323)</f>
        <v>3189.1680000000006</v>
      </c>
      <c r="Q324" s="27"/>
      <c r="R324" s="27"/>
    </row>
    <row r="326" spans="1:24" ht="21" x14ac:dyDescent="0.4">
      <c r="E326" s="35" t="s">
        <v>535</v>
      </c>
      <c r="F326" s="1" t="s">
        <v>536</v>
      </c>
      <c r="P326" s="33">
        <f>SUM(P3:P324)</f>
        <v>751961.47045999987</v>
      </c>
      <c r="Q326" s="33"/>
      <c r="R326" s="33"/>
    </row>
    <row r="329" spans="1:24" ht="18" x14ac:dyDescent="0.35">
      <c r="E329" s="40"/>
      <c r="Q329" s="25"/>
    </row>
    <row r="331" spans="1:24" ht="18" x14ac:dyDescent="0.35">
      <c r="E331" s="40"/>
      <c r="S331" s="25"/>
      <c r="T331" s="25"/>
      <c r="U331" s="25"/>
      <c r="V331" s="25"/>
      <c r="W331" s="25"/>
      <c r="X331" s="25"/>
    </row>
    <row r="332" spans="1:24" ht="18" x14ac:dyDescent="0.35">
      <c r="E332" s="40"/>
      <c r="S332" s="25"/>
      <c r="T332" s="25"/>
      <c r="U332" s="25"/>
      <c r="V332" s="25"/>
      <c r="W332" s="25"/>
      <c r="X332" s="25"/>
    </row>
    <row r="333" spans="1:24" ht="18" x14ac:dyDescent="0.35">
      <c r="E333" s="40"/>
      <c r="S333" s="25"/>
      <c r="T333" s="25"/>
      <c r="U333" s="25"/>
      <c r="V333" s="25"/>
      <c r="W333" s="25"/>
      <c r="X333" s="25"/>
    </row>
    <row r="334" spans="1:24" ht="18" x14ac:dyDescent="0.35">
      <c r="E334" s="40"/>
      <c r="S334" s="25"/>
      <c r="T334" s="25"/>
      <c r="U334" s="25"/>
      <c r="V334" s="25"/>
      <c r="W334" s="25"/>
      <c r="X334" s="25"/>
    </row>
    <row r="335" spans="1:24" ht="18" x14ac:dyDescent="0.35">
      <c r="E335" s="40"/>
      <c r="S335" s="25"/>
      <c r="T335" s="25"/>
      <c r="U335" s="25"/>
      <c r="V335" s="25"/>
      <c r="W335" s="25"/>
      <c r="X335" s="25"/>
    </row>
    <row r="336" spans="1:24" ht="18" x14ac:dyDescent="0.35">
      <c r="E336" s="40"/>
      <c r="S336" s="25"/>
      <c r="T336" s="25"/>
      <c r="U336" s="25"/>
      <c r="V336" s="25"/>
      <c r="W336" s="25"/>
      <c r="X336" s="25"/>
    </row>
    <row r="337" spans="5:24" ht="18" x14ac:dyDescent="0.35">
      <c r="E337" s="40"/>
      <c r="S337" s="25"/>
      <c r="T337" s="25"/>
      <c r="U337" s="25"/>
      <c r="V337" s="25"/>
      <c r="W337" s="25"/>
      <c r="X337" s="25"/>
    </row>
    <row r="338" spans="5:24" ht="18" x14ac:dyDescent="0.35">
      <c r="E338" s="40"/>
      <c r="S338" s="25"/>
      <c r="T338" s="25"/>
      <c r="U338" s="25"/>
      <c r="V338" s="25"/>
      <c r="W338" s="25"/>
      <c r="X338" s="25"/>
    </row>
    <row r="339" spans="5:24" ht="18" x14ac:dyDescent="0.35">
      <c r="E339" s="40"/>
      <c r="S339" s="25"/>
      <c r="T339" s="25"/>
      <c r="U339" s="25"/>
      <c r="V339" s="25"/>
      <c r="W339" s="25"/>
      <c r="X339" s="25"/>
    </row>
  </sheetData>
  <pageMargins left="0.70866141732283472" right="0.70866141732283472" top="0.74803149606299213" bottom="0.74803149606299213" header="0.31496062992125984" footer="0.31496062992125984"/>
  <pageSetup paperSize="9" scale="48" fitToHeight="0" orientation="portrait" verticalDpi="300" r:id="rId1"/>
  <rowBreaks count="2" manualBreakCount="2">
    <brk id="223" max="16383" man="1"/>
    <brk id="29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7DAC-255B-4862-B262-B9C149FC1514}">
  <sheetPr>
    <pageSetUpPr fitToPage="1"/>
  </sheetPr>
  <dimension ref="A1:AA231"/>
  <sheetViews>
    <sheetView workbookViewId="0">
      <selection sqref="A1:A1048576"/>
    </sheetView>
  </sheetViews>
  <sheetFormatPr baseColWidth="10" defaultRowHeight="14.4" x14ac:dyDescent="0.3"/>
  <cols>
    <col min="1" max="2" width="4.77734375" style="11" customWidth="1"/>
    <col min="3" max="3" width="6.77734375" style="11" customWidth="1"/>
    <col min="4" max="4" width="4.77734375" style="11" customWidth="1"/>
    <col min="5" max="5" width="50.77734375" style="5" customWidth="1"/>
    <col min="6" max="6" width="3" style="1" customWidth="1"/>
    <col min="7" max="7" width="9.88671875" style="1" customWidth="1"/>
    <col min="8" max="8" width="11.21875" style="1" customWidth="1"/>
    <col min="9" max="9" width="11.33203125" style="1" customWidth="1"/>
    <col min="10" max="10" width="10.33203125" style="1" customWidth="1"/>
    <col min="11" max="11" width="13.44140625" style="1" customWidth="1"/>
    <col min="12" max="12" width="11" style="1" customWidth="1"/>
    <col min="13" max="13" width="15.77734375" style="1" customWidth="1"/>
    <col min="14" max="14" width="13.77734375" style="1" customWidth="1"/>
    <col min="15" max="15" width="2" style="1" customWidth="1"/>
    <col min="16" max="16" width="16.5546875" customWidth="1"/>
    <col min="17" max="17" width="3.6640625" customWidth="1"/>
    <col min="18" max="18" width="17.21875" customWidth="1"/>
    <col min="19" max="19" width="3.6640625" customWidth="1"/>
    <col min="20" max="23" width="11.5546875" style="1"/>
    <col min="24" max="24" width="3.88671875" style="1" customWidth="1"/>
    <col min="25" max="25" width="11.5546875" style="1"/>
  </cols>
  <sheetData>
    <row r="1" spans="1:25" s="8" customFormat="1" ht="15" thickBot="1" x14ac:dyDescent="0.35">
      <c r="A1" s="81" t="s">
        <v>148</v>
      </c>
      <c r="B1" s="8" t="s">
        <v>265</v>
      </c>
      <c r="C1" s="8" t="s">
        <v>149</v>
      </c>
      <c r="D1" s="8" t="s">
        <v>151</v>
      </c>
      <c r="E1" s="8" t="s">
        <v>150</v>
      </c>
      <c r="F1" s="8" t="s">
        <v>167</v>
      </c>
      <c r="G1" s="9" t="s">
        <v>151</v>
      </c>
      <c r="H1" s="9" t="s">
        <v>152</v>
      </c>
      <c r="I1" s="9" t="s">
        <v>153</v>
      </c>
      <c r="J1" s="9" t="s">
        <v>154</v>
      </c>
      <c r="K1" s="9" t="s">
        <v>155</v>
      </c>
      <c r="L1" s="9" t="s">
        <v>156</v>
      </c>
      <c r="M1" s="9" t="s">
        <v>157</v>
      </c>
      <c r="N1" s="9" t="s">
        <v>158</v>
      </c>
      <c r="O1" s="9"/>
      <c r="Q1" s="81"/>
      <c r="R1" s="81"/>
      <c r="S1" s="81"/>
      <c r="T1" s="82"/>
      <c r="U1" s="82"/>
      <c r="V1" s="82"/>
      <c r="W1" s="82"/>
      <c r="X1" s="82"/>
      <c r="Y1" s="82"/>
    </row>
    <row r="2" spans="1:25" x14ac:dyDescent="0.3">
      <c r="F2" s="5"/>
    </row>
    <row r="3" spans="1:25" ht="17.399999999999999" x14ac:dyDescent="0.3">
      <c r="E3" s="20" t="s">
        <v>312</v>
      </c>
      <c r="F3" s="5"/>
    </row>
    <row r="4" spans="1:25" ht="17.399999999999999" x14ac:dyDescent="0.3">
      <c r="E4" s="12"/>
      <c r="F4" s="5"/>
    </row>
    <row r="5" spans="1:25" ht="17.399999999999999" x14ac:dyDescent="0.3">
      <c r="E5" s="12" t="s">
        <v>313</v>
      </c>
      <c r="F5" s="5"/>
    </row>
    <row r="6" spans="1:25" x14ac:dyDescent="0.3">
      <c r="F6" s="5"/>
    </row>
    <row r="7" spans="1:25" s="17" customFormat="1" ht="15.6" x14ac:dyDescent="0.3">
      <c r="A7" s="11"/>
      <c r="B7" s="22">
        <v>4</v>
      </c>
      <c r="C7" s="22"/>
      <c r="D7" s="14"/>
      <c r="E7" s="15" t="s">
        <v>314</v>
      </c>
      <c r="F7" s="16"/>
      <c r="G7" s="16"/>
      <c r="H7" s="16"/>
      <c r="I7" s="16"/>
      <c r="J7" s="16"/>
      <c r="K7" s="16"/>
      <c r="L7" s="16"/>
      <c r="M7" s="16"/>
      <c r="N7" s="16"/>
      <c r="O7" s="16"/>
      <c r="Q7"/>
      <c r="R7"/>
      <c r="S7"/>
      <c r="T7" s="1"/>
      <c r="U7" s="1"/>
      <c r="V7" s="1"/>
      <c r="W7" s="1"/>
      <c r="X7" s="1"/>
      <c r="Y7" s="1"/>
    </row>
    <row r="9" spans="1:25" x14ac:dyDescent="0.3">
      <c r="B9" s="11">
        <v>4</v>
      </c>
      <c r="C9" s="11" t="s">
        <v>86</v>
      </c>
      <c r="E9" s="4" t="s">
        <v>82</v>
      </c>
    </row>
    <row r="11" spans="1:25" x14ac:dyDescent="0.3">
      <c r="B11" s="11">
        <v>4</v>
      </c>
      <c r="C11" s="11" t="s">
        <v>264</v>
      </c>
      <c r="D11" s="24" t="s">
        <v>161</v>
      </c>
      <c r="E11" s="6" t="s">
        <v>54</v>
      </c>
    </row>
    <row r="12" spans="1:25" ht="30" customHeight="1" x14ac:dyDescent="0.3">
      <c r="E12" s="5" t="s">
        <v>83</v>
      </c>
    </row>
    <row r="14" spans="1:25" x14ac:dyDescent="0.3">
      <c r="G14" s="1">
        <f>75.85+40.81</f>
        <v>116.66</v>
      </c>
      <c r="H14" s="1">
        <f>3.3+0.5</f>
        <v>3.8</v>
      </c>
      <c r="K14" s="1">
        <f>G14*H14</f>
        <v>443.30799999999999</v>
      </c>
    </row>
    <row r="15" spans="1:25" x14ac:dyDescent="0.3">
      <c r="L15" s="10">
        <f>K14</f>
        <v>443.30799999999999</v>
      </c>
      <c r="M15" s="1">
        <v>13.5</v>
      </c>
      <c r="N15" s="10">
        <f>L15*M15</f>
        <v>5984.6579999999994</v>
      </c>
    </row>
    <row r="17" spans="2:14" x14ac:dyDescent="0.3">
      <c r="B17" s="11">
        <v>4</v>
      </c>
      <c r="C17" s="11" t="s">
        <v>267</v>
      </c>
      <c r="D17" s="24" t="s">
        <v>161</v>
      </c>
      <c r="E17" s="6" t="s">
        <v>666</v>
      </c>
    </row>
    <row r="18" spans="2:14" ht="57.6" x14ac:dyDescent="0.3">
      <c r="E18" s="5" t="s">
        <v>667</v>
      </c>
    </row>
    <row r="20" spans="2:14" x14ac:dyDescent="0.3">
      <c r="G20" s="1">
        <f>G14</f>
        <v>116.66</v>
      </c>
      <c r="H20" s="1">
        <v>3.3</v>
      </c>
      <c r="K20" s="1">
        <f>G20*H20</f>
        <v>384.97799999999995</v>
      </c>
    </row>
    <row r="21" spans="2:14" x14ac:dyDescent="0.3">
      <c r="L21" s="10">
        <f>K20</f>
        <v>384.97799999999995</v>
      </c>
      <c r="M21" s="1">
        <v>48.43</v>
      </c>
      <c r="N21" s="10">
        <f>L21*M21</f>
        <v>18644.484539999998</v>
      </c>
    </row>
    <row r="23" spans="2:14" x14ac:dyDescent="0.3">
      <c r="B23" s="11">
        <v>4</v>
      </c>
      <c r="C23" s="11" t="s">
        <v>268</v>
      </c>
      <c r="D23" s="11" t="s">
        <v>161</v>
      </c>
      <c r="E23" s="6" t="s">
        <v>541</v>
      </c>
    </row>
    <row r="24" spans="2:14" ht="100.8" x14ac:dyDescent="0.3">
      <c r="E24" s="5" t="s">
        <v>529</v>
      </c>
    </row>
    <row r="26" spans="2:14" x14ac:dyDescent="0.3">
      <c r="G26" s="1">
        <f>75.85+40.81</f>
        <v>116.66</v>
      </c>
      <c r="H26" s="1">
        <v>3.3</v>
      </c>
      <c r="K26" s="1">
        <f>G26*H26</f>
        <v>384.97799999999995</v>
      </c>
    </row>
    <row r="27" spans="2:14" x14ac:dyDescent="0.3">
      <c r="L27" s="10">
        <f>K26</f>
        <v>384.97799999999995</v>
      </c>
      <c r="M27" s="1">
        <v>37.130000000000003</v>
      </c>
      <c r="N27" s="10">
        <f>L27*M27</f>
        <v>14294.233139999998</v>
      </c>
    </row>
    <row r="30" spans="2:14" x14ac:dyDescent="0.3">
      <c r="B30" s="11">
        <v>4</v>
      </c>
      <c r="C30" s="11" t="s">
        <v>268</v>
      </c>
      <c r="D30" s="24" t="s">
        <v>162</v>
      </c>
      <c r="E30" s="6" t="s">
        <v>629</v>
      </c>
    </row>
    <row r="31" spans="2:14" ht="100.8" x14ac:dyDescent="0.3">
      <c r="E31" s="5" t="s">
        <v>630</v>
      </c>
    </row>
    <row r="33" spans="1:25" x14ac:dyDescent="0.3">
      <c r="G33" s="1">
        <f>75.85+40.81</f>
        <v>116.66</v>
      </c>
      <c r="K33" s="1">
        <f>G33</f>
        <v>116.66</v>
      </c>
    </row>
    <row r="34" spans="1:25" x14ac:dyDescent="0.3">
      <c r="L34" s="10">
        <f>K33</f>
        <v>116.66</v>
      </c>
      <c r="M34" s="1">
        <v>280</v>
      </c>
      <c r="N34" s="10">
        <f>L34*M34</f>
        <v>32664.799999999999</v>
      </c>
    </row>
    <row r="36" spans="1:25" ht="18" x14ac:dyDescent="0.35">
      <c r="E36" s="40" t="s">
        <v>563</v>
      </c>
      <c r="F36" s="25"/>
      <c r="G36" s="25"/>
      <c r="H36" s="25"/>
      <c r="I36" s="25"/>
      <c r="J36" s="25"/>
      <c r="K36" s="25"/>
      <c r="L36" s="25"/>
      <c r="M36" s="25"/>
      <c r="N36" s="25"/>
      <c r="O36" s="25"/>
      <c r="P36" s="25">
        <f>SUM(N3:N35)</f>
        <v>71588.17568</v>
      </c>
    </row>
    <row r="38" spans="1:25" s="17" customFormat="1" ht="15.6" x14ac:dyDescent="0.3">
      <c r="A38" s="11"/>
      <c r="B38" s="22">
        <v>4</v>
      </c>
      <c r="C38" s="14"/>
      <c r="D38" s="14"/>
      <c r="E38" s="15" t="s">
        <v>315</v>
      </c>
      <c r="F38" s="16"/>
      <c r="G38" s="16"/>
      <c r="H38" s="16"/>
      <c r="I38" s="16"/>
      <c r="J38" s="16"/>
      <c r="K38" s="16"/>
      <c r="L38" s="16"/>
      <c r="M38" s="16"/>
      <c r="N38" s="16"/>
      <c r="O38" s="16"/>
      <c r="Q38"/>
      <c r="R38"/>
      <c r="S38"/>
      <c r="T38" s="1"/>
      <c r="U38" s="1"/>
      <c r="V38" s="1"/>
      <c r="W38" s="1"/>
      <c r="X38" s="1"/>
      <c r="Y38" s="1"/>
    </row>
    <row r="40" spans="1:25" x14ac:dyDescent="0.3">
      <c r="B40" s="11">
        <v>4</v>
      </c>
      <c r="C40" s="11" t="s">
        <v>111</v>
      </c>
      <c r="E40" s="4" t="s">
        <v>119</v>
      </c>
    </row>
    <row r="41" spans="1:25" x14ac:dyDescent="0.3">
      <c r="E41" s="4"/>
    </row>
    <row r="42" spans="1:25" x14ac:dyDescent="0.3">
      <c r="B42" s="11">
        <v>4</v>
      </c>
      <c r="C42" s="11" t="s">
        <v>112</v>
      </c>
      <c r="D42" s="11" t="s">
        <v>161</v>
      </c>
      <c r="E42" s="6" t="s">
        <v>131</v>
      </c>
    </row>
    <row r="43" spans="1:25" ht="66" customHeight="1" x14ac:dyDescent="0.3">
      <c r="E43" s="5" t="s">
        <v>528</v>
      </c>
    </row>
    <row r="44" spans="1:25" ht="13.8" customHeight="1" x14ac:dyDescent="0.3"/>
    <row r="45" spans="1:25" x14ac:dyDescent="0.3">
      <c r="E45" s="5" t="s">
        <v>386</v>
      </c>
      <c r="G45" s="1">
        <v>14</v>
      </c>
      <c r="H45" s="1">
        <v>4.5</v>
      </c>
      <c r="I45" s="1">
        <v>7.15</v>
      </c>
      <c r="K45" s="1">
        <f>I45*H45*G45</f>
        <v>450.45000000000005</v>
      </c>
    </row>
    <row r="46" spans="1:25" x14ac:dyDescent="0.3">
      <c r="L46" s="10">
        <f>K45</f>
        <v>450.45000000000005</v>
      </c>
      <c r="M46" s="1">
        <v>3</v>
      </c>
      <c r="N46" s="10">
        <f>L46*M46</f>
        <v>1351.3500000000001</v>
      </c>
    </row>
    <row r="49" spans="1:25" x14ac:dyDescent="0.3">
      <c r="B49" s="11">
        <v>4</v>
      </c>
      <c r="C49" s="11" t="s">
        <v>369</v>
      </c>
      <c r="D49" s="11" t="s">
        <v>162</v>
      </c>
      <c r="E49" s="6" t="s">
        <v>117</v>
      </c>
    </row>
    <row r="50" spans="1:25" ht="28.8" x14ac:dyDescent="0.3">
      <c r="E50" s="5" t="s">
        <v>116</v>
      </c>
    </row>
    <row r="51" spans="1:25" x14ac:dyDescent="0.3">
      <c r="E51" s="5" t="s">
        <v>207</v>
      </c>
      <c r="G51" s="1">
        <v>10</v>
      </c>
      <c r="K51" s="1">
        <f>G51</f>
        <v>10</v>
      </c>
    </row>
    <row r="52" spans="1:25" x14ac:dyDescent="0.3">
      <c r="L52" s="10">
        <f>K51</f>
        <v>10</v>
      </c>
      <c r="M52" s="1">
        <v>15</v>
      </c>
      <c r="N52" s="10">
        <f>M52*L52</f>
        <v>150</v>
      </c>
    </row>
    <row r="55" spans="1:25" x14ac:dyDescent="0.3">
      <c r="B55" s="11">
        <v>4</v>
      </c>
      <c r="C55" s="11" t="s">
        <v>176</v>
      </c>
      <c r="E55" s="4" t="s">
        <v>120</v>
      </c>
    </row>
    <row r="56" spans="1:25" x14ac:dyDescent="0.3">
      <c r="E56" s="4"/>
    </row>
    <row r="57" spans="1:25" x14ac:dyDescent="0.3">
      <c r="B57" s="11">
        <v>4</v>
      </c>
      <c r="C57" s="11" t="s">
        <v>177</v>
      </c>
      <c r="D57" s="11" t="s">
        <v>161</v>
      </c>
      <c r="E57" s="6" t="s">
        <v>121</v>
      </c>
    </row>
    <row r="58" spans="1:25" ht="45" customHeight="1" x14ac:dyDescent="0.3">
      <c r="E58" s="5" t="s">
        <v>665</v>
      </c>
    </row>
    <row r="60" spans="1:25" x14ac:dyDescent="0.3">
      <c r="E60" s="5" t="s">
        <v>387</v>
      </c>
      <c r="G60" s="1">
        <v>6</v>
      </c>
      <c r="H60" s="1">
        <v>2.85</v>
      </c>
      <c r="I60" s="1">
        <v>5.6</v>
      </c>
      <c r="K60" s="1">
        <f>G60*H60*I60</f>
        <v>95.76</v>
      </c>
    </row>
    <row r="61" spans="1:25" x14ac:dyDescent="0.3">
      <c r="E61" s="4"/>
      <c r="L61" s="10">
        <f>K60</f>
        <v>95.76</v>
      </c>
      <c r="M61" s="1">
        <v>10</v>
      </c>
      <c r="N61" s="10">
        <f>L61*M61</f>
        <v>957.6</v>
      </c>
    </row>
    <row r="63" spans="1:25" ht="15" customHeight="1" x14ac:dyDescent="0.3">
      <c r="E63" s="4"/>
    </row>
    <row r="64" spans="1:25" s="41" customFormat="1" ht="15" customHeight="1" x14ac:dyDescent="0.3">
      <c r="A64" s="39"/>
      <c r="B64" s="39"/>
      <c r="C64" s="39"/>
      <c r="D64" s="39"/>
      <c r="E64" s="26" t="s">
        <v>564</v>
      </c>
      <c r="F64" s="27"/>
      <c r="G64" s="27"/>
      <c r="H64" s="27"/>
      <c r="I64" s="27"/>
      <c r="J64" s="27"/>
      <c r="K64" s="27"/>
      <c r="L64" s="27"/>
      <c r="M64" s="27"/>
      <c r="N64" s="27"/>
      <c r="O64" s="27"/>
      <c r="P64" s="27">
        <f>SUM(N37:N63)</f>
        <v>2458.9500000000003</v>
      </c>
      <c r="T64" s="27"/>
      <c r="U64" s="27"/>
      <c r="V64" s="27"/>
      <c r="W64" s="27"/>
      <c r="X64" s="27"/>
      <c r="Y64" s="27"/>
    </row>
    <row r="66" spans="1:25" s="17" customFormat="1" ht="15.6" x14ac:dyDescent="0.3">
      <c r="A66" s="11"/>
      <c r="B66" s="22">
        <v>4</v>
      </c>
      <c r="C66" s="14"/>
      <c r="D66" s="14"/>
      <c r="E66" s="15" t="s">
        <v>316</v>
      </c>
      <c r="F66" s="16"/>
      <c r="G66" s="16"/>
      <c r="H66" s="16"/>
      <c r="I66" s="16"/>
      <c r="J66" s="16"/>
      <c r="K66" s="16"/>
      <c r="L66" s="16"/>
      <c r="M66" s="16"/>
      <c r="N66" s="16"/>
      <c r="O66" s="16"/>
      <c r="Q66"/>
      <c r="R66"/>
      <c r="S66"/>
      <c r="T66" s="1"/>
      <c r="U66" s="1"/>
      <c r="V66" s="1"/>
      <c r="W66" s="1"/>
      <c r="X66" s="1"/>
      <c r="Y66" s="1"/>
    </row>
    <row r="68" spans="1:25" x14ac:dyDescent="0.3">
      <c r="B68" s="11">
        <v>4</v>
      </c>
      <c r="C68" s="11" t="s">
        <v>215</v>
      </c>
      <c r="E68" s="4" t="s">
        <v>388</v>
      </c>
    </row>
    <row r="70" spans="1:25" x14ac:dyDescent="0.3">
      <c r="B70" s="11">
        <v>4</v>
      </c>
      <c r="C70" s="11" t="s">
        <v>214</v>
      </c>
      <c r="D70" s="11" t="s">
        <v>161</v>
      </c>
      <c r="E70" s="6" t="s">
        <v>115</v>
      </c>
    </row>
    <row r="71" spans="1:25" ht="43.2" x14ac:dyDescent="0.3">
      <c r="E71" s="5" t="s">
        <v>527</v>
      </c>
    </row>
    <row r="73" spans="1:25" x14ac:dyDescent="0.3">
      <c r="E73" s="5" t="s">
        <v>389</v>
      </c>
      <c r="H73" s="1">
        <f>(10+7+5.33)*2+(2.33+4.36+4.36)*2</f>
        <v>66.759999999999991</v>
      </c>
      <c r="J73" s="1">
        <v>3</v>
      </c>
      <c r="K73" s="1">
        <f>J73*H73</f>
        <v>200.27999999999997</v>
      </c>
    </row>
    <row r="74" spans="1:25" x14ac:dyDescent="0.3">
      <c r="E74" s="5" t="s">
        <v>390</v>
      </c>
      <c r="H74" s="1">
        <f>(10+7)*2</f>
        <v>34</v>
      </c>
      <c r="J74" s="1">
        <v>5</v>
      </c>
      <c r="K74" s="1">
        <f t="shared" ref="K74:K75" si="0">J74*H74</f>
        <v>170</v>
      </c>
    </row>
    <row r="75" spans="1:25" x14ac:dyDescent="0.3">
      <c r="H75" s="1">
        <f>5.33*2</f>
        <v>10.66</v>
      </c>
      <c r="J75" s="1">
        <v>3</v>
      </c>
      <c r="K75" s="1">
        <f t="shared" si="0"/>
        <v>31.98</v>
      </c>
    </row>
    <row r="76" spans="1:25" x14ac:dyDescent="0.3">
      <c r="L76" s="10">
        <f>K73+K74+K75</f>
        <v>402.26</v>
      </c>
      <c r="M76" s="1">
        <v>16.760000000000002</v>
      </c>
      <c r="N76" s="10">
        <f>L76*M76</f>
        <v>6741.8776000000007</v>
      </c>
    </row>
    <row r="77" spans="1:25" x14ac:dyDescent="0.3">
      <c r="B77" s="11">
        <v>4</v>
      </c>
      <c r="C77" s="11" t="s">
        <v>370</v>
      </c>
      <c r="D77" s="11" t="s">
        <v>162</v>
      </c>
      <c r="E77" s="6" t="s">
        <v>132</v>
      </c>
    </row>
    <row r="78" spans="1:25" ht="57.6" x14ac:dyDescent="0.3">
      <c r="E78" s="5" t="s">
        <v>526</v>
      </c>
    </row>
    <row r="79" spans="1:25" x14ac:dyDescent="0.3">
      <c r="G79" s="1">
        <v>9</v>
      </c>
      <c r="H79" s="1">
        <v>1.45</v>
      </c>
      <c r="K79" s="1">
        <f>H79*G79</f>
        <v>13.049999999999999</v>
      </c>
    </row>
    <row r="80" spans="1:25" x14ac:dyDescent="0.3">
      <c r="L80" s="10">
        <f>K79</f>
        <v>13.049999999999999</v>
      </c>
      <c r="M80" s="1">
        <v>15</v>
      </c>
      <c r="N80" s="10">
        <f>L80*M80</f>
        <v>195.74999999999997</v>
      </c>
    </row>
    <row r="82" spans="1:25" x14ac:dyDescent="0.3">
      <c r="B82" s="11">
        <v>4</v>
      </c>
      <c r="C82" s="11" t="s">
        <v>659</v>
      </c>
      <c r="D82" s="11" t="s">
        <v>161</v>
      </c>
      <c r="E82" s="69" t="s">
        <v>660</v>
      </c>
    </row>
    <row r="83" spans="1:25" ht="28.8" x14ac:dyDescent="0.3">
      <c r="E83" s="5" t="s">
        <v>698</v>
      </c>
    </row>
    <row r="85" spans="1:25" x14ac:dyDescent="0.3">
      <c r="E85" s="5" t="s">
        <v>389</v>
      </c>
      <c r="H85" s="1">
        <f>(10+7+5.33)*2+(2.33+4.36+4.36)*2</f>
        <v>66.759999999999991</v>
      </c>
      <c r="J85" s="1">
        <v>3</v>
      </c>
      <c r="K85" s="1">
        <f>J85*H85</f>
        <v>200.27999999999997</v>
      </c>
    </row>
    <row r="86" spans="1:25" x14ac:dyDescent="0.3">
      <c r="E86" s="5" t="s">
        <v>390</v>
      </c>
      <c r="H86" s="1">
        <f>(10+7)*2</f>
        <v>34</v>
      </c>
      <c r="J86" s="1">
        <v>5</v>
      </c>
      <c r="K86" s="1">
        <f t="shared" ref="K86:K87" si="1">J86*H86</f>
        <v>170</v>
      </c>
    </row>
    <row r="87" spans="1:25" x14ac:dyDescent="0.3">
      <c r="H87" s="1">
        <f>5.33*2</f>
        <v>10.66</v>
      </c>
      <c r="J87" s="1">
        <v>3</v>
      </c>
      <c r="K87" s="1">
        <f t="shared" si="1"/>
        <v>31.98</v>
      </c>
    </row>
    <row r="88" spans="1:25" x14ac:dyDescent="0.3">
      <c r="L88" s="10">
        <f>K85+K86+K87</f>
        <v>402.26</v>
      </c>
      <c r="M88" s="1">
        <v>100</v>
      </c>
      <c r="N88" s="10">
        <f>L88*M88</f>
        <v>40226</v>
      </c>
    </row>
    <row r="89" spans="1:25" ht="17.399999999999999" x14ac:dyDescent="0.3">
      <c r="E89" s="12"/>
    </row>
    <row r="90" spans="1:25" s="41" customFormat="1" ht="17.399999999999999" x14ac:dyDescent="0.3">
      <c r="A90" s="39"/>
      <c r="B90" s="39"/>
      <c r="C90" s="39"/>
      <c r="D90" s="39"/>
      <c r="E90" s="26" t="s">
        <v>565</v>
      </c>
      <c r="F90" s="27"/>
      <c r="G90" s="27"/>
      <c r="H90" s="27"/>
      <c r="I90" s="27"/>
      <c r="J90" s="27"/>
      <c r="K90" s="27"/>
      <c r="L90" s="27"/>
      <c r="M90" s="27"/>
      <c r="N90" s="27"/>
      <c r="O90" s="27"/>
      <c r="P90" s="27">
        <f>SUM(N67:N89)</f>
        <v>47163.6276</v>
      </c>
      <c r="T90" s="27"/>
      <c r="U90" s="27"/>
      <c r="V90" s="27"/>
      <c r="W90" s="27"/>
      <c r="X90" s="27"/>
      <c r="Y90" s="27"/>
    </row>
    <row r="92" spans="1:25" s="17" customFormat="1" ht="15.6" x14ac:dyDescent="0.3">
      <c r="A92" s="11"/>
      <c r="B92" s="22">
        <v>4</v>
      </c>
      <c r="C92" s="14"/>
      <c r="D92" s="14"/>
      <c r="E92" s="15" t="s">
        <v>317</v>
      </c>
      <c r="F92" s="16"/>
      <c r="G92" s="16"/>
      <c r="H92" s="16"/>
      <c r="I92" s="16"/>
      <c r="J92" s="16"/>
      <c r="K92" s="16"/>
      <c r="L92" s="16"/>
      <c r="M92" s="16"/>
      <c r="N92" s="16"/>
      <c r="O92" s="16"/>
      <c r="Q92"/>
      <c r="R92"/>
      <c r="S92"/>
      <c r="T92" s="1"/>
      <c r="U92" s="1"/>
      <c r="V92" s="1"/>
      <c r="W92" s="1"/>
      <c r="X92" s="1"/>
      <c r="Y92" s="1"/>
    </row>
    <row r="94" spans="1:25" x14ac:dyDescent="0.3">
      <c r="B94" s="11">
        <v>4</v>
      </c>
      <c r="C94" s="11" t="s">
        <v>234</v>
      </c>
      <c r="E94" s="4" t="s">
        <v>138</v>
      </c>
    </row>
    <row r="96" spans="1:25" x14ac:dyDescent="0.3">
      <c r="B96" s="11">
        <v>4</v>
      </c>
      <c r="C96" s="11" t="s">
        <v>235</v>
      </c>
      <c r="D96" s="11" t="s">
        <v>162</v>
      </c>
      <c r="E96" s="6" t="s">
        <v>133</v>
      </c>
    </row>
    <row r="97" spans="2:14" ht="72.599999999999994" customHeight="1" x14ac:dyDescent="0.3">
      <c r="E97" s="5" t="s">
        <v>401</v>
      </c>
    </row>
    <row r="98" spans="2:14" ht="15.6" customHeight="1" x14ac:dyDescent="0.3"/>
    <row r="99" spans="2:14" ht="15" customHeight="1" x14ac:dyDescent="0.3">
      <c r="E99" s="5" t="s">
        <v>392</v>
      </c>
      <c r="G99" s="1">
        <v>6</v>
      </c>
      <c r="K99" s="1">
        <f>G99</f>
        <v>6</v>
      </c>
    </row>
    <row r="100" spans="2:14" ht="15" customHeight="1" x14ac:dyDescent="0.3">
      <c r="E100" s="5" t="s">
        <v>391</v>
      </c>
      <c r="G100" s="1">
        <v>16</v>
      </c>
      <c r="K100" s="1">
        <f t="shared" ref="K100:K101" si="2">G100</f>
        <v>16</v>
      </c>
    </row>
    <row r="101" spans="2:14" ht="15" customHeight="1" x14ac:dyDescent="0.3">
      <c r="E101" s="5" t="s">
        <v>393</v>
      </c>
      <c r="G101" s="1">
        <v>6</v>
      </c>
      <c r="K101" s="1">
        <f t="shared" si="2"/>
        <v>6</v>
      </c>
    </row>
    <row r="102" spans="2:14" ht="15" customHeight="1" x14ac:dyDescent="0.3">
      <c r="L102" s="10">
        <f>K99+K100+K101</f>
        <v>28</v>
      </c>
      <c r="M102" s="1">
        <v>50</v>
      </c>
      <c r="N102" s="10">
        <f>L102*M102</f>
        <v>1400</v>
      </c>
    </row>
    <row r="103" spans="2:14" ht="15" customHeight="1" x14ac:dyDescent="0.3"/>
    <row r="104" spans="2:14" ht="15" customHeight="1" x14ac:dyDescent="0.3">
      <c r="B104" s="11">
        <v>4</v>
      </c>
      <c r="C104" s="11" t="s">
        <v>371</v>
      </c>
      <c r="D104" s="11" t="s">
        <v>166</v>
      </c>
      <c r="E104" s="6" t="s">
        <v>202</v>
      </c>
    </row>
    <row r="105" spans="2:14" ht="76.2" customHeight="1" x14ac:dyDescent="0.3">
      <c r="E105" s="5" t="s">
        <v>525</v>
      </c>
    </row>
    <row r="106" spans="2:14" ht="15" customHeight="1" x14ac:dyDescent="0.3"/>
    <row r="107" spans="2:14" ht="16.8" customHeight="1" x14ac:dyDescent="0.3">
      <c r="E107" s="5" t="s">
        <v>650</v>
      </c>
      <c r="G107" s="1">
        <f>12+3+10</f>
        <v>25</v>
      </c>
      <c r="K107" s="1">
        <f>G107</f>
        <v>25</v>
      </c>
    </row>
    <row r="108" spans="2:14" ht="16.2" customHeight="1" x14ac:dyDescent="0.3">
      <c r="L108" s="10">
        <f>K107</f>
        <v>25</v>
      </c>
      <c r="M108" s="1">
        <v>219.83</v>
      </c>
      <c r="N108" s="10">
        <f>L108*M108</f>
        <v>5495.75</v>
      </c>
    </row>
    <row r="109" spans="2:14" ht="16.2" customHeight="1" x14ac:dyDescent="0.3">
      <c r="B109" s="11">
        <v>4</v>
      </c>
      <c r="C109" s="11" t="s">
        <v>372</v>
      </c>
      <c r="D109" s="11" t="s">
        <v>166</v>
      </c>
      <c r="E109" s="6" t="s">
        <v>290</v>
      </c>
    </row>
    <row r="110" spans="2:14" ht="32.4" customHeight="1" x14ac:dyDescent="0.3">
      <c r="E110" s="5" t="s">
        <v>524</v>
      </c>
    </row>
    <row r="111" spans="2:14" ht="15" customHeight="1" x14ac:dyDescent="0.3">
      <c r="G111" s="1">
        <v>12</v>
      </c>
      <c r="K111" s="1">
        <f>G111</f>
        <v>12</v>
      </c>
    </row>
    <row r="112" spans="2:14" x14ac:dyDescent="0.3">
      <c r="L112" s="10">
        <f>K111</f>
        <v>12</v>
      </c>
      <c r="M112" s="1">
        <v>70</v>
      </c>
      <c r="N112" s="10">
        <f>L112*M112</f>
        <v>840</v>
      </c>
    </row>
    <row r="114" spans="1:25" x14ac:dyDescent="0.3">
      <c r="B114" s="11">
        <v>4</v>
      </c>
      <c r="C114" s="11" t="s">
        <v>607</v>
      </c>
      <c r="D114" s="11" t="s">
        <v>166</v>
      </c>
      <c r="E114" s="6" t="s">
        <v>530</v>
      </c>
    </row>
    <row r="115" spans="1:25" ht="46.8" customHeight="1" x14ac:dyDescent="0.3">
      <c r="E115" s="5" t="s">
        <v>531</v>
      </c>
    </row>
    <row r="116" spans="1:25" ht="100.8" x14ac:dyDescent="0.3">
      <c r="E116" s="5" t="s">
        <v>640</v>
      </c>
    </row>
    <row r="118" spans="1:25" x14ac:dyDescent="0.3">
      <c r="E118" s="5" t="s">
        <v>537</v>
      </c>
      <c r="G118" s="1">
        <v>3</v>
      </c>
      <c r="K118" s="1">
        <f>G118</f>
        <v>3</v>
      </c>
    </row>
    <row r="119" spans="1:25" x14ac:dyDescent="0.3">
      <c r="L119" s="10">
        <f>K118</f>
        <v>3</v>
      </c>
      <c r="M119" s="1">
        <f>5806.04-1000</f>
        <v>4806.04</v>
      </c>
      <c r="N119" s="10">
        <f>M119*L119</f>
        <v>14418.119999999999</v>
      </c>
    </row>
    <row r="121" spans="1:25" x14ac:dyDescent="0.3">
      <c r="B121" s="11">
        <v>4</v>
      </c>
      <c r="C121" s="11" t="s">
        <v>673</v>
      </c>
      <c r="D121" s="11" t="s">
        <v>319</v>
      </c>
      <c r="E121" s="6" t="s">
        <v>674</v>
      </c>
    </row>
    <row r="122" spans="1:25" ht="44.4" customHeight="1" x14ac:dyDescent="0.3">
      <c r="E122" s="5" t="s">
        <v>675</v>
      </c>
    </row>
    <row r="123" spans="1:25" ht="13.8" customHeight="1" x14ac:dyDescent="0.3">
      <c r="G123" s="1">
        <v>1</v>
      </c>
      <c r="K123" s="1">
        <f>G123</f>
        <v>1</v>
      </c>
    </row>
    <row r="124" spans="1:25" x14ac:dyDescent="0.3">
      <c r="L124" s="10">
        <f>K123</f>
        <v>1</v>
      </c>
      <c r="M124" s="1">
        <v>1000</v>
      </c>
      <c r="N124" s="10">
        <f>M124*L124</f>
        <v>1000</v>
      </c>
    </row>
    <row r="126" spans="1:25" s="41" customFormat="1" ht="17.399999999999999" x14ac:dyDescent="0.3">
      <c r="A126" s="39"/>
      <c r="B126" s="39"/>
      <c r="C126" s="39"/>
      <c r="D126" s="39"/>
      <c r="E126" s="26" t="s">
        <v>566</v>
      </c>
      <c r="F126" s="27"/>
      <c r="G126" s="27"/>
      <c r="H126" s="27"/>
      <c r="I126" s="27"/>
      <c r="J126" s="27"/>
      <c r="K126" s="27"/>
      <c r="L126" s="27"/>
      <c r="M126" s="27"/>
      <c r="N126" s="27"/>
      <c r="O126" s="27"/>
      <c r="P126" s="27">
        <f>SUM(N93:N125)</f>
        <v>23153.87</v>
      </c>
      <c r="T126" s="27"/>
      <c r="U126" s="27"/>
      <c r="V126" s="27"/>
      <c r="W126" s="27"/>
      <c r="X126" s="27"/>
      <c r="Y126" s="27"/>
    </row>
    <row r="128" spans="1:25" s="17" customFormat="1" ht="15.6" x14ac:dyDescent="0.3">
      <c r="A128" s="11"/>
      <c r="B128" s="22">
        <v>4</v>
      </c>
      <c r="C128" s="14"/>
      <c r="D128" s="14"/>
      <c r="E128" s="15" t="s">
        <v>318</v>
      </c>
      <c r="F128" s="16"/>
      <c r="G128" s="16"/>
      <c r="H128" s="16"/>
      <c r="I128" s="16"/>
      <c r="J128" s="16"/>
      <c r="K128" s="16"/>
      <c r="L128" s="16"/>
      <c r="M128" s="16"/>
      <c r="N128" s="16"/>
      <c r="O128" s="16"/>
      <c r="Q128"/>
      <c r="R128"/>
      <c r="S128"/>
      <c r="T128" s="1"/>
      <c r="U128" s="1"/>
      <c r="V128" s="1"/>
      <c r="W128" s="1"/>
      <c r="X128" s="1"/>
      <c r="Y128" s="1"/>
    </row>
    <row r="130" spans="2:11" x14ac:dyDescent="0.3">
      <c r="B130" s="11">
        <v>4</v>
      </c>
      <c r="C130" s="11" t="s">
        <v>373</v>
      </c>
      <c r="E130" s="4" t="s">
        <v>84</v>
      </c>
    </row>
    <row r="132" spans="2:11" x14ac:dyDescent="0.3">
      <c r="B132" s="11">
        <v>4</v>
      </c>
      <c r="C132" s="11" t="s">
        <v>374</v>
      </c>
      <c r="D132" s="11" t="s">
        <v>166</v>
      </c>
      <c r="E132" s="6" t="s">
        <v>633</v>
      </c>
    </row>
    <row r="133" spans="2:11" ht="43.8" customHeight="1" x14ac:dyDescent="0.3">
      <c r="E133" s="5" t="s">
        <v>523</v>
      </c>
    </row>
    <row r="134" spans="2:11" ht="14.4" customHeight="1" x14ac:dyDescent="0.3"/>
    <row r="135" spans="2:11" ht="14.4" customHeight="1" x14ac:dyDescent="0.3">
      <c r="B135" s="11">
        <v>1</v>
      </c>
      <c r="C135" s="11" t="s">
        <v>89</v>
      </c>
      <c r="D135" s="11" t="s">
        <v>161</v>
      </c>
      <c r="E135" s="6" t="s">
        <v>4</v>
      </c>
      <c r="F135" s="11">
        <v>1.3</v>
      </c>
      <c r="G135" s="67">
        <v>0.03</v>
      </c>
      <c r="H135" s="1">
        <f>'façanes '!L35</f>
        <v>52.416000000000004</v>
      </c>
      <c r="K135" s="1">
        <f>H135*G135*F135</f>
        <v>2.0442240000000003</v>
      </c>
    </row>
    <row r="136" spans="2:11" ht="14.4" customHeight="1" x14ac:dyDescent="0.3">
      <c r="B136" s="11">
        <v>1</v>
      </c>
      <c r="C136" s="11" t="s">
        <v>90</v>
      </c>
      <c r="D136" s="11" t="s">
        <v>161</v>
      </c>
      <c r="E136" s="6" t="s">
        <v>7</v>
      </c>
      <c r="F136" s="11">
        <v>1.3</v>
      </c>
      <c r="G136" s="1">
        <v>0.05</v>
      </c>
      <c r="H136" s="1">
        <f>'façanes '!L41</f>
        <v>30.28</v>
      </c>
      <c r="K136" s="1">
        <f t="shared" ref="K136:K172" si="3">H136*G136*F136</f>
        <v>1.9682000000000004</v>
      </c>
    </row>
    <row r="137" spans="2:11" ht="14.4" customHeight="1" x14ac:dyDescent="0.3">
      <c r="B137" s="11">
        <v>1</v>
      </c>
      <c r="C137" s="11" t="s">
        <v>96</v>
      </c>
      <c r="D137" s="11" t="s">
        <v>162</v>
      </c>
      <c r="E137" s="6" t="s">
        <v>18</v>
      </c>
      <c r="F137" s="11">
        <v>1.3</v>
      </c>
      <c r="G137" s="1">
        <f>0.3*0.1</f>
        <v>0.03</v>
      </c>
      <c r="H137" s="1">
        <f>'façanes '!L74</f>
        <v>2.2000000000000002</v>
      </c>
      <c r="K137" s="1">
        <f t="shared" si="3"/>
        <v>8.5800000000000001E-2</v>
      </c>
    </row>
    <row r="138" spans="2:11" ht="14.4" customHeight="1" x14ac:dyDescent="0.3">
      <c r="B138" s="11">
        <v>1</v>
      </c>
      <c r="C138" s="11" t="s">
        <v>97</v>
      </c>
      <c r="D138" s="11" t="s">
        <v>163</v>
      </c>
      <c r="E138" s="6" t="s">
        <v>10</v>
      </c>
      <c r="F138" s="11">
        <v>1.3</v>
      </c>
      <c r="G138" s="1">
        <f>0.05*0.05</f>
        <v>2.5000000000000005E-3</v>
      </c>
      <c r="H138" s="1">
        <f>'façanes '!L80</f>
        <v>5</v>
      </c>
      <c r="K138" s="1">
        <f t="shared" si="3"/>
        <v>1.6250000000000004E-2</v>
      </c>
    </row>
    <row r="139" spans="2:11" ht="14.4" customHeight="1" x14ac:dyDescent="0.3">
      <c r="B139" s="11">
        <v>1</v>
      </c>
      <c r="C139" s="11" t="s">
        <v>298</v>
      </c>
      <c r="D139" s="11" t="s">
        <v>162</v>
      </c>
      <c r="E139" s="6" t="s">
        <v>61</v>
      </c>
      <c r="F139" s="11">
        <v>1.3</v>
      </c>
      <c r="G139" s="1">
        <f>0.3*0.03</f>
        <v>8.9999999999999993E-3</v>
      </c>
      <c r="H139" s="1">
        <f>'façanes '!L87</f>
        <v>72.918000000000006</v>
      </c>
      <c r="K139" s="1">
        <f t="shared" si="3"/>
        <v>0.85314060000000003</v>
      </c>
    </row>
    <row r="140" spans="2:11" ht="14.4" customHeight="1" x14ac:dyDescent="0.3">
      <c r="B140" s="11">
        <v>1</v>
      </c>
      <c r="C140" s="11" t="s">
        <v>102</v>
      </c>
      <c r="D140" s="11" t="s">
        <v>166</v>
      </c>
      <c r="E140" s="6" t="s">
        <v>67</v>
      </c>
      <c r="F140" s="11">
        <v>1.3</v>
      </c>
      <c r="G140" s="1">
        <v>0.05</v>
      </c>
      <c r="H140" s="1">
        <f>'façanes '!L115</f>
        <v>6</v>
      </c>
      <c r="K140" s="1">
        <f t="shared" si="3"/>
        <v>0.39000000000000007</v>
      </c>
    </row>
    <row r="141" spans="2:11" ht="14.4" customHeight="1" x14ac:dyDescent="0.3">
      <c r="B141" s="11">
        <v>1</v>
      </c>
      <c r="C141" s="11" t="s">
        <v>303</v>
      </c>
      <c r="D141" s="11" t="s">
        <v>166</v>
      </c>
      <c r="E141" s="6" t="s">
        <v>431</v>
      </c>
      <c r="F141" s="11">
        <v>1.3</v>
      </c>
      <c r="G141" s="1">
        <v>0.05</v>
      </c>
      <c r="H141" s="1">
        <f>'façanes '!L127</f>
        <v>2</v>
      </c>
      <c r="K141" s="1">
        <f t="shared" si="3"/>
        <v>0.13</v>
      </c>
    </row>
    <row r="142" spans="2:11" ht="18" customHeight="1" x14ac:dyDescent="0.3">
      <c r="B142" s="11">
        <v>1</v>
      </c>
      <c r="C142" s="11" t="s">
        <v>108</v>
      </c>
      <c r="D142" s="11" t="s">
        <v>162</v>
      </c>
      <c r="E142" s="6" t="s">
        <v>22</v>
      </c>
      <c r="F142" s="11">
        <v>1.3</v>
      </c>
      <c r="G142" s="1">
        <v>0.01</v>
      </c>
      <c r="H142" s="1">
        <f>'façanes '!L166</f>
        <v>10</v>
      </c>
      <c r="K142" s="1">
        <f t="shared" si="3"/>
        <v>0.13</v>
      </c>
    </row>
    <row r="143" spans="2:11" ht="18" customHeight="1" x14ac:dyDescent="0.3">
      <c r="B143" s="11">
        <v>1</v>
      </c>
      <c r="C143" s="11" t="s">
        <v>177</v>
      </c>
      <c r="D143" s="11" t="s">
        <v>161</v>
      </c>
      <c r="E143" s="6" t="s">
        <v>4</v>
      </c>
      <c r="F143" s="11">
        <v>1.3</v>
      </c>
      <c r="G143" s="1">
        <v>0.03</v>
      </c>
      <c r="H143" s="1">
        <f>'façanes '!L221</f>
        <v>31.753800000000002</v>
      </c>
      <c r="K143" s="1">
        <f t="shared" si="3"/>
        <v>1.2383982000000002</v>
      </c>
    </row>
    <row r="144" spans="2:11" ht="18" customHeight="1" x14ac:dyDescent="0.3">
      <c r="B144" s="11">
        <v>1</v>
      </c>
      <c r="C144" s="11" t="s">
        <v>183</v>
      </c>
      <c r="D144" s="11" t="s">
        <v>161</v>
      </c>
      <c r="E144" s="6" t="s">
        <v>7</v>
      </c>
      <c r="F144" s="11">
        <v>1.3</v>
      </c>
      <c r="G144" s="1">
        <v>0.04</v>
      </c>
      <c r="H144" s="1">
        <f>'façanes '!L229</f>
        <v>22.083400000000001</v>
      </c>
      <c r="K144" s="1">
        <f t="shared" si="3"/>
        <v>1.1483368</v>
      </c>
    </row>
    <row r="145" spans="2:11" ht="17.399999999999999" customHeight="1" x14ac:dyDescent="0.3">
      <c r="B145" s="11">
        <v>1</v>
      </c>
      <c r="C145" s="11" t="s">
        <v>190</v>
      </c>
      <c r="D145" s="11" t="s">
        <v>166</v>
      </c>
      <c r="E145" s="6" t="s">
        <v>17</v>
      </c>
      <c r="F145" s="11">
        <v>1.3</v>
      </c>
      <c r="G145" s="1">
        <f>1.25*0.05*0.45</f>
        <v>2.8125000000000001E-2</v>
      </c>
      <c r="H145" s="1">
        <f>'façanes '!L268</f>
        <v>6</v>
      </c>
      <c r="K145" s="1">
        <f t="shared" si="3"/>
        <v>0.21937500000000001</v>
      </c>
    </row>
    <row r="146" spans="2:11" ht="17.399999999999999" customHeight="1" x14ac:dyDescent="0.3">
      <c r="B146" s="11">
        <v>1</v>
      </c>
      <c r="C146" s="11" t="s">
        <v>191</v>
      </c>
      <c r="D146" s="11" t="s">
        <v>162</v>
      </c>
      <c r="E146" s="6" t="s">
        <v>18</v>
      </c>
      <c r="F146" s="11">
        <v>1.3</v>
      </c>
      <c r="G146" s="1">
        <f>0.3*0.05</f>
        <v>1.4999999999999999E-2</v>
      </c>
      <c r="H146" s="1">
        <f>'façanes '!L273</f>
        <v>2.2000000000000002</v>
      </c>
      <c r="K146" s="1">
        <f t="shared" si="3"/>
        <v>4.2900000000000001E-2</v>
      </c>
    </row>
    <row r="147" spans="2:11" ht="15.6" customHeight="1" x14ac:dyDescent="0.3">
      <c r="B147" s="11">
        <v>1</v>
      </c>
      <c r="C147" s="11" t="s">
        <v>592</v>
      </c>
      <c r="D147" s="11" t="s">
        <v>162</v>
      </c>
      <c r="E147" s="6" t="s">
        <v>61</v>
      </c>
      <c r="F147" s="11">
        <v>1.3</v>
      </c>
      <c r="G147" s="1">
        <f>0.3*0.03</f>
        <v>8.9999999999999993E-3</v>
      </c>
      <c r="H147" s="1">
        <f>'façanes '!L279</f>
        <v>30</v>
      </c>
      <c r="K147" s="1">
        <f t="shared" si="3"/>
        <v>0.35099999999999998</v>
      </c>
    </row>
    <row r="148" spans="2:11" ht="15" customHeight="1" x14ac:dyDescent="0.3">
      <c r="B148" s="11">
        <v>1</v>
      </c>
      <c r="C148" s="11" t="s">
        <v>192</v>
      </c>
      <c r="D148" s="11" t="s">
        <v>166</v>
      </c>
      <c r="E148" s="6" t="s">
        <v>378</v>
      </c>
      <c r="F148" s="11">
        <v>1.3</v>
      </c>
      <c r="G148" s="1">
        <f>0.35*1.25*0.04</f>
        <v>1.7500000000000002E-2</v>
      </c>
      <c r="H148" s="1">
        <f>'façanes '!L284</f>
        <v>7</v>
      </c>
      <c r="K148" s="1">
        <f t="shared" si="3"/>
        <v>0.15925000000000003</v>
      </c>
    </row>
    <row r="149" spans="2:11" ht="14.4" customHeight="1" x14ac:dyDescent="0.3">
      <c r="B149" s="11">
        <v>1</v>
      </c>
      <c r="C149" s="11" t="s">
        <v>201</v>
      </c>
      <c r="D149" s="11" t="s">
        <v>166</v>
      </c>
      <c r="E149" s="6" t="s">
        <v>67</v>
      </c>
      <c r="F149" s="11">
        <v>1.3</v>
      </c>
      <c r="G149" s="1">
        <f>1.35*0.95*0.05</f>
        <v>6.4125000000000001E-2</v>
      </c>
      <c r="H149" s="1">
        <f>'façanes '!L317</f>
        <v>4</v>
      </c>
      <c r="K149" s="1">
        <f t="shared" si="3"/>
        <v>0.33345000000000002</v>
      </c>
    </row>
    <row r="150" spans="2:11" ht="19.2" customHeight="1" x14ac:dyDescent="0.3">
      <c r="B150" s="11">
        <v>1</v>
      </c>
      <c r="C150" s="11" t="s">
        <v>206</v>
      </c>
      <c r="D150" s="11" t="s">
        <v>162</v>
      </c>
      <c r="E150" s="6" t="s">
        <v>22</v>
      </c>
      <c r="F150" s="11">
        <v>1.3</v>
      </c>
      <c r="G150" s="1">
        <f>G142</f>
        <v>0.01</v>
      </c>
      <c r="H150" s="1">
        <f>'façanes '!L346</f>
        <v>10</v>
      </c>
      <c r="K150" s="1">
        <f t="shared" si="3"/>
        <v>0.13</v>
      </c>
    </row>
    <row r="151" spans="2:11" ht="13.8" customHeight="1" x14ac:dyDescent="0.3">
      <c r="B151" s="11">
        <v>1</v>
      </c>
      <c r="C151" s="11" t="s">
        <v>208</v>
      </c>
      <c r="D151" s="11" t="s">
        <v>162</v>
      </c>
      <c r="E151" s="6" t="s">
        <v>19</v>
      </c>
      <c r="F151" s="11">
        <v>1.3</v>
      </c>
      <c r="G151" s="1">
        <f>0.3*0.05</f>
        <v>1.4999999999999999E-2</v>
      </c>
      <c r="H151" s="1">
        <f>'façanes '!L352</f>
        <v>5</v>
      </c>
      <c r="K151" s="1">
        <f t="shared" si="3"/>
        <v>9.7500000000000003E-2</v>
      </c>
    </row>
    <row r="152" spans="2:11" ht="18" customHeight="1" x14ac:dyDescent="0.3">
      <c r="B152" s="11">
        <v>1</v>
      </c>
      <c r="C152" s="11" t="s">
        <v>224</v>
      </c>
      <c r="D152" s="11" t="s">
        <v>162</v>
      </c>
      <c r="E152" s="6" t="s">
        <v>21</v>
      </c>
      <c r="F152" s="11">
        <v>1.3</v>
      </c>
      <c r="G152" s="1">
        <f>G147</f>
        <v>8.9999999999999993E-3</v>
      </c>
      <c r="H152" s="1">
        <f>'façanes '!L412</f>
        <v>2</v>
      </c>
      <c r="K152" s="1">
        <f t="shared" si="3"/>
        <v>2.3400000000000001E-2</v>
      </c>
    </row>
    <row r="153" spans="2:11" ht="17.399999999999999" customHeight="1" x14ac:dyDescent="0.3">
      <c r="B153" s="11">
        <v>1</v>
      </c>
      <c r="C153" s="11" t="s">
        <v>231</v>
      </c>
      <c r="D153" s="11" t="s">
        <v>162</v>
      </c>
      <c r="E153" s="6" t="s">
        <v>22</v>
      </c>
      <c r="F153" s="11">
        <v>1.3</v>
      </c>
      <c r="G153" s="1">
        <f>G150</f>
        <v>0.01</v>
      </c>
      <c r="H153" s="1">
        <f>'façanes '!L434</f>
        <v>4</v>
      </c>
      <c r="K153" s="1">
        <f t="shared" si="3"/>
        <v>5.2000000000000005E-2</v>
      </c>
    </row>
    <row r="154" spans="2:11" ht="17.399999999999999" customHeight="1" x14ac:dyDescent="0.3">
      <c r="B154" s="11">
        <v>1</v>
      </c>
      <c r="C154" s="11" t="s">
        <v>237</v>
      </c>
      <c r="D154" s="11" t="s">
        <v>161</v>
      </c>
      <c r="E154" s="6" t="s">
        <v>238</v>
      </c>
      <c r="F154" s="11">
        <v>1.3</v>
      </c>
      <c r="G154" s="1">
        <f>G143</f>
        <v>0.03</v>
      </c>
      <c r="H154" s="1">
        <f>'façanes '!L458</f>
        <v>291.57490000000001</v>
      </c>
      <c r="K154" s="1">
        <f t="shared" si="3"/>
        <v>11.371421100000001</v>
      </c>
    </row>
    <row r="155" spans="2:11" ht="17.399999999999999" customHeight="1" x14ac:dyDescent="0.3">
      <c r="B155" s="11">
        <v>1</v>
      </c>
      <c r="C155" s="11" t="s">
        <v>239</v>
      </c>
      <c r="D155" s="11" t="s">
        <v>162</v>
      </c>
      <c r="E155" s="6" t="s">
        <v>73</v>
      </c>
      <c r="F155" s="11">
        <v>1.3</v>
      </c>
      <c r="G155" s="1">
        <f>0.3*0.1</f>
        <v>0.03</v>
      </c>
      <c r="H155" s="1">
        <f>'façanes '!L464</f>
        <v>72.120999999999995</v>
      </c>
      <c r="K155" s="1">
        <f t="shared" si="3"/>
        <v>2.812719</v>
      </c>
    </row>
    <row r="156" spans="2:11" ht="17.399999999999999" customHeight="1" x14ac:dyDescent="0.3">
      <c r="B156" s="11">
        <v>1</v>
      </c>
      <c r="C156" s="11" t="s">
        <v>250</v>
      </c>
      <c r="D156" s="11" t="s">
        <v>162</v>
      </c>
      <c r="E156" s="6" t="s">
        <v>31</v>
      </c>
      <c r="F156" s="11">
        <v>1.3</v>
      </c>
      <c r="G156" s="1">
        <f>0.3*0.02</f>
        <v>6.0000000000000001E-3</v>
      </c>
      <c r="H156" s="1">
        <f>'façanes '!L498</f>
        <v>10.303000000000001</v>
      </c>
      <c r="K156" s="1">
        <f t="shared" si="3"/>
        <v>8.0363400000000015E-2</v>
      </c>
    </row>
    <row r="157" spans="2:11" ht="17.399999999999999" customHeight="1" x14ac:dyDescent="0.3">
      <c r="B157" s="11">
        <v>1</v>
      </c>
      <c r="C157" s="11" t="s">
        <v>259</v>
      </c>
      <c r="D157" s="11" t="s">
        <v>163</v>
      </c>
      <c r="E157" s="6" t="s">
        <v>22</v>
      </c>
      <c r="F157" s="11">
        <v>1.3</v>
      </c>
      <c r="G157" s="1">
        <f>G153</f>
        <v>0.01</v>
      </c>
      <c r="H157" s="1">
        <f>'façanes '!L532</f>
        <v>2</v>
      </c>
      <c r="K157" s="1">
        <f t="shared" si="3"/>
        <v>2.6000000000000002E-2</v>
      </c>
    </row>
    <row r="158" spans="2:11" ht="17.399999999999999" customHeight="1" x14ac:dyDescent="0.3">
      <c r="B158" s="11">
        <v>2</v>
      </c>
      <c r="C158" s="11" t="s">
        <v>89</v>
      </c>
      <c r="D158" s="11" t="s">
        <v>161</v>
      </c>
      <c r="E158" s="6" t="s">
        <v>39</v>
      </c>
      <c r="F158" s="11">
        <v>1.3</v>
      </c>
      <c r="G158" s="1">
        <f>0.03</f>
        <v>0.03</v>
      </c>
      <c r="H158" s="1">
        <f>'estructura '!L58</f>
        <v>536.4</v>
      </c>
      <c r="K158" s="1">
        <f t="shared" si="3"/>
        <v>20.919599999999999</v>
      </c>
    </row>
    <row r="159" spans="2:11" ht="17.399999999999999" customHeight="1" x14ac:dyDescent="0.3">
      <c r="B159" s="11">
        <v>2</v>
      </c>
      <c r="C159" s="11" t="s">
        <v>90</v>
      </c>
      <c r="D159" s="11" t="s">
        <v>162</v>
      </c>
      <c r="E159" s="6" t="s">
        <v>280</v>
      </c>
      <c r="F159" s="11">
        <v>1.3</v>
      </c>
      <c r="G159" s="1">
        <f>G155</f>
        <v>0.03</v>
      </c>
      <c r="H159" s="1">
        <f>'estructura '!L71</f>
        <v>64.199999999999989</v>
      </c>
      <c r="K159" s="1">
        <f t="shared" si="3"/>
        <v>2.5037999999999996</v>
      </c>
    </row>
    <row r="160" spans="2:11" ht="17.399999999999999" customHeight="1" x14ac:dyDescent="0.3">
      <c r="B160" s="11">
        <v>2</v>
      </c>
      <c r="C160" s="11" t="s">
        <v>283</v>
      </c>
      <c r="D160" s="11" t="s">
        <v>162</v>
      </c>
      <c r="E160" s="6" t="s">
        <v>282</v>
      </c>
      <c r="F160" s="11">
        <v>1.3</v>
      </c>
      <c r="G160" s="1">
        <f>G159</f>
        <v>0.03</v>
      </c>
      <c r="H160" s="1">
        <f>'estructura '!L81</f>
        <v>74</v>
      </c>
      <c r="K160" s="1">
        <f t="shared" si="3"/>
        <v>2.8859999999999997</v>
      </c>
    </row>
    <row r="161" spans="2:14" ht="17.399999999999999" customHeight="1" x14ac:dyDescent="0.3">
      <c r="B161" s="11">
        <v>2</v>
      </c>
      <c r="C161" s="11" t="s">
        <v>284</v>
      </c>
      <c r="D161" s="11" t="s">
        <v>166</v>
      </c>
      <c r="E161" s="6" t="s">
        <v>40</v>
      </c>
      <c r="F161" s="11">
        <v>1.3</v>
      </c>
      <c r="G161" s="1">
        <f>G158</f>
        <v>0.03</v>
      </c>
      <c r="H161" s="1">
        <f>'estructura '!L91</f>
        <v>142</v>
      </c>
      <c r="K161" s="1">
        <f t="shared" si="3"/>
        <v>5.5380000000000003</v>
      </c>
    </row>
    <row r="162" spans="2:14" ht="17.399999999999999" customHeight="1" x14ac:dyDescent="0.3">
      <c r="B162" s="11">
        <v>2</v>
      </c>
      <c r="C162" s="11" t="s">
        <v>285</v>
      </c>
      <c r="D162" s="11" t="s">
        <v>162</v>
      </c>
      <c r="E162" s="6" t="s">
        <v>45</v>
      </c>
      <c r="F162" s="11">
        <v>1.3</v>
      </c>
      <c r="G162" s="1">
        <f>0.05*0.2</f>
        <v>1.0000000000000002E-2</v>
      </c>
      <c r="H162" s="1">
        <f>'estructura '!L97</f>
        <v>10</v>
      </c>
      <c r="K162" s="1">
        <f t="shared" si="3"/>
        <v>0.13000000000000003</v>
      </c>
    </row>
    <row r="163" spans="2:14" ht="17.399999999999999" customHeight="1" x14ac:dyDescent="0.3">
      <c r="B163" s="11">
        <v>2</v>
      </c>
      <c r="C163" s="11" t="s">
        <v>286</v>
      </c>
      <c r="D163" s="11" t="s">
        <v>166</v>
      </c>
      <c r="E163" s="6" t="s">
        <v>46</v>
      </c>
      <c r="F163" s="11">
        <v>1.3</v>
      </c>
      <c r="G163" s="67">
        <f>4*0.05</f>
        <v>0.2</v>
      </c>
      <c r="H163" s="1">
        <f>'estructura '!L108</f>
        <v>7</v>
      </c>
      <c r="K163" s="1">
        <f t="shared" si="3"/>
        <v>1.8200000000000003</v>
      </c>
    </row>
    <row r="164" spans="2:14" ht="17.399999999999999" customHeight="1" x14ac:dyDescent="0.3">
      <c r="B164" s="11">
        <v>2</v>
      </c>
      <c r="C164" s="11" t="s">
        <v>287</v>
      </c>
      <c r="D164" s="11" t="s">
        <v>288</v>
      </c>
      <c r="E164" s="6" t="s">
        <v>41</v>
      </c>
      <c r="F164" s="11">
        <v>1.3</v>
      </c>
      <c r="G164" s="1">
        <f>0.1*0.3*0.5</f>
        <v>1.4999999999999999E-2</v>
      </c>
      <c r="H164" s="1">
        <f>'estructura '!L120</f>
        <v>135</v>
      </c>
      <c r="K164" s="1">
        <f t="shared" si="3"/>
        <v>2.6324999999999998</v>
      </c>
    </row>
    <row r="165" spans="2:14" ht="17.399999999999999" customHeight="1" x14ac:dyDescent="0.3">
      <c r="B165" s="11">
        <v>2</v>
      </c>
      <c r="C165" s="11" t="s">
        <v>289</v>
      </c>
      <c r="D165" s="11" t="s">
        <v>162</v>
      </c>
      <c r="E165" s="6" t="s">
        <v>130</v>
      </c>
      <c r="F165" s="11">
        <v>1.3</v>
      </c>
      <c r="G165" s="1">
        <f>0.15*0.1</f>
        <v>1.4999999999999999E-2</v>
      </c>
      <c r="H165" s="1">
        <f>'estructura '!L127</f>
        <v>182.6</v>
      </c>
      <c r="K165" s="1">
        <f t="shared" si="3"/>
        <v>3.5606999999999998</v>
      </c>
    </row>
    <row r="166" spans="2:14" ht="17.399999999999999" customHeight="1" x14ac:dyDescent="0.3">
      <c r="B166" s="11">
        <v>2</v>
      </c>
      <c r="C166" s="11" t="s">
        <v>296</v>
      </c>
      <c r="D166" s="11" t="s">
        <v>161</v>
      </c>
      <c r="E166" s="6" t="s">
        <v>136</v>
      </c>
      <c r="F166" s="11">
        <v>1.3</v>
      </c>
      <c r="G166" s="1">
        <v>0.03</v>
      </c>
      <c r="H166" s="1">
        <f>'estructura '!L177</f>
        <v>76.940000000000012</v>
      </c>
      <c r="K166" s="1">
        <f t="shared" si="3"/>
        <v>3.0006600000000003</v>
      </c>
    </row>
    <row r="167" spans="2:14" ht="17.399999999999999" customHeight="1" x14ac:dyDescent="0.3">
      <c r="B167" s="11">
        <v>2</v>
      </c>
      <c r="C167" s="11" t="s">
        <v>600</v>
      </c>
      <c r="D167" s="11" t="s">
        <v>162</v>
      </c>
      <c r="E167" s="6" t="s">
        <v>133</v>
      </c>
      <c r="F167" s="11">
        <v>1.3</v>
      </c>
      <c r="G167" s="1">
        <f>G153</f>
        <v>0.01</v>
      </c>
      <c r="H167" s="1">
        <f>'estructura '!L192</f>
        <v>49.2</v>
      </c>
      <c r="K167" s="1">
        <f t="shared" si="3"/>
        <v>0.63960000000000006</v>
      </c>
    </row>
    <row r="168" spans="2:14" ht="17.399999999999999" customHeight="1" x14ac:dyDescent="0.3">
      <c r="B168" s="11">
        <v>2</v>
      </c>
      <c r="C168" s="11" t="s">
        <v>601</v>
      </c>
      <c r="D168" s="11" t="s">
        <v>161</v>
      </c>
      <c r="E168" s="6" t="s">
        <v>134</v>
      </c>
      <c r="F168" s="11">
        <v>1.3</v>
      </c>
      <c r="G168" s="1">
        <f>0.05</f>
        <v>0.05</v>
      </c>
      <c r="H168" s="1">
        <f>'estructura '!L198</f>
        <v>148.39999999999998</v>
      </c>
      <c r="K168" s="1">
        <f t="shared" si="3"/>
        <v>9.645999999999999</v>
      </c>
    </row>
    <row r="169" spans="2:14" ht="17.399999999999999" customHeight="1" x14ac:dyDescent="0.3">
      <c r="B169" s="11">
        <v>3</v>
      </c>
      <c r="C169" s="11" t="s">
        <v>90</v>
      </c>
      <c r="D169" s="11" t="s">
        <v>161</v>
      </c>
      <c r="E169" s="6" t="s">
        <v>478</v>
      </c>
      <c r="F169" s="11">
        <v>1.3</v>
      </c>
      <c r="G169" s="1">
        <f>0.07</f>
        <v>7.0000000000000007E-2</v>
      </c>
      <c r="H169" s="1">
        <f>clavegueró!L47</f>
        <v>1101.9820000000002</v>
      </c>
      <c r="K169" s="1">
        <f t="shared" si="3"/>
        <v>100.28036200000004</v>
      </c>
    </row>
    <row r="170" spans="2:14" ht="17.399999999999999" customHeight="1" x14ac:dyDescent="0.3">
      <c r="B170" s="11">
        <v>3</v>
      </c>
      <c r="C170" s="11" t="s">
        <v>283</v>
      </c>
      <c r="D170" s="11" t="s">
        <v>161</v>
      </c>
      <c r="E170" s="6" t="s">
        <v>394</v>
      </c>
      <c r="F170" s="11">
        <v>1.3</v>
      </c>
      <c r="G170" s="1">
        <v>0.4</v>
      </c>
      <c r="H170" s="1">
        <f>clavegueró!L61</f>
        <v>916.17999999999984</v>
      </c>
      <c r="K170" s="1">
        <f t="shared" si="3"/>
        <v>476.41359999999997</v>
      </c>
    </row>
    <row r="171" spans="2:14" ht="17.399999999999999" customHeight="1" x14ac:dyDescent="0.3">
      <c r="B171" s="11">
        <v>3</v>
      </c>
      <c r="C171" s="11" t="s">
        <v>310</v>
      </c>
      <c r="D171" s="11" t="s">
        <v>162</v>
      </c>
      <c r="E171" s="6" t="s">
        <v>123</v>
      </c>
      <c r="F171" s="11">
        <v>1.3</v>
      </c>
      <c r="G171" s="1">
        <v>0.8</v>
      </c>
      <c r="H171" s="1">
        <f>clavegueró!L72</f>
        <v>107</v>
      </c>
      <c r="K171" s="1">
        <f t="shared" si="3"/>
        <v>111.28000000000002</v>
      </c>
    </row>
    <row r="172" spans="2:14" ht="17.399999999999999" customHeight="1" x14ac:dyDescent="0.3">
      <c r="B172" s="11">
        <v>3</v>
      </c>
      <c r="C172" s="11" t="s">
        <v>177</v>
      </c>
      <c r="D172" s="11" t="s">
        <v>496</v>
      </c>
      <c r="E172" s="6" t="s">
        <v>140</v>
      </c>
      <c r="F172" s="11">
        <v>1.3</v>
      </c>
      <c r="G172" s="1">
        <v>1</v>
      </c>
      <c r="H172" s="1">
        <f>clavegueró!L298</f>
        <v>18.200000000000003</v>
      </c>
      <c r="K172" s="1">
        <f t="shared" si="3"/>
        <v>23.660000000000004</v>
      </c>
    </row>
    <row r="173" spans="2:14" ht="17.399999999999999" customHeight="1" x14ac:dyDescent="0.3">
      <c r="B173" s="11">
        <v>4</v>
      </c>
      <c r="C173" s="11" t="s">
        <v>268</v>
      </c>
      <c r="D173" s="11" t="s">
        <v>162</v>
      </c>
      <c r="E173" s="6" t="s">
        <v>629</v>
      </c>
      <c r="F173" s="11">
        <v>1.3</v>
      </c>
      <c r="G173" s="1">
        <f>0.4*0.4</f>
        <v>0.16000000000000003</v>
      </c>
      <c r="H173" s="1">
        <f>L34</f>
        <v>116.66</v>
      </c>
      <c r="K173" s="1">
        <f>H173*G173*F173</f>
        <v>24.265280000000008</v>
      </c>
    </row>
    <row r="174" spans="2:14" ht="18" customHeight="1" x14ac:dyDescent="0.3">
      <c r="L174" s="68">
        <f>(SUM(K135:K173))/13</f>
        <v>62.529217699999997</v>
      </c>
      <c r="M174" s="1">
        <v>500</v>
      </c>
      <c r="N174" s="10">
        <f>M174*L174</f>
        <v>31264.608849999997</v>
      </c>
    </row>
    <row r="175" spans="2:14" ht="16.2" customHeight="1" x14ac:dyDescent="0.3"/>
    <row r="176" spans="2:14" ht="16.2" customHeight="1" x14ac:dyDescent="0.3">
      <c r="B176" s="11">
        <v>4</v>
      </c>
      <c r="C176" s="11" t="s">
        <v>608</v>
      </c>
      <c r="D176" s="11" t="s">
        <v>166</v>
      </c>
      <c r="E176" s="6" t="s">
        <v>634</v>
      </c>
    </row>
    <row r="177" spans="2:14" ht="43.2" x14ac:dyDescent="0.3">
      <c r="E177" s="5" t="s">
        <v>635</v>
      </c>
    </row>
    <row r="179" spans="2:14" x14ac:dyDescent="0.3">
      <c r="G179" s="1">
        <v>1</v>
      </c>
      <c r="K179" s="1">
        <f>G179</f>
        <v>1</v>
      </c>
    </row>
    <row r="180" spans="2:14" x14ac:dyDescent="0.3">
      <c r="L180" s="10">
        <f>K179</f>
        <v>1</v>
      </c>
      <c r="M180" s="1">
        <v>290</v>
      </c>
      <c r="N180" s="10">
        <f>M180*L180</f>
        <v>290</v>
      </c>
    </row>
    <row r="182" spans="2:14" x14ac:dyDescent="0.3">
      <c r="B182" s="11">
        <v>4</v>
      </c>
      <c r="C182" s="11" t="s">
        <v>609</v>
      </c>
      <c r="D182" s="11" t="s">
        <v>496</v>
      </c>
      <c r="E182" s="6" t="s">
        <v>538</v>
      </c>
    </row>
    <row r="183" spans="2:14" ht="43.8" customHeight="1" x14ac:dyDescent="0.3">
      <c r="E183" s="5" t="s">
        <v>539</v>
      </c>
    </row>
    <row r="184" spans="2:14" ht="12.6" customHeight="1" x14ac:dyDescent="0.3"/>
    <row r="185" spans="2:14" ht="13.8" customHeight="1" x14ac:dyDescent="0.3">
      <c r="E185" s="5" t="s">
        <v>540</v>
      </c>
      <c r="G185" s="1">
        <v>20</v>
      </c>
      <c r="K185" s="1">
        <f>G185</f>
        <v>20</v>
      </c>
    </row>
    <row r="186" spans="2:14" x14ac:dyDescent="0.3">
      <c r="L186" s="10">
        <f>K185</f>
        <v>20</v>
      </c>
      <c r="M186" s="1">
        <v>500</v>
      </c>
      <c r="N186" s="10">
        <f>M186*L186</f>
        <v>10000</v>
      </c>
    </row>
    <row r="188" spans="2:14" x14ac:dyDescent="0.3">
      <c r="B188" s="11">
        <v>4</v>
      </c>
      <c r="C188" s="11" t="s">
        <v>377</v>
      </c>
      <c r="D188" s="11" t="s">
        <v>161</v>
      </c>
      <c r="E188" s="6" t="s">
        <v>375</v>
      </c>
    </row>
    <row r="189" spans="2:14" ht="43.2" x14ac:dyDescent="0.3">
      <c r="E189" s="5" t="s">
        <v>376</v>
      </c>
    </row>
    <row r="190" spans="2:14" x14ac:dyDescent="0.3">
      <c r="G190" s="1">
        <v>1</v>
      </c>
      <c r="H190" s="1">
        <f>76+41</f>
        <v>117</v>
      </c>
      <c r="K190" s="1">
        <f>H190*G190</f>
        <v>117</v>
      </c>
    </row>
    <row r="191" spans="2:14" x14ac:dyDescent="0.3">
      <c r="L191" s="10">
        <f>K190</f>
        <v>117</v>
      </c>
      <c r="M191" s="1">
        <v>2.17</v>
      </c>
      <c r="N191" s="10">
        <f>L191*M191</f>
        <v>253.89</v>
      </c>
    </row>
    <row r="193" spans="2:27" x14ac:dyDescent="0.3">
      <c r="B193" s="11">
        <v>4</v>
      </c>
      <c r="C193" s="11" t="s">
        <v>610</v>
      </c>
      <c r="D193" s="11" t="s">
        <v>496</v>
      </c>
      <c r="E193" s="6" t="s">
        <v>486</v>
      </c>
    </row>
    <row r="194" spans="2:27" ht="100.8" x14ac:dyDescent="0.3">
      <c r="E194" s="5" t="s">
        <v>497</v>
      </c>
    </row>
    <row r="196" spans="2:27" x14ac:dyDescent="0.3">
      <c r="E196" s="5" t="s">
        <v>606</v>
      </c>
      <c r="G196" s="1">
        <f>(clavegueró!L83)*0.25*0.25*1.5</f>
        <v>10.40625</v>
      </c>
      <c r="K196" s="1">
        <v>12</v>
      </c>
    </row>
    <row r="197" spans="2:27" x14ac:dyDescent="0.3">
      <c r="L197" s="10">
        <f>K196</f>
        <v>12</v>
      </c>
      <c r="M197" s="1">
        <v>250</v>
      </c>
      <c r="N197" s="10">
        <f>M197*L197</f>
        <v>3000</v>
      </c>
    </row>
    <row r="198" spans="2:27" x14ac:dyDescent="0.3">
      <c r="AA198">
        <f>V198+W198+X198+Y198</f>
        <v>0</v>
      </c>
    </row>
    <row r="199" spans="2:27" x14ac:dyDescent="0.3">
      <c r="C199" s="7" t="s">
        <v>611</v>
      </c>
      <c r="E199" s="4" t="s">
        <v>605</v>
      </c>
    </row>
    <row r="201" spans="2:27" x14ac:dyDescent="0.3">
      <c r="B201" s="11">
        <v>4</v>
      </c>
      <c r="C201" s="11" t="s">
        <v>612</v>
      </c>
      <c r="D201" s="11" t="s">
        <v>166</v>
      </c>
      <c r="E201" s="6" t="s">
        <v>522</v>
      </c>
    </row>
    <row r="202" spans="2:27" ht="28.8" x14ac:dyDescent="0.3">
      <c r="E202" s="5" t="s">
        <v>521</v>
      </c>
    </row>
    <row r="203" spans="2:27" x14ac:dyDescent="0.3">
      <c r="G203" s="1">
        <v>7</v>
      </c>
      <c r="K203" s="1">
        <f>G203</f>
        <v>7</v>
      </c>
    </row>
    <row r="204" spans="2:27" x14ac:dyDescent="0.3">
      <c r="L204" s="10">
        <f>K203</f>
        <v>7</v>
      </c>
      <c r="M204" s="1">
        <v>120</v>
      </c>
      <c r="N204" s="10">
        <f>L204*M204</f>
        <v>840</v>
      </c>
    </row>
    <row r="206" spans="2:27" ht="15" customHeight="1" x14ac:dyDescent="0.3">
      <c r="B206" s="7">
        <v>4</v>
      </c>
      <c r="C206" s="7" t="s">
        <v>662</v>
      </c>
      <c r="D206" s="7"/>
      <c r="E206" s="4" t="s">
        <v>661</v>
      </c>
    </row>
    <row r="207" spans="2:27" ht="15" customHeight="1" x14ac:dyDescent="0.3"/>
    <row r="208" spans="2:27" ht="15" customHeight="1" x14ac:dyDescent="0.3">
      <c r="B208" s="11">
        <v>4</v>
      </c>
      <c r="C208" s="11" t="s">
        <v>663</v>
      </c>
      <c r="D208" s="11" t="s">
        <v>319</v>
      </c>
      <c r="E208" s="5" t="s">
        <v>664</v>
      </c>
    </row>
    <row r="209" spans="1:25" ht="31.2" customHeight="1" x14ac:dyDescent="0.3">
      <c r="E209" s="5" t="s">
        <v>693</v>
      </c>
    </row>
    <row r="210" spans="1:25" ht="15" customHeight="1" x14ac:dyDescent="0.3"/>
    <row r="211" spans="1:25" ht="15" customHeight="1" x14ac:dyDescent="0.3">
      <c r="E211" s="5" t="s">
        <v>695</v>
      </c>
      <c r="F211" s="1">
        <v>0.01</v>
      </c>
      <c r="G211" s="1">
        <v>1</v>
      </c>
      <c r="K211" s="1">
        <f>G211*F211</f>
        <v>0.01</v>
      </c>
    </row>
    <row r="212" spans="1:25" ht="15" customHeight="1" x14ac:dyDescent="0.3">
      <c r="L212" s="10">
        <f>K211</f>
        <v>0.01</v>
      </c>
      <c r="M212" s="1">
        <v>1620921.93</v>
      </c>
      <c r="N212" s="10">
        <f>M212*L212</f>
        <v>16209.219299999999</v>
      </c>
    </row>
    <row r="213" spans="1:25" ht="15" customHeight="1" x14ac:dyDescent="0.3"/>
    <row r="214" spans="1:25" ht="15" customHeight="1" x14ac:dyDescent="0.3"/>
    <row r="215" spans="1:25" s="41" customFormat="1" ht="17.399999999999999" x14ac:dyDescent="0.3">
      <c r="A215" s="39"/>
      <c r="B215" s="39"/>
      <c r="C215" s="39"/>
      <c r="D215" s="39"/>
      <c r="E215" s="26" t="s">
        <v>542</v>
      </c>
      <c r="F215" s="27"/>
      <c r="G215" s="27"/>
      <c r="H215" s="27"/>
      <c r="I215" s="27"/>
      <c r="J215" s="27"/>
      <c r="K215" s="27"/>
      <c r="L215" s="27"/>
      <c r="M215" s="27"/>
      <c r="N215" s="27"/>
      <c r="O215" s="27"/>
      <c r="P215" s="27">
        <f>SUM(N129:N214)</f>
        <v>61857.718149999993</v>
      </c>
      <c r="T215" s="27"/>
      <c r="U215" s="27"/>
      <c r="V215" s="27"/>
      <c r="W215" s="27"/>
      <c r="X215" s="27"/>
      <c r="Y215" s="27"/>
    </row>
    <row r="216" spans="1:25" s="41" customFormat="1" ht="17.399999999999999" x14ac:dyDescent="0.3">
      <c r="A216" s="39"/>
      <c r="B216" s="39"/>
      <c r="C216" s="39"/>
      <c r="D216" s="39"/>
      <c r="E216" s="26"/>
      <c r="F216" s="27"/>
      <c r="G216" s="27"/>
      <c r="H216" s="27"/>
      <c r="I216" s="27"/>
      <c r="J216" s="27"/>
      <c r="K216" s="27"/>
      <c r="L216" s="27"/>
      <c r="M216" s="27"/>
      <c r="N216" s="27"/>
      <c r="O216" s="27"/>
      <c r="P216" s="27"/>
      <c r="T216" s="27"/>
      <c r="U216" s="27"/>
      <c r="V216" s="27"/>
      <c r="W216" s="27"/>
      <c r="X216" s="27"/>
      <c r="Y216" s="27"/>
    </row>
    <row r="217" spans="1:25" x14ac:dyDescent="0.3">
      <c r="P217" s="1"/>
    </row>
    <row r="218" spans="1:25" s="43" customFormat="1" ht="21" x14ac:dyDescent="0.4">
      <c r="A218" s="42"/>
      <c r="B218" s="42"/>
      <c r="C218" s="42"/>
      <c r="D218" s="42"/>
      <c r="E218" s="30" t="s">
        <v>542</v>
      </c>
      <c r="F218" s="33"/>
      <c r="G218" s="33"/>
      <c r="H218" s="33"/>
      <c r="I218" s="33"/>
      <c r="J218" s="33"/>
      <c r="K218" s="33"/>
      <c r="L218" s="33"/>
      <c r="M218" s="33"/>
      <c r="N218" s="33"/>
      <c r="O218" s="33"/>
      <c r="P218" s="33">
        <f>SUM(N3:N217)</f>
        <v>206222.34143000003</v>
      </c>
      <c r="T218" s="33"/>
      <c r="U218" s="33"/>
      <c r="V218" s="33"/>
      <c r="W218" s="33"/>
      <c r="X218" s="33"/>
      <c r="Y218" s="33"/>
    </row>
    <row r="221" spans="1:25" ht="18" x14ac:dyDescent="0.35">
      <c r="E221" s="40"/>
      <c r="R221" s="25"/>
    </row>
    <row r="223" spans="1:25" ht="18" x14ac:dyDescent="0.35">
      <c r="E223" s="40"/>
      <c r="T223" s="25"/>
      <c r="U223" s="25"/>
      <c r="V223" s="25"/>
      <c r="W223" s="25"/>
    </row>
    <row r="224" spans="1:25" ht="18" x14ac:dyDescent="0.35">
      <c r="E224" s="40"/>
      <c r="T224" s="25"/>
      <c r="U224" s="25"/>
      <c r="V224" s="25"/>
      <c r="W224" s="25"/>
    </row>
    <row r="225" spans="5:23" ht="18" x14ac:dyDescent="0.35">
      <c r="E225" s="40"/>
      <c r="T225" s="25"/>
      <c r="U225" s="25"/>
      <c r="V225" s="25"/>
      <c r="W225" s="25"/>
    </row>
    <row r="226" spans="5:23" ht="18" x14ac:dyDescent="0.35">
      <c r="E226" s="40"/>
      <c r="T226" s="25"/>
      <c r="U226" s="25"/>
      <c r="V226" s="25"/>
      <c r="W226" s="25"/>
    </row>
    <row r="227" spans="5:23" ht="18" x14ac:dyDescent="0.35">
      <c r="E227" s="40"/>
      <c r="T227" s="25"/>
      <c r="U227" s="25"/>
      <c r="V227" s="25"/>
      <c r="W227" s="25"/>
    </row>
    <row r="228" spans="5:23" ht="18" x14ac:dyDescent="0.35">
      <c r="E228" s="40"/>
      <c r="T228" s="25"/>
      <c r="U228" s="25"/>
      <c r="V228" s="25"/>
      <c r="W228" s="25"/>
    </row>
    <row r="229" spans="5:23" ht="18" x14ac:dyDescent="0.35">
      <c r="E229" s="40"/>
      <c r="T229" s="25"/>
      <c r="U229" s="25"/>
      <c r="V229" s="25"/>
      <c r="W229" s="25"/>
    </row>
    <row r="230" spans="5:23" ht="18" x14ac:dyDescent="0.3">
      <c r="E230" s="40"/>
    </row>
    <row r="231" spans="5:23" ht="18" x14ac:dyDescent="0.3">
      <c r="E231" s="40"/>
    </row>
  </sheetData>
  <pageMargins left="0.39370078740157483" right="0.39370078740157483" top="0.74803149606299213" bottom="0.74803149606299213" header="0.31496062992125984" footer="0.31496062992125984"/>
  <pageSetup paperSize="9" scale="52" fitToHeight="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DBAF-A4EC-410D-ADBF-CBADCD8AAD30}">
  <sheetPr>
    <pageSetUpPr fitToPage="1"/>
  </sheetPr>
  <dimension ref="A2:AG66"/>
  <sheetViews>
    <sheetView tabSelected="1" zoomScale="54" zoomScaleNormal="54" workbookViewId="0">
      <selection activeCell="W13" sqref="W13"/>
    </sheetView>
  </sheetViews>
  <sheetFormatPr baseColWidth="10" defaultRowHeight="14.4" x14ac:dyDescent="0.3"/>
  <cols>
    <col min="7" max="7" width="11.5546875" customWidth="1"/>
    <col min="8" max="8" width="21.5546875" style="1" customWidth="1"/>
    <col min="9" max="9" width="5.88671875" customWidth="1"/>
    <col min="10" max="10" width="19.44140625" customWidth="1"/>
    <col min="18" max="18" width="17.5546875" style="32" customWidth="1"/>
    <col min="19" max="19" width="19.6640625" customWidth="1"/>
    <col min="20" max="20" width="10.5546875" style="98" customWidth="1"/>
    <col min="21" max="21" width="14.44140625" style="98" customWidth="1"/>
    <col min="22" max="22" width="8.6640625" style="100" customWidth="1"/>
    <col min="23" max="23" width="17.21875" style="98" customWidth="1"/>
    <col min="24" max="24" width="10.6640625" style="100" customWidth="1"/>
    <col min="25" max="25" width="17.109375" style="98" customWidth="1"/>
    <col min="26" max="26" width="8.5546875" style="100" customWidth="1"/>
    <col min="27" max="27" width="15.21875" style="98" customWidth="1"/>
    <col min="28" max="28" width="10.109375" style="100" customWidth="1"/>
    <col min="29" max="29" width="13.44140625" style="98" customWidth="1"/>
    <col min="30" max="30" width="8.21875" style="100" customWidth="1"/>
    <col min="31" max="31" width="16.6640625" style="98" customWidth="1"/>
    <col min="32" max="32" width="11.6640625" bestFit="1" customWidth="1"/>
  </cols>
  <sheetData>
    <row r="2" spans="2:32" ht="21.6" customHeight="1" x14ac:dyDescent="0.4">
      <c r="B2" s="37"/>
      <c r="C2" s="49" t="s">
        <v>543</v>
      </c>
      <c r="D2" s="50"/>
      <c r="E2" s="51"/>
      <c r="F2" s="37"/>
      <c r="G2" s="37"/>
      <c r="H2" s="36"/>
      <c r="I2" s="37"/>
      <c r="J2" s="37"/>
      <c r="N2" s="76" t="s">
        <v>697</v>
      </c>
      <c r="O2" s="50"/>
      <c r="P2" s="51"/>
      <c r="Q2" s="37"/>
      <c r="R2" s="72"/>
    </row>
    <row r="3" spans="2:32" ht="21.6" customHeight="1" x14ac:dyDescent="0.4">
      <c r="B3" s="37"/>
      <c r="C3" s="28"/>
      <c r="D3" s="37"/>
      <c r="E3" s="37"/>
      <c r="F3" s="37"/>
      <c r="G3" s="37"/>
      <c r="H3" s="36"/>
      <c r="I3" s="37"/>
      <c r="J3" s="37"/>
      <c r="N3" s="43"/>
      <c r="O3" s="37"/>
      <c r="P3" s="37"/>
      <c r="Q3" s="37"/>
      <c r="R3" s="72"/>
      <c r="U3" s="102"/>
      <c r="W3" s="103"/>
      <c r="X3" s="104"/>
      <c r="Y3" s="103"/>
      <c r="Z3" s="105"/>
      <c r="AA3" s="103"/>
      <c r="AB3" s="105"/>
      <c r="AC3" s="103"/>
    </row>
    <row r="4" spans="2:32" x14ac:dyDescent="0.3">
      <c r="B4" s="37"/>
      <c r="C4" s="37"/>
      <c r="D4" s="37"/>
      <c r="E4" s="37"/>
      <c r="F4" s="37"/>
      <c r="G4" s="37"/>
      <c r="H4" s="36"/>
      <c r="I4" s="37"/>
      <c r="J4" s="37"/>
      <c r="N4" s="37"/>
      <c r="O4" s="37"/>
      <c r="P4" s="37"/>
      <c r="Q4" s="37"/>
      <c r="R4" s="72"/>
    </row>
    <row r="5" spans="2:32" ht="18" x14ac:dyDescent="0.35">
      <c r="B5" s="37"/>
      <c r="C5" s="38" t="s">
        <v>544</v>
      </c>
      <c r="D5" s="38" t="s">
        <v>555</v>
      </c>
      <c r="E5" s="38"/>
      <c r="F5" s="37"/>
      <c r="G5" s="37"/>
      <c r="H5" s="36"/>
      <c r="I5" s="37"/>
      <c r="J5" s="66">
        <f>H7+H8+H9+H10</f>
        <v>294123.78999800002</v>
      </c>
      <c r="K5" s="38" t="s">
        <v>569</v>
      </c>
      <c r="N5" s="38" t="s">
        <v>544</v>
      </c>
      <c r="O5" s="38" t="s">
        <v>555</v>
      </c>
      <c r="P5" s="38"/>
      <c r="Q5" s="37"/>
      <c r="R5" s="74">
        <v>294123.78999999998</v>
      </c>
      <c r="S5" s="38" t="s">
        <v>569</v>
      </c>
      <c r="T5" s="106"/>
      <c r="U5" s="107"/>
      <c r="V5" s="108"/>
      <c r="W5" s="109"/>
      <c r="X5" s="110"/>
      <c r="Y5" s="109"/>
      <c r="Z5" s="110"/>
      <c r="AA5" s="109"/>
      <c r="AB5" s="110"/>
      <c r="AC5" s="109"/>
      <c r="AD5" s="110"/>
      <c r="AE5" s="109"/>
      <c r="AF5" s="78">
        <f>X5+Z5+AB5+AD5+V5</f>
        <v>0</v>
      </c>
    </row>
    <row r="6" spans="2:32" ht="18" x14ac:dyDescent="0.35">
      <c r="B6" s="37"/>
      <c r="C6" s="38"/>
      <c r="D6" s="38"/>
      <c r="E6" s="38"/>
      <c r="F6" s="37"/>
      <c r="G6" s="37"/>
      <c r="H6" s="36"/>
      <c r="I6" s="37"/>
      <c r="J6" s="37"/>
      <c r="N6" s="37"/>
      <c r="O6" s="37"/>
      <c r="P6" s="37"/>
      <c r="Q6" s="37"/>
      <c r="R6" s="75"/>
      <c r="W6" s="111"/>
      <c r="X6" s="110"/>
      <c r="Y6" s="111"/>
      <c r="Z6" s="110"/>
      <c r="AA6" s="111"/>
      <c r="AB6" s="110"/>
      <c r="AC6" s="111"/>
      <c r="AD6" s="110"/>
      <c r="AE6" s="111"/>
      <c r="AF6" s="70"/>
    </row>
    <row r="7" spans="2:32" ht="18" x14ac:dyDescent="0.35">
      <c r="B7" s="37"/>
      <c r="C7" s="37"/>
      <c r="D7" s="37" t="s">
        <v>545</v>
      </c>
      <c r="E7" s="37"/>
      <c r="F7" s="37"/>
      <c r="G7" s="37"/>
      <c r="H7" s="36">
        <f>'façanes '!P186</f>
        <v>104688.63900000001</v>
      </c>
      <c r="I7" s="52" t="s">
        <v>569</v>
      </c>
      <c r="J7" s="37"/>
      <c r="N7" s="38" t="s">
        <v>549</v>
      </c>
      <c r="O7" s="38" t="s">
        <v>550</v>
      </c>
      <c r="P7" s="37"/>
      <c r="Q7" s="37"/>
      <c r="R7" s="75">
        <v>384223.55</v>
      </c>
      <c r="S7" s="38" t="s">
        <v>569</v>
      </c>
      <c r="T7" s="106"/>
      <c r="U7" s="107"/>
      <c r="V7" s="108"/>
      <c r="W7" s="109"/>
      <c r="X7" s="110"/>
      <c r="Y7" s="109"/>
      <c r="Z7" s="110"/>
      <c r="AA7" s="109"/>
      <c r="AB7" s="110"/>
      <c r="AC7" s="109"/>
      <c r="AD7" s="110"/>
      <c r="AE7" s="109"/>
      <c r="AF7" s="78">
        <f>X7+Z7+AB7+AD7+V7</f>
        <v>0</v>
      </c>
    </row>
    <row r="8" spans="2:32" ht="18" x14ac:dyDescent="0.35">
      <c r="B8" s="37"/>
      <c r="C8" s="37"/>
      <c r="D8" s="37" t="s">
        <v>546</v>
      </c>
      <c r="E8" s="37"/>
      <c r="F8" s="37"/>
      <c r="G8" s="37"/>
      <c r="H8" s="36">
        <f>'façanes '!P365</f>
        <v>125473.931688</v>
      </c>
      <c r="I8" s="52" t="s">
        <v>569</v>
      </c>
      <c r="J8" s="37"/>
      <c r="N8" s="37"/>
      <c r="O8" s="37"/>
      <c r="P8" s="37"/>
      <c r="Q8" s="37"/>
      <c r="R8" s="75"/>
      <c r="W8" s="111"/>
      <c r="X8" s="110"/>
      <c r="Y8" s="111"/>
      <c r="Z8" s="110"/>
      <c r="AA8" s="111"/>
      <c r="AB8" s="110"/>
      <c r="AC8" s="111"/>
      <c r="AD8" s="110"/>
      <c r="AE8" s="111"/>
      <c r="AF8" s="70"/>
    </row>
    <row r="9" spans="2:32" ht="18" x14ac:dyDescent="0.35">
      <c r="B9" s="37"/>
      <c r="C9" s="37"/>
      <c r="D9" s="37" t="s">
        <v>547</v>
      </c>
      <c r="E9" s="37"/>
      <c r="F9" s="37"/>
      <c r="G9" s="37"/>
      <c r="H9" s="36">
        <f>'façanes '!P436</f>
        <v>14379.164000000001</v>
      </c>
      <c r="I9" s="52" t="s">
        <v>569</v>
      </c>
      <c r="J9" s="37"/>
      <c r="N9" s="38" t="s">
        <v>551</v>
      </c>
      <c r="O9" s="38" t="s">
        <v>552</v>
      </c>
      <c r="P9" s="37"/>
      <c r="Q9" s="37"/>
      <c r="R9" s="75">
        <v>751961.47</v>
      </c>
      <c r="S9" s="38" t="s">
        <v>569</v>
      </c>
      <c r="T9" s="106"/>
      <c r="U9" s="107"/>
      <c r="V9" s="108"/>
      <c r="W9" s="109"/>
      <c r="X9" s="110"/>
      <c r="Y9" s="109"/>
      <c r="Z9" s="110"/>
      <c r="AA9" s="109"/>
      <c r="AB9" s="110"/>
      <c r="AC9" s="109"/>
      <c r="AD9" s="110"/>
      <c r="AE9" s="109"/>
      <c r="AF9" s="78">
        <f>X9+Z9+AB9+AD9+V9</f>
        <v>0</v>
      </c>
    </row>
    <row r="10" spans="2:32" ht="18" x14ac:dyDescent="0.35">
      <c r="B10" s="37"/>
      <c r="C10" s="37"/>
      <c r="D10" s="37" t="s">
        <v>548</v>
      </c>
      <c r="E10" s="37"/>
      <c r="F10" s="37"/>
      <c r="G10" s="37"/>
      <c r="H10" s="36">
        <f>'façanes '!P534</f>
        <v>49582.055310000003</v>
      </c>
      <c r="I10" s="52" t="s">
        <v>569</v>
      </c>
      <c r="J10" s="37"/>
      <c r="N10" s="37"/>
      <c r="O10" s="37"/>
      <c r="P10" s="37"/>
      <c r="Q10" s="37"/>
      <c r="R10" s="75"/>
      <c r="W10" s="111"/>
      <c r="X10" s="110"/>
      <c r="Y10" s="111"/>
      <c r="Z10" s="110"/>
      <c r="AA10" s="111"/>
      <c r="AB10" s="110"/>
      <c r="AC10" s="111"/>
      <c r="AD10" s="110"/>
      <c r="AE10" s="111"/>
      <c r="AF10" s="70"/>
    </row>
    <row r="11" spans="2:32" ht="18" x14ac:dyDescent="0.35">
      <c r="B11" s="37"/>
      <c r="C11" s="37"/>
      <c r="D11" s="37"/>
      <c r="E11" s="37"/>
      <c r="F11" s="37"/>
      <c r="G11" s="37"/>
      <c r="H11" s="36"/>
      <c r="I11" s="52"/>
      <c r="J11" s="37"/>
      <c r="N11" s="38" t="s">
        <v>556</v>
      </c>
      <c r="O11" s="38" t="s">
        <v>557</v>
      </c>
      <c r="P11" s="37"/>
      <c r="Q11" s="37"/>
      <c r="R11" s="75">
        <v>206222.34</v>
      </c>
      <c r="S11" s="38" t="s">
        <v>569</v>
      </c>
      <c r="T11" s="106"/>
      <c r="U11" s="107"/>
      <c r="V11" s="108"/>
      <c r="W11" s="109"/>
      <c r="X11" s="110"/>
      <c r="Y11" s="109"/>
      <c r="Z11" s="110"/>
      <c r="AA11" s="109"/>
      <c r="AB11" s="110"/>
      <c r="AC11" s="109"/>
      <c r="AD11" s="110"/>
      <c r="AE11" s="109"/>
      <c r="AF11" s="78">
        <f>X11+Z11+AB11+AD11+V11</f>
        <v>0</v>
      </c>
    </row>
    <row r="12" spans="2:32" ht="17.399999999999999" x14ac:dyDescent="0.3">
      <c r="B12" s="37"/>
      <c r="C12" s="38" t="s">
        <v>549</v>
      </c>
      <c r="D12" s="38" t="s">
        <v>550</v>
      </c>
      <c r="E12" s="37"/>
      <c r="F12" s="37"/>
      <c r="G12" s="37"/>
      <c r="H12" s="36"/>
      <c r="I12" s="52"/>
      <c r="J12" s="66">
        <f>H14</f>
        <v>384223.54934999999</v>
      </c>
      <c r="K12" s="38" t="s">
        <v>569</v>
      </c>
      <c r="N12" s="44"/>
      <c r="O12" s="44"/>
      <c r="P12" s="44"/>
      <c r="Q12" s="44"/>
      <c r="R12" s="79"/>
      <c r="S12" s="46"/>
    </row>
    <row r="13" spans="2:32" ht="20.399999999999999" x14ac:dyDescent="0.35">
      <c r="B13" s="37"/>
      <c r="C13" s="38"/>
      <c r="D13" s="38"/>
      <c r="E13" s="37"/>
      <c r="F13" s="37"/>
      <c r="G13" s="37"/>
      <c r="H13" s="36"/>
      <c r="I13" s="52"/>
      <c r="J13" s="37"/>
      <c r="N13" s="71" t="s">
        <v>696</v>
      </c>
      <c r="O13" s="37"/>
      <c r="P13" s="37"/>
      <c r="Q13" s="37"/>
      <c r="R13" s="75">
        <f>SUM(R5:R12)</f>
        <v>1636531.1500000001</v>
      </c>
      <c r="S13" s="38" t="s">
        <v>569</v>
      </c>
      <c r="T13" s="106"/>
      <c r="U13" s="112"/>
      <c r="V13" s="113"/>
      <c r="W13" s="112"/>
      <c r="X13" s="113"/>
      <c r="Y13" s="112"/>
      <c r="Z13" s="113"/>
      <c r="AA13" s="112"/>
      <c r="AB13" s="113"/>
      <c r="AC13" s="112"/>
      <c r="AD13" s="113"/>
      <c r="AE13" s="109"/>
      <c r="AF13" s="77">
        <f>V13+X13+Z13+AB13+AD13</f>
        <v>0</v>
      </c>
    </row>
    <row r="14" spans="2:32" x14ac:dyDescent="0.3">
      <c r="B14" s="37"/>
      <c r="C14" s="37"/>
      <c r="D14" s="37" t="s">
        <v>550</v>
      </c>
      <c r="E14" s="37"/>
      <c r="F14" s="37"/>
      <c r="G14" s="37"/>
      <c r="H14" s="36">
        <f>'estructura '!P336</f>
        <v>384223.54934999999</v>
      </c>
      <c r="I14" s="52" t="s">
        <v>569</v>
      </c>
    </row>
    <row r="15" spans="2:32" x14ac:dyDescent="0.3">
      <c r="B15" s="37"/>
      <c r="C15" s="37"/>
      <c r="D15" s="37"/>
      <c r="E15" s="37"/>
      <c r="F15" s="37"/>
      <c r="G15" s="37"/>
      <c r="H15" s="36"/>
      <c r="I15" s="52"/>
      <c r="J15" s="37"/>
    </row>
    <row r="16" spans="2:32" ht="21" x14ac:dyDescent="0.4">
      <c r="B16" s="37"/>
      <c r="C16" s="38" t="s">
        <v>551</v>
      </c>
      <c r="D16" s="38" t="s">
        <v>552</v>
      </c>
      <c r="E16" s="38"/>
      <c r="F16" s="37"/>
      <c r="G16" s="37"/>
      <c r="H16" s="36"/>
      <c r="I16" s="52"/>
      <c r="J16" s="66">
        <f>H18+H19</f>
        <v>751961.47045999987</v>
      </c>
      <c r="K16" s="38" t="s">
        <v>569</v>
      </c>
      <c r="N16" s="76" t="s">
        <v>697</v>
      </c>
      <c r="O16" s="50"/>
      <c r="P16" s="51"/>
      <c r="Q16" s="37"/>
      <c r="R16" s="72"/>
    </row>
    <row r="17" spans="2:31" ht="21" x14ac:dyDescent="0.4">
      <c r="B17" s="37"/>
      <c r="C17" s="38"/>
      <c r="D17" s="38"/>
      <c r="E17" s="38"/>
      <c r="F17" s="37"/>
      <c r="G17" s="37"/>
      <c r="H17" s="36"/>
      <c r="I17" s="52"/>
      <c r="J17" s="37"/>
      <c r="N17" s="43"/>
      <c r="O17" s="37"/>
      <c r="P17" s="37"/>
      <c r="Q17" s="37"/>
      <c r="R17" s="72"/>
      <c r="U17" s="114"/>
      <c r="V17" s="115"/>
      <c r="W17" s="114"/>
      <c r="X17" s="115"/>
      <c r="Y17" s="114"/>
      <c r="Z17" s="115"/>
      <c r="AA17" s="114"/>
      <c r="AB17" s="115"/>
      <c r="AC17" s="114"/>
    </row>
    <row r="18" spans="2:31" x14ac:dyDescent="0.3">
      <c r="B18" s="37"/>
      <c r="C18" s="37"/>
      <c r="D18" s="37" t="s">
        <v>553</v>
      </c>
      <c r="E18" s="37"/>
      <c r="F18" s="37"/>
      <c r="G18" s="37"/>
      <c r="H18" s="36">
        <f>clavegueró!P276</f>
        <v>748772.30245999992</v>
      </c>
      <c r="I18" s="52" t="s">
        <v>569</v>
      </c>
      <c r="J18" s="37"/>
      <c r="N18" s="37"/>
      <c r="O18" s="37"/>
      <c r="P18" s="37"/>
      <c r="Q18" s="37"/>
      <c r="R18" s="72"/>
    </row>
    <row r="19" spans="2:31" ht="17.399999999999999" x14ac:dyDescent="0.3">
      <c r="B19" s="37"/>
      <c r="C19" s="37"/>
      <c r="D19" s="37" t="s">
        <v>554</v>
      </c>
      <c r="E19" s="37"/>
      <c r="F19" s="37"/>
      <c r="G19" s="37"/>
      <c r="H19" s="36">
        <f>clavegueró!P324</f>
        <v>3189.1680000000006</v>
      </c>
      <c r="I19" s="52" t="s">
        <v>569</v>
      </c>
      <c r="J19" s="37"/>
      <c r="N19" s="38" t="s">
        <v>544</v>
      </c>
      <c r="O19" s="38" t="s">
        <v>555</v>
      </c>
      <c r="P19" s="38"/>
      <c r="Q19" s="37"/>
      <c r="R19" s="74">
        <v>294123.78999999998</v>
      </c>
      <c r="S19" s="38" t="s">
        <v>569</v>
      </c>
      <c r="U19" s="100"/>
      <c r="W19" s="100"/>
      <c r="Y19" s="100"/>
      <c r="AA19" s="100"/>
      <c r="AC19" s="100"/>
      <c r="AE19" s="100"/>
    </row>
    <row r="20" spans="2:31" ht="17.399999999999999" x14ac:dyDescent="0.3">
      <c r="B20" s="37"/>
      <c r="C20" s="37"/>
      <c r="D20" s="37"/>
      <c r="E20" s="37"/>
      <c r="F20" s="37"/>
      <c r="G20" s="37"/>
      <c r="H20" s="36"/>
      <c r="I20" s="52"/>
      <c r="J20" s="37"/>
      <c r="N20" s="37"/>
      <c r="O20" s="37"/>
      <c r="P20" s="37"/>
      <c r="Q20" s="37"/>
      <c r="R20" s="75"/>
    </row>
    <row r="21" spans="2:31" ht="17.399999999999999" x14ac:dyDescent="0.3">
      <c r="B21" s="37"/>
      <c r="C21" s="38" t="s">
        <v>556</v>
      </c>
      <c r="D21" s="38" t="s">
        <v>557</v>
      </c>
      <c r="E21" s="37"/>
      <c r="F21" s="37"/>
      <c r="G21" s="37"/>
      <c r="H21" s="36"/>
      <c r="I21" s="52"/>
      <c r="J21" s="66">
        <f>H23+H24+H25+H26+H27</f>
        <v>206222.34143</v>
      </c>
      <c r="K21" s="38" t="s">
        <v>569</v>
      </c>
      <c r="N21" s="38" t="s">
        <v>549</v>
      </c>
      <c r="O21" s="38" t="s">
        <v>550</v>
      </c>
      <c r="P21" s="37"/>
      <c r="Q21" s="37"/>
      <c r="R21" s="75">
        <v>384223.55</v>
      </c>
      <c r="S21" s="38" t="s">
        <v>569</v>
      </c>
      <c r="U21" s="100"/>
      <c r="W21" s="100"/>
      <c r="Y21" s="100"/>
      <c r="AA21" s="100"/>
      <c r="AC21" s="100"/>
      <c r="AE21" s="100"/>
    </row>
    <row r="22" spans="2:31" ht="17.399999999999999" x14ac:dyDescent="0.3">
      <c r="B22" s="37"/>
      <c r="C22" s="38"/>
      <c r="D22" s="38"/>
      <c r="E22" s="37"/>
      <c r="F22" s="37"/>
      <c r="G22" s="37"/>
      <c r="H22" s="36"/>
      <c r="I22" s="52"/>
      <c r="J22" s="37"/>
      <c r="N22" s="37"/>
      <c r="O22" s="37"/>
      <c r="P22" s="37"/>
      <c r="Q22" s="37"/>
      <c r="R22" s="75"/>
    </row>
    <row r="23" spans="2:31" ht="17.399999999999999" x14ac:dyDescent="0.3">
      <c r="B23" s="37"/>
      <c r="C23" s="37"/>
      <c r="D23" s="37" t="s">
        <v>558</v>
      </c>
      <c r="E23" s="37"/>
      <c r="F23" s="37"/>
      <c r="G23" s="37"/>
      <c r="H23" s="36">
        <f>'diversos '!P36</f>
        <v>71588.17568</v>
      </c>
      <c r="I23" s="52" t="s">
        <v>569</v>
      </c>
      <c r="J23" s="37"/>
      <c r="N23" s="38" t="s">
        <v>551</v>
      </c>
      <c r="O23" s="38" t="s">
        <v>552</v>
      </c>
      <c r="P23" s="37"/>
      <c r="Q23" s="37"/>
      <c r="R23" s="75">
        <v>751961.47</v>
      </c>
      <c r="S23" s="38" t="s">
        <v>569</v>
      </c>
      <c r="U23" s="100"/>
      <c r="W23" s="100"/>
      <c r="Y23" s="100"/>
      <c r="AA23" s="100"/>
      <c r="AC23" s="100"/>
      <c r="AE23" s="100"/>
    </row>
    <row r="24" spans="2:31" ht="17.399999999999999" x14ac:dyDescent="0.3">
      <c r="B24" s="37"/>
      <c r="C24" s="37"/>
      <c r="D24" s="37" t="s">
        <v>559</v>
      </c>
      <c r="E24" s="37"/>
      <c r="F24" s="37"/>
      <c r="G24" s="37"/>
      <c r="H24" s="36">
        <f>'diversos '!P64</f>
        <v>2458.9500000000003</v>
      </c>
      <c r="I24" s="52" t="s">
        <v>569</v>
      </c>
      <c r="J24" s="37"/>
      <c r="N24" s="37"/>
      <c r="O24" s="37"/>
      <c r="P24" s="37"/>
      <c r="Q24" s="37"/>
      <c r="R24" s="75"/>
    </row>
    <row r="25" spans="2:31" ht="17.399999999999999" x14ac:dyDescent="0.3">
      <c r="B25" s="37"/>
      <c r="C25" s="37"/>
      <c r="D25" s="37" t="s">
        <v>560</v>
      </c>
      <c r="E25" s="37"/>
      <c r="F25" s="37"/>
      <c r="G25" s="37"/>
      <c r="H25" s="36">
        <f>'diversos '!P90</f>
        <v>47163.6276</v>
      </c>
      <c r="I25" s="52" t="s">
        <v>569</v>
      </c>
      <c r="J25" s="37"/>
      <c r="N25" s="38" t="s">
        <v>556</v>
      </c>
      <c r="O25" s="38" t="s">
        <v>557</v>
      </c>
      <c r="P25" s="37"/>
      <c r="Q25" s="37"/>
      <c r="R25" s="75">
        <v>206222.34</v>
      </c>
      <c r="S25" s="38" t="s">
        <v>569</v>
      </c>
      <c r="U25" s="100"/>
      <c r="W25" s="100"/>
      <c r="Y25" s="100"/>
      <c r="AA25" s="100"/>
      <c r="AC25" s="100"/>
      <c r="AE25" s="100"/>
    </row>
    <row r="26" spans="2:31" ht="17.399999999999999" x14ac:dyDescent="0.3">
      <c r="B26" s="37"/>
      <c r="C26" s="37"/>
      <c r="D26" s="37" t="s">
        <v>567</v>
      </c>
      <c r="E26" s="37"/>
      <c r="F26" s="37"/>
      <c r="G26" s="37"/>
      <c r="H26" s="36">
        <f>'diversos '!P126</f>
        <v>23153.87</v>
      </c>
      <c r="I26" s="52" t="s">
        <v>569</v>
      </c>
      <c r="J26" s="37"/>
      <c r="N26" s="44"/>
      <c r="O26" s="44"/>
      <c r="P26" s="44"/>
      <c r="Q26" s="44"/>
      <c r="R26" s="79"/>
      <c r="S26" s="46"/>
    </row>
    <row r="27" spans="2:31" ht="20.399999999999999" x14ac:dyDescent="0.35">
      <c r="B27" s="37"/>
      <c r="C27" s="37"/>
      <c r="D27" s="37" t="s">
        <v>557</v>
      </c>
      <c r="E27" s="37"/>
      <c r="F27" s="37"/>
      <c r="G27" s="37"/>
      <c r="H27" s="36">
        <f>'diversos '!P215</f>
        <v>61857.718149999993</v>
      </c>
      <c r="I27" s="52" t="s">
        <v>569</v>
      </c>
      <c r="J27" s="37"/>
      <c r="N27" s="71" t="s">
        <v>696</v>
      </c>
      <c r="O27" s="37"/>
      <c r="P27" s="37"/>
      <c r="Q27" s="37"/>
      <c r="R27" s="75">
        <f>SUM(R19:R26)</f>
        <v>1636531.1500000001</v>
      </c>
      <c r="S27" s="38" t="s">
        <v>569</v>
      </c>
      <c r="U27" s="113"/>
      <c r="V27" s="113"/>
      <c r="W27" s="113"/>
      <c r="X27" s="113"/>
      <c r="Y27" s="113"/>
      <c r="Z27" s="113"/>
      <c r="AA27" s="113"/>
      <c r="AB27" s="113"/>
      <c r="AC27" s="113"/>
      <c r="AE27" s="100"/>
    </row>
    <row r="28" spans="2:31" s="46" customFormat="1" x14ac:dyDescent="0.3">
      <c r="B28" s="44"/>
      <c r="C28" s="44"/>
      <c r="D28" s="44"/>
      <c r="E28" s="44"/>
      <c r="F28" s="44"/>
      <c r="G28" s="44"/>
      <c r="H28" s="45"/>
      <c r="I28" s="44"/>
      <c r="J28" s="44"/>
      <c r="R28" s="73"/>
      <c r="T28" s="98"/>
      <c r="U28" s="98"/>
      <c r="V28" s="100"/>
      <c r="W28" s="98"/>
      <c r="X28" s="100"/>
      <c r="Y28" s="98"/>
      <c r="Z28" s="100"/>
      <c r="AA28" s="98"/>
      <c r="AB28" s="100"/>
      <c r="AC28" s="98"/>
      <c r="AD28" s="100"/>
      <c r="AE28" s="98"/>
    </row>
    <row r="29" spans="2:31" s="28" customFormat="1" ht="21" x14ac:dyDescent="0.4">
      <c r="H29" s="29"/>
      <c r="R29" s="33"/>
      <c r="T29" s="91"/>
      <c r="U29" s="91"/>
      <c r="V29" s="93"/>
      <c r="W29" s="91"/>
      <c r="X29" s="93"/>
      <c r="Y29" s="91"/>
      <c r="Z29" s="93"/>
      <c r="AA29" s="91"/>
      <c r="AB29" s="93"/>
      <c r="AC29" s="91"/>
      <c r="AD29" s="93"/>
      <c r="AE29" s="91"/>
    </row>
    <row r="30" spans="2:31" s="28" customFormat="1" ht="21" x14ac:dyDescent="0.4">
      <c r="C30" s="28" t="s">
        <v>568</v>
      </c>
      <c r="H30" s="29">
        <f>SUM(H4:H29)</f>
        <v>1636531.1512380003</v>
      </c>
      <c r="I30" s="41" t="s">
        <v>569</v>
      </c>
      <c r="R30" s="33"/>
      <c r="T30" s="91"/>
      <c r="U30" s="91"/>
      <c r="V30" s="93"/>
      <c r="W30" s="91"/>
      <c r="X30" s="93"/>
      <c r="Y30" s="91"/>
      <c r="Z30" s="93"/>
      <c r="AA30" s="91"/>
      <c r="AB30" s="93"/>
      <c r="AC30" s="91"/>
      <c r="AD30" s="93"/>
      <c r="AE30" s="91"/>
    </row>
    <row r="31" spans="2:31" s="28" customFormat="1" ht="21.6" thickBot="1" x14ac:dyDescent="0.45">
      <c r="H31" s="29"/>
      <c r="I31" s="41"/>
      <c r="R31" s="33"/>
      <c r="T31" s="91"/>
      <c r="U31" s="91"/>
      <c r="V31" s="93"/>
      <c r="W31" s="91"/>
      <c r="X31" s="93"/>
      <c r="Y31" s="91"/>
      <c r="Z31" s="93"/>
      <c r="AA31" s="91"/>
      <c r="AB31" s="93"/>
      <c r="AC31" s="91"/>
      <c r="AD31" s="93"/>
      <c r="AE31" s="91"/>
    </row>
    <row r="32" spans="2:31" s="28" customFormat="1" ht="21" x14ac:dyDescent="0.4">
      <c r="B32" s="53"/>
      <c r="C32" s="54"/>
      <c r="D32" s="54"/>
      <c r="E32" s="54"/>
      <c r="F32" s="54"/>
      <c r="G32" s="54"/>
      <c r="H32" s="55"/>
      <c r="I32" s="56"/>
      <c r="J32" s="57"/>
      <c r="R32" s="33"/>
      <c r="T32" s="91"/>
      <c r="U32" s="91"/>
      <c r="V32" s="93"/>
      <c r="W32" s="91"/>
      <c r="X32" s="93"/>
      <c r="Y32" s="91"/>
      <c r="Z32" s="93"/>
      <c r="AA32" s="91"/>
      <c r="AB32" s="93"/>
      <c r="AC32" s="91"/>
      <c r="AD32" s="93"/>
      <c r="AE32" s="91"/>
    </row>
    <row r="33" spans="1:33" s="28" customFormat="1" ht="21" x14ac:dyDescent="0.4">
      <c r="B33" s="58"/>
      <c r="C33" s="28" t="s">
        <v>571</v>
      </c>
      <c r="H33" s="29">
        <f>H30</f>
        <v>1636531.1512380003</v>
      </c>
      <c r="I33" s="41" t="s">
        <v>569</v>
      </c>
      <c r="J33" s="59"/>
      <c r="R33" s="33"/>
      <c r="T33" s="91"/>
      <c r="U33" s="91"/>
      <c r="V33" s="93"/>
      <c r="W33" s="91"/>
      <c r="X33" s="93"/>
      <c r="Y33" s="91"/>
      <c r="Z33" s="93"/>
      <c r="AA33" s="91"/>
      <c r="AB33" s="93"/>
      <c r="AC33" s="91"/>
      <c r="AD33" s="93"/>
      <c r="AE33" s="91"/>
    </row>
    <row r="34" spans="1:33" s="28" customFormat="1" ht="21" x14ac:dyDescent="0.4">
      <c r="B34" s="58"/>
      <c r="H34" s="29"/>
      <c r="I34" s="41"/>
      <c r="J34" s="59"/>
      <c r="R34" s="33"/>
      <c r="T34" s="91"/>
      <c r="U34" s="91"/>
      <c r="V34" s="93"/>
      <c r="W34" s="91"/>
      <c r="X34" s="93"/>
      <c r="Y34" s="91"/>
      <c r="Z34" s="93"/>
      <c r="AA34" s="91"/>
      <c r="AB34" s="93"/>
      <c r="AC34" s="91"/>
      <c r="AD34" s="93"/>
      <c r="AE34" s="91"/>
    </row>
    <row r="35" spans="1:33" s="28" customFormat="1" ht="21" x14ac:dyDescent="0.4">
      <c r="B35" s="58"/>
      <c r="C35" s="28" t="s">
        <v>699</v>
      </c>
      <c r="H35" s="29">
        <f>H33*0.06</f>
        <v>98191.86907428001</v>
      </c>
      <c r="I35" s="41" t="s">
        <v>569</v>
      </c>
      <c r="J35" s="59"/>
      <c r="M35" s="91"/>
      <c r="N35" s="91"/>
      <c r="O35" s="91"/>
      <c r="P35" s="91"/>
      <c r="Q35" s="91"/>
      <c r="R35" s="92"/>
      <c r="S35" s="91"/>
      <c r="T35" s="91"/>
      <c r="U35" s="91"/>
      <c r="V35" s="93"/>
      <c r="W35" s="91"/>
      <c r="X35" s="93"/>
      <c r="Y35" s="91"/>
      <c r="Z35" s="93"/>
      <c r="AA35" s="91"/>
      <c r="AB35" s="93"/>
      <c r="AC35" s="91"/>
      <c r="AD35" s="93"/>
      <c r="AE35" s="91"/>
    </row>
    <row r="36" spans="1:33" s="28" customFormat="1" ht="21" x14ac:dyDescent="0.4">
      <c r="B36" s="58"/>
      <c r="H36" s="29"/>
      <c r="I36" s="41"/>
      <c r="J36" s="59"/>
      <c r="M36" s="91"/>
      <c r="N36" s="91"/>
      <c r="O36" s="91"/>
      <c r="P36" s="91"/>
      <c r="Q36" s="91"/>
      <c r="R36" s="92"/>
      <c r="S36" s="91"/>
      <c r="T36" s="91"/>
      <c r="U36" s="91"/>
      <c r="V36" s="93"/>
      <c r="W36" s="91"/>
      <c r="X36" s="93"/>
      <c r="Y36" s="91"/>
      <c r="Z36" s="93"/>
      <c r="AA36" s="91"/>
      <c r="AB36" s="93"/>
      <c r="AC36" s="91"/>
      <c r="AD36" s="93"/>
      <c r="AE36" s="91"/>
    </row>
    <row r="37" spans="1:33" s="28" customFormat="1" ht="21" x14ac:dyDescent="0.4">
      <c r="B37" s="58"/>
      <c r="C37" s="28" t="s">
        <v>700</v>
      </c>
      <c r="H37" s="29">
        <f>H33*0.13</f>
        <v>212749.04966094004</v>
      </c>
      <c r="I37" s="41" t="s">
        <v>569</v>
      </c>
      <c r="J37" s="59"/>
      <c r="M37" s="91"/>
      <c r="N37" s="94"/>
      <c r="O37" s="95"/>
      <c r="P37" s="95"/>
      <c r="Q37" s="91"/>
      <c r="R37" s="91"/>
      <c r="S37" s="96"/>
      <c r="T37" s="97"/>
      <c r="U37" s="91"/>
      <c r="V37" s="93"/>
      <c r="W37" s="91"/>
      <c r="X37" s="93"/>
      <c r="Y37" s="91"/>
      <c r="Z37" s="93"/>
      <c r="AA37" s="91"/>
      <c r="AB37" s="93"/>
      <c r="AC37" s="91"/>
      <c r="AD37" s="93"/>
      <c r="AE37" s="91"/>
    </row>
    <row r="38" spans="1:33" s="28" customFormat="1" ht="21" x14ac:dyDescent="0.4">
      <c r="B38" s="58"/>
      <c r="H38" s="29"/>
      <c r="J38" s="59"/>
      <c r="M38" s="91"/>
      <c r="N38" s="91"/>
      <c r="O38" s="91"/>
      <c r="P38" s="91"/>
      <c r="Q38" s="91"/>
      <c r="R38" s="92"/>
      <c r="S38" s="91"/>
      <c r="T38" s="91"/>
      <c r="U38" s="91"/>
      <c r="V38" s="93"/>
      <c r="W38" s="91"/>
      <c r="X38" s="93"/>
      <c r="Y38" s="91"/>
      <c r="Z38" s="93"/>
      <c r="AA38" s="91"/>
      <c r="AB38" s="93"/>
      <c r="AC38" s="91"/>
      <c r="AD38" s="93"/>
      <c r="AE38" s="91"/>
    </row>
    <row r="39" spans="1:33" s="28" customFormat="1" ht="21" x14ac:dyDescent="0.4">
      <c r="B39" s="58"/>
      <c r="H39" s="29"/>
      <c r="J39" s="59"/>
      <c r="L39" s="28" t="s">
        <v>701</v>
      </c>
      <c r="M39" s="91"/>
      <c r="N39" s="91"/>
      <c r="O39" s="91"/>
      <c r="P39" s="91"/>
      <c r="Q39" s="91"/>
      <c r="R39" s="92"/>
      <c r="S39" s="96"/>
      <c r="T39" s="91"/>
      <c r="U39" s="93"/>
      <c r="V39" s="93"/>
      <c r="W39" s="91"/>
      <c r="X39" s="93"/>
      <c r="Y39" s="91"/>
      <c r="Z39" s="93"/>
      <c r="AA39" s="91"/>
      <c r="AB39" s="93"/>
      <c r="AC39" s="91"/>
      <c r="AD39" s="93"/>
      <c r="AE39" s="91"/>
    </row>
    <row r="40" spans="1:33" s="28" customFormat="1" ht="21" x14ac:dyDescent="0.4">
      <c r="B40" s="58"/>
      <c r="C40" s="28" t="s">
        <v>570</v>
      </c>
      <c r="H40" s="29">
        <f>H33+H35+H37</f>
        <v>1947472.0699732201</v>
      </c>
      <c r="I40" s="41" t="s">
        <v>569</v>
      </c>
      <c r="J40" s="59"/>
      <c r="M40" s="91"/>
      <c r="N40" s="91"/>
      <c r="O40" s="91"/>
      <c r="P40" s="91"/>
      <c r="Q40" s="91"/>
      <c r="R40" s="92"/>
      <c r="S40" s="91"/>
      <c r="T40" s="91"/>
      <c r="U40" s="91"/>
      <c r="V40" s="93"/>
      <c r="W40" s="91"/>
      <c r="X40" s="93"/>
      <c r="Y40" s="91"/>
      <c r="Z40" s="93"/>
      <c r="AA40" s="91"/>
      <c r="AB40" s="93"/>
      <c r="AC40" s="91"/>
      <c r="AD40" s="93"/>
      <c r="AE40" s="91"/>
    </row>
    <row r="41" spans="1:33" s="47" customFormat="1" ht="21" x14ac:dyDescent="0.4">
      <c r="A41" s="28"/>
      <c r="B41" s="60"/>
      <c r="H41" s="48"/>
      <c r="J41" s="61"/>
      <c r="K41" s="28"/>
      <c r="L41" s="28"/>
      <c r="M41" s="91"/>
      <c r="N41" s="91"/>
      <c r="O41" s="91"/>
      <c r="P41" s="91"/>
      <c r="Q41" s="91"/>
      <c r="R41" s="92"/>
      <c r="S41" s="96"/>
      <c r="T41" s="91"/>
      <c r="U41" s="93"/>
      <c r="V41" s="93"/>
      <c r="W41" s="91"/>
      <c r="X41" s="93"/>
      <c r="Y41" s="91"/>
      <c r="Z41" s="93"/>
      <c r="AA41" s="91"/>
      <c r="AB41" s="93"/>
      <c r="AC41" s="91"/>
      <c r="AD41" s="93"/>
      <c r="AE41" s="91"/>
      <c r="AF41" s="28"/>
      <c r="AG41" s="28"/>
    </row>
    <row r="42" spans="1:33" s="28" customFormat="1" ht="21" x14ac:dyDescent="0.4">
      <c r="B42" s="58"/>
      <c r="H42" s="29"/>
      <c r="J42" s="59"/>
      <c r="M42" s="91"/>
      <c r="N42" s="91"/>
      <c r="O42" s="91"/>
      <c r="P42" s="91"/>
      <c r="Q42" s="91"/>
      <c r="R42" s="92"/>
      <c r="S42" s="91"/>
      <c r="T42" s="91"/>
      <c r="U42" s="91"/>
      <c r="V42" s="93"/>
      <c r="W42" s="91"/>
      <c r="X42" s="93"/>
      <c r="Y42" s="91"/>
      <c r="Z42" s="93"/>
      <c r="AA42" s="91"/>
      <c r="AB42" s="93"/>
      <c r="AC42" s="91"/>
      <c r="AD42" s="93"/>
      <c r="AE42" s="91"/>
    </row>
    <row r="43" spans="1:33" s="28" customFormat="1" ht="21" x14ac:dyDescent="0.4">
      <c r="B43" s="58"/>
      <c r="C43" s="28" t="s">
        <v>572</v>
      </c>
      <c r="H43" s="29">
        <f>H40*0.21</f>
        <v>408969.1346943762</v>
      </c>
      <c r="I43" s="41" t="s">
        <v>569</v>
      </c>
      <c r="J43" s="59"/>
      <c r="M43" s="91"/>
      <c r="N43" s="91"/>
      <c r="O43" s="91"/>
      <c r="P43" s="91"/>
      <c r="Q43" s="91"/>
      <c r="R43" s="92"/>
      <c r="S43" s="96"/>
      <c r="T43" s="91"/>
      <c r="U43" s="93"/>
      <c r="V43" s="93"/>
      <c r="W43" s="91"/>
      <c r="X43" s="93"/>
      <c r="Y43" s="91"/>
      <c r="Z43" s="93"/>
      <c r="AA43" s="91"/>
      <c r="AB43" s="93"/>
      <c r="AC43" s="91"/>
      <c r="AD43" s="93"/>
      <c r="AE43" s="91"/>
    </row>
    <row r="44" spans="1:33" s="28" customFormat="1" ht="21" x14ac:dyDescent="0.4">
      <c r="B44" s="58"/>
      <c r="H44" s="29"/>
      <c r="J44" s="59"/>
      <c r="M44" s="91"/>
      <c r="N44" s="91"/>
      <c r="O44" s="91"/>
      <c r="P44" s="91"/>
      <c r="Q44" s="91"/>
      <c r="R44" s="92"/>
      <c r="S44" s="91"/>
      <c r="T44" s="91"/>
      <c r="U44" s="91"/>
      <c r="V44" s="93"/>
      <c r="W44" s="91"/>
      <c r="X44" s="93"/>
      <c r="Y44" s="91"/>
      <c r="Z44" s="93"/>
      <c r="AA44" s="91"/>
      <c r="AB44" s="93"/>
      <c r="AC44" s="91"/>
      <c r="AD44" s="93"/>
      <c r="AE44" s="91"/>
    </row>
    <row r="45" spans="1:33" s="28" customFormat="1" ht="21" x14ac:dyDescent="0.4">
      <c r="B45" s="58"/>
      <c r="C45" s="43" t="s">
        <v>573</v>
      </c>
      <c r="D45" s="43"/>
      <c r="E45" s="43"/>
      <c r="F45" s="43"/>
      <c r="G45" s="43"/>
      <c r="H45" s="33">
        <f>H40+H43</f>
        <v>2356441.2046675961</v>
      </c>
      <c r="I45" s="80" t="s">
        <v>569</v>
      </c>
      <c r="J45" s="59"/>
      <c r="M45" s="91"/>
      <c r="N45" s="91"/>
      <c r="O45" s="91"/>
      <c r="P45" s="91"/>
      <c r="Q45" s="91"/>
      <c r="R45" s="92"/>
      <c r="S45" s="96"/>
      <c r="T45" s="91"/>
      <c r="U45" s="93"/>
      <c r="V45" s="93"/>
      <c r="W45" s="91"/>
      <c r="X45" s="93"/>
      <c r="Y45" s="91"/>
      <c r="Z45" s="93"/>
      <c r="AA45" s="91"/>
      <c r="AB45" s="93"/>
      <c r="AC45" s="91"/>
      <c r="AD45" s="93"/>
      <c r="AE45" s="91"/>
    </row>
    <row r="46" spans="1:33" s="28" customFormat="1" ht="21.6" thickBot="1" x14ac:dyDescent="0.45">
      <c r="B46" s="62"/>
      <c r="C46" s="63"/>
      <c r="D46" s="63"/>
      <c r="E46" s="63"/>
      <c r="F46" s="63"/>
      <c r="G46" s="63"/>
      <c r="H46" s="64"/>
      <c r="I46" s="63"/>
      <c r="J46" s="65"/>
      <c r="M46" s="91"/>
      <c r="N46" s="91"/>
      <c r="O46" s="91"/>
      <c r="P46" s="91"/>
      <c r="Q46" s="91"/>
      <c r="R46" s="92"/>
      <c r="S46" s="91"/>
      <c r="T46" s="91"/>
      <c r="U46" s="91"/>
      <c r="V46" s="93"/>
      <c r="W46" s="91"/>
      <c r="X46" s="93"/>
      <c r="Y46" s="91"/>
      <c r="Z46" s="93"/>
      <c r="AA46" s="91"/>
      <c r="AB46" s="93"/>
      <c r="AC46" s="91"/>
      <c r="AD46" s="93"/>
      <c r="AE46" s="91"/>
    </row>
    <row r="47" spans="1:33" s="28" customFormat="1" ht="21" x14ac:dyDescent="0.4">
      <c r="H47" s="29"/>
      <c r="M47" s="91"/>
      <c r="N47" s="91"/>
      <c r="O47" s="91"/>
      <c r="P47" s="91"/>
      <c r="Q47" s="91"/>
      <c r="R47" s="92"/>
      <c r="S47" s="96"/>
      <c r="T47" s="91"/>
      <c r="U47" s="93"/>
      <c r="V47" s="93"/>
      <c r="W47" s="91"/>
      <c r="X47" s="93"/>
      <c r="Y47" s="91"/>
      <c r="Z47" s="93"/>
      <c r="AA47" s="91"/>
      <c r="AB47" s="93"/>
      <c r="AC47" s="91"/>
      <c r="AD47" s="93"/>
      <c r="AE47" s="91"/>
    </row>
    <row r="48" spans="1:33" s="28" customFormat="1" ht="17.399999999999999" customHeight="1" x14ac:dyDescent="0.4">
      <c r="H48" s="29"/>
      <c r="M48" s="91"/>
      <c r="N48" s="91"/>
      <c r="O48" s="91"/>
      <c r="P48" s="91"/>
      <c r="Q48" s="91"/>
      <c r="R48" s="92"/>
      <c r="S48" s="91"/>
      <c r="T48" s="91"/>
      <c r="U48" s="91"/>
      <c r="V48" s="93"/>
      <c r="W48" s="91"/>
      <c r="X48" s="93"/>
      <c r="Y48" s="91"/>
      <c r="Z48" s="93"/>
      <c r="AA48" s="91"/>
      <c r="AB48" s="93"/>
      <c r="AC48" s="91"/>
      <c r="AD48" s="93"/>
      <c r="AE48" s="91"/>
    </row>
    <row r="49" spans="3:25" ht="21" customHeight="1" x14ac:dyDescent="0.3">
      <c r="M49" s="98"/>
      <c r="N49" s="98"/>
      <c r="O49" s="98"/>
      <c r="P49" s="98"/>
      <c r="Q49" s="98"/>
      <c r="R49" s="99"/>
      <c r="S49" s="98"/>
    </row>
    <row r="50" spans="3:25" ht="20.399999999999999" x14ac:dyDescent="0.35">
      <c r="M50" s="98"/>
      <c r="N50" s="91"/>
      <c r="O50" s="91"/>
      <c r="P50" s="91"/>
      <c r="Q50" s="91"/>
      <c r="R50" s="91"/>
      <c r="S50" s="96"/>
      <c r="T50" s="97"/>
      <c r="U50" s="93"/>
      <c r="W50" s="101"/>
      <c r="Y50" s="101"/>
    </row>
    <row r="51" spans="3:25" x14ac:dyDescent="0.3">
      <c r="M51" s="98"/>
      <c r="N51" s="98"/>
      <c r="O51" s="98"/>
      <c r="P51" s="98"/>
      <c r="Q51" s="98"/>
      <c r="R51" s="99"/>
      <c r="S51" s="98"/>
    </row>
    <row r="52" spans="3:25" x14ac:dyDescent="0.3">
      <c r="M52" s="98"/>
      <c r="N52" s="98"/>
      <c r="O52" s="98"/>
      <c r="P52" s="98"/>
      <c r="Q52" s="98"/>
      <c r="R52" s="99"/>
      <c r="S52" s="98"/>
    </row>
    <row r="60" spans="3:25" x14ac:dyDescent="0.3">
      <c r="C60" s="1"/>
      <c r="D60" s="1"/>
    </row>
    <row r="62" spans="3:25" x14ac:dyDescent="0.3">
      <c r="C62" s="1"/>
    </row>
    <row r="64" spans="3:25" x14ac:dyDescent="0.3">
      <c r="C64" s="1"/>
    </row>
    <row r="66" spans="3:3" x14ac:dyDescent="0.3">
      <c r="C66" s="1"/>
    </row>
  </sheetData>
  <pageMargins left="0.70866141732283472" right="0.70866141732283472" top="0.74803149606299213" bottom="0.74803149606299213" header="0.31496062992125984" footer="0.31496062992125984"/>
  <pageSetup paperSize="9" scale="67"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F290A2A709A994FA8CB93C3B39C6AEF" ma:contentTypeVersion="18" ma:contentTypeDescription="Crear nuevo documento." ma:contentTypeScope="" ma:versionID="5fbbb2229a01b1cf7d7d23783fc4ccc7">
  <xsd:schema xmlns:xsd="http://www.w3.org/2001/XMLSchema" xmlns:xs="http://www.w3.org/2001/XMLSchema" xmlns:p="http://schemas.microsoft.com/office/2006/metadata/properties" xmlns:ns2="31f58eae-8382-4644-8d36-0f39c5923e5a" xmlns:ns3="b9c8df84-9727-4c3e-b3d8-be2a84d06c8c" targetNamespace="http://schemas.microsoft.com/office/2006/metadata/properties" ma:root="true" ma:fieldsID="ae0f067316bc51e4dddbf825f0c99dd9" ns2:_="" ns3:_="">
    <xsd:import namespace="31f58eae-8382-4644-8d36-0f39c5923e5a"/>
    <xsd:import namespace="b9c8df84-9727-4c3e-b3d8-be2a84d06c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58eae-8382-4644-8d36-0f39c5923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63fc937-425d-4439-86e2-8cc0da5fe7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c8df84-9727-4c3e-b3d8-be2a84d06c8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55f8c79-3171-44fb-b7ce-236de34b85d0}" ma:internalName="TaxCatchAll" ma:showField="CatchAllData" ma:web="b9c8df84-9727-4c3e-b3d8-be2a84d06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f58eae-8382-4644-8d36-0f39c5923e5a">
      <Terms xmlns="http://schemas.microsoft.com/office/infopath/2007/PartnerControls"/>
    </lcf76f155ced4ddcb4097134ff3c332f>
    <TaxCatchAll xmlns="b9c8df84-9727-4c3e-b3d8-be2a84d06c8c" xsi:nil="true"/>
  </documentManagement>
</p:properties>
</file>

<file path=customXml/itemProps1.xml><?xml version="1.0" encoding="utf-8"?>
<ds:datastoreItem xmlns:ds="http://schemas.openxmlformats.org/officeDocument/2006/customXml" ds:itemID="{939D7E8A-8FAC-4422-B8BB-6433CCF608CF}"/>
</file>

<file path=customXml/itemProps2.xml><?xml version="1.0" encoding="utf-8"?>
<ds:datastoreItem xmlns:ds="http://schemas.openxmlformats.org/officeDocument/2006/customXml" ds:itemID="{94395C0A-4D57-4EAD-8495-2C72B6DBC704}"/>
</file>

<file path=customXml/itemProps3.xml><?xml version="1.0" encoding="utf-8"?>
<ds:datastoreItem xmlns:ds="http://schemas.openxmlformats.org/officeDocument/2006/customXml" ds:itemID="{F8F6B064-0824-4B2D-B0AA-3B789D818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façanes </vt:lpstr>
      <vt:lpstr>estructura </vt:lpstr>
      <vt:lpstr>clavegueró</vt:lpstr>
      <vt:lpstr>diversos </vt:lpstr>
      <vt:lpstr>resum</vt:lpstr>
      <vt:lpstr>clavegueró!Área_de_impresión</vt:lpstr>
      <vt:lpstr>'diversos '!Área_de_impresión</vt:lpstr>
      <vt:lpstr>'estructura '!Área_de_impresión</vt:lpstr>
      <vt:lpstr>'façanes '!Área_de_impresión</vt:lpstr>
      <vt:lpstr>resum!Área_de_impresión</vt:lpstr>
      <vt:lpstr>clavegueró!Títulos_a_imprimir</vt:lpstr>
      <vt:lpstr>'diversos '!Títulos_a_imprimir</vt:lpstr>
      <vt:lpstr>'estructura '!Títulos_a_imprimir</vt:lpstr>
      <vt:lpstr>'façanes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Rosat</dc:creator>
  <cp:lastModifiedBy>Anna Rosat</cp:lastModifiedBy>
  <cp:lastPrinted>2025-03-18T16:39:53Z</cp:lastPrinted>
  <dcterms:created xsi:type="dcterms:W3CDTF">2024-11-04T16:06:41Z</dcterms:created>
  <dcterms:modified xsi:type="dcterms:W3CDTF">2025-07-07T15:54:23Z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0x010100BF290A2A709A994FA8CB93C3B39C6AEF</vt:lpwstr>
  </property>
</Properties>
</file>