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ichValueRel.xml" ContentType="application/vnd.ms-excel.richvaluerel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  <Override PartName="/xl/threadedComments/threadedComment5.xml" ContentType="application/vnd.ms-excel.threadedcomments+xml"/>
  <Override PartName="/xl/threadedComments/threadedComment6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M11295\Downloads\"/>
    </mc:Choice>
  </mc:AlternateContent>
  <xr:revisionPtr revIDLastSave="0" documentId="13_ncr:1_{D50631D4-3298-43BB-8D29-7F5A7998AF1F}" xr6:coauthVersionLast="47" xr6:coauthVersionMax="47" xr10:uidLastSave="{00000000-0000-0000-0000-000000000000}"/>
  <bookViews>
    <workbookView xWindow="-120" yWindow="-120" windowWidth="29040" windowHeight="17640" tabRatio="537" firstSheet="6" activeTab="6" xr2:uid="{00000000-000D-0000-FFFF-FFFF00000000}"/>
  </bookViews>
  <sheets>
    <sheet name="LOTE 1" sheetId="8" state="hidden" r:id="rId1"/>
    <sheet name="LOTE 1 (Año 2025)" sheetId="30" state="hidden" r:id="rId2"/>
    <sheet name="LOTE 1 (Año 2026)" sheetId="31" state="hidden" r:id="rId3"/>
    <sheet name="LOTE 1 (Año 2027)" sheetId="32" state="hidden" r:id="rId4"/>
    <sheet name="LOTE 1 (Mensualizado)" sheetId="33" state="hidden" r:id="rId5"/>
    <sheet name="LOTE 2" sheetId="11" state="hidden" r:id="rId6"/>
    <sheet name="Detall de preus excl. mmt int." sheetId="3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37" l="1"/>
  <c r="C25" i="33" l="1"/>
  <c r="C26" i="33"/>
  <c r="C27" i="33"/>
  <c r="C28" i="33"/>
  <c r="C29" i="33"/>
  <c r="C34" i="33" l="1"/>
  <c r="C36" i="33"/>
  <c r="C35" i="33"/>
  <c r="M41" i="33" l="1"/>
  <c r="N41" i="33"/>
  <c r="O41" i="33"/>
  <c r="P41" i="33"/>
  <c r="Q41" i="33"/>
  <c r="R41" i="33"/>
  <c r="S41" i="33"/>
  <c r="T41" i="33"/>
  <c r="AE52" i="33"/>
  <c r="AF52" i="33"/>
  <c r="AG52" i="33"/>
  <c r="AH52" i="33"/>
  <c r="AI52" i="33"/>
  <c r="AJ52" i="33"/>
  <c r="AK52" i="33"/>
  <c r="AL52" i="33"/>
  <c r="AD52" i="33"/>
  <c r="BK51" i="33"/>
  <c r="BL51" i="33" s="1"/>
  <c r="BL50" i="33" s="1"/>
  <c r="AS51" i="33"/>
  <c r="AT51" i="33" s="1"/>
  <c r="AT50" i="33" s="1"/>
  <c r="AA51" i="33"/>
  <c r="AB51" i="33" s="1"/>
  <c r="M52" i="33"/>
  <c r="N52" i="33"/>
  <c r="O52" i="33"/>
  <c r="P52" i="33"/>
  <c r="Q52" i="33"/>
  <c r="R52" i="33"/>
  <c r="S52" i="33"/>
  <c r="T52" i="33"/>
  <c r="L52" i="33"/>
  <c r="BH23" i="33"/>
  <c r="BH22" i="33"/>
  <c r="BJ25" i="33"/>
  <c r="BJ30" i="33" s="1"/>
  <c r="BJ16" i="33"/>
  <c r="BJ21" i="33" s="1"/>
  <c r="AR18" i="32"/>
  <c r="AR9" i="32"/>
  <c r="AR14" i="32" s="1"/>
  <c r="BZ23" i="33"/>
  <c r="BZ22" i="33"/>
  <c r="CD51" i="33"/>
  <c r="CD50" i="33" s="1"/>
  <c r="J51" i="33"/>
  <c r="F51" i="33"/>
  <c r="F50" i="33" s="1"/>
  <c r="C49" i="33"/>
  <c r="C47" i="33"/>
  <c r="F38" i="33"/>
  <c r="F37" i="33" s="1"/>
  <c r="AD36" i="33"/>
  <c r="L36" i="33"/>
  <c r="AD35" i="33"/>
  <c r="L35" i="33"/>
  <c r="AD34" i="33"/>
  <c r="L34" i="33"/>
  <c r="C32" i="33"/>
  <c r="C31" i="33"/>
  <c r="J31" i="33" s="1"/>
  <c r="Z30" i="33"/>
  <c r="AR25" i="33" s="1"/>
  <c r="AR30" i="33" s="1"/>
  <c r="H30" i="33"/>
  <c r="F26" i="33"/>
  <c r="D25" i="33"/>
  <c r="D30" i="33" s="1"/>
  <c r="D31" i="33" s="1"/>
  <c r="J27" i="33"/>
  <c r="AP23" i="33"/>
  <c r="X23" i="33"/>
  <c r="C23" i="33"/>
  <c r="AT23" i="33" s="1"/>
  <c r="AP22" i="33"/>
  <c r="X22" i="33"/>
  <c r="C22" i="33"/>
  <c r="Z21" i="33"/>
  <c r="H21" i="33"/>
  <c r="H36" i="33" s="1"/>
  <c r="C17" i="33"/>
  <c r="AB17" i="33" s="1"/>
  <c r="AM17" i="33" s="1"/>
  <c r="D16" i="33"/>
  <c r="D21" i="33" s="1"/>
  <c r="C16" i="33"/>
  <c r="BH16" i="32"/>
  <c r="BH15" i="32"/>
  <c r="BP44" i="32"/>
  <c r="BP43" i="32" s="1"/>
  <c r="BK44" i="32"/>
  <c r="BL44" i="32" s="1"/>
  <c r="BL43" i="32" s="1"/>
  <c r="AS44" i="32"/>
  <c r="AT44" i="32" s="1"/>
  <c r="AT43" i="32" s="1"/>
  <c r="AA44" i="32"/>
  <c r="AB44" i="32" s="1"/>
  <c r="AB43" i="32" s="1"/>
  <c r="I44" i="32"/>
  <c r="J44" i="32" s="1"/>
  <c r="F44" i="32"/>
  <c r="F43" i="32" s="1"/>
  <c r="C42" i="32"/>
  <c r="C40" i="32"/>
  <c r="J40" i="32" s="1"/>
  <c r="W40" i="32" s="1"/>
  <c r="F31" i="32"/>
  <c r="F30" i="32" s="1"/>
  <c r="AD29" i="32"/>
  <c r="L29" i="32"/>
  <c r="C29" i="32"/>
  <c r="AD28" i="32"/>
  <c r="L28" i="32"/>
  <c r="C28" i="32"/>
  <c r="AD27" i="32"/>
  <c r="L27" i="32"/>
  <c r="C27" i="32"/>
  <c r="C25" i="32"/>
  <c r="C24" i="32"/>
  <c r="Z23" i="32"/>
  <c r="H23" i="32"/>
  <c r="C19" i="32"/>
  <c r="BJ18" i="32"/>
  <c r="BJ23" i="32" s="1"/>
  <c r="BN42" i="32" s="1"/>
  <c r="AR23" i="32"/>
  <c r="D18" i="32"/>
  <c r="D23" i="32" s="1"/>
  <c r="D25" i="32" s="1"/>
  <c r="C18" i="32"/>
  <c r="AB18" i="32" s="1"/>
  <c r="AP16" i="32"/>
  <c r="X16" i="32"/>
  <c r="C16" i="32"/>
  <c r="AT16" i="32" s="1"/>
  <c r="AP15" i="32"/>
  <c r="X15" i="32"/>
  <c r="C15" i="32"/>
  <c r="Z14" i="32"/>
  <c r="Z28" i="32" s="1"/>
  <c r="H14" i="32"/>
  <c r="H28" i="32" s="1"/>
  <c r="C10" i="32"/>
  <c r="J10" i="32" s="1"/>
  <c r="BJ9" i="32"/>
  <c r="BJ14" i="32" s="1"/>
  <c r="D9" i="32"/>
  <c r="D14" i="32" s="1"/>
  <c r="C9" i="32"/>
  <c r="C11" i="32" s="1"/>
  <c r="AD29" i="31"/>
  <c r="AD28" i="31"/>
  <c r="AP16" i="31"/>
  <c r="AP15" i="31"/>
  <c r="AR9" i="31"/>
  <c r="AR14" i="31" s="1"/>
  <c r="AV9" i="31"/>
  <c r="AV14" i="31" s="1"/>
  <c r="AR18" i="31"/>
  <c r="AV18" i="31"/>
  <c r="AV23" i="31" s="1"/>
  <c r="BB44" i="31"/>
  <c r="BB43" i="31" s="1"/>
  <c r="AW44" i="31"/>
  <c r="AX44" i="31" s="1"/>
  <c r="AX43" i="31" s="1"/>
  <c r="AS44" i="31"/>
  <c r="AT44" i="31" s="1"/>
  <c r="AT43" i="31" s="1"/>
  <c r="AA44" i="31"/>
  <c r="AB44" i="31" s="1"/>
  <c r="AB43" i="31" s="1"/>
  <c r="I44" i="31"/>
  <c r="J44" i="31" s="1"/>
  <c r="F44" i="31"/>
  <c r="F43" i="31" s="1"/>
  <c r="C42" i="31"/>
  <c r="J42" i="31" s="1"/>
  <c r="W42" i="31" s="1"/>
  <c r="C40" i="31"/>
  <c r="F31" i="31"/>
  <c r="F30" i="31" s="1"/>
  <c r="L29" i="31"/>
  <c r="C29" i="31"/>
  <c r="L28" i="31"/>
  <c r="C28" i="31"/>
  <c r="L27" i="31"/>
  <c r="C27" i="31"/>
  <c r="C25" i="31"/>
  <c r="J25" i="31" s="1"/>
  <c r="C24" i="31"/>
  <c r="H23" i="31"/>
  <c r="C19" i="31"/>
  <c r="AT19" i="31" s="1"/>
  <c r="D18" i="31"/>
  <c r="D23" i="31" s="1"/>
  <c r="C18" i="31"/>
  <c r="X16" i="31"/>
  <c r="C16" i="31"/>
  <c r="AT16" i="31" s="1"/>
  <c r="X15" i="31"/>
  <c r="C15" i="31"/>
  <c r="AT15" i="31" s="1"/>
  <c r="H14" i="31"/>
  <c r="C10" i="31"/>
  <c r="F10" i="31" s="1"/>
  <c r="D9" i="31"/>
  <c r="D14" i="31" s="1"/>
  <c r="C9" i="31"/>
  <c r="L28" i="30"/>
  <c r="L29" i="30"/>
  <c r="X15" i="30"/>
  <c r="X16" i="30"/>
  <c r="C7" i="30"/>
  <c r="AN43" i="30"/>
  <c r="AN42" i="30" s="1"/>
  <c r="AI43" i="30"/>
  <c r="AJ43" i="30" s="1"/>
  <c r="AJ42" i="30" s="1"/>
  <c r="AE43" i="30"/>
  <c r="AF43" i="30" s="1"/>
  <c r="AF42" i="30" s="1"/>
  <c r="AA43" i="30"/>
  <c r="AB43" i="30" s="1"/>
  <c r="AB42" i="30" s="1"/>
  <c r="I43" i="30"/>
  <c r="J43" i="30" s="1"/>
  <c r="J42" i="30" s="1"/>
  <c r="F43" i="30"/>
  <c r="F42" i="30" s="1"/>
  <c r="C41" i="30"/>
  <c r="C39" i="30"/>
  <c r="F31" i="30"/>
  <c r="F30" i="30" s="1"/>
  <c r="C29" i="30"/>
  <c r="C28" i="30"/>
  <c r="C27" i="30"/>
  <c r="C25" i="30"/>
  <c r="J25" i="30" s="1"/>
  <c r="C24" i="30"/>
  <c r="J24" i="30" s="1"/>
  <c r="H23" i="30"/>
  <c r="Z18" i="30" s="1"/>
  <c r="C19" i="30"/>
  <c r="J19" i="30" s="1"/>
  <c r="AH18" i="30"/>
  <c r="AD18" i="30"/>
  <c r="D18" i="30"/>
  <c r="D23" i="30" s="1"/>
  <c r="D41" i="30" s="1"/>
  <c r="C18" i="30"/>
  <c r="C20" i="30" s="1"/>
  <c r="C16" i="30"/>
  <c r="C15" i="30"/>
  <c r="H14" i="30"/>
  <c r="Z9" i="30" s="1"/>
  <c r="C10" i="30"/>
  <c r="AF10" i="30" s="1"/>
  <c r="AH9" i="30"/>
  <c r="AH14" i="30" s="1"/>
  <c r="AH27" i="30" s="1"/>
  <c r="AD9" i="30"/>
  <c r="AD14" i="30" s="1"/>
  <c r="D9" i="30"/>
  <c r="D14" i="30" s="1"/>
  <c r="C9" i="30"/>
  <c r="C11" i="30" s="1"/>
  <c r="J11" i="30" s="1"/>
  <c r="U11" i="30" s="1"/>
  <c r="V19" i="30" l="1"/>
  <c r="U19" i="30"/>
  <c r="J43" i="31"/>
  <c r="AO44" i="31"/>
  <c r="AN44" i="31"/>
  <c r="AM44" i="31"/>
  <c r="BG44" i="32"/>
  <c r="BF44" i="32"/>
  <c r="BE44" i="32"/>
  <c r="BH44" i="32" s="1"/>
  <c r="BH43" i="32" s="1"/>
  <c r="AR31" i="32"/>
  <c r="AZ51" i="33"/>
  <c r="BB51" i="33"/>
  <c r="BA51" i="33"/>
  <c r="BV51" i="33"/>
  <c r="L41" i="33"/>
  <c r="AY51" i="33"/>
  <c r="BU51" i="33"/>
  <c r="BT51" i="33"/>
  <c r="BS51" i="33"/>
  <c r="BR51" i="33"/>
  <c r="BQ51" i="33"/>
  <c r="BC51" i="33"/>
  <c r="BP51" i="33"/>
  <c r="AB50" i="33"/>
  <c r="AN51" i="33"/>
  <c r="AM51" i="33"/>
  <c r="AO51" i="33"/>
  <c r="AX51" i="33"/>
  <c r="AW51" i="33"/>
  <c r="D35" i="33"/>
  <c r="F35" i="33" s="1"/>
  <c r="D36" i="33"/>
  <c r="F36" i="33" s="1"/>
  <c r="D34" i="33"/>
  <c r="F34" i="33" s="1"/>
  <c r="AV51" i="33"/>
  <c r="BO51" i="33"/>
  <c r="BJ36" i="33"/>
  <c r="BL36" i="33" s="1"/>
  <c r="BJ35" i="33"/>
  <c r="BL35" i="33" s="1"/>
  <c r="BR35" i="33" s="1"/>
  <c r="BJ34" i="33"/>
  <c r="BL34" i="33" s="1"/>
  <c r="BG51" i="33"/>
  <c r="BN51" i="33"/>
  <c r="BF51" i="33"/>
  <c r="BY51" i="33"/>
  <c r="AR16" i="33"/>
  <c r="AR21" i="33" s="1"/>
  <c r="AR47" i="33" s="1"/>
  <c r="AT47" i="33" s="1"/>
  <c r="Z36" i="33"/>
  <c r="AB36" i="33" s="1"/>
  <c r="Z35" i="33"/>
  <c r="AB35" i="33" s="1"/>
  <c r="Z34" i="33"/>
  <c r="AB34" i="33" s="1"/>
  <c r="BE51" i="33"/>
  <c r="BX51" i="33"/>
  <c r="BD51" i="33"/>
  <c r="BW51" i="33"/>
  <c r="D49" i="33"/>
  <c r="F49" i="33" s="1"/>
  <c r="F48" i="33" s="1"/>
  <c r="C30" i="33"/>
  <c r="BL30" i="33" s="1"/>
  <c r="AB26" i="33"/>
  <c r="BL26" i="33"/>
  <c r="BN26" i="33" s="1"/>
  <c r="J32" i="33"/>
  <c r="J26" i="33"/>
  <c r="V26" i="33" s="1"/>
  <c r="D32" i="33"/>
  <c r="F32" i="33" s="1"/>
  <c r="AR49" i="33"/>
  <c r="AT49" i="33" s="1"/>
  <c r="J17" i="33"/>
  <c r="F27" i="33"/>
  <c r="F17" i="33"/>
  <c r="BL17" i="33"/>
  <c r="F31" i="33"/>
  <c r="J50" i="33"/>
  <c r="U51" i="33"/>
  <c r="W51" i="33"/>
  <c r="V51" i="33"/>
  <c r="D23" i="33"/>
  <c r="F23" i="33" s="1"/>
  <c r="D47" i="33"/>
  <c r="F47" i="33" s="1"/>
  <c r="F46" i="33" s="1"/>
  <c r="BJ49" i="33"/>
  <c r="BL49" i="33" s="1"/>
  <c r="CB49" i="33"/>
  <c r="CD49" i="33" s="1"/>
  <c r="CD48" i="33" s="1"/>
  <c r="Z38" i="33"/>
  <c r="AB38" i="33" s="1"/>
  <c r="AB37" i="33" s="1"/>
  <c r="Z47" i="33"/>
  <c r="AB47" i="33" s="1"/>
  <c r="AN17" i="33"/>
  <c r="AO17" i="33"/>
  <c r="W27" i="33"/>
  <c r="V27" i="33"/>
  <c r="AM27" i="33"/>
  <c r="AO27" i="33"/>
  <c r="AN27" i="33"/>
  <c r="J49" i="33"/>
  <c r="U27" i="33"/>
  <c r="C21" i="33"/>
  <c r="AT22" i="33"/>
  <c r="D22" i="33"/>
  <c r="F22" i="33" s="1"/>
  <c r="J16" i="33"/>
  <c r="BL16" i="33"/>
  <c r="F16" i="33"/>
  <c r="AB16" i="33"/>
  <c r="C18" i="33"/>
  <c r="BJ38" i="33"/>
  <c r="BL38" i="33" s="1"/>
  <c r="AB27" i="33"/>
  <c r="BL27" i="33"/>
  <c r="H35" i="33"/>
  <c r="J35" i="33" s="1"/>
  <c r="AT25" i="33"/>
  <c r="H34" i="33"/>
  <c r="J34" i="33" s="1"/>
  <c r="J36" i="33"/>
  <c r="H38" i="33"/>
  <c r="J38" i="33" s="1"/>
  <c r="J47" i="33"/>
  <c r="Z49" i="33"/>
  <c r="AB49" i="33" s="1"/>
  <c r="AT27" i="33"/>
  <c r="CB47" i="33"/>
  <c r="CD47" i="33" s="1"/>
  <c r="CD46" i="33" s="1"/>
  <c r="BL25" i="33"/>
  <c r="AB25" i="33"/>
  <c r="F25" i="33"/>
  <c r="J25" i="33"/>
  <c r="AT17" i="33"/>
  <c r="AT26" i="33"/>
  <c r="AV26" i="33" s="1"/>
  <c r="H31" i="32"/>
  <c r="J31" i="32" s="1"/>
  <c r="J9" i="32"/>
  <c r="AB9" i="32"/>
  <c r="BL10" i="32"/>
  <c r="AR42" i="32"/>
  <c r="AT42" i="32" s="1"/>
  <c r="AT41" i="32" s="1"/>
  <c r="J28" i="32"/>
  <c r="W28" i="32" s="1"/>
  <c r="AB28" i="32"/>
  <c r="C20" i="32"/>
  <c r="C21" i="32" s="1"/>
  <c r="AT21" i="32" s="1"/>
  <c r="BL9" i="32"/>
  <c r="Z42" i="32"/>
  <c r="AB42" i="32" s="1"/>
  <c r="F10" i="32"/>
  <c r="H29" i="32"/>
  <c r="J29" i="32" s="1"/>
  <c r="AB10" i="32"/>
  <c r="C23" i="32"/>
  <c r="AB23" i="32" s="1"/>
  <c r="F25" i="32"/>
  <c r="Z40" i="32"/>
  <c r="AB40" i="32" s="1"/>
  <c r="H27" i="32"/>
  <c r="J27" i="32" s="1"/>
  <c r="AT15" i="32"/>
  <c r="C14" i="32"/>
  <c r="AB19" i="32"/>
  <c r="BL19" i="32"/>
  <c r="F19" i="32"/>
  <c r="J19" i="32"/>
  <c r="AT19" i="32"/>
  <c r="AV19" i="32" s="1"/>
  <c r="AB11" i="32"/>
  <c r="C12" i="32"/>
  <c r="BL11" i="32"/>
  <c r="J11" i="32"/>
  <c r="AT11" i="32"/>
  <c r="F11" i="32"/>
  <c r="D16" i="32"/>
  <c r="F16" i="32" s="1"/>
  <c r="D29" i="32"/>
  <c r="F29" i="32" s="1"/>
  <c r="D28" i="32"/>
  <c r="F28" i="32" s="1"/>
  <c r="D15" i="32"/>
  <c r="F15" i="32" s="1"/>
  <c r="D40" i="32"/>
  <c r="F40" i="32" s="1"/>
  <c r="F39" i="32" s="1"/>
  <c r="D27" i="32"/>
  <c r="F27" i="32" s="1"/>
  <c r="AO44" i="32"/>
  <c r="AN44" i="32"/>
  <c r="AM44" i="32"/>
  <c r="W44" i="32"/>
  <c r="J43" i="32"/>
  <c r="U44" i="32"/>
  <c r="V44" i="32"/>
  <c r="AR28" i="32"/>
  <c r="AT28" i="32" s="1"/>
  <c r="AR29" i="32"/>
  <c r="AT29" i="32" s="1"/>
  <c r="AR27" i="32"/>
  <c r="AT27" i="32" s="1"/>
  <c r="AR40" i="32"/>
  <c r="AT40" i="32" s="1"/>
  <c r="AT39" i="32" s="1"/>
  <c r="BJ31" i="32"/>
  <c r="BL31" i="32" s="1"/>
  <c r="BL30" i="32" s="1"/>
  <c r="BJ29" i="32"/>
  <c r="BL29" i="32" s="1"/>
  <c r="BJ27" i="32"/>
  <c r="BL27" i="32" s="1"/>
  <c r="BN40" i="32"/>
  <c r="BP40" i="32" s="1"/>
  <c r="BP39" i="32" s="1"/>
  <c r="BJ40" i="32"/>
  <c r="BL40" i="32" s="1"/>
  <c r="BL39" i="32" s="1"/>
  <c r="BJ28" i="32"/>
  <c r="BL28" i="32" s="1"/>
  <c r="W10" i="32"/>
  <c r="V10" i="32"/>
  <c r="U10" i="32"/>
  <c r="F18" i="32"/>
  <c r="J18" i="32"/>
  <c r="J25" i="32"/>
  <c r="Z29" i="32"/>
  <c r="AB29" i="32" s="1"/>
  <c r="AT18" i="32"/>
  <c r="BP42" i="32"/>
  <c r="BP41" i="32" s="1"/>
  <c r="BL18" i="32"/>
  <c r="Z31" i="32"/>
  <c r="AB31" i="32" s="1"/>
  <c r="AB30" i="32" s="1"/>
  <c r="AT9" i="32"/>
  <c r="J39" i="32"/>
  <c r="V40" i="32"/>
  <c r="D42" i="32"/>
  <c r="F42" i="32" s="1"/>
  <c r="F41" i="32" s="1"/>
  <c r="U40" i="32"/>
  <c r="D24" i="32"/>
  <c r="F24" i="32" s="1"/>
  <c r="Z27" i="32"/>
  <c r="AB27" i="32" s="1"/>
  <c r="J42" i="32"/>
  <c r="F9" i="32"/>
  <c r="AT10" i="32"/>
  <c r="J24" i="32"/>
  <c r="BJ42" i="32"/>
  <c r="BL42" i="32" s="1"/>
  <c r="BL41" i="32" s="1"/>
  <c r="AX18" i="31"/>
  <c r="AT18" i="31"/>
  <c r="AT9" i="31"/>
  <c r="AR27" i="31"/>
  <c r="AT27" i="31" s="1"/>
  <c r="AR28" i="31"/>
  <c r="AT28" i="31" s="1"/>
  <c r="AR29" i="31"/>
  <c r="AT29" i="31" s="1"/>
  <c r="AX10" i="31"/>
  <c r="C11" i="31"/>
  <c r="J11" i="31" s="1"/>
  <c r="AX19" i="31"/>
  <c r="AT10" i="31"/>
  <c r="AX9" i="31"/>
  <c r="AR23" i="31"/>
  <c r="AV28" i="31"/>
  <c r="AX28" i="31" s="1"/>
  <c r="AV29" i="31"/>
  <c r="AX29" i="31" s="1"/>
  <c r="AV27" i="31"/>
  <c r="AX27" i="31" s="1"/>
  <c r="AV31" i="31"/>
  <c r="AX31" i="31" s="1"/>
  <c r="AX30" i="31" s="1"/>
  <c r="AB10" i="31"/>
  <c r="AB18" i="31"/>
  <c r="AB19" i="31"/>
  <c r="AB9" i="31"/>
  <c r="Z14" i="31"/>
  <c r="D40" i="31"/>
  <c r="F40" i="31" s="1"/>
  <c r="F39" i="31" s="1"/>
  <c r="D28" i="31"/>
  <c r="F28" i="31" s="1"/>
  <c r="D16" i="31"/>
  <c r="F16" i="31" s="1"/>
  <c r="D27" i="31"/>
  <c r="F27" i="31" s="1"/>
  <c r="D15" i="31"/>
  <c r="F15" i="31" s="1"/>
  <c r="D29" i="31"/>
  <c r="F29" i="31" s="1"/>
  <c r="AZ40" i="31"/>
  <c r="BB40" i="31" s="1"/>
  <c r="BB39" i="31" s="1"/>
  <c r="D24" i="31"/>
  <c r="F24" i="31" s="1"/>
  <c r="D25" i="31"/>
  <c r="F25" i="31" s="1"/>
  <c r="D42" i="31"/>
  <c r="F42" i="31" s="1"/>
  <c r="F41" i="31" s="1"/>
  <c r="AZ42" i="31"/>
  <c r="BB42" i="31" s="1"/>
  <c r="BB41" i="31" s="1"/>
  <c r="J24" i="31"/>
  <c r="F18" i="31"/>
  <c r="J10" i="31"/>
  <c r="J18" i="31"/>
  <c r="F19" i="31"/>
  <c r="Z23" i="31"/>
  <c r="Z42" i="31" s="1"/>
  <c r="AB42" i="31" s="1"/>
  <c r="J40" i="31"/>
  <c r="U42" i="31"/>
  <c r="W44" i="31"/>
  <c r="C20" i="31"/>
  <c r="U44" i="31"/>
  <c r="J9" i="31"/>
  <c r="H27" i="31"/>
  <c r="J27" i="31" s="1"/>
  <c r="V44" i="31"/>
  <c r="AV40" i="31"/>
  <c r="AX40" i="31" s="1"/>
  <c r="AX39" i="31" s="1"/>
  <c r="J19" i="31"/>
  <c r="V42" i="31"/>
  <c r="F9" i="31"/>
  <c r="C14" i="31"/>
  <c r="AT14" i="31" s="1"/>
  <c r="J41" i="31"/>
  <c r="H29" i="31"/>
  <c r="J29" i="31" s="1"/>
  <c r="C23" i="31"/>
  <c r="AX23" i="31" s="1"/>
  <c r="H28" i="31"/>
  <c r="J28" i="31" s="1"/>
  <c r="H31" i="31"/>
  <c r="J31" i="31" s="1"/>
  <c r="W43" i="30"/>
  <c r="V43" i="30"/>
  <c r="W11" i="30"/>
  <c r="V11" i="30"/>
  <c r="U43" i="30"/>
  <c r="W19" i="30"/>
  <c r="X19" i="30" s="1"/>
  <c r="H31" i="30"/>
  <c r="J31" i="30" s="1"/>
  <c r="J7" i="30"/>
  <c r="J6" i="30" s="1"/>
  <c r="F7" i="30"/>
  <c r="J18" i="30"/>
  <c r="J10" i="30"/>
  <c r="AF18" i="30"/>
  <c r="AB10" i="30"/>
  <c r="AJ18" i="30"/>
  <c r="AJ10" i="30"/>
  <c r="AH23" i="30"/>
  <c r="AL41" i="30" s="1"/>
  <c r="AN41" i="30" s="1"/>
  <c r="AN40" i="30" s="1"/>
  <c r="F9" i="30"/>
  <c r="C14" i="30"/>
  <c r="J14" i="30" s="1"/>
  <c r="AJ27" i="30"/>
  <c r="AB19" i="30"/>
  <c r="AH28" i="30"/>
  <c r="AJ28" i="30" s="1"/>
  <c r="J9" i="30"/>
  <c r="AF19" i="30"/>
  <c r="AF9" i="30"/>
  <c r="AF15" i="30"/>
  <c r="AJ19" i="30"/>
  <c r="F19" i="30"/>
  <c r="F10" i="30"/>
  <c r="F18" i="30"/>
  <c r="AD23" i="30"/>
  <c r="AL39" i="30"/>
  <c r="AN39" i="30" s="1"/>
  <c r="AN38" i="30" s="1"/>
  <c r="AF20" i="30"/>
  <c r="AJ20" i="30"/>
  <c r="J20" i="30"/>
  <c r="C21" i="30"/>
  <c r="AB20" i="30"/>
  <c r="F20" i="30"/>
  <c r="Z23" i="30"/>
  <c r="Z41" i="30" s="1"/>
  <c r="AB41" i="30" s="1"/>
  <c r="AB40" i="30" s="1"/>
  <c r="AB18" i="30"/>
  <c r="AB9" i="30"/>
  <c r="Z14" i="30"/>
  <c r="D16" i="30"/>
  <c r="F16" i="30" s="1"/>
  <c r="D15" i="30"/>
  <c r="F15" i="30" s="1"/>
  <c r="D29" i="30"/>
  <c r="F29" i="30" s="1"/>
  <c r="D27" i="30"/>
  <c r="F27" i="30" s="1"/>
  <c r="D28" i="30"/>
  <c r="F28" i="30" s="1"/>
  <c r="D39" i="30"/>
  <c r="F39" i="30" s="1"/>
  <c r="F38" i="30" s="1"/>
  <c r="AF16" i="30"/>
  <c r="C23" i="30"/>
  <c r="D24" i="30"/>
  <c r="F24" i="30" s="1"/>
  <c r="H29" i="30"/>
  <c r="J29" i="30" s="1"/>
  <c r="J39" i="30"/>
  <c r="F11" i="30"/>
  <c r="AB11" i="30"/>
  <c r="AF11" i="30"/>
  <c r="AJ9" i="30"/>
  <c r="AJ11" i="30"/>
  <c r="C12" i="30"/>
  <c r="H28" i="30"/>
  <c r="J28" i="30" s="1"/>
  <c r="H27" i="30"/>
  <c r="J27" i="30" s="1"/>
  <c r="D25" i="30"/>
  <c r="F25" i="30" s="1"/>
  <c r="AD29" i="30"/>
  <c r="AD31" i="30" s="1"/>
  <c r="AF31" i="30" s="1"/>
  <c r="AF30" i="30" s="1"/>
  <c r="AD28" i="30"/>
  <c r="AF28" i="30" s="1"/>
  <c r="AH39" i="30"/>
  <c r="AJ39" i="30" s="1"/>
  <c r="AJ38" i="30" s="1"/>
  <c r="F41" i="30"/>
  <c r="F40" i="30" s="1"/>
  <c r="AD27" i="30"/>
  <c r="AF27" i="30" s="1"/>
  <c r="AH29" i="30"/>
  <c r="AJ29" i="30" s="1"/>
  <c r="J41" i="30"/>
  <c r="J30" i="30" l="1"/>
  <c r="V31" i="30"/>
  <c r="W31" i="30"/>
  <c r="U31" i="30"/>
  <c r="X31" i="30" s="1"/>
  <c r="X30" i="30" s="1"/>
  <c r="X11" i="30"/>
  <c r="AB41" i="31"/>
  <c r="AN42" i="31"/>
  <c r="AO42" i="31"/>
  <c r="AM42" i="31"/>
  <c r="AP42" i="31" s="1"/>
  <c r="AP41" i="31" s="1"/>
  <c r="AW10" i="32"/>
  <c r="AX10" i="32"/>
  <c r="AY10" i="32"/>
  <c r="AZ10" i="32"/>
  <c r="BA10" i="32"/>
  <c r="BB10" i="32"/>
  <c r="BC10" i="32"/>
  <c r="BD10" i="32"/>
  <c r="BE10" i="32"/>
  <c r="BF10" i="32"/>
  <c r="BG10" i="32"/>
  <c r="AV10" i="32"/>
  <c r="AV15" i="32"/>
  <c r="AV16" i="32"/>
  <c r="AW9" i="32"/>
  <c r="AX9" i="32"/>
  <c r="AY9" i="32"/>
  <c r="AZ9" i="32"/>
  <c r="BA9" i="32"/>
  <c r="BB9" i="32"/>
  <c r="BC9" i="32"/>
  <c r="BD9" i="32"/>
  <c r="BE9" i="32"/>
  <c r="BF9" i="32"/>
  <c r="BG9" i="32"/>
  <c r="AV9" i="32"/>
  <c r="BH9" i="32" s="1"/>
  <c r="BG18" i="32"/>
  <c r="BF18" i="32"/>
  <c r="BE18" i="32"/>
  <c r="BH18" i="32" s="1"/>
  <c r="BD18" i="32"/>
  <c r="BC18" i="32"/>
  <c r="BB18" i="32"/>
  <c r="BA18" i="32"/>
  <c r="AZ18" i="32"/>
  <c r="AY18" i="32"/>
  <c r="AX18" i="32"/>
  <c r="AW18" i="32"/>
  <c r="AV18" i="32"/>
  <c r="BH27" i="32"/>
  <c r="AW27" i="32"/>
  <c r="AX27" i="32"/>
  <c r="AY27" i="32"/>
  <c r="AZ27" i="32"/>
  <c r="BA27" i="32"/>
  <c r="BB27" i="32"/>
  <c r="BC27" i="32"/>
  <c r="BD27" i="32"/>
  <c r="BE27" i="32"/>
  <c r="BF27" i="32"/>
  <c r="BG27" i="32"/>
  <c r="AV27" i="32"/>
  <c r="BG29" i="32"/>
  <c r="BF29" i="32"/>
  <c r="BE29" i="32"/>
  <c r="BH29" i="32" s="1"/>
  <c r="BD29" i="32"/>
  <c r="BC29" i="32"/>
  <c r="BB29" i="32"/>
  <c r="BA29" i="32"/>
  <c r="AZ29" i="32"/>
  <c r="AY29" i="32"/>
  <c r="AX29" i="32"/>
  <c r="AW29" i="32"/>
  <c r="AV29" i="32"/>
  <c r="AW28" i="32"/>
  <c r="AX28" i="32"/>
  <c r="AY28" i="32"/>
  <c r="AZ28" i="32"/>
  <c r="BA28" i="32"/>
  <c r="BB28" i="32"/>
  <c r="BC28" i="32"/>
  <c r="BD28" i="32"/>
  <c r="BE28" i="32"/>
  <c r="BF28" i="32"/>
  <c r="BG28" i="32"/>
  <c r="AV28" i="32"/>
  <c r="AW11" i="32"/>
  <c r="AX11" i="32"/>
  <c r="AY11" i="32"/>
  <c r="AZ11" i="32"/>
  <c r="BA11" i="32"/>
  <c r="BB11" i="32"/>
  <c r="BC11" i="32"/>
  <c r="BD11" i="32"/>
  <c r="BE11" i="32"/>
  <c r="BF11" i="32"/>
  <c r="BG11" i="32"/>
  <c r="AV11" i="32"/>
  <c r="AO40" i="32"/>
  <c r="BG40" i="32"/>
  <c r="BF40" i="32"/>
  <c r="BE40" i="32"/>
  <c r="BG42" i="32"/>
  <c r="BF42" i="32"/>
  <c r="BE42" i="32"/>
  <c r="BH42" i="32" s="1"/>
  <c r="BH41" i="32" s="1"/>
  <c r="BG21" i="32"/>
  <c r="BF21" i="32"/>
  <c r="BE21" i="32"/>
  <c r="BH21" i="32" s="1"/>
  <c r="BD21" i="32"/>
  <c r="BC21" i="32"/>
  <c r="BB21" i="32"/>
  <c r="BA21" i="32"/>
  <c r="AZ21" i="32"/>
  <c r="AY21" i="32"/>
  <c r="AX21" i="32"/>
  <c r="AW21" i="32"/>
  <c r="AV21" i="32"/>
  <c r="AP44" i="31"/>
  <c r="AP43" i="31" s="1"/>
  <c r="AT16" i="33"/>
  <c r="BD16" i="33" s="1"/>
  <c r="W26" i="33"/>
  <c r="CD45" i="33"/>
  <c r="BH51" i="33"/>
  <c r="BH50" i="33" s="1"/>
  <c r="BU26" i="33"/>
  <c r="AR36" i="33"/>
  <c r="AR38" i="33" s="1"/>
  <c r="AT38" i="33" s="1"/>
  <c r="AT37" i="33" s="1"/>
  <c r="AR34" i="33"/>
  <c r="AT34" i="33" s="1"/>
  <c r="BF34" i="33" s="1"/>
  <c r="AR35" i="33"/>
  <c r="AT35" i="33" s="1"/>
  <c r="BG35" i="33" s="1"/>
  <c r="BZ51" i="33"/>
  <c r="BZ50" i="33" s="1"/>
  <c r="BJ47" i="33"/>
  <c r="BL47" i="33" s="1"/>
  <c r="BN47" i="33" s="1"/>
  <c r="BX26" i="33"/>
  <c r="F33" i="33"/>
  <c r="BL33" i="33"/>
  <c r="AB33" i="33"/>
  <c r="BL48" i="33"/>
  <c r="BV49" i="33"/>
  <c r="BW49" i="33"/>
  <c r="BN49" i="33"/>
  <c r="BO49" i="33"/>
  <c r="BX49" i="33"/>
  <c r="BY49" i="33"/>
  <c r="BP49" i="33"/>
  <c r="BQ49" i="33"/>
  <c r="BR49" i="33"/>
  <c r="BS49" i="33"/>
  <c r="BU49" i="33"/>
  <c r="BT49" i="33"/>
  <c r="AT48" i="33"/>
  <c r="AV49" i="33"/>
  <c r="AW49" i="33"/>
  <c r="AX49" i="33"/>
  <c r="AY49" i="33"/>
  <c r="BF49" i="33"/>
  <c r="AZ49" i="33"/>
  <c r="BA49" i="33"/>
  <c r="BB49" i="33"/>
  <c r="BC49" i="33"/>
  <c r="BD49" i="33"/>
  <c r="BE49" i="33"/>
  <c r="BG49" i="33"/>
  <c r="AT46" i="33"/>
  <c r="AX47" i="33"/>
  <c r="AY47" i="33"/>
  <c r="AZ47" i="33"/>
  <c r="BA47" i="33"/>
  <c r="BB47" i="33"/>
  <c r="BC47" i="33"/>
  <c r="BD47" i="33"/>
  <c r="BE47" i="33"/>
  <c r="BF47" i="33"/>
  <c r="BG47" i="33"/>
  <c r="AV47" i="33"/>
  <c r="AW47" i="33"/>
  <c r="AP51" i="33"/>
  <c r="AP50" i="33" s="1"/>
  <c r="U26" i="33"/>
  <c r="BP35" i="33"/>
  <c r="BV26" i="33"/>
  <c r="BT26" i="33"/>
  <c r="BQ26" i="33"/>
  <c r="BP26" i="33"/>
  <c r="BO26" i="33"/>
  <c r="BR26" i="33"/>
  <c r="BW26" i="33"/>
  <c r="BS26" i="33"/>
  <c r="BY26" i="33"/>
  <c r="BQ35" i="33"/>
  <c r="BY35" i="33"/>
  <c r="AO26" i="33"/>
  <c r="BN35" i="33"/>
  <c r="BU35" i="33"/>
  <c r="BT35" i="33"/>
  <c r="AN26" i="33"/>
  <c r="BO35" i="33"/>
  <c r="F30" i="33"/>
  <c r="AT30" i="33"/>
  <c r="BC30" i="33" s="1"/>
  <c r="BW35" i="33"/>
  <c r="BH26" i="33"/>
  <c r="BV35" i="33"/>
  <c r="AB30" i="33"/>
  <c r="AO30" i="33" s="1"/>
  <c r="J30" i="33"/>
  <c r="V30" i="33" s="1"/>
  <c r="BX35" i="33"/>
  <c r="BS35" i="33"/>
  <c r="AM26" i="33"/>
  <c r="AP17" i="33"/>
  <c r="BL37" i="33"/>
  <c r="BO38" i="33"/>
  <c r="BR38" i="33"/>
  <c r="BS38" i="33"/>
  <c r="BT38" i="33"/>
  <c r="BU38" i="33"/>
  <c r="BP38" i="33"/>
  <c r="BQ38" i="33"/>
  <c r="BV38" i="33"/>
  <c r="BY38" i="33"/>
  <c r="BW38" i="33"/>
  <c r="BX38" i="33"/>
  <c r="BN38" i="33"/>
  <c r="BO34" i="33"/>
  <c r="BP34" i="33"/>
  <c r="BQ34" i="33"/>
  <c r="BR34" i="33"/>
  <c r="BS34" i="33"/>
  <c r="BT34" i="33"/>
  <c r="BU34" i="33"/>
  <c r="BV34" i="33"/>
  <c r="BW34" i="33"/>
  <c r="BX34" i="33"/>
  <c r="BY34" i="33"/>
  <c r="BN34" i="33"/>
  <c r="BP16" i="33"/>
  <c r="BQ16" i="33"/>
  <c r="BR16" i="33"/>
  <c r="BX16" i="33"/>
  <c r="BY16" i="33"/>
  <c r="BN16" i="33"/>
  <c r="BU16" i="33"/>
  <c r="BO16" i="33"/>
  <c r="BS16" i="33"/>
  <c r="BT16" i="33"/>
  <c r="BV16" i="33"/>
  <c r="BW16" i="33"/>
  <c r="AP27" i="33"/>
  <c r="BD17" i="33"/>
  <c r="BC17" i="33"/>
  <c r="BB17" i="33"/>
  <c r="AV17" i="33"/>
  <c r="AY17" i="33"/>
  <c r="BA17" i="33"/>
  <c r="BG17" i="33"/>
  <c r="BF17" i="33"/>
  <c r="BE17" i="33"/>
  <c r="AZ17" i="33"/>
  <c r="AX17" i="33"/>
  <c r="AW17" i="33"/>
  <c r="BX36" i="33"/>
  <c r="BO36" i="33"/>
  <c r="BP36" i="33"/>
  <c r="BQ36" i="33"/>
  <c r="BR36" i="33"/>
  <c r="BU36" i="33"/>
  <c r="BV36" i="33"/>
  <c r="BW36" i="33"/>
  <c r="BY36" i="33"/>
  <c r="BS36" i="33"/>
  <c r="BN36" i="33"/>
  <c r="BT36" i="33"/>
  <c r="BO27" i="33"/>
  <c r="BP27" i="33"/>
  <c r="BN27" i="33"/>
  <c r="BS27" i="33"/>
  <c r="BT27" i="33"/>
  <c r="BU27" i="33"/>
  <c r="BV27" i="33"/>
  <c r="BR27" i="33"/>
  <c r="BW27" i="33"/>
  <c r="BX27" i="33"/>
  <c r="BY27" i="33"/>
  <c r="BQ27" i="33"/>
  <c r="BV25" i="33"/>
  <c r="BW25" i="33"/>
  <c r="BX25" i="33"/>
  <c r="BU25" i="33"/>
  <c r="BY25" i="33"/>
  <c r="BN25" i="33"/>
  <c r="BT25" i="33"/>
  <c r="BO25" i="33"/>
  <c r="BP25" i="33"/>
  <c r="BQ25" i="33"/>
  <c r="BR25" i="33"/>
  <c r="BS25" i="33"/>
  <c r="BW30" i="33"/>
  <c r="BX30" i="33"/>
  <c r="BY30" i="33"/>
  <c r="BS30" i="33"/>
  <c r="BT30" i="33"/>
  <c r="BU30" i="33"/>
  <c r="BV30" i="33"/>
  <c r="BN30" i="33"/>
  <c r="BO30" i="33"/>
  <c r="BP30" i="33"/>
  <c r="BQ30" i="33"/>
  <c r="BR30" i="33"/>
  <c r="W17" i="33"/>
  <c r="V17" i="33"/>
  <c r="U17" i="33"/>
  <c r="BU17" i="33"/>
  <c r="BV17" i="33"/>
  <c r="BW17" i="33"/>
  <c r="BS17" i="33"/>
  <c r="BO17" i="33"/>
  <c r="BN17" i="33"/>
  <c r="BP17" i="33"/>
  <c r="BQ17" i="33"/>
  <c r="BR17" i="33"/>
  <c r="BT17" i="33"/>
  <c r="BX17" i="33"/>
  <c r="BY17" i="33"/>
  <c r="BA27" i="33"/>
  <c r="AZ27" i="33"/>
  <c r="BF27" i="33"/>
  <c r="BB27" i="33"/>
  <c r="AY27" i="33"/>
  <c r="AX27" i="33"/>
  <c r="AW27" i="33"/>
  <c r="AV27" i="33"/>
  <c r="BG27" i="33"/>
  <c r="BE27" i="33"/>
  <c r="BD27" i="33"/>
  <c r="BC27" i="33"/>
  <c r="BE25" i="33"/>
  <c r="BD25" i="33"/>
  <c r="BC25" i="33"/>
  <c r="BB25" i="33"/>
  <c r="BA25" i="33"/>
  <c r="AZ25" i="33"/>
  <c r="AY25" i="33"/>
  <c r="AX25" i="33"/>
  <c r="AW25" i="33"/>
  <c r="AV25" i="33"/>
  <c r="BG25" i="33"/>
  <c r="BF25" i="33"/>
  <c r="W34" i="33"/>
  <c r="V34" i="33"/>
  <c r="U34" i="33"/>
  <c r="J33" i="33"/>
  <c r="AN34" i="33"/>
  <c r="AM34" i="33"/>
  <c r="AO34" i="33"/>
  <c r="AO35" i="33"/>
  <c r="AN35" i="33"/>
  <c r="AM35" i="33"/>
  <c r="W49" i="33"/>
  <c r="V49" i="33"/>
  <c r="U49" i="33"/>
  <c r="J48" i="33"/>
  <c r="W35" i="33"/>
  <c r="V35" i="33"/>
  <c r="U35" i="33"/>
  <c r="AB48" i="33"/>
  <c r="AN49" i="33"/>
  <c r="AM49" i="33"/>
  <c r="AO49" i="33"/>
  <c r="U36" i="33"/>
  <c r="W36" i="33"/>
  <c r="V36" i="33"/>
  <c r="F21" i="33"/>
  <c r="AT21" i="33"/>
  <c r="BL21" i="33"/>
  <c r="J21" i="33"/>
  <c r="AB21" i="33"/>
  <c r="AN25" i="33"/>
  <c r="AM25" i="33"/>
  <c r="V25" i="33"/>
  <c r="U25" i="33"/>
  <c r="W25" i="33"/>
  <c r="AO25" i="33"/>
  <c r="X27" i="33"/>
  <c r="AO36" i="33"/>
  <c r="AN36" i="33"/>
  <c r="AM36" i="33"/>
  <c r="AB46" i="33"/>
  <c r="AM47" i="33"/>
  <c r="AO47" i="33"/>
  <c r="AN47" i="33"/>
  <c r="X51" i="33"/>
  <c r="X50" i="33" s="1"/>
  <c r="F28" i="33"/>
  <c r="AT28" i="33"/>
  <c r="AB28" i="33"/>
  <c r="J28" i="33"/>
  <c r="BL28" i="33"/>
  <c r="BL18" i="33"/>
  <c r="AB18" i="33"/>
  <c r="AT18" i="33"/>
  <c r="J18" i="33"/>
  <c r="F18" i="33"/>
  <c r="C19" i="33"/>
  <c r="W47" i="33"/>
  <c r="V47" i="33"/>
  <c r="U47" i="33"/>
  <c r="J46" i="33"/>
  <c r="AK16" i="33"/>
  <c r="AJ16" i="33"/>
  <c r="AI16" i="33"/>
  <c r="AD16" i="33"/>
  <c r="AN16" i="33"/>
  <c r="AO16" i="33"/>
  <c r="AE16" i="33"/>
  <c r="AM16" i="33"/>
  <c r="AL16" i="33"/>
  <c r="AH16" i="33"/>
  <c r="AG16" i="33"/>
  <c r="AF16" i="33"/>
  <c r="U20" i="33"/>
  <c r="U16" i="33"/>
  <c r="W16" i="33"/>
  <c r="W20" i="33"/>
  <c r="V20" i="33"/>
  <c r="V16" i="33"/>
  <c r="AM20" i="33"/>
  <c r="AN20" i="33"/>
  <c r="AO20" i="33"/>
  <c r="W38" i="33"/>
  <c r="J37" i="33"/>
  <c r="AN38" i="33"/>
  <c r="AM38" i="33"/>
  <c r="V38" i="33"/>
  <c r="U38" i="33"/>
  <c r="AO38" i="33"/>
  <c r="F45" i="33"/>
  <c r="D60" i="33" s="1"/>
  <c r="BF19" i="32"/>
  <c r="BG19" i="32"/>
  <c r="BE19" i="32"/>
  <c r="BH19" i="32" s="1"/>
  <c r="AO28" i="32"/>
  <c r="AG9" i="32"/>
  <c r="AM10" i="32"/>
  <c r="J30" i="32"/>
  <c r="AM31" i="32"/>
  <c r="AN31" i="32"/>
  <c r="U31" i="32"/>
  <c r="V31" i="32"/>
  <c r="AL9" i="32"/>
  <c r="W31" i="32"/>
  <c r="AM9" i="32"/>
  <c r="AO31" i="32"/>
  <c r="J20" i="32"/>
  <c r="AF9" i="32"/>
  <c r="AH9" i="32"/>
  <c r="AJ9" i="32"/>
  <c r="AI9" i="32"/>
  <c r="AB20" i="32"/>
  <c r="AK9" i="32"/>
  <c r="AN28" i="32"/>
  <c r="AD9" i="32"/>
  <c r="AE9" i="32"/>
  <c r="AO9" i="32"/>
  <c r="AN9" i="32"/>
  <c r="U28" i="32"/>
  <c r="V28" i="32"/>
  <c r="AP44" i="32"/>
  <c r="AP43" i="32" s="1"/>
  <c r="AM28" i="32"/>
  <c r="BL21" i="32"/>
  <c r="F21" i="32"/>
  <c r="F20" i="32"/>
  <c r="J21" i="32"/>
  <c r="BL20" i="32"/>
  <c r="C22" i="32"/>
  <c r="BL22" i="32" s="1"/>
  <c r="X10" i="32"/>
  <c r="F26" i="32"/>
  <c r="AB39" i="32"/>
  <c r="U9" i="32"/>
  <c r="AO13" i="32"/>
  <c r="AO10" i="32"/>
  <c r="AM13" i="32"/>
  <c r="F23" i="32"/>
  <c r="BL23" i="32"/>
  <c r="AN10" i="32"/>
  <c r="AT23" i="32"/>
  <c r="V13" i="32"/>
  <c r="V9" i="32"/>
  <c r="AM40" i="32"/>
  <c r="AT20" i="32"/>
  <c r="AN13" i="32"/>
  <c r="W13" i="32"/>
  <c r="U13" i="32"/>
  <c r="AB21" i="32"/>
  <c r="W9" i="32"/>
  <c r="V27" i="32"/>
  <c r="U27" i="32"/>
  <c r="W27" i="32"/>
  <c r="X44" i="32"/>
  <c r="X43" i="32" s="1"/>
  <c r="BL26" i="32"/>
  <c r="AT38" i="32"/>
  <c r="J23" i="32"/>
  <c r="V23" i="32" s="1"/>
  <c r="AN40" i="32"/>
  <c r="AM29" i="32"/>
  <c r="AN29" i="32"/>
  <c r="AO29" i="32"/>
  <c r="AN27" i="32"/>
  <c r="AB26" i="32"/>
  <c r="AO27" i="32"/>
  <c r="AM27" i="32"/>
  <c r="AN42" i="32"/>
  <c r="AO42" i="32"/>
  <c r="AO45" i="32" s="1"/>
  <c r="AM42" i="32"/>
  <c r="AB41" i="32"/>
  <c r="F14" i="32"/>
  <c r="AB14" i="32"/>
  <c r="BL14" i="32"/>
  <c r="AT14" i="32"/>
  <c r="J14" i="32"/>
  <c r="AO11" i="32"/>
  <c r="AN11" i="32"/>
  <c r="W11" i="32"/>
  <c r="U11" i="32"/>
  <c r="AM11" i="32"/>
  <c r="V11" i="32"/>
  <c r="AT26" i="32"/>
  <c r="AD11" i="32"/>
  <c r="AT31" i="32"/>
  <c r="X40" i="32"/>
  <c r="X39" i="32" s="1"/>
  <c r="F38" i="32"/>
  <c r="D48" i="32" s="1"/>
  <c r="W19" i="32"/>
  <c r="V19" i="32"/>
  <c r="U19" i="32"/>
  <c r="AO18" i="32"/>
  <c r="AN18" i="32"/>
  <c r="W18" i="32"/>
  <c r="AM18" i="32"/>
  <c r="U18" i="32"/>
  <c r="V18" i="32"/>
  <c r="AB12" i="32"/>
  <c r="J12" i="32"/>
  <c r="C13" i="32"/>
  <c r="BL12" i="32"/>
  <c r="AT12" i="32"/>
  <c r="F12" i="32"/>
  <c r="BL38" i="32"/>
  <c r="D64" i="32" s="1"/>
  <c r="W29" i="32"/>
  <c r="U29" i="32"/>
  <c r="V29" i="32"/>
  <c r="J26" i="32"/>
  <c r="AN23" i="32"/>
  <c r="AO23" i="32"/>
  <c r="AM23" i="32"/>
  <c r="W42" i="32"/>
  <c r="W45" i="32" s="1"/>
  <c r="V42" i="32"/>
  <c r="V45" i="32" s="1"/>
  <c r="J41" i="32"/>
  <c r="J38" i="32" s="1"/>
  <c r="D52" i="32" s="1"/>
  <c r="U42" i="32"/>
  <c r="U45" i="32" s="1"/>
  <c r="BP38" i="32"/>
  <c r="AM19" i="32"/>
  <c r="AO19" i="32"/>
  <c r="AN19" i="32"/>
  <c r="AN19" i="31"/>
  <c r="AO19" i="31"/>
  <c r="AM19" i="31"/>
  <c r="AM10" i="31"/>
  <c r="AN10" i="31"/>
  <c r="AO10" i="31"/>
  <c r="AE9" i="31"/>
  <c r="AG9" i="31"/>
  <c r="AH9" i="31"/>
  <c r="AI9" i="31"/>
  <c r="AJ9" i="31"/>
  <c r="AK9" i="31"/>
  <c r="AL9" i="31"/>
  <c r="AM9" i="31"/>
  <c r="AN9" i="31"/>
  <c r="AO9" i="31"/>
  <c r="AF9" i="31"/>
  <c r="AD9" i="31"/>
  <c r="AN11" i="31"/>
  <c r="AM11" i="31"/>
  <c r="AO11" i="31"/>
  <c r="AO31" i="31"/>
  <c r="AN31" i="31"/>
  <c r="AM31" i="31"/>
  <c r="AN18" i="31"/>
  <c r="AM18" i="31"/>
  <c r="AO18" i="31"/>
  <c r="AM13" i="31"/>
  <c r="AO13" i="31"/>
  <c r="AN13" i="31"/>
  <c r="X42" i="31"/>
  <c r="X41" i="31" s="1"/>
  <c r="AT23" i="31"/>
  <c r="C12" i="31"/>
  <c r="C13" i="31" s="1"/>
  <c r="F13" i="31" s="1"/>
  <c r="AR42" i="31"/>
  <c r="AT42" i="31" s="1"/>
  <c r="AT41" i="31" s="1"/>
  <c r="AT26" i="31"/>
  <c r="AV42" i="31"/>
  <c r="AX42" i="31" s="1"/>
  <c r="AX41" i="31" s="1"/>
  <c r="AX38" i="31" s="1"/>
  <c r="D64" i="31" s="1"/>
  <c r="AR31" i="31"/>
  <c r="AT31" i="31" s="1"/>
  <c r="AT30" i="31" s="1"/>
  <c r="AX11" i="31"/>
  <c r="AT11" i="31"/>
  <c r="AB11" i="31"/>
  <c r="AD11" i="31" s="1"/>
  <c r="F11" i="31"/>
  <c r="AX20" i="31"/>
  <c r="AT20" i="31"/>
  <c r="AX14" i="31"/>
  <c r="AX26" i="31"/>
  <c r="F38" i="31"/>
  <c r="D48" i="31" s="1"/>
  <c r="BB38" i="31"/>
  <c r="W27" i="31"/>
  <c r="V27" i="31"/>
  <c r="J26" i="31"/>
  <c r="U27" i="31"/>
  <c r="J23" i="31"/>
  <c r="AB23" i="31"/>
  <c r="F23" i="31"/>
  <c r="W19" i="31"/>
  <c r="V19" i="31"/>
  <c r="U19" i="31"/>
  <c r="F14" i="31"/>
  <c r="J14" i="31"/>
  <c r="AB14" i="31"/>
  <c r="W10" i="31"/>
  <c r="V10" i="31"/>
  <c r="U10" i="31"/>
  <c r="V31" i="31"/>
  <c r="W31" i="31"/>
  <c r="J30" i="31"/>
  <c r="U31" i="31"/>
  <c r="AB20" i="31"/>
  <c r="F20" i="31"/>
  <c r="J20" i="31"/>
  <c r="C21" i="31"/>
  <c r="F26" i="31"/>
  <c r="W28" i="31"/>
  <c r="V28" i="31"/>
  <c r="U28" i="31"/>
  <c r="W11" i="31"/>
  <c r="U11" i="31"/>
  <c r="V11" i="31"/>
  <c r="W29" i="31"/>
  <c r="V29" i="31"/>
  <c r="U29" i="31"/>
  <c r="Z27" i="31"/>
  <c r="AB27" i="31" s="1"/>
  <c r="Z40" i="31"/>
  <c r="AB40" i="31" s="1"/>
  <c r="Z29" i="31"/>
  <c r="AB29" i="31" s="1"/>
  <c r="Z28" i="31"/>
  <c r="AB28" i="31" s="1"/>
  <c r="Z31" i="31"/>
  <c r="AB31" i="31" s="1"/>
  <c r="AB30" i="31" s="1"/>
  <c r="W40" i="31"/>
  <c r="W45" i="31" s="1"/>
  <c r="J39" i="31"/>
  <c r="J38" i="31" s="1"/>
  <c r="D52" i="31" s="1"/>
  <c r="V40" i="31"/>
  <c r="V45" i="31" s="1"/>
  <c r="U40" i="31"/>
  <c r="U45" i="31" s="1"/>
  <c r="V13" i="31"/>
  <c r="W9" i="31"/>
  <c r="U13" i="31"/>
  <c r="V9" i="31"/>
  <c r="W13" i="31"/>
  <c r="U9" i="31"/>
  <c r="W18" i="31"/>
  <c r="V18" i="31"/>
  <c r="U18" i="31"/>
  <c r="X44" i="31"/>
  <c r="X43" i="31" s="1"/>
  <c r="AR40" i="31"/>
  <c r="AT40" i="31" s="1"/>
  <c r="AT39" i="31" s="1"/>
  <c r="U28" i="30"/>
  <c r="W28" i="30"/>
  <c r="V28" i="30"/>
  <c r="J38" i="30"/>
  <c r="W39" i="30"/>
  <c r="V39" i="30"/>
  <c r="U39" i="30"/>
  <c r="X39" i="30" s="1"/>
  <c r="X38" i="30" s="1"/>
  <c r="U29" i="30"/>
  <c r="V29" i="30"/>
  <c r="W29" i="30"/>
  <c r="X43" i="30"/>
  <c r="X42" i="30" s="1"/>
  <c r="U27" i="30"/>
  <c r="W27" i="30"/>
  <c r="V27" i="30"/>
  <c r="J40" i="30"/>
  <c r="V41" i="30"/>
  <c r="W41" i="30"/>
  <c r="U41" i="30"/>
  <c r="X41" i="30" s="1"/>
  <c r="X40" i="30" s="1"/>
  <c r="W10" i="30"/>
  <c r="U10" i="30"/>
  <c r="V10" i="30"/>
  <c r="U20" i="30"/>
  <c r="V20" i="30"/>
  <c r="W20" i="30"/>
  <c r="V13" i="30"/>
  <c r="U13" i="30"/>
  <c r="U9" i="30"/>
  <c r="W13" i="30"/>
  <c r="V9" i="30"/>
  <c r="W9" i="30"/>
  <c r="V18" i="30"/>
  <c r="W18" i="30"/>
  <c r="U18" i="30"/>
  <c r="W7" i="30"/>
  <c r="U7" i="30"/>
  <c r="V7" i="30"/>
  <c r="F6" i="30"/>
  <c r="L27" i="30"/>
  <c r="AB14" i="30"/>
  <c r="AF14" i="30"/>
  <c r="AN37" i="30"/>
  <c r="AH31" i="30"/>
  <c r="AJ31" i="30" s="1"/>
  <c r="AJ30" i="30" s="1"/>
  <c r="AH41" i="30"/>
  <c r="AJ41" i="30" s="1"/>
  <c r="AJ40" i="30" s="1"/>
  <c r="AJ37" i="30" s="1"/>
  <c r="D63" i="30" s="1"/>
  <c r="AJ14" i="30"/>
  <c r="F14" i="30"/>
  <c r="AJ26" i="30"/>
  <c r="AF29" i="30"/>
  <c r="AF26" i="30" s="1"/>
  <c r="Z31" i="30"/>
  <c r="AB31" i="30" s="1"/>
  <c r="AB30" i="30" s="1"/>
  <c r="Z27" i="30"/>
  <c r="AB27" i="30" s="1"/>
  <c r="Z28" i="30"/>
  <c r="AB28" i="30" s="1"/>
  <c r="Z29" i="30"/>
  <c r="AB29" i="30" s="1"/>
  <c r="Z39" i="30"/>
  <c r="AB39" i="30" s="1"/>
  <c r="AB38" i="30" s="1"/>
  <c r="AB37" i="30" s="1"/>
  <c r="F37" i="30"/>
  <c r="D47" i="30" s="1"/>
  <c r="J37" i="30"/>
  <c r="D51" i="30" s="1"/>
  <c r="J26" i="30"/>
  <c r="AF12" i="30"/>
  <c r="J12" i="30"/>
  <c r="F12" i="30"/>
  <c r="AJ12" i="30"/>
  <c r="C13" i="30"/>
  <c r="AB12" i="30"/>
  <c r="C22" i="30"/>
  <c r="AF21" i="30"/>
  <c r="AB21" i="30"/>
  <c r="J21" i="30"/>
  <c r="F21" i="30"/>
  <c r="AJ21" i="30"/>
  <c r="F26" i="30"/>
  <c r="AB23" i="30"/>
  <c r="J23" i="30"/>
  <c r="AJ23" i="30"/>
  <c r="F23" i="30"/>
  <c r="AF23" i="30"/>
  <c r="AD39" i="30"/>
  <c r="AF39" i="30" s="1"/>
  <c r="AF38" i="30" s="1"/>
  <c r="AD41" i="30"/>
  <c r="AF41" i="30" s="1"/>
  <c r="AF40" i="30" s="1"/>
  <c r="X27" i="30" l="1"/>
  <c r="AB39" i="31"/>
  <c r="AB38" i="31" s="1"/>
  <c r="AN40" i="31"/>
  <c r="AN45" i="31" s="1"/>
  <c r="AO40" i="31"/>
  <c r="AO45" i="31" s="1"/>
  <c r="AM40" i="31"/>
  <c r="AW12" i="32"/>
  <c r="AX12" i="32"/>
  <c r="AY12" i="32"/>
  <c r="AZ12" i="32"/>
  <c r="BA12" i="32"/>
  <c r="BB12" i="32"/>
  <c r="BC12" i="32"/>
  <c r="BD12" i="32"/>
  <c r="BE12" i="32"/>
  <c r="BF12" i="32"/>
  <c r="BG12" i="32"/>
  <c r="AV12" i="32"/>
  <c r="BH12" i="32" s="1"/>
  <c r="AT30" i="32"/>
  <c r="BG31" i="32"/>
  <c r="BF31" i="32"/>
  <c r="BE31" i="32"/>
  <c r="BH31" i="32" s="1"/>
  <c r="BD31" i="32"/>
  <c r="BC31" i="32"/>
  <c r="BB31" i="32"/>
  <c r="BA31" i="32"/>
  <c r="AZ31" i="32"/>
  <c r="AY31" i="32"/>
  <c r="AX31" i="32"/>
  <c r="AW31" i="32"/>
  <c r="AV31" i="32"/>
  <c r="AW14" i="32"/>
  <c r="AX14" i="32"/>
  <c r="AY14" i="32"/>
  <c r="AZ14" i="32"/>
  <c r="BA14" i="32"/>
  <c r="BB14" i="32"/>
  <c r="BC14" i="32"/>
  <c r="BD14" i="32"/>
  <c r="BE14" i="32"/>
  <c r="BF14" i="32"/>
  <c r="BG14" i="32"/>
  <c r="AV14" i="32"/>
  <c r="BG20" i="32"/>
  <c r="BF20" i="32"/>
  <c r="BE20" i="32"/>
  <c r="BH20" i="32" s="1"/>
  <c r="BD20" i="32"/>
  <c r="BC20" i="32"/>
  <c r="BB20" i="32"/>
  <c r="BA20" i="32"/>
  <c r="AZ20" i="32"/>
  <c r="AY20" i="32"/>
  <c r="AX20" i="32"/>
  <c r="AW20" i="32"/>
  <c r="AV20" i="32"/>
  <c r="BG23" i="32"/>
  <c r="BF23" i="32"/>
  <c r="BE23" i="32"/>
  <c r="BH23" i="32" s="1"/>
  <c r="BD23" i="32"/>
  <c r="BC23" i="32"/>
  <c r="BB23" i="32"/>
  <c r="BA23" i="32"/>
  <c r="AZ23" i="32"/>
  <c r="AY23" i="32"/>
  <c r="AX23" i="32"/>
  <c r="AW23" i="32"/>
  <c r="AV23" i="32"/>
  <c r="BH40" i="32"/>
  <c r="BH39" i="32" s="1"/>
  <c r="BH38" i="32" s="1"/>
  <c r="BE45" i="32"/>
  <c r="BF45" i="32"/>
  <c r="BG45" i="32"/>
  <c r="BH11" i="32"/>
  <c r="BH28" i="32"/>
  <c r="BH10" i="32"/>
  <c r="AZ34" i="33"/>
  <c r="AT36" i="33"/>
  <c r="BB36" i="33" s="1"/>
  <c r="BD34" i="33"/>
  <c r="AZ35" i="33"/>
  <c r="BA34" i="33"/>
  <c r="BC35" i="33"/>
  <c r="BB34" i="33"/>
  <c r="AV16" i="33"/>
  <c r="BC34" i="33"/>
  <c r="AW16" i="33"/>
  <c r="AX16" i="33"/>
  <c r="AZ16" i="33"/>
  <c r="BA16" i="33"/>
  <c r="BB16" i="33"/>
  <c r="AV23" i="33"/>
  <c r="AY16" i="33"/>
  <c r="BG34" i="33"/>
  <c r="BC16" i="33"/>
  <c r="BE16" i="33"/>
  <c r="BG16" i="33"/>
  <c r="BF16" i="33"/>
  <c r="AV22" i="33"/>
  <c r="BB35" i="33"/>
  <c r="AX35" i="33"/>
  <c r="AZ38" i="33"/>
  <c r="AV34" i="33"/>
  <c r="BD35" i="33"/>
  <c r="AV38" i="33"/>
  <c r="AY38" i="33"/>
  <c r="BE38" i="33"/>
  <c r="BA38" i="33"/>
  <c r="X26" i="33"/>
  <c r="AW35" i="33"/>
  <c r="BF38" i="33"/>
  <c r="AY35" i="33"/>
  <c r="BB38" i="33"/>
  <c r="BC38" i="33"/>
  <c r="BA35" i="33"/>
  <c r="BD38" i="33"/>
  <c r="AW34" i="33"/>
  <c r="BO47" i="33"/>
  <c r="BO52" i="33" s="1"/>
  <c r="AW38" i="33"/>
  <c r="AX34" i="33"/>
  <c r="BV47" i="33"/>
  <c r="BV52" i="33" s="1"/>
  <c r="AV35" i="33"/>
  <c r="AX38" i="33"/>
  <c r="AY34" i="33"/>
  <c r="BD52" i="33"/>
  <c r="BL46" i="33"/>
  <c r="BL45" i="33" s="1"/>
  <c r="D76" i="33" s="1"/>
  <c r="BS47" i="33"/>
  <c r="BS52" i="33" s="1"/>
  <c r="BU47" i="33"/>
  <c r="BU52" i="33" s="1"/>
  <c r="BT47" i="33"/>
  <c r="BT52" i="33" s="1"/>
  <c r="BE35" i="33"/>
  <c r="BR47" i="33"/>
  <c r="BR52" i="33" s="1"/>
  <c r="BF35" i="33"/>
  <c r="AT33" i="33"/>
  <c r="BE34" i="33"/>
  <c r="BQ47" i="33"/>
  <c r="BQ52" i="33" s="1"/>
  <c r="BG38" i="33"/>
  <c r="BW47" i="33"/>
  <c r="BW52" i="33" s="1"/>
  <c r="BZ26" i="33"/>
  <c r="BC52" i="33"/>
  <c r="BB52" i="33"/>
  <c r="AY52" i="33"/>
  <c r="BP47" i="33"/>
  <c r="BP52" i="33" s="1"/>
  <c r="BY47" i="33"/>
  <c r="BY52" i="33" s="1"/>
  <c r="BX47" i="33"/>
  <c r="BX52" i="33" s="1"/>
  <c r="AT45" i="33"/>
  <c r="D72" i="33" s="1"/>
  <c r="BA52" i="33"/>
  <c r="AZ52" i="33"/>
  <c r="AW52" i="33"/>
  <c r="BZ49" i="33"/>
  <c r="BZ48" i="33" s="1"/>
  <c r="AV52" i="33"/>
  <c r="AX52" i="33"/>
  <c r="BN52" i="33"/>
  <c r="BH49" i="33"/>
  <c r="BH48" i="33" s="1"/>
  <c r="BH47" i="33"/>
  <c r="BH46" i="33" s="1"/>
  <c r="AZ30" i="33"/>
  <c r="AP26" i="33"/>
  <c r="BZ35" i="33"/>
  <c r="BD30" i="33"/>
  <c r="U30" i="33"/>
  <c r="AB45" i="33"/>
  <c r="D68" i="33" s="1"/>
  <c r="AV30" i="33"/>
  <c r="AW30" i="33"/>
  <c r="AM30" i="33"/>
  <c r="BB30" i="33"/>
  <c r="AN30" i="33"/>
  <c r="AX30" i="33"/>
  <c r="AY30" i="33"/>
  <c r="W30" i="33"/>
  <c r="BE30" i="33"/>
  <c r="BA30" i="33"/>
  <c r="BF30" i="33"/>
  <c r="BG30" i="33"/>
  <c r="AP25" i="33"/>
  <c r="V52" i="33"/>
  <c r="W52" i="33"/>
  <c r="AP16" i="33"/>
  <c r="BQ21" i="33"/>
  <c r="BR21" i="33"/>
  <c r="BS21" i="33"/>
  <c r="BV21" i="33"/>
  <c r="BN21" i="33"/>
  <c r="BW21" i="33"/>
  <c r="BX21" i="33"/>
  <c r="BP21" i="33"/>
  <c r="BY21" i="33"/>
  <c r="BO21" i="33"/>
  <c r="BT21" i="33"/>
  <c r="BU21" i="33"/>
  <c r="BZ30" i="33"/>
  <c r="BH25" i="33"/>
  <c r="BZ25" i="33"/>
  <c r="BZ16" i="33"/>
  <c r="AN52" i="33"/>
  <c r="BH17" i="33"/>
  <c r="AP38" i="33"/>
  <c r="AP37" i="33" s="1"/>
  <c r="BT18" i="33"/>
  <c r="BU18" i="33"/>
  <c r="BV18" i="33"/>
  <c r="BS18" i="33"/>
  <c r="BW18" i="33"/>
  <c r="BX18" i="33"/>
  <c r="BY18" i="33"/>
  <c r="BN18" i="33"/>
  <c r="BP18" i="33"/>
  <c r="BO18" i="33"/>
  <c r="BQ18" i="33"/>
  <c r="BR18" i="33"/>
  <c r="AO52" i="33"/>
  <c r="X49" i="33"/>
  <c r="X48" i="33" s="1"/>
  <c r="BH27" i="33"/>
  <c r="X17" i="33"/>
  <c r="BZ27" i="33"/>
  <c r="BY28" i="33"/>
  <c r="BN28" i="33"/>
  <c r="BO28" i="33"/>
  <c r="BP28" i="33"/>
  <c r="BQ28" i="33"/>
  <c r="BR28" i="33"/>
  <c r="BS28" i="33"/>
  <c r="BT28" i="33"/>
  <c r="BU28" i="33"/>
  <c r="BV28" i="33"/>
  <c r="BW28" i="33"/>
  <c r="BX28" i="33"/>
  <c r="BZ17" i="33"/>
  <c r="BZ36" i="33"/>
  <c r="BZ34" i="33"/>
  <c r="BZ38" i="33"/>
  <c r="BZ37" i="33" s="1"/>
  <c r="BG52" i="33"/>
  <c r="BA28" i="33"/>
  <c r="AZ28" i="33"/>
  <c r="BB28" i="33"/>
  <c r="AY28" i="33"/>
  <c r="AX28" i="33"/>
  <c r="AW28" i="33"/>
  <c r="BF28" i="33"/>
  <c r="BE28" i="33"/>
  <c r="BC28" i="33"/>
  <c r="AV28" i="33"/>
  <c r="BG28" i="33"/>
  <c r="BD28" i="33"/>
  <c r="BG18" i="33"/>
  <c r="BD18" i="33"/>
  <c r="BC18" i="33"/>
  <c r="BB18" i="33"/>
  <c r="BA18" i="33"/>
  <c r="AZ18" i="33"/>
  <c r="AY18" i="33"/>
  <c r="AX18" i="33"/>
  <c r="AW18" i="33"/>
  <c r="AV18" i="33"/>
  <c r="BF18" i="33"/>
  <c r="BE18" i="33"/>
  <c r="BF21" i="33"/>
  <c r="BE21" i="33"/>
  <c r="BD21" i="33"/>
  <c r="BC21" i="33"/>
  <c r="BB21" i="33"/>
  <c r="BA21" i="33"/>
  <c r="BG21" i="33"/>
  <c r="AZ21" i="33"/>
  <c r="AY21" i="33"/>
  <c r="AX21" i="33"/>
  <c r="AW21" i="33"/>
  <c r="AV21" i="33"/>
  <c r="X36" i="33"/>
  <c r="AP34" i="33"/>
  <c r="X16" i="33"/>
  <c r="BL19" i="33"/>
  <c r="AB19" i="33"/>
  <c r="C20" i="33"/>
  <c r="AT19" i="33"/>
  <c r="J19" i="33"/>
  <c r="F19" i="33"/>
  <c r="AM52" i="33"/>
  <c r="AP47" i="33"/>
  <c r="AP46" i="33" s="1"/>
  <c r="BE52" i="33"/>
  <c r="AP49" i="33"/>
  <c r="AP48" i="33" s="1"/>
  <c r="BF52" i="33"/>
  <c r="X38" i="33"/>
  <c r="X37" i="33" s="1"/>
  <c r="AD18" i="33"/>
  <c r="X25" i="33"/>
  <c r="AP35" i="33"/>
  <c r="X34" i="33"/>
  <c r="AO28" i="33"/>
  <c r="AN28" i="33"/>
  <c r="AM28" i="33"/>
  <c r="W28" i="33"/>
  <c r="V28" i="33"/>
  <c r="U28" i="33"/>
  <c r="AB29" i="33"/>
  <c r="AB24" i="33" s="1"/>
  <c r="BL29" i="33"/>
  <c r="AT29" i="33"/>
  <c r="J29" i="33"/>
  <c r="F29" i="33"/>
  <c r="F24" i="33" s="1"/>
  <c r="AM21" i="33"/>
  <c r="AO21" i="33"/>
  <c r="AN21" i="33"/>
  <c r="X20" i="33"/>
  <c r="W18" i="33"/>
  <c r="AO18" i="33"/>
  <c r="AN18" i="33"/>
  <c r="AM18" i="33"/>
  <c r="V18" i="33"/>
  <c r="U18" i="33"/>
  <c r="AP20" i="33"/>
  <c r="J45" i="33"/>
  <c r="D64" i="33" s="1"/>
  <c r="U52" i="33"/>
  <c r="X47" i="33"/>
  <c r="X46" i="33" s="1"/>
  <c r="AP36" i="33"/>
  <c r="X35" i="33"/>
  <c r="V20" i="32"/>
  <c r="AD12" i="32"/>
  <c r="BH30" i="32"/>
  <c r="V21" i="32"/>
  <c r="AP31" i="32"/>
  <c r="AP30" i="32" s="1"/>
  <c r="X31" i="32"/>
  <c r="X30" i="32" s="1"/>
  <c r="AO20" i="32"/>
  <c r="AP28" i="32"/>
  <c r="U20" i="32"/>
  <c r="AM20" i="32"/>
  <c r="W20" i="32"/>
  <c r="AN20" i="32"/>
  <c r="AP9" i="32"/>
  <c r="U21" i="32"/>
  <c r="AM21" i="32"/>
  <c r="AN21" i="32"/>
  <c r="W21" i="32"/>
  <c r="AO21" i="32"/>
  <c r="AN45" i="32"/>
  <c r="X28" i="32"/>
  <c r="X19" i="32"/>
  <c r="AM45" i="32"/>
  <c r="AB38" i="32"/>
  <c r="D56" i="32" s="1"/>
  <c r="BL17" i="32"/>
  <c r="X13" i="32"/>
  <c r="AB22" i="32"/>
  <c r="AB17" i="32" s="1"/>
  <c r="AP10" i="32"/>
  <c r="J22" i="32"/>
  <c r="F22" i="32"/>
  <c r="F17" i="32" s="1"/>
  <c r="X9" i="32"/>
  <c r="AP18" i="32"/>
  <c r="AT22" i="32"/>
  <c r="AP42" i="32"/>
  <c r="AP41" i="32" s="1"/>
  <c r="AP13" i="32"/>
  <c r="AP40" i="32"/>
  <c r="AP39" i="32" s="1"/>
  <c r="AP23" i="32"/>
  <c r="D60" i="32"/>
  <c r="U23" i="32"/>
  <c r="X42" i="32"/>
  <c r="X41" i="32" s="1"/>
  <c r="X38" i="32" s="1"/>
  <c r="W23" i="32"/>
  <c r="AP29" i="32"/>
  <c r="AP27" i="32"/>
  <c r="X27" i="32"/>
  <c r="AP19" i="32"/>
  <c r="X29" i="32"/>
  <c r="BL13" i="32"/>
  <c r="BL8" i="32" s="1"/>
  <c r="J13" i="32"/>
  <c r="AT13" i="32"/>
  <c r="F13" i="32"/>
  <c r="F8" i="32" s="1"/>
  <c r="AB13" i="32"/>
  <c r="AM12" i="32"/>
  <c r="U12" i="32"/>
  <c r="W12" i="32"/>
  <c r="V12" i="32"/>
  <c r="AO12" i="32"/>
  <c r="AN12" i="32"/>
  <c r="X18" i="32"/>
  <c r="AO14" i="32"/>
  <c r="AN14" i="32"/>
  <c r="AM14" i="32"/>
  <c r="AP11" i="32"/>
  <c r="X11" i="32"/>
  <c r="AM28" i="31"/>
  <c r="AN28" i="31"/>
  <c r="AO28" i="31"/>
  <c r="AN29" i="31"/>
  <c r="AO29" i="31"/>
  <c r="AM29" i="31"/>
  <c r="AP29" i="31" s="1"/>
  <c r="AD27" i="31"/>
  <c r="AN14" i="31"/>
  <c r="AO14" i="31"/>
  <c r="AM14" i="31"/>
  <c r="AN27" i="31"/>
  <c r="AO27" i="31"/>
  <c r="AM27" i="31"/>
  <c r="AP27" i="31" s="1"/>
  <c r="AN23" i="31"/>
  <c r="AO23" i="31"/>
  <c r="AM23" i="31"/>
  <c r="AP31" i="31"/>
  <c r="AP30" i="31" s="1"/>
  <c r="AP18" i="31"/>
  <c r="AP19" i="31"/>
  <c r="AP11" i="31"/>
  <c r="AP9" i="31"/>
  <c r="AP10" i="31"/>
  <c r="AP13" i="31"/>
  <c r="AO20" i="31"/>
  <c r="AN20" i="31"/>
  <c r="AM20" i="31"/>
  <c r="J13" i="31"/>
  <c r="AB13" i="31"/>
  <c r="AD13" i="31" s="1"/>
  <c r="F12" i="31"/>
  <c r="F8" i="31" s="1"/>
  <c r="AT12" i="31"/>
  <c r="AX12" i="31"/>
  <c r="AB12" i="31"/>
  <c r="AD12" i="31" s="1"/>
  <c r="J12" i="31"/>
  <c r="AX13" i="31"/>
  <c r="AT13" i="31"/>
  <c r="X18" i="31"/>
  <c r="AT38" i="31"/>
  <c r="D60" i="31" s="1"/>
  <c r="X27" i="31"/>
  <c r="D56" i="31"/>
  <c r="AT21" i="31"/>
  <c r="AX21" i="31"/>
  <c r="X40" i="31"/>
  <c r="X39" i="31" s="1"/>
  <c r="X38" i="31" s="1"/>
  <c r="X13" i="31"/>
  <c r="W20" i="31"/>
  <c r="V20" i="31"/>
  <c r="U20" i="31"/>
  <c r="AB26" i="31"/>
  <c r="X19" i="31"/>
  <c r="X29" i="31"/>
  <c r="F21" i="31"/>
  <c r="AB21" i="31"/>
  <c r="J21" i="31"/>
  <c r="C22" i="31"/>
  <c r="X11" i="31"/>
  <c r="X9" i="31"/>
  <c r="U23" i="31"/>
  <c r="W23" i="31"/>
  <c r="V23" i="31"/>
  <c r="X28" i="31"/>
  <c r="X31" i="31"/>
  <c r="X30" i="31" s="1"/>
  <c r="X10" i="31"/>
  <c r="V14" i="31"/>
  <c r="X10" i="30"/>
  <c r="X29" i="30"/>
  <c r="X37" i="30"/>
  <c r="X28" i="30"/>
  <c r="U21" i="30"/>
  <c r="V21" i="30"/>
  <c r="W21" i="30"/>
  <c r="X9" i="30"/>
  <c r="X13" i="30"/>
  <c r="W23" i="30"/>
  <c r="U23" i="30"/>
  <c r="V23" i="30"/>
  <c r="X7" i="30"/>
  <c r="X6" i="30" s="1"/>
  <c r="U12" i="30"/>
  <c r="V12" i="30"/>
  <c r="W12" i="30"/>
  <c r="X20" i="30"/>
  <c r="X18" i="30"/>
  <c r="D55" i="30"/>
  <c r="AF37" i="30"/>
  <c r="D59" i="30" s="1"/>
  <c r="AB22" i="30"/>
  <c r="AB17" i="30" s="1"/>
  <c r="J22" i="30"/>
  <c r="F22" i="30"/>
  <c r="F17" i="30" s="1"/>
  <c r="AJ22" i="30"/>
  <c r="AJ17" i="30" s="1"/>
  <c r="AF22" i="30"/>
  <c r="AF17" i="30" s="1"/>
  <c r="AB26" i="30"/>
  <c r="J13" i="30"/>
  <c r="F13" i="30"/>
  <c r="F8" i="30" s="1"/>
  <c r="AJ13" i="30"/>
  <c r="AJ8" i="30" s="1"/>
  <c r="AF13" i="30"/>
  <c r="AF8" i="30" s="1"/>
  <c r="AB13" i="30"/>
  <c r="AB8" i="30" s="1"/>
  <c r="AP28" i="31" l="1"/>
  <c r="AT8" i="32"/>
  <c r="AW13" i="32"/>
  <c r="AX13" i="32"/>
  <c r="AY13" i="32"/>
  <c r="AZ13" i="32"/>
  <c r="BA13" i="32"/>
  <c r="BB13" i="32"/>
  <c r="BC13" i="32"/>
  <c r="BD13" i="32"/>
  <c r="BE13" i="32"/>
  <c r="BF13" i="32"/>
  <c r="BG13" i="32"/>
  <c r="AV13" i="32"/>
  <c r="AT17" i="32"/>
  <c r="AV22" i="32"/>
  <c r="BH14" i="32"/>
  <c r="AM45" i="31"/>
  <c r="AP40" i="31"/>
  <c r="AP39" i="31" s="1"/>
  <c r="AP38" i="31" s="1"/>
  <c r="X26" i="30"/>
  <c r="AX36" i="33"/>
  <c r="AY36" i="33"/>
  <c r="BC36" i="33"/>
  <c r="AZ36" i="33"/>
  <c r="BG36" i="33"/>
  <c r="BD36" i="33"/>
  <c r="BE36" i="33"/>
  <c r="BF36" i="33"/>
  <c r="AV36" i="33"/>
  <c r="AW36" i="33"/>
  <c r="BA36" i="33"/>
  <c r="BH36" i="33" s="1"/>
  <c r="BH16" i="33"/>
  <c r="BH38" i="33"/>
  <c r="BH37" i="33" s="1"/>
  <c r="BH34" i="33"/>
  <c r="BH35" i="33"/>
  <c r="AP30" i="33"/>
  <c r="BZ47" i="33"/>
  <c r="BZ46" i="33" s="1"/>
  <c r="BZ45" i="33" s="1"/>
  <c r="BZ52" i="33" s="1"/>
  <c r="BH18" i="33"/>
  <c r="BZ33" i="33"/>
  <c r="BH21" i="33"/>
  <c r="BH45" i="33"/>
  <c r="BH52" i="33" s="1"/>
  <c r="BH30" i="33"/>
  <c r="X30" i="33"/>
  <c r="BF29" i="33"/>
  <c r="BE29" i="33"/>
  <c r="BG29" i="33"/>
  <c r="AT24" i="33"/>
  <c r="AV29" i="33"/>
  <c r="BL24" i="33"/>
  <c r="BX29" i="33"/>
  <c r="BN29" i="33"/>
  <c r="BY29" i="33"/>
  <c r="BW29" i="33"/>
  <c r="BQ29" i="33"/>
  <c r="BT29" i="33"/>
  <c r="BO29" i="33"/>
  <c r="BP29" i="33"/>
  <c r="BR29" i="33"/>
  <c r="BS29" i="33"/>
  <c r="BV29" i="33"/>
  <c r="BU29" i="33"/>
  <c r="AP18" i="33"/>
  <c r="BS19" i="33"/>
  <c r="BT19" i="33"/>
  <c r="BU19" i="33"/>
  <c r="BO19" i="33"/>
  <c r="BP19" i="33"/>
  <c r="BQ19" i="33"/>
  <c r="BN19" i="33"/>
  <c r="BR19" i="33"/>
  <c r="BV19" i="33"/>
  <c r="BW19" i="33"/>
  <c r="BX19" i="33"/>
  <c r="BY19" i="33"/>
  <c r="X28" i="33"/>
  <c r="BZ21" i="33"/>
  <c r="BZ28" i="33"/>
  <c r="BH28" i="33"/>
  <c r="BZ18" i="33"/>
  <c r="X45" i="33"/>
  <c r="X52" i="33" s="1"/>
  <c r="BG19" i="33"/>
  <c r="BF19" i="33"/>
  <c r="BE19" i="33"/>
  <c r="BA19" i="33"/>
  <c r="BD19" i="33"/>
  <c r="BC19" i="33"/>
  <c r="BB19" i="33"/>
  <c r="AZ19" i="33"/>
  <c r="AY19" i="33"/>
  <c r="AX19" i="33"/>
  <c r="AW19" i="33"/>
  <c r="AV19" i="33"/>
  <c r="J20" i="33"/>
  <c r="J15" i="33" s="1"/>
  <c r="AT20" i="33"/>
  <c r="AT15" i="33" s="1"/>
  <c r="F20" i="33"/>
  <c r="F15" i="33" s="1"/>
  <c r="AB20" i="33"/>
  <c r="AB15" i="33" s="1"/>
  <c r="BL20" i="33"/>
  <c r="AD19" i="33"/>
  <c r="W29" i="33"/>
  <c r="V29" i="33"/>
  <c r="AM29" i="33"/>
  <c r="AO29" i="33"/>
  <c r="AN29" i="33"/>
  <c r="U29" i="33"/>
  <c r="AP33" i="33"/>
  <c r="J24" i="33"/>
  <c r="X33" i="33"/>
  <c r="AP45" i="33"/>
  <c r="AP52" i="33" s="1"/>
  <c r="X18" i="33"/>
  <c r="AP21" i="33"/>
  <c r="AP28" i="33"/>
  <c r="AO19" i="33"/>
  <c r="AN19" i="33"/>
  <c r="AM19" i="33"/>
  <c r="W19" i="33"/>
  <c r="V19" i="33"/>
  <c r="U19" i="33"/>
  <c r="BH26" i="32"/>
  <c r="AD13" i="32"/>
  <c r="J17" i="32"/>
  <c r="BE22" i="32"/>
  <c r="BG22" i="32"/>
  <c r="BF22" i="32"/>
  <c r="AP20" i="32"/>
  <c r="X20" i="32"/>
  <c r="AP21" i="32"/>
  <c r="AP26" i="32"/>
  <c r="X21" i="32"/>
  <c r="V22" i="32"/>
  <c r="U22" i="32"/>
  <c r="W22" i="32"/>
  <c r="AN22" i="32"/>
  <c r="AO22" i="32"/>
  <c r="AM22" i="32"/>
  <c r="AP38" i="32"/>
  <c r="X26" i="32"/>
  <c r="AP14" i="32"/>
  <c r="X23" i="32"/>
  <c r="V14" i="32"/>
  <c r="U14" i="32"/>
  <c r="W14" i="32"/>
  <c r="J8" i="32"/>
  <c r="X12" i="32"/>
  <c r="AP12" i="32"/>
  <c r="AB8" i="32"/>
  <c r="C33" i="32"/>
  <c r="AP26" i="31"/>
  <c r="V12" i="31"/>
  <c r="AN12" i="31"/>
  <c r="AO12" i="31"/>
  <c r="AM12" i="31"/>
  <c r="AO21" i="31"/>
  <c r="AN21" i="31"/>
  <c r="AM21" i="31"/>
  <c r="W14" i="31"/>
  <c r="AP20" i="31"/>
  <c r="AP23" i="31"/>
  <c r="U14" i="31"/>
  <c r="X20" i="31"/>
  <c r="AB8" i="31"/>
  <c r="J8" i="31"/>
  <c r="W12" i="31"/>
  <c r="AX8" i="31"/>
  <c r="U12" i="31"/>
  <c r="AT8" i="31"/>
  <c r="X26" i="31"/>
  <c r="AX22" i="31"/>
  <c r="AX17" i="31" s="1"/>
  <c r="AT22" i="31"/>
  <c r="AT17" i="31" s="1"/>
  <c r="J22" i="31"/>
  <c r="F22" i="31"/>
  <c r="F17" i="31" s="1"/>
  <c r="AB22" i="31"/>
  <c r="AB17" i="31" s="1"/>
  <c r="X23" i="31"/>
  <c r="U21" i="31"/>
  <c r="V21" i="31"/>
  <c r="W21" i="31"/>
  <c r="X21" i="30"/>
  <c r="J8" i="30"/>
  <c r="U14" i="30"/>
  <c r="V14" i="30"/>
  <c r="W14" i="30"/>
  <c r="X12" i="30"/>
  <c r="X23" i="30"/>
  <c r="J17" i="30"/>
  <c r="V22" i="30"/>
  <c r="U22" i="30"/>
  <c r="W22" i="30"/>
  <c r="C33" i="30"/>
  <c r="D6" i="11"/>
  <c r="C27" i="8"/>
  <c r="C26" i="8"/>
  <c r="C25" i="8"/>
  <c r="D7" i="11"/>
  <c r="Q7" i="11" s="1"/>
  <c r="K7" i="11"/>
  <c r="N7" i="11"/>
  <c r="BH22" i="32" l="1"/>
  <c r="BH13" i="32"/>
  <c r="BH8" i="32" s="1"/>
  <c r="AP19" i="33"/>
  <c r="AP15" i="33" s="1"/>
  <c r="BH33" i="33"/>
  <c r="BL15" i="33"/>
  <c r="BR20" i="33"/>
  <c r="BS20" i="33"/>
  <c r="BT20" i="33"/>
  <c r="BN20" i="33"/>
  <c r="BU20" i="33"/>
  <c r="BO20" i="33"/>
  <c r="BP20" i="33"/>
  <c r="BQ20" i="33"/>
  <c r="BV20" i="33"/>
  <c r="BW20" i="33"/>
  <c r="BX20" i="33"/>
  <c r="BY20" i="33"/>
  <c r="BZ29" i="33"/>
  <c r="BZ24" i="33" s="1"/>
  <c r="BH29" i="33"/>
  <c r="BH24" i="33" s="1"/>
  <c r="BZ19" i="33"/>
  <c r="BG20" i="33"/>
  <c r="BF20" i="33"/>
  <c r="BE20" i="33"/>
  <c r="BD20" i="33"/>
  <c r="BC20" i="33"/>
  <c r="BB20" i="33"/>
  <c r="BA20" i="33"/>
  <c r="AZ20" i="33"/>
  <c r="AY20" i="33"/>
  <c r="AX20" i="33"/>
  <c r="AW20" i="33"/>
  <c r="AV20" i="33"/>
  <c r="BH19" i="33"/>
  <c r="C40" i="33"/>
  <c r="BL40" i="33" s="1"/>
  <c r="AD20" i="33"/>
  <c r="AP29" i="33"/>
  <c r="AP24" i="33" s="1"/>
  <c r="W21" i="33"/>
  <c r="V21" i="33"/>
  <c r="U21" i="33"/>
  <c r="X29" i="33"/>
  <c r="X24" i="33" s="1"/>
  <c r="X19" i="33"/>
  <c r="BH17" i="32"/>
  <c r="AP22" i="32"/>
  <c r="AP17" i="32" s="1"/>
  <c r="X22" i="32"/>
  <c r="X17" i="32" s="1"/>
  <c r="AP8" i="32"/>
  <c r="X14" i="32"/>
  <c r="X8" i="32" s="1"/>
  <c r="J33" i="32"/>
  <c r="F33" i="32"/>
  <c r="F32" i="32" s="1"/>
  <c r="F5" i="32" s="1"/>
  <c r="D47" i="32" s="1"/>
  <c r="D46" i="32" s="1"/>
  <c r="C7" i="32" s="1"/>
  <c r="BL33" i="32"/>
  <c r="BL32" i="32" s="1"/>
  <c r="BL5" i="32" s="1"/>
  <c r="D63" i="32" s="1"/>
  <c r="D62" i="32" s="1"/>
  <c r="AB33" i="32"/>
  <c r="AT33" i="32"/>
  <c r="AT32" i="32" s="1"/>
  <c r="AP21" i="31"/>
  <c r="AO22" i="31"/>
  <c r="AM22" i="31"/>
  <c r="AN22" i="31"/>
  <c r="AP12" i="31"/>
  <c r="X14" i="31"/>
  <c r="AP14" i="31"/>
  <c r="X12" i="31"/>
  <c r="X8" i="31" s="1"/>
  <c r="C33" i="31"/>
  <c r="U22" i="31"/>
  <c r="V22" i="31"/>
  <c r="W22" i="31"/>
  <c r="J17" i="31"/>
  <c r="X21" i="31"/>
  <c r="X22" i="30"/>
  <c r="X17" i="30" s="1"/>
  <c r="X14" i="30"/>
  <c r="X8" i="30" s="1"/>
  <c r="AJ33" i="30"/>
  <c r="AJ32" i="30" s="1"/>
  <c r="AJ5" i="30" s="1"/>
  <c r="D62" i="30" s="1"/>
  <c r="D61" i="30" s="1"/>
  <c r="AB33" i="30"/>
  <c r="AB32" i="30" s="1"/>
  <c r="AB5" i="30" s="1"/>
  <c r="D54" i="30" s="1"/>
  <c r="D53" i="30" s="1"/>
  <c r="J33" i="30"/>
  <c r="F33" i="30"/>
  <c r="F32" i="30" s="1"/>
  <c r="F5" i="30" s="1"/>
  <c r="D46" i="30" s="1"/>
  <c r="D45" i="30" s="1"/>
  <c r="AF33" i="30"/>
  <c r="AF32" i="30" s="1"/>
  <c r="AF5" i="30" s="1"/>
  <c r="D58" i="30" s="1"/>
  <c r="D57" i="30" s="1"/>
  <c r="C6" i="11"/>
  <c r="O7" i="11"/>
  <c r="R7" i="11"/>
  <c r="L7" i="11"/>
  <c r="H7" i="11"/>
  <c r="I7" i="11" s="1"/>
  <c r="Q6" i="11"/>
  <c r="H6" i="11"/>
  <c r="K6" i="11"/>
  <c r="N6" i="11"/>
  <c r="Z41" i="8"/>
  <c r="Z40" i="8" s="1"/>
  <c r="U41" i="8"/>
  <c r="V41" i="8" s="1"/>
  <c r="V40" i="8" s="1"/>
  <c r="Q41" i="8"/>
  <c r="M41" i="8"/>
  <c r="N41" i="8" s="1"/>
  <c r="N40" i="8" s="1"/>
  <c r="I41" i="8"/>
  <c r="J41" i="8" s="1"/>
  <c r="J40" i="8" s="1"/>
  <c r="T16" i="8"/>
  <c r="T7" i="8"/>
  <c r="P16" i="8"/>
  <c r="P7" i="8"/>
  <c r="R41" i="8"/>
  <c r="R40" i="8" s="1"/>
  <c r="H21" i="8"/>
  <c r="D16" i="8"/>
  <c r="H12" i="8"/>
  <c r="D7" i="8"/>
  <c r="C17" i="8"/>
  <c r="C8" i="8"/>
  <c r="F8" i="8" l="1"/>
  <c r="V8" i="8"/>
  <c r="F17" i="8"/>
  <c r="V17" i="8"/>
  <c r="J17" i="8"/>
  <c r="H29" i="8"/>
  <c r="J29" i="8" s="1"/>
  <c r="J28" i="8" s="1"/>
  <c r="H27" i="8"/>
  <c r="J27" i="8" s="1"/>
  <c r="H26" i="8"/>
  <c r="J26" i="8" s="1"/>
  <c r="BR40" i="33"/>
  <c r="BS40" i="33"/>
  <c r="BT40" i="33"/>
  <c r="BN40" i="33"/>
  <c r="BQ40" i="33"/>
  <c r="BU40" i="33"/>
  <c r="BV40" i="33"/>
  <c r="BW40" i="33"/>
  <c r="BY40" i="33"/>
  <c r="BO40" i="33"/>
  <c r="BX40" i="33"/>
  <c r="BP40" i="33"/>
  <c r="BH20" i="33"/>
  <c r="BH15" i="33" s="1"/>
  <c r="BZ20" i="33"/>
  <c r="BZ15" i="33" s="1"/>
  <c r="X21" i="33"/>
  <c r="X15" i="33" s="1"/>
  <c r="J40" i="33"/>
  <c r="F40" i="33"/>
  <c r="F39" i="33" s="1"/>
  <c r="F5" i="33" s="1"/>
  <c r="D59" i="33" s="1"/>
  <c r="D58" i="33" s="1"/>
  <c r="C13" i="33" s="1"/>
  <c r="F13" i="33" s="1"/>
  <c r="AB40" i="33"/>
  <c r="BL39" i="33"/>
  <c r="AT40" i="33"/>
  <c r="AV33" i="32"/>
  <c r="BG33" i="32"/>
  <c r="BF33" i="32"/>
  <c r="AZ33" i="32"/>
  <c r="BE33" i="32"/>
  <c r="BA33" i="32"/>
  <c r="BD33" i="32"/>
  <c r="AX33" i="32"/>
  <c r="BC33" i="32"/>
  <c r="BB33" i="32"/>
  <c r="AY33" i="32"/>
  <c r="AW33" i="32"/>
  <c r="J7" i="32"/>
  <c r="F7" i="32"/>
  <c r="V33" i="32"/>
  <c r="U33" i="32"/>
  <c r="W33" i="32"/>
  <c r="J32" i="32"/>
  <c r="AL33" i="32"/>
  <c r="AK33" i="32"/>
  <c r="AJ33" i="32"/>
  <c r="AI33" i="32"/>
  <c r="AE33" i="32"/>
  <c r="AH33" i="32"/>
  <c r="AF33" i="32"/>
  <c r="AG33" i="32"/>
  <c r="AO33" i="32"/>
  <c r="AB32" i="32"/>
  <c r="AN33" i="32"/>
  <c r="AM33" i="32"/>
  <c r="AD33" i="32"/>
  <c r="AB33" i="31"/>
  <c r="J33" i="31"/>
  <c r="AP8" i="31"/>
  <c r="AP22" i="31"/>
  <c r="AP17" i="31" s="1"/>
  <c r="AT33" i="31"/>
  <c r="AT32" i="31" s="1"/>
  <c r="AT5" i="31" s="1"/>
  <c r="D59" i="31" s="1"/>
  <c r="D58" i="31" s="1"/>
  <c r="AX33" i="31"/>
  <c r="AX32" i="31" s="1"/>
  <c r="AX5" i="31" s="1"/>
  <c r="D63" i="31" s="1"/>
  <c r="D62" i="31" s="1"/>
  <c r="F33" i="31"/>
  <c r="F32" i="31" s="1"/>
  <c r="F5" i="31" s="1"/>
  <c r="D47" i="31" s="1"/>
  <c r="D46" i="31" s="1"/>
  <c r="C7" i="31" s="1"/>
  <c r="X22" i="31"/>
  <c r="X17" i="31" s="1"/>
  <c r="J32" i="30"/>
  <c r="J5" i="30" s="1"/>
  <c r="D50" i="30" s="1"/>
  <c r="D49" i="30" s="1"/>
  <c r="V33" i="30"/>
  <c r="W33" i="30"/>
  <c r="U33" i="30"/>
  <c r="X33" i="30" s="1"/>
  <c r="X32" i="30" s="1"/>
  <c r="X5" i="30" s="1"/>
  <c r="N8" i="8"/>
  <c r="R17" i="8"/>
  <c r="L16" i="8"/>
  <c r="L21" i="8" s="1"/>
  <c r="L39" i="8" s="1"/>
  <c r="R8" i="8"/>
  <c r="L7" i="8"/>
  <c r="L12" i="8" s="1"/>
  <c r="L37" i="8" s="1"/>
  <c r="N17" i="8"/>
  <c r="H25" i="8"/>
  <c r="J25" i="8" s="1"/>
  <c r="R6" i="11"/>
  <c r="I6" i="11"/>
  <c r="O6" i="11"/>
  <c r="L6" i="11"/>
  <c r="T21" i="8"/>
  <c r="T12" i="8"/>
  <c r="P21" i="8"/>
  <c r="P12" i="8"/>
  <c r="J8" i="8"/>
  <c r="T37" i="8" l="1"/>
  <c r="AB7" i="32"/>
  <c r="AT7" i="32"/>
  <c r="AT6" i="32" s="1"/>
  <c r="AT5" i="32" s="1"/>
  <c r="D59" i="32" s="1"/>
  <c r="D58" i="32" s="1"/>
  <c r="C9" i="33"/>
  <c r="F9" i="33" s="1"/>
  <c r="AJ9" i="33" s="1"/>
  <c r="C14" i="33"/>
  <c r="F14" i="33" s="1"/>
  <c r="C12" i="33"/>
  <c r="F12" i="33" s="1"/>
  <c r="C11" i="33"/>
  <c r="F11" i="33" s="1"/>
  <c r="BG11" i="33" s="1"/>
  <c r="C10" i="33"/>
  <c r="F10" i="33" s="1"/>
  <c r="AM10" i="33" s="1"/>
  <c r="C7" i="33"/>
  <c r="F7" i="33" s="1"/>
  <c r="U7" i="33" s="1"/>
  <c r="C8" i="33"/>
  <c r="F8" i="33" s="1"/>
  <c r="AE8" i="33" s="1"/>
  <c r="AT39" i="33"/>
  <c r="AY40" i="33"/>
  <c r="AW40" i="33"/>
  <c r="AZ40" i="33"/>
  <c r="BA40" i="33"/>
  <c r="AV40" i="33"/>
  <c r="BB40" i="33"/>
  <c r="BC40" i="33"/>
  <c r="BD40" i="33"/>
  <c r="BF40" i="33"/>
  <c r="BG40" i="33"/>
  <c r="BE40" i="33"/>
  <c r="AX40" i="33"/>
  <c r="AK40" i="33"/>
  <c r="AJ40" i="33"/>
  <c r="AI40" i="33"/>
  <c r="AH40" i="33"/>
  <c r="AM40" i="33"/>
  <c r="AL40" i="33"/>
  <c r="AG40" i="33"/>
  <c r="AB39" i="33"/>
  <c r="AF40" i="33"/>
  <c r="AE40" i="33"/>
  <c r="AD40" i="33"/>
  <c r="AO40" i="33"/>
  <c r="AN40" i="33"/>
  <c r="U40" i="33"/>
  <c r="J39" i="33"/>
  <c r="W40" i="33"/>
  <c r="V40" i="33"/>
  <c r="BH33" i="32"/>
  <c r="BH32" i="32" s="1"/>
  <c r="X33" i="32"/>
  <c r="X32" i="32" s="1"/>
  <c r="F6" i="32"/>
  <c r="V7" i="32"/>
  <c r="V34" i="32" s="1"/>
  <c r="U7" i="32"/>
  <c r="W7" i="32"/>
  <c r="W34" i="32" s="1"/>
  <c r="J6" i="32"/>
  <c r="J5" i="32" s="1"/>
  <c r="D51" i="32" s="1"/>
  <c r="D50" i="32" s="1"/>
  <c r="AB6" i="32"/>
  <c r="AB5" i="32" s="1"/>
  <c r="D55" i="32" s="1"/>
  <c r="D54" i="32" s="1"/>
  <c r="AP33" i="32"/>
  <c r="AP32" i="32" s="1"/>
  <c r="J7" i="31"/>
  <c r="F7" i="31"/>
  <c r="AM33" i="31"/>
  <c r="AN33" i="31"/>
  <c r="AO33" i="31"/>
  <c r="AD33" i="31"/>
  <c r="AE33" i="31"/>
  <c r="AF33" i="31"/>
  <c r="AG33" i="31"/>
  <c r="AH33" i="31"/>
  <c r="AI33" i="31"/>
  <c r="AJ33" i="31"/>
  <c r="AK33" i="31"/>
  <c r="AL33" i="31"/>
  <c r="AB32" i="31"/>
  <c r="J32" i="31"/>
  <c r="W33" i="31"/>
  <c r="V33" i="31"/>
  <c r="U33" i="31"/>
  <c r="P27" i="8"/>
  <c r="R27" i="8" s="1"/>
  <c r="P37" i="8"/>
  <c r="P26" i="8"/>
  <c r="R26" i="8" s="1"/>
  <c r="P25" i="8"/>
  <c r="R25" i="8" s="1"/>
  <c r="R24" i="8" s="1"/>
  <c r="P39" i="8"/>
  <c r="T29" i="8"/>
  <c r="V29" i="8" s="1"/>
  <c r="V28" i="8" s="1"/>
  <c r="T27" i="8"/>
  <c r="V27" i="8" s="1"/>
  <c r="T26" i="8"/>
  <c r="V26" i="8" s="1"/>
  <c r="T25" i="8"/>
  <c r="V25" i="8" s="1"/>
  <c r="X37" i="8"/>
  <c r="X39" i="8"/>
  <c r="T39" i="8"/>
  <c r="L27" i="8"/>
  <c r="N27" i="8" s="1"/>
  <c r="L26" i="8"/>
  <c r="N26" i="8" s="1"/>
  <c r="L25" i="8"/>
  <c r="N25" i="8" s="1"/>
  <c r="L29" i="8"/>
  <c r="N29" i="8" s="1"/>
  <c r="N28" i="8" s="1"/>
  <c r="BZ40" i="33" l="1"/>
  <c r="BZ39" i="33" s="1"/>
  <c r="BH40" i="33"/>
  <c r="BH39" i="33" s="1"/>
  <c r="AP40" i="33"/>
  <c r="AP39" i="33" s="1"/>
  <c r="X40" i="33"/>
  <c r="X39" i="33" s="1"/>
  <c r="X7" i="32"/>
  <c r="AV7" i="32" s="1"/>
  <c r="U34" i="32"/>
  <c r="F6" i="31"/>
  <c r="V7" i="31"/>
  <c r="V34" i="31" s="1"/>
  <c r="U7" i="31"/>
  <c r="U34" i="31" s="1"/>
  <c r="W7" i="31"/>
  <c r="W34" i="31" s="1"/>
  <c r="J6" i="31"/>
  <c r="J5" i="31" s="1"/>
  <c r="D51" i="31" s="1"/>
  <c r="D50" i="31" s="1"/>
  <c r="AB7" i="31"/>
  <c r="AB6" i="31" s="1"/>
  <c r="AB5" i="31" s="1"/>
  <c r="D55" i="31" s="1"/>
  <c r="D54" i="31" s="1"/>
  <c r="AP33" i="31"/>
  <c r="AP32" i="31" s="1"/>
  <c r="X33" i="31"/>
  <c r="X32" i="31" s="1"/>
  <c r="P29" i="8"/>
  <c r="R29" i="8" s="1"/>
  <c r="R28" i="8" s="1"/>
  <c r="V24" i="8"/>
  <c r="N24" i="8"/>
  <c r="F30" i="11"/>
  <c r="BD7" i="32" l="1"/>
  <c r="BD34" i="32" s="1"/>
  <c r="BC7" i="32"/>
  <c r="BC34" i="32" s="1"/>
  <c r="BB7" i="32"/>
  <c r="BB34" i="32" s="1"/>
  <c r="BA7" i="32"/>
  <c r="BA34" i="32" s="1"/>
  <c r="AW7" i="32"/>
  <c r="AW34" i="32" s="1"/>
  <c r="AZ7" i="32"/>
  <c r="AZ34" i="32" s="1"/>
  <c r="BF7" i="32"/>
  <c r="BF34" i="32" s="1"/>
  <c r="AY7" i="32"/>
  <c r="AY34" i="32" s="1"/>
  <c r="AX7" i="32"/>
  <c r="AX34" i="32" s="1"/>
  <c r="BG7" i="32"/>
  <c r="BG34" i="32" s="1"/>
  <c r="BE7" i="32"/>
  <c r="BE34" i="32" s="1"/>
  <c r="AD7" i="32"/>
  <c r="AO7" i="32"/>
  <c r="AO34" i="32" s="1"/>
  <c r="AJ7" i="32"/>
  <c r="AJ34" i="32" s="1"/>
  <c r="AN7" i="32"/>
  <c r="AN34" i="32" s="1"/>
  <c r="AM7" i="32"/>
  <c r="AM34" i="32" s="1"/>
  <c r="AL7" i="32"/>
  <c r="AL34" i="32" s="1"/>
  <c r="AK7" i="32"/>
  <c r="AK34" i="32" s="1"/>
  <c r="AG7" i="32"/>
  <c r="AG34" i="32" s="1"/>
  <c r="X6" i="32"/>
  <c r="X5" i="32" s="1"/>
  <c r="AF7" i="32"/>
  <c r="AF34" i="32" s="1"/>
  <c r="AE7" i="32"/>
  <c r="AE34" i="32" s="1"/>
  <c r="AI7" i="32"/>
  <c r="AI34" i="32" s="1"/>
  <c r="AH7" i="32"/>
  <c r="AH34" i="32" s="1"/>
  <c r="X7" i="31"/>
  <c r="D21" i="8"/>
  <c r="D23" i="8" s="1"/>
  <c r="BH7" i="32" l="1"/>
  <c r="BH6" i="32" s="1"/>
  <c r="BH5" i="32" s="1"/>
  <c r="AV34" i="32"/>
  <c r="AP7" i="32"/>
  <c r="AP6" i="32" s="1"/>
  <c r="AP5" i="32" s="1"/>
  <c r="AD34" i="32"/>
  <c r="AO7" i="31"/>
  <c r="AO34" i="31" s="1"/>
  <c r="AD7" i="31"/>
  <c r="AD34" i="31" s="1"/>
  <c r="AE7" i="31"/>
  <c r="AE34" i="31" s="1"/>
  <c r="AF7" i="31"/>
  <c r="AF34" i="31" s="1"/>
  <c r="X6" i="31"/>
  <c r="X5" i="31" s="1"/>
  <c r="AG7" i="31"/>
  <c r="AG34" i="31" s="1"/>
  <c r="AH7" i="31"/>
  <c r="AH34" i="31" s="1"/>
  <c r="AI7" i="31"/>
  <c r="AI34" i="31" s="1"/>
  <c r="AJ7" i="31"/>
  <c r="AJ34" i="31" s="1"/>
  <c r="AK7" i="31"/>
  <c r="AK34" i="31" s="1"/>
  <c r="AL7" i="31"/>
  <c r="AL34" i="31" s="1"/>
  <c r="AM7" i="31"/>
  <c r="AM34" i="31" s="1"/>
  <c r="AN7" i="31"/>
  <c r="AN34" i="31" s="1"/>
  <c r="D39" i="8"/>
  <c r="D22" i="8"/>
  <c r="AP7" i="31" l="1"/>
  <c r="AP6" i="31" s="1"/>
  <c r="AP5" i="31" s="1"/>
  <c r="C13" i="8"/>
  <c r="R13" i="8" s="1"/>
  <c r="C14" i="8"/>
  <c r="R14" i="8" s="1"/>
  <c r="C37" i="8"/>
  <c r="V37" i="8" l="1"/>
  <c r="V36" i="8" s="1"/>
  <c r="Z37" i="8"/>
  <c r="Z36" i="8" s="1"/>
  <c r="R37" i="8"/>
  <c r="R36" i="8" s="1"/>
  <c r="N37" i="8"/>
  <c r="N36" i="8" s="1"/>
  <c r="J37" i="8"/>
  <c r="J36" i="8" s="1"/>
  <c r="C23" i="8"/>
  <c r="J23" i="8" s="1"/>
  <c r="C22" i="8" l="1"/>
  <c r="C12" i="8"/>
  <c r="D12" i="8"/>
  <c r="J12" i="8" l="1"/>
  <c r="V12" i="8"/>
  <c r="R12" i="8"/>
  <c r="N12" i="8"/>
  <c r="D27" i="8"/>
  <c r="D25" i="8"/>
  <c r="D26" i="8"/>
  <c r="C21" i="8"/>
  <c r="J22" i="8"/>
  <c r="D37" i="8"/>
  <c r="D14" i="8"/>
  <c r="F14" i="8" s="1"/>
  <c r="D13" i="8"/>
  <c r="F13" i="8" s="1"/>
  <c r="F12" i="8"/>
  <c r="C16" i="8"/>
  <c r="C7" i="8"/>
  <c r="C39" i="8"/>
  <c r="F6" i="11"/>
  <c r="L32" i="11"/>
  <c r="F29" i="8"/>
  <c r="V21" i="8" l="1"/>
  <c r="R21" i="8"/>
  <c r="N21" i="8"/>
  <c r="Z39" i="8"/>
  <c r="Z38" i="8" s="1"/>
  <c r="Z35" i="8" s="1"/>
  <c r="R39" i="8"/>
  <c r="R38" i="8" s="1"/>
  <c r="R35" i="8" s="1"/>
  <c r="D57" i="8" s="1"/>
  <c r="V39" i="8"/>
  <c r="V38" i="8" s="1"/>
  <c r="V35" i="8" s="1"/>
  <c r="D61" i="8" s="1"/>
  <c r="J7" i="8"/>
  <c r="R7" i="8"/>
  <c r="V7" i="8"/>
  <c r="N7" i="8"/>
  <c r="J16" i="8"/>
  <c r="N16" i="8"/>
  <c r="V16" i="8"/>
  <c r="R16" i="8"/>
  <c r="F39" i="8"/>
  <c r="F38" i="8" s="1"/>
  <c r="J39" i="8"/>
  <c r="J38" i="8" s="1"/>
  <c r="J35" i="8" s="1"/>
  <c r="D49" i="8" s="1"/>
  <c r="N39" i="8"/>
  <c r="N38" i="8" s="1"/>
  <c r="N35" i="8" s="1"/>
  <c r="D53" i="8" s="1"/>
  <c r="F27" i="8"/>
  <c r="F25" i="8"/>
  <c r="F26" i="8"/>
  <c r="F21" i="8"/>
  <c r="J21" i="8"/>
  <c r="F23" i="8"/>
  <c r="F41" i="8"/>
  <c r="F40" i="8" s="1"/>
  <c r="C9" i="8"/>
  <c r="F7" i="11"/>
  <c r="J9" i="8" l="1"/>
  <c r="V9" i="8"/>
  <c r="R9" i="8"/>
  <c r="N9" i="8"/>
  <c r="F24" i="8"/>
  <c r="C8" i="11"/>
  <c r="J24" i="8"/>
  <c r="F9" i="8"/>
  <c r="C10" i="8"/>
  <c r="J10" i="8" l="1"/>
  <c r="V10" i="8"/>
  <c r="N10" i="8"/>
  <c r="R10" i="8"/>
  <c r="F8" i="11"/>
  <c r="F5" i="11" s="1"/>
  <c r="F4" i="11" s="1"/>
  <c r="D11" i="11" s="1"/>
  <c r="D10" i="11" s="1"/>
  <c r="O8" i="11"/>
  <c r="O5" i="11" s="1"/>
  <c r="O4" i="11" s="1"/>
  <c r="D20" i="11" s="1"/>
  <c r="I8" i="11"/>
  <c r="I5" i="11" s="1"/>
  <c r="I4" i="11" s="1"/>
  <c r="D14" i="11" s="1"/>
  <c r="D13" i="11" s="1"/>
  <c r="R8" i="11"/>
  <c r="R5" i="11" s="1"/>
  <c r="R4" i="11" s="1"/>
  <c r="D23" i="11" s="1"/>
  <c r="D22" i="11" s="1"/>
  <c r="L8" i="11"/>
  <c r="L5" i="11" s="1"/>
  <c r="L4" i="11" s="1"/>
  <c r="D17" i="11" s="1"/>
  <c r="F10" i="8"/>
  <c r="C11" i="8"/>
  <c r="C18" i="8"/>
  <c r="F22" i="8"/>
  <c r="J18" i="8" l="1"/>
  <c r="F18" i="8"/>
  <c r="N18" i="8"/>
  <c r="R18" i="8"/>
  <c r="V18" i="8"/>
  <c r="N11" i="8"/>
  <c r="N6" i="8" s="1"/>
  <c r="R11" i="8"/>
  <c r="R6" i="8" s="1"/>
  <c r="V11" i="8"/>
  <c r="V6" i="8" s="1"/>
  <c r="D19" i="11"/>
  <c r="D16" i="11"/>
  <c r="F11" i="8"/>
  <c r="J11" i="8"/>
  <c r="J6" i="8" s="1"/>
  <c r="C19" i="8"/>
  <c r="N19" i="8" l="1"/>
  <c r="V19" i="8"/>
  <c r="R19" i="8"/>
  <c r="C20" i="8"/>
  <c r="J19" i="8"/>
  <c r="F19" i="8"/>
  <c r="J20" i="8" l="1"/>
  <c r="J15" i="8" s="1"/>
  <c r="V20" i="8"/>
  <c r="V15" i="8" s="1"/>
  <c r="N20" i="8"/>
  <c r="N15" i="8" s="1"/>
  <c r="R20" i="8"/>
  <c r="R15" i="8" s="1"/>
  <c r="F20" i="8"/>
  <c r="F28" i="8"/>
  <c r="F7" i="8" l="1"/>
  <c r="F6" i="8" s="1"/>
  <c r="F16" i="8"/>
  <c r="F15" i="8" s="1"/>
  <c r="C31" i="8" l="1"/>
  <c r="F37" i="8"/>
  <c r="F36" i="8" s="1"/>
  <c r="F35" i="8" s="1"/>
  <c r="D45" i="8" s="1"/>
  <c r="V31" i="8" l="1"/>
  <c r="R31" i="8"/>
  <c r="N31" i="8"/>
  <c r="J31" i="8"/>
  <c r="V30" i="8"/>
  <c r="V5" i="8" s="1"/>
  <c r="D60" i="8" s="1"/>
  <c r="D59" i="8" s="1"/>
  <c r="R30" i="8"/>
  <c r="R5" i="8" s="1"/>
  <c r="D56" i="8" s="1"/>
  <c r="D55" i="8" s="1"/>
  <c r="N30" i="8"/>
  <c r="N5" i="8" s="1"/>
  <c r="D52" i="8" s="1"/>
  <c r="D51" i="8" s="1"/>
  <c r="F31" i="8"/>
  <c r="F30" i="8" s="1"/>
  <c r="F5" i="8" s="1"/>
  <c r="J30" i="8"/>
  <c r="J5" i="8" s="1"/>
  <c r="D48" i="8" s="1"/>
  <c r="D47" i="8" s="1"/>
  <c r="D44" i="8"/>
  <c r="D43" i="8" s="1"/>
  <c r="J7" i="33" l="1"/>
  <c r="AB7" i="33" s="1"/>
  <c r="V41" i="33"/>
  <c r="AB6" i="33" l="1"/>
  <c r="AB5" i="33" s="1"/>
  <c r="D67" i="33" s="1"/>
  <c r="D66" i="33" s="1"/>
  <c r="AT7" i="33"/>
  <c r="AT6" i="33" s="1"/>
  <c r="AT5" i="33" s="1"/>
  <c r="D71" i="33" s="1"/>
  <c r="D70" i="33" s="1"/>
  <c r="BL7" i="33"/>
  <c r="BL6" i="33" s="1"/>
  <c r="BL5" i="33" s="1"/>
  <c r="D75" i="33" s="1"/>
  <c r="D74" i="33" s="1"/>
  <c r="W41" i="33"/>
  <c r="F6" i="33"/>
  <c r="J6" i="33"/>
  <c r="J5" i="33" s="1"/>
  <c r="D63" i="33" s="1"/>
  <c r="D62" i="33" s="1"/>
  <c r="X7" i="33" l="1"/>
  <c r="U41" i="33"/>
  <c r="AO7" i="33" l="1"/>
  <c r="AD7" i="33"/>
  <c r="AD41" i="33" s="1"/>
  <c r="AE7" i="33"/>
  <c r="AE41" i="33" s="1"/>
  <c r="AF7" i="33"/>
  <c r="AF41" i="33" s="1"/>
  <c r="AG7" i="33"/>
  <c r="AG41" i="33" s="1"/>
  <c r="AH7" i="33"/>
  <c r="AH41" i="33" s="1"/>
  <c r="AI7" i="33"/>
  <c r="AI41" i="33" s="1"/>
  <c r="AJ7" i="33"/>
  <c r="AJ41" i="33" s="1"/>
  <c r="AK7" i="33"/>
  <c r="AK41" i="33" s="1"/>
  <c r="AL7" i="33"/>
  <c r="AL41" i="33" s="1"/>
  <c r="AM7" i="33"/>
  <c r="AM41" i="33" s="1"/>
  <c r="AN7" i="33"/>
  <c r="AN41" i="33" s="1"/>
  <c r="BU7" i="33"/>
  <c r="BU41" i="33" s="1"/>
  <c r="BE7" i="33"/>
  <c r="BE41" i="33" s="1"/>
  <c r="AY7" i="33"/>
  <c r="AY41" i="33" s="1"/>
  <c r="BO7" i="33"/>
  <c r="BO41" i="33" s="1"/>
  <c r="BW7" i="33"/>
  <c r="BW41" i="33" s="1"/>
  <c r="BP7" i="33"/>
  <c r="BP41" i="33" s="1"/>
  <c r="AZ7" i="33"/>
  <c r="AZ41" i="33" s="1"/>
  <c r="BG7" i="33"/>
  <c r="BG41" i="33" s="1"/>
  <c r="X6" i="33"/>
  <c r="X5" i="33" s="1"/>
  <c r="X41" i="33" s="1"/>
  <c r="BS7" i="33"/>
  <c r="BS41" i="33" s="1"/>
  <c r="BF7" i="33"/>
  <c r="BF41" i="33" s="1"/>
  <c r="BA7" i="33"/>
  <c r="BA41" i="33" s="1"/>
  <c r="BY7" i="33"/>
  <c r="BY41" i="33" s="1"/>
  <c r="AO41" i="33"/>
  <c r="BN7" i="33"/>
  <c r="BN41" i="33" s="1"/>
  <c r="BC7" i="33"/>
  <c r="BC41" i="33" s="1"/>
  <c r="BV7" i="33"/>
  <c r="BV41" i="33" s="1"/>
  <c r="AV7" i="33"/>
  <c r="AV41" i="33" s="1"/>
  <c r="BB7" i="33"/>
  <c r="BB41" i="33" s="1"/>
  <c r="BD7" i="33"/>
  <c r="BD41" i="33" s="1"/>
  <c r="BR7" i="33"/>
  <c r="BR41" i="33" s="1"/>
  <c r="AX7" i="33"/>
  <c r="AX41" i="33" s="1"/>
  <c r="BQ7" i="33"/>
  <c r="BQ41" i="33" s="1"/>
  <c r="BX7" i="33"/>
  <c r="BX41" i="33" s="1"/>
  <c r="AW7" i="33"/>
  <c r="AW41" i="33" s="1"/>
  <c r="BT7" i="33"/>
  <c r="BT41" i="33" s="1"/>
  <c r="AP7" i="33" l="1"/>
  <c r="AP6" i="33" s="1"/>
  <c r="AP5" i="33" s="1"/>
  <c r="AP41" i="33" s="1"/>
  <c r="BZ7" i="33"/>
  <c r="BZ6" i="33" s="1"/>
  <c r="BZ5" i="33" s="1"/>
  <c r="BZ41" i="33" s="1"/>
  <c r="BH7" i="33"/>
  <c r="BH6" i="33" s="1"/>
  <c r="BH5" i="33" s="1"/>
  <c r="BH41" i="3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tc={F7600740-D04C-463E-82F1-FFD936AB2BD7}</author>
    <author>tc={1D573675-A32E-466C-B1B4-FD47A36FCF09}</author>
  </authors>
  <commentList>
    <comment ref="C39" authorId="0" shapeId="0" xr:uid="{F7600740-D04C-463E-82F1-FFD936AB2BD7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Pendiente TMB verificar valor con respecto al actual</t>
        </r>
      </text>
    </comment>
    <comment ref="E41" authorId="1" shapeId="0" xr:uid="{1D573675-A32E-466C-B1B4-FD47A36FCF09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Pendiente TMB que nos den este valor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tc={B5DCD261-8B72-481C-AE4A-12AB5BB52995}</author>
    <author>tc={07AFA6A4-A711-4725-81D2-D9F1D160C20F}</author>
  </authors>
  <commentList>
    <comment ref="C41" authorId="0" shapeId="0" xr:uid="{B5DCD261-8B72-481C-AE4A-12AB5BB52995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Pendiente TMB verificar valor con respecto al actual</t>
        </r>
      </text>
    </comment>
    <comment ref="E43" authorId="1" shapeId="0" xr:uid="{07AFA6A4-A711-4725-81D2-D9F1D160C20F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Pendiente TMB que nos den este valor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tc={29F5CDD8-9C6D-4592-B34B-8363AC2600B7}</author>
    <author>tc={7970EE35-66F5-4688-9543-044641346498}</author>
  </authors>
  <commentList>
    <comment ref="C42" authorId="0" shapeId="0" xr:uid="{29F5CDD8-9C6D-4592-B34B-8363AC2600B7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Pendiente TMB verificar valor con respecto al actual</t>
        </r>
      </text>
    </comment>
    <comment ref="E44" authorId="1" shapeId="0" xr:uid="{7970EE35-66F5-4688-9543-044641346498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Pendiente TMB que nos den este valor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tc={75A65042-CCFE-4EB8-92F1-AA2C4C244394}</author>
    <author>tc={39F09259-1863-4A68-833B-F7C3F34144B2}</author>
  </authors>
  <commentList>
    <comment ref="C42" authorId="0" shapeId="0" xr:uid="{75A65042-CCFE-4EB8-92F1-AA2C4C244394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Pendiente TMB verificar valor con respecto al actual</t>
        </r>
      </text>
    </comment>
    <comment ref="E44" authorId="1" shapeId="0" xr:uid="{39F09259-1863-4A68-833B-F7C3F34144B2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Pendiente TMB que nos den este valor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tc={41C46DE6-4751-4B34-AA9E-0109F8A1D75B}</author>
    <author>tc={D9166B66-CFFD-4F1F-845A-E3D46C278C41}</author>
  </authors>
  <commentList>
    <comment ref="C49" authorId="0" shapeId="0" xr:uid="{41C46DE6-4751-4B34-AA9E-0109F8A1D75B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Pendiente TMB verificar valor con respecto al actual</t>
        </r>
      </text>
    </comment>
    <comment ref="E51" authorId="1" shapeId="0" xr:uid="{D9166B66-CFFD-4F1F-845A-E3D46C278C41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Pendiente TMB que nos den este valor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tc={DAEF79C5-370D-4F3C-9F37-BFE3B4B97C13}</author>
    <author>tc={82C4389B-EACF-4221-9A52-17D0CBB0931D}</author>
  </authors>
  <commentList>
    <comment ref="B6" authorId="0" shapeId="0" xr:uid="{DAEF79C5-370D-4F3C-9F37-BFE3B4B97C13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Diferenciar entre desinstalación de equipo de línea y equipo en almacén. El coste para este segundo debe ser menor.</t>
        </r>
      </text>
    </comment>
    <comment ref="B8" authorId="1" shapeId="0" xr:uid="{82C4389B-EACF-4221-9A52-17D0CBB0931D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Debe incluir partida para dirección de proyecto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<sst xmlns="http://schemas.openxmlformats.org/spreadsheetml/2006/main" count="987" uniqueCount="153">
  <si>
    <t>2025-2028</t>
  </si>
  <si>
    <t xml:space="preserve"> LOTE 1: SUMINISTRO, INSTALACIÓN Y PUESTA EN SERVICIO </t>
  </si>
  <si>
    <t>Precio Ud.</t>
  </si>
  <si>
    <t>Uds.</t>
  </si>
  <si>
    <t>Horas</t>
  </si>
  <si>
    <t>Subtotal</t>
  </si>
  <si>
    <t>TOTAL</t>
  </si>
  <si>
    <t>DC</t>
  </si>
  <si>
    <t>DAC</t>
  </si>
  <si>
    <t>DC1</t>
  </si>
  <si>
    <t xml:space="preserve">Suministro DAC </t>
  </si>
  <si>
    <t>DC2</t>
  </si>
  <si>
    <t>Suministro DAC (Piloto)</t>
  </si>
  <si>
    <t>DC3</t>
  </si>
  <si>
    <t>Suministro DAC (Laboratorio)</t>
  </si>
  <si>
    <t>DC4</t>
  </si>
  <si>
    <t>Suministro DAC (Mantenimiento)</t>
  </si>
  <si>
    <t>DC5</t>
  </si>
  <si>
    <t>Suministro DAC (Formación)</t>
  </si>
  <si>
    <t>DC6</t>
  </si>
  <si>
    <t xml:space="preserve">Instalación y configuración DAC </t>
  </si>
  <si>
    <t>Instalación y configuración DAC (Diurno)</t>
  </si>
  <si>
    <t>DC7</t>
  </si>
  <si>
    <t>Instalación y configuración DAC (Nocturno)</t>
  </si>
  <si>
    <t>DB</t>
  </si>
  <si>
    <t>DAB</t>
  </si>
  <si>
    <t>DB1</t>
  </si>
  <si>
    <t>Suministro DAB</t>
  </si>
  <si>
    <t>DB2</t>
  </si>
  <si>
    <t>Suministro DAB (Piloto)</t>
  </si>
  <si>
    <t>DB3</t>
  </si>
  <si>
    <t>Suministro DAB (Laboratorio)</t>
  </si>
  <si>
    <t>DB4</t>
  </si>
  <si>
    <t>Suministro DAB (Mantenimiento)</t>
  </si>
  <si>
    <t>DB5</t>
  </si>
  <si>
    <t>Suministro DAB (Formación)</t>
  </si>
  <si>
    <t>DB6</t>
  </si>
  <si>
    <t>Instalación y configuración DAB</t>
  </si>
  <si>
    <t>Instalación y configuración DAB (Diurno)</t>
  </si>
  <si>
    <t>DB7</t>
  </si>
  <si>
    <t>Instalación y configuración DAB (Nocturno)</t>
  </si>
  <si>
    <t>EL</t>
  </si>
  <si>
    <t>ELEMENTOS ADICIONALES</t>
  </si>
  <si>
    <t>EL1</t>
  </si>
  <si>
    <t>Cajas de recarga</t>
  </si>
  <si>
    <t>EL2</t>
  </si>
  <si>
    <t>Cajas de recaudación monedas</t>
  </si>
  <si>
    <t>EL3</t>
  </si>
  <si>
    <t>Cajas de recaudación billetes</t>
  </si>
  <si>
    <t>I</t>
  </si>
  <si>
    <t>INTEGRACIONES</t>
  </si>
  <si>
    <t>I1</t>
  </si>
  <si>
    <t>Licencia interfonía</t>
  </si>
  <si>
    <t>IAG</t>
  </si>
  <si>
    <t>INGENIERÍA , ANÁLISIS Y GESTIÓN DE PROYECTO</t>
  </si>
  <si>
    <t>IAG1</t>
  </si>
  <si>
    <t>Ingeniería (Dirección de proyecto, ingeniería, análisis, redacción de especificaciones funcionales, redacción de documentación (manuales, proyecto "as built, …), configuración, pruebas, formación, pruebas de integraciones específicas"</t>
  </si>
  <si>
    <t xml:space="preserve"> </t>
  </si>
  <si>
    <t>MANTENIMIENTO ANUAL DE LOS EQUIPOS Y OTROS SERVICIOS RECURRENTES</t>
  </si>
  <si>
    <t>TOTAL ANUAL</t>
  </si>
  <si>
    <t>MIC</t>
  </si>
  <si>
    <t>MANTENIMIENTO INTEGRAL DE DAC</t>
  </si>
  <si>
    <t>MIC1</t>
  </si>
  <si>
    <t>Servicios de mantenimiento integral de DAC (por máquina)</t>
  </si>
  <si>
    <t>MIB</t>
  </si>
  <si>
    <t>MANTENIMIENTO INTEGRAL DE DAB</t>
  </si>
  <si>
    <t>MIB1</t>
  </si>
  <si>
    <t>Servicios de mantenimiento integral de DAB (por máquina)</t>
  </si>
  <si>
    <t>SR</t>
  </si>
  <si>
    <t>OTROS SERVICIOS RECURRENTES</t>
  </si>
  <si>
    <t>SR1</t>
  </si>
  <si>
    <t>Ampliaciones, desarrollos a demanda, mantenimiento evolutivo (en horas)</t>
  </si>
  <si>
    <t>TOTALES</t>
  </si>
  <si>
    <t xml:space="preserve"> LOTE 1</t>
  </si>
  <si>
    <t>Suministro, Instalación y Puesta en Marcha</t>
  </si>
  <si>
    <t>Mantenimiento (2 AÑOS)</t>
  </si>
  <si>
    <t>TOTALES (AÑO 2025)</t>
  </si>
  <si>
    <t>Mantenimiento</t>
  </si>
  <si>
    <t>TOTALES (AÑO 2026)</t>
  </si>
  <si>
    <t>TOTALES (AÑO 2027)</t>
  </si>
  <si>
    <t>TOTALES (AÑO 2028)</t>
  </si>
  <si>
    <t>º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</si>
  <si>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</si>
  <si>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</si>
  <si>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</si>
  <si>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</si>
  <si>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</si>
  <si>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</si>
  <si>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</si>
  <si>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</si>
  <si>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</si>
  <si>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</si>
  <si>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</si>
  <si>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</si>
  <si>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</t>
  </si>
  <si>
    <t>PROYECTO</t>
  </si>
  <si>
    <t>PR1</t>
  </si>
  <si>
    <t>Inicio del proyecto</t>
  </si>
  <si>
    <t>Porcentaje</t>
  </si>
  <si>
    <t>HP</t>
  </si>
  <si>
    <t>HITOS PROYECTO</t>
  </si>
  <si>
    <t>HR1</t>
  </si>
  <si>
    <t>Firma del contrato</t>
  </si>
  <si>
    <t>HR2</t>
  </si>
  <si>
    <t>Validación prototipo HW</t>
  </si>
  <si>
    <t>HR3</t>
  </si>
  <si>
    <t>Homologación T-Mobilitat</t>
  </si>
  <si>
    <t>HR4</t>
  </si>
  <si>
    <t>Inicio piloto Sprint "piloto"</t>
  </si>
  <si>
    <t>HR5</t>
  </si>
  <si>
    <t>Finalización Ingeniería SW</t>
  </si>
  <si>
    <t>HR6</t>
  </si>
  <si>
    <t>Despliegue masivo. Facturación mensual</t>
  </si>
  <si>
    <t>HR7</t>
  </si>
  <si>
    <t>Mantenimiento. Facturación mensual</t>
  </si>
  <si>
    <t>HR8</t>
  </si>
  <si>
    <t>Firma de finalización del contrato</t>
  </si>
  <si>
    <t>CANTIDADES</t>
  </si>
  <si>
    <t xml:space="preserve"> LOTE 2: DESINSTALACIÓN DE LOS EQUIPOS EXISTENTES</t>
  </si>
  <si>
    <t>DE</t>
  </si>
  <si>
    <t>DESINSTALACIÓN</t>
  </si>
  <si>
    <t>DE1</t>
  </si>
  <si>
    <r>
      <t xml:space="preserve">Desinstalación de los equipos, gestión del equipo como residuo y recuperación de elementos útiles (reutilizables). Arreglos desperfectos. </t>
    </r>
    <r>
      <rPr>
        <b/>
        <i/>
        <sz val="11"/>
        <color theme="1"/>
        <rFont val="Calibri"/>
        <family val="2"/>
        <scheme val="minor"/>
      </rPr>
      <t>EQUIPO EN LÍNEA</t>
    </r>
    <r>
      <rPr>
        <sz val="11"/>
        <color theme="1"/>
        <rFont val="Calibri"/>
        <family val="2"/>
        <scheme val="minor"/>
      </rPr>
      <t>.</t>
    </r>
  </si>
  <si>
    <t>DE2</t>
  </si>
  <si>
    <r>
      <t xml:space="preserve">Gestión de los equipos como residuo desde dependencias del cliente y recuperación de elementos útiles (reutilizables). </t>
    </r>
    <r>
      <rPr>
        <b/>
        <i/>
        <sz val="11"/>
        <color theme="1"/>
        <rFont val="Calibri"/>
        <family val="2"/>
        <scheme val="minor"/>
      </rPr>
      <t>EQUIPO EN ALMACÉN.</t>
    </r>
  </si>
  <si>
    <t>DE3</t>
  </si>
  <si>
    <t>Dirección de proyecto (planificación, coordinación y supervisión de todas las actividades relacionadas con la desinstalación de las equipos, tanto en equipos en línea como equipos en almacén)</t>
  </si>
  <si>
    <t>LOTE 2</t>
  </si>
  <si>
    <t>Desinstalación</t>
  </si>
  <si>
    <t>AÑO</t>
  </si>
  <si>
    <t>PORCENTAJE</t>
  </si>
  <si>
    <t>Tipos de máquinas LOTE 2</t>
  </si>
  <si>
    <t>Unidades</t>
  </si>
  <si>
    <t>Año 2025</t>
  </si>
  <si>
    <t>Operativa</t>
  </si>
  <si>
    <t>Año 2026</t>
  </si>
  <si>
    <t>Tapada</t>
  </si>
  <si>
    <t>Año 2027</t>
  </si>
  <si>
    <t>Tapada (se coloca operativa esta semana)</t>
  </si>
  <si>
    <t>Año 2028</t>
  </si>
  <si>
    <t>Cedida a INDRA por TVAT</t>
  </si>
  <si>
    <t>Retirada almacén St. Genís</t>
  </si>
  <si>
    <t>Retirada almacén Triangle</t>
  </si>
  <si>
    <t>Total</t>
  </si>
  <si>
    <t>Estimació operacions anuals</t>
  </si>
  <si>
    <t>Preu total € / operacions</t>
  </si>
  <si>
    <t>Operacions addicionals no incloses en manteniment integral</t>
  </si>
  <si>
    <t>Concepte</t>
  </si>
  <si>
    <t>Operació</t>
  </si>
  <si>
    <t>Cost unitari operació</t>
  </si>
  <si>
    <t>Canvi Pantalla Tàctil DAC</t>
  </si>
  <si>
    <t>Canvi Pantalla TFT DAC</t>
  </si>
  <si>
    <t>Canvi Kit EMV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</si>
</sst>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00\ &quot;€&quot;_-;\-* #,##0.000\ &quot;€&quot;_-;_-* &quot;-&quot;???\ &quot;€&quot;_-;_-@_-"/>
    <numFmt numFmtId="171" formatCode="#,##0.00\ &quot;€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2F2F2"/>
        <bgColor rgb="FF000000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5">
    <xf numFmtId="0" fontId="0" fillId="0" borderId="0" xfId="0"/>
    <xf numFmtId="0" fontId="0" fillId="0" borderId="0" xfId="0" applyAlignment="1">
      <alignment horizontal="justify" vertical="center" wrapText="1"/>
    </xf>
    <xf numFmtId="3" fontId="0" fillId="0" borderId="0" xfId="0" applyNumberFormat="1" applyAlignment="1">
      <alignment horizontal="center" vertical="center" wrapText="1"/>
    </xf>
    <xf numFmtId="4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justify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4" fontId="3" fillId="0" borderId="0" xfId="0" applyNumberFormat="1" applyFont="1" applyAlignment="1">
      <alignment horizontal="left" vertical="center" wrapText="1"/>
    </xf>
    <xf numFmtId="4" fontId="0" fillId="0" borderId="0" xfId="0" applyNumberFormat="1" applyAlignment="1">
      <alignment horizontal="left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4" fontId="0" fillId="2" borderId="1" xfId="1" applyFont="1" applyFill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 wrapText="1"/>
    </xf>
    <xf numFmtId="164" fontId="4" fillId="0" borderId="1" xfId="1" applyNumberFormat="1" applyFont="1" applyFill="1" applyBorder="1" applyAlignment="1">
      <alignment vertical="center" wrapText="1"/>
    </xf>
    <xf numFmtId="164" fontId="3" fillId="0" borderId="0" xfId="1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2" fillId="5" borderId="1" xfId="1" applyNumberFormat="1" applyFont="1" applyFill="1" applyBorder="1" applyAlignment="1">
      <alignment vertical="center" wrapText="1"/>
    </xf>
    <xf numFmtId="164" fontId="10" fillId="4" borderId="1" xfId="1" applyNumberFormat="1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164" fontId="10" fillId="4" borderId="1" xfId="1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2" fillId="5" borderId="1" xfId="1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0" fillId="0" borderId="5" xfId="1" applyNumberFormat="1" applyFont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3" fontId="0" fillId="8" borderId="1" xfId="0" applyNumberFormat="1" applyFill="1" applyBorder="1" applyAlignment="1">
      <alignment horizontal="center" vertical="center" wrapText="1"/>
    </xf>
    <xf numFmtId="164" fontId="0" fillId="9" borderId="1" xfId="0" applyNumberFormat="1" applyFill="1" applyBorder="1"/>
    <xf numFmtId="0" fontId="4" fillId="6" borderId="4" xfId="0" applyFont="1" applyFill="1" applyBorder="1" applyAlignment="1">
      <alignment horizontal="center" vertical="center" wrapText="1"/>
    </xf>
    <xf numFmtId="1" fontId="0" fillId="8" borderId="3" xfId="1" applyNumberFormat="1" applyFont="1" applyFill="1" applyBorder="1" applyAlignment="1">
      <alignment horizontal="center" vertical="center" wrapText="1"/>
    </xf>
    <xf numFmtId="3" fontId="0" fillId="2" borderId="4" xfId="0" applyNumberForma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" fontId="0" fillId="8" borderId="2" xfId="1" applyNumberFormat="1" applyFont="1" applyFill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 wrapText="1"/>
    </xf>
    <xf numFmtId="1" fontId="0" fillId="0" borderId="3" xfId="1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64" fontId="0" fillId="9" borderId="6" xfId="1" applyNumberFormat="1" applyFont="1" applyFill="1" applyBorder="1" applyAlignment="1">
      <alignment horizontal="center" vertical="center" wrapText="1"/>
    </xf>
    <xf numFmtId="44" fontId="6" fillId="0" borderId="0" xfId="1" applyFont="1" applyFill="1" applyBorder="1" applyAlignment="1">
      <alignment vertical="center" wrapText="1"/>
    </xf>
    <xf numFmtId="164" fontId="1" fillId="0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64" fontId="0" fillId="0" borderId="1" xfId="1" applyNumberFormat="1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 wrapText="1"/>
    </xf>
    <xf numFmtId="164" fontId="0" fillId="6" borderId="1" xfId="1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vertical="center" wrapText="1"/>
    </xf>
    <xf numFmtId="3" fontId="4" fillId="10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9" fontId="0" fillId="0" borderId="1" xfId="4" applyFont="1" applyBorder="1" applyAlignment="1">
      <alignment horizontal="center" vertical="center"/>
    </xf>
    <xf numFmtId="164" fontId="6" fillId="4" borderId="1" xfId="1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9" fontId="6" fillId="4" borderId="1" xfId="4" applyFont="1" applyFill="1" applyBorder="1" applyAlignment="1">
      <alignment horizontal="center" vertical="center"/>
    </xf>
    <xf numFmtId="164" fontId="10" fillId="4" borderId="7" xfId="1" applyNumberFormat="1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vertical="center" wrapText="1"/>
    </xf>
    <xf numFmtId="164" fontId="2" fillId="5" borderId="2" xfId="1" applyNumberFormat="1" applyFont="1" applyFill="1" applyBorder="1" applyAlignment="1">
      <alignment vertical="center" wrapText="1"/>
    </xf>
    <xf numFmtId="164" fontId="10" fillId="4" borderId="3" xfId="1" applyNumberFormat="1" applyFont="1" applyFill="1" applyBorder="1" applyAlignment="1">
      <alignment horizontal="center" vertical="center" wrapText="1"/>
    </xf>
    <xf numFmtId="164" fontId="10" fillId="4" borderId="3" xfId="1" applyNumberFormat="1" applyFont="1" applyFill="1" applyBorder="1" applyAlignment="1">
      <alignment vertical="center" wrapText="1"/>
    </xf>
    <xf numFmtId="164" fontId="12" fillId="5" borderId="3" xfId="1" applyNumberFormat="1" applyFont="1" applyFill="1" applyBorder="1" applyAlignment="1">
      <alignment vertical="center" wrapText="1"/>
    </xf>
    <xf numFmtId="164" fontId="0" fillId="0" borderId="6" xfId="1" applyNumberFormat="1" applyFont="1" applyFill="1" applyBorder="1" applyAlignment="1">
      <alignment horizontal="center" vertical="center" wrapText="1"/>
    </xf>
    <xf numFmtId="164" fontId="0" fillId="0" borderId="2" xfId="1" applyNumberFormat="1" applyFont="1" applyFill="1" applyBorder="1" applyAlignment="1">
      <alignment horizontal="center" vertical="center" wrapText="1"/>
    </xf>
    <xf numFmtId="164" fontId="12" fillId="5" borderId="2" xfId="1" applyNumberFormat="1" applyFont="1" applyFill="1" applyBorder="1" applyAlignment="1">
      <alignment vertical="center" wrapText="1"/>
    </xf>
    <xf numFmtId="164" fontId="0" fillId="9" borderId="2" xfId="1" applyNumberFormat="1" applyFont="1" applyFill="1" applyBorder="1" applyAlignment="1">
      <alignment horizontal="center" vertical="center" wrapText="1"/>
    </xf>
    <xf numFmtId="164" fontId="13" fillId="5" borderId="2" xfId="0" applyNumberFormat="1" applyFont="1" applyFill="1" applyBorder="1" applyAlignment="1">
      <alignment horizontal="center" vertical="center" wrapText="1"/>
    </xf>
    <xf numFmtId="164" fontId="0" fillId="10" borderId="2" xfId="1" applyNumberFormat="1" applyFont="1" applyFill="1" applyBorder="1" applyAlignment="1">
      <alignment horizontal="center" vertical="center" wrapText="1"/>
    </xf>
    <xf numFmtId="164" fontId="0" fillId="0" borderId="2" xfId="1" applyNumberFormat="1" applyFon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64" fontId="10" fillId="4" borderId="15" xfId="1" applyNumberFormat="1" applyFont="1" applyFill="1" applyBorder="1" applyAlignment="1">
      <alignment horizontal="center" vertical="center" wrapText="1"/>
    </xf>
    <xf numFmtId="164" fontId="10" fillId="4" borderId="2" xfId="1" applyNumberFormat="1" applyFont="1" applyFill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10" fillId="4" borderId="2" xfId="1" applyNumberFormat="1" applyFont="1" applyFill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 wrapText="1"/>
    </xf>
    <xf numFmtId="165" fontId="0" fillId="0" borderId="2" xfId="0" applyNumberFormat="1" applyBorder="1" applyAlignment="1">
      <alignment vertical="center" wrapText="1"/>
    </xf>
    <xf numFmtId="44" fontId="0" fillId="0" borderId="2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" fontId="0" fillId="0" borderId="4" xfId="1" applyNumberFormat="1" applyFont="1" applyFill="1" applyBorder="1" applyAlignment="1">
      <alignment horizontal="center" vertical="center" wrapText="1"/>
    </xf>
    <xf numFmtId="0" fontId="0" fillId="12" borderId="1" xfId="0" applyFill="1" applyBorder="1" applyAlignment="1">
      <alignment vertical="center" wrapText="1"/>
    </xf>
    <xf numFmtId="0" fontId="10" fillId="4" borderId="9" xfId="0" applyFont="1" applyFill="1" applyBorder="1" applyAlignment="1">
      <alignment horizontal="center" vertical="center" wrapText="1"/>
    </xf>
    <xf numFmtId="164" fontId="10" fillId="4" borderId="9" xfId="1" applyNumberFormat="1" applyFont="1" applyFill="1" applyBorder="1" applyAlignment="1">
      <alignment horizontal="center" vertical="center" wrapText="1"/>
    </xf>
    <xf numFmtId="164" fontId="10" fillId="4" borderId="9" xfId="1" applyNumberFormat="1" applyFont="1" applyFill="1" applyBorder="1" applyAlignment="1">
      <alignment vertical="center" wrapText="1"/>
    </xf>
    <xf numFmtId="4" fontId="2" fillId="4" borderId="13" xfId="0" applyNumberFormat="1" applyFont="1" applyFill="1" applyBorder="1" applyAlignment="1">
      <alignment horizontal="left" vertical="center" wrapText="1"/>
    </xf>
    <xf numFmtId="164" fontId="12" fillId="5" borderId="20" xfId="1" applyNumberFormat="1" applyFont="1" applyFill="1" applyBorder="1" applyAlignment="1">
      <alignment vertical="center" wrapText="1"/>
    </xf>
    <xf numFmtId="164" fontId="12" fillId="5" borderId="21" xfId="1" applyNumberFormat="1" applyFont="1" applyFill="1" applyBorder="1" applyAlignment="1">
      <alignment vertical="center" wrapText="1"/>
    </xf>
    <xf numFmtId="0" fontId="0" fillId="0" borderId="20" xfId="1" applyNumberFormat="1" applyFont="1" applyFill="1" applyBorder="1" applyAlignment="1">
      <alignment horizontal="center" vertical="center" wrapText="1"/>
    </xf>
    <xf numFmtId="0" fontId="0" fillId="0" borderId="23" xfId="1" applyNumberFormat="1" applyFont="1" applyFill="1" applyBorder="1" applyAlignment="1">
      <alignment horizontal="center" vertical="center" wrapText="1"/>
    </xf>
    <xf numFmtId="164" fontId="0" fillId="0" borderId="24" xfId="0" applyNumberForma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164" fontId="0" fillId="0" borderId="22" xfId="1" applyNumberFormat="1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0" borderId="25" xfId="0" applyBorder="1" applyAlignment="1">
      <alignment horizontal="justify" vertical="center" wrapText="1"/>
    </xf>
    <xf numFmtId="164" fontId="0" fillId="0" borderId="25" xfId="1" applyNumberFormat="1" applyFont="1" applyBorder="1" applyAlignment="1">
      <alignment horizontal="center" vertical="center" wrapText="1"/>
    </xf>
    <xf numFmtId="0" fontId="0" fillId="0" borderId="25" xfId="1" applyNumberFormat="1" applyFont="1" applyFill="1" applyBorder="1" applyAlignment="1">
      <alignment horizontal="center" vertical="center" wrapText="1"/>
    </xf>
    <xf numFmtId="44" fontId="0" fillId="2" borderId="25" xfId="1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vertical="center" wrapText="1"/>
    </xf>
    <xf numFmtId="164" fontId="14" fillId="4" borderId="1" xfId="0" applyNumberFormat="1" applyFont="1" applyFill="1" applyBorder="1" applyAlignment="1">
      <alignment vertical="center" wrapText="1"/>
    </xf>
    <xf numFmtId="164" fontId="1" fillId="0" borderId="24" xfId="1" applyNumberFormat="1" applyFont="1" applyBorder="1" applyAlignment="1">
      <alignment horizontal="center" vertical="center" wrapText="1"/>
    </xf>
    <xf numFmtId="164" fontId="4" fillId="10" borderId="1" xfId="0" applyNumberFormat="1" applyFont="1" applyFill="1" applyBorder="1"/>
    <xf numFmtId="0" fontId="10" fillId="4" borderId="3" xfId="0" applyFont="1" applyFill="1" applyBorder="1" applyAlignment="1">
      <alignment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0" fontId="14" fillId="4" borderId="16" xfId="0" applyFont="1" applyFill="1" applyBorder="1" applyAlignment="1">
      <alignment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164" fontId="12" fillId="5" borderId="3" xfId="1" applyNumberFormat="1" applyFont="1" applyFill="1" applyBorder="1" applyAlignment="1">
      <alignment horizontal="center" vertical="center" wrapText="1"/>
    </xf>
    <xf numFmtId="164" fontId="12" fillId="5" borderId="4" xfId="1" applyNumberFormat="1" applyFont="1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 vertical="center" wrapText="1"/>
    </xf>
    <xf numFmtId="0" fontId="0" fillId="11" borderId="12" xfId="0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0" fillId="11" borderId="28" xfId="0" applyFill="1" applyBorder="1" applyAlignment="1">
      <alignment horizontal="center" vertical="center" wrapText="1"/>
    </xf>
    <xf numFmtId="164" fontId="12" fillId="5" borderId="6" xfId="1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4" fontId="12" fillId="0" borderId="6" xfId="1" applyNumberFormat="1" applyFont="1" applyFill="1" applyBorder="1" applyAlignment="1">
      <alignment vertical="center" wrapText="1"/>
    </xf>
    <xf numFmtId="164" fontId="12" fillId="0" borderId="3" xfId="1" applyNumberFormat="1" applyFont="1" applyFill="1" applyBorder="1" applyAlignment="1">
      <alignment horizontal="center" vertical="center" wrapText="1"/>
    </xf>
    <xf numFmtId="164" fontId="12" fillId="0" borderId="4" xfId="1" applyNumberFormat="1" applyFont="1" applyFill="1" applyBorder="1" applyAlignment="1">
      <alignment horizontal="center" vertical="center" wrapText="1"/>
    </xf>
    <xf numFmtId="0" fontId="0" fillId="11" borderId="29" xfId="0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vertical="center" wrapText="1"/>
    </xf>
    <xf numFmtId="164" fontId="11" fillId="0" borderId="6" xfId="1" applyNumberFormat="1" applyFont="1" applyFill="1" applyBorder="1" applyAlignment="1">
      <alignment vertical="center" wrapText="1"/>
    </xf>
    <xf numFmtId="164" fontId="11" fillId="0" borderId="1" xfId="1" applyNumberFormat="1" applyFont="1" applyFill="1" applyBorder="1" applyAlignment="1">
      <alignment vertical="center" wrapText="1"/>
    </xf>
    <xf numFmtId="164" fontId="12" fillId="0" borderId="0" xfId="1" applyNumberFormat="1" applyFont="1" applyFill="1" applyBorder="1" applyAlignment="1">
      <alignment horizontal="center" vertical="center" wrapText="1"/>
    </xf>
    <xf numFmtId="164" fontId="12" fillId="5" borderId="1" xfId="1" applyNumberFormat="1" applyFont="1" applyFill="1" applyBorder="1" applyAlignment="1">
      <alignment horizontal="center" vertical="center" wrapText="1"/>
    </xf>
    <xf numFmtId="0" fontId="0" fillId="11" borderId="30" xfId="0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center" vertical="center" wrapText="1"/>
    </xf>
    <xf numFmtId="164" fontId="11" fillId="3" borderId="1" xfId="1" applyNumberFormat="1" applyFont="1" applyFill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164" fontId="11" fillId="0" borderId="7" xfId="1" applyNumberFormat="1" applyFont="1" applyFill="1" applyBorder="1" applyAlignment="1">
      <alignment horizontal="center" vertical="center" wrapText="1"/>
    </xf>
    <xf numFmtId="164" fontId="11" fillId="0" borderId="27" xfId="1" applyNumberFormat="1" applyFont="1" applyFill="1" applyBorder="1" applyAlignment="1">
      <alignment horizontal="center" vertical="center" wrapText="1"/>
    </xf>
    <xf numFmtId="164" fontId="11" fillId="0" borderId="33" xfId="1" applyNumberFormat="1" applyFont="1" applyFill="1" applyBorder="1" applyAlignment="1">
      <alignment horizontal="center" vertical="center" wrapText="1"/>
    </xf>
    <xf numFmtId="164" fontId="12" fillId="5" borderId="2" xfId="1" applyNumberFormat="1" applyFont="1" applyFill="1" applyBorder="1" applyAlignment="1">
      <alignment horizontal="center" vertical="center" wrapText="1"/>
    </xf>
    <xf numFmtId="164" fontId="11" fillId="0" borderId="2" xfId="1" applyNumberFormat="1" applyFont="1" applyFill="1" applyBorder="1" applyAlignment="1">
      <alignment horizontal="center" vertical="center" wrapText="1"/>
    </xf>
    <xf numFmtId="164" fontId="11" fillId="0" borderId="0" xfId="1" applyNumberFormat="1" applyFont="1" applyFill="1" applyBorder="1" applyAlignment="1">
      <alignment horizontal="center" vertical="center" wrapText="1"/>
    </xf>
    <xf numFmtId="164" fontId="11" fillId="0" borderId="4" xfId="1" applyNumberFormat="1" applyFont="1" applyFill="1" applyBorder="1" applyAlignment="1">
      <alignment horizontal="center" vertical="center" wrapText="1"/>
    </xf>
    <xf numFmtId="164" fontId="11" fillId="0" borderId="8" xfId="1" applyNumberFormat="1" applyFont="1" applyFill="1" applyBorder="1" applyAlignment="1">
      <alignment horizontal="center" vertical="center" wrapText="1"/>
    </xf>
    <xf numFmtId="164" fontId="11" fillId="0" borderId="34" xfId="1" applyNumberFormat="1" applyFont="1" applyFill="1" applyBorder="1" applyAlignment="1">
      <alignment horizontal="center" vertical="center" wrapText="1"/>
    </xf>
    <xf numFmtId="164" fontId="11" fillId="0" borderId="35" xfId="1" applyNumberFormat="1" applyFont="1" applyFill="1" applyBorder="1" applyAlignment="1">
      <alignment horizontal="center" vertical="center" wrapText="1"/>
    </xf>
    <xf numFmtId="164" fontId="11" fillId="3" borderId="4" xfId="1" applyNumberFormat="1" applyFont="1" applyFill="1" applyBorder="1" applyAlignment="1">
      <alignment horizontal="center" vertical="center" wrapText="1"/>
    </xf>
    <xf numFmtId="164" fontId="11" fillId="3" borderId="8" xfId="1" applyNumberFormat="1" applyFont="1" applyFill="1" applyBorder="1" applyAlignment="1">
      <alignment horizontal="center" vertical="center" wrapText="1"/>
    </xf>
    <xf numFmtId="164" fontId="11" fillId="3" borderId="7" xfId="1" applyNumberFormat="1" applyFont="1" applyFill="1" applyBorder="1" applyAlignment="1">
      <alignment horizontal="center" vertical="center" wrapText="1"/>
    </xf>
    <xf numFmtId="164" fontId="12" fillId="13" borderId="1" xfId="1" applyNumberFormat="1" applyFont="1" applyFill="1" applyBorder="1" applyAlignment="1">
      <alignment horizontal="center" vertical="center" wrapText="1"/>
    </xf>
    <xf numFmtId="164" fontId="12" fillId="13" borderId="2" xfId="1" applyNumberFormat="1" applyFont="1" applyFill="1" applyBorder="1" applyAlignment="1">
      <alignment horizontal="center" vertical="center" wrapText="1"/>
    </xf>
    <xf numFmtId="164" fontId="11" fillId="3" borderId="27" xfId="1" applyNumberFormat="1" applyFont="1" applyFill="1" applyBorder="1" applyAlignment="1">
      <alignment horizontal="center" vertical="center" wrapText="1"/>
    </xf>
    <xf numFmtId="164" fontId="12" fillId="3" borderId="1" xfId="1" applyNumberFormat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 wrapText="1"/>
    </xf>
    <xf numFmtId="164" fontId="11" fillId="0" borderId="5" xfId="1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left" vertical="center" wrapText="1"/>
    </xf>
    <xf numFmtId="164" fontId="11" fillId="0" borderId="2" xfId="1" applyNumberFormat="1" applyFont="1" applyFill="1" applyBorder="1" applyAlignment="1">
      <alignment vertical="center" wrapText="1"/>
    </xf>
    <xf numFmtId="164" fontId="14" fillId="4" borderId="9" xfId="1" applyNumberFormat="1" applyFont="1" applyFill="1" applyBorder="1" applyAlignment="1">
      <alignment horizontal="center" vertical="center" wrapText="1"/>
    </xf>
    <xf numFmtId="164" fontId="17" fillId="4" borderId="9" xfId="1" applyNumberFormat="1" applyFont="1" applyFill="1" applyBorder="1" applyAlignment="1">
      <alignment horizontal="center" vertical="center" wrapText="1"/>
    </xf>
    <xf numFmtId="164" fontId="11" fillId="6" borderId="1" xfId="1" applyNumberFormat="1" applyFont="1" applyFill="1" applyBorder="1" applyAlignment="1">
      <alignment horizontal="center" vertical="center" wrapText="1"/>
    </xf>
    <xf numFmtId="164" fontId="14" fillId="4" borderId="9" xfId="0" applyNumberFormat="1" applyFont="1" applyFill="1" applyBorder="1" applyAlignment="1">
      <alignment vertical="center" wrapText="1"/>
    </xf>
    <xf numFmtId="164" fontId="16" fillId="4" borderId="9" xfId="0" applyNumberFormat="1" applyFont="1" applyFill="1" applyBorder="1" applyAlignment="1">
      <alignment vertical="center" wrapText="1"/>
    </xf>
    <xf numFmtId="164" fontId="11" fillId="3" borderId="2" xfId="1" applyNumberFormat="1" applyFont="1" applyFill="1" applyBorder="1" applyAlignment="1">
      <alignment horizontal="center" vertical="center" wrapText="1"/>
    </xf>
    <xf numFmtId="164" fontId="11" fillId="3" borderId="34" xfId="1" applyNumberFormat="1" applyFont="1" applyFill="1" applyBorder="1" applyAlignment="1">
      <alignment horizontal="center" vertical="center" wrapText="1"/>
    </xf>
    <xf numFmtId="164" fontId="11" fillId="3" borderId="35" xfId="1" applyNumberFormat="1" applyFont="1" applyFill="1" applyBorder="1" applyAlignment="1">
      <alignment horizontal="center" vertical="center" wrapText="1"/>
    </xf>
    <xf numFmtId="164" fontId="11" fillId="3" borderId="33" xfId="1" applyNumberFormat="1" applyFont="1" applyFill="1" applyBorder="1" applyAlignment="1">
      <alignment horizontal="center" vertical="center" wrapText="1"/>
    </xf>
    <xf numFmtId="164" fontId="11" fillId="6" borderId="2" xfId="1" applyNumberFormat="1" applyFont="1" applyFill="1" applyBorder="1" applyAlignment="1">
      <alignment horizontal="center" vertical="center" wrapText="1"/>
    </xf>
    <xf numFmtId="164" fontId="12" fillId="14" borderId="2" xfId="1" applyNumberFormat="1" applyFont="1" applyFill="1" applyBorder="1" applyAlignment="1">
      <alignment vertical="center" wrapText="1"/>
    </xf>
    <xf numFmtId="164" fontId="13" fillId="14" borderId="2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9" fillId="4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9" fontId="0" fillId="0" borderId="1" xfId="4" applyFont="1" applyFill="1" applyBorder="1" applyAlignment="1">
      <alignment horizontal="center" vertical="center" wrapText="1"/>
    </xf>
    <xf numFmtId="164" fontId="11" fillId="15" borderId="1" xfId="1" applyNumberFormat="1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vertical="center" wrapText="1"/>
    </xf>
    <xf numFmtId="0" fontId="9" fillId="16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vertical="center" wrapText="1"/>
    </xf>
    <xf numFmtId="0" fontId="9" fillId="11" borderId="2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vertical="center" wrapText="1"/>
    </xf>
    <xf numFmtId="0" fontId="9" fillId="20" borderId="2" xfId="0" applyFont="1" applyFill="1" applyBorder="1" applyAlignment="1">
      <alignment horizontal="center" vertical="center" wrapText="1"/>
    </xf>
    <xf numFmtId="0" fontId="11" fillId="20" borderId="1" xfId="0" applyFont="1" applyFill="1" applyBorder="1" applyAlignment="1">
      <alignment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11" fillId="19" borderId="1" xfId="0" applyFont="1" applyFill="1" applyBorder="1" applyAlignment="1">
      <alignment vertical="center" wrapText="1"/>
    </xf>
    <xf numFmtId="0" fontId="9" fillId="18" borderId="2" xfId="0" applyFont="1" applyFill="1" applyBorder="1" applyAlignment="1">
      <alignment horizontal="center" vertical="center" wrapText="1"/>
    </xf>
    <xf numFmtId="0" fontId="11" fillId="18" borderId="1" xfId="0" applyFont="1" applyFill="1" applyBorder="1" applyAlignment="1">
      <alignment vertical="center" wrapText="1"/>
    </xf>
    <xf numFmtId="0" fontId="9" fillId="17" borderId="2" xfId="0" applyFont="1" applyFill="1" applyBorder="1" applyAlignment="1">
      <alignment horizontal="center" vertical="center" wrapText="1"/>
    </xf>
    <xf numFmtId="0" fontId="11" fillId="17" borderId="1" xfId="0" applyFont="1" applyFill="1" applyBorder="1" applyAlignment="1">
      <alignment vertical="center" wrapText="1"/>
    </xf>
    <xf numFmtId="164" fontId="11" fillId="20" borderId="1" xfId="1" applyNumberFormat="1" applyFont="1" applyFill="1" applyBorder="1" applyAlignment="1">
      <alignment horizontal="center" vertical="center" wrapText="1"/>
    </xf>
    <xf numFmtId="164" fontId="11" fillId="17" borderId="1" xfId="1" applyNumberFormat="1" applyFont="1" applyFill="1" applyBorder="1" applyAlignment="1">
      <alignment horizontal="center" vertical="center" wrapText="1"/>
    </xf>
    <xf numFmtId="164" fontId="11" fillId="18" borderId="1" xfId="1" applyNumberFormat="1" applyFont="1" applyFill="1" applyBorder="1" applyAlignment="1">
      <alignment horizontal="center" vertical="center" wrapText="1"/>
    </xf>
    <xf numFmtId="164" fontId="11" fillId="19" borderId="1" xfId="1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9" fillId="5" borderId="2" xfId="0" applyFont="1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12" fillId="5" borderId="3" xfId="1" applyNumberFormat="1" applyFont="1" applyFill="1" applyBorder="1" applyAlignment="1">
      <alignment horizontal="center" vertical="center" wrapText="1"/>
    </xf>
    <xf numFmtId="164" fontId="12" fillId="5" borderId="4" xfId="1" applyNumberFormat="1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 vertical="center" wrapText="1"/>
    </xf>
    <xf numFmtId="0" fontId="0" fillId="11" borderId="12" xfId="0" applyFill="1" applyBorder="1" applyAlignment="1">
      <alignment horizontal="center" vertical="center" wrapText="1"/>
    </xf>
    <xf numFmtId="164" fontId="10" fillId="4" borderId="3" xfId="1" applyNumberFormat="1" applyFont="1" applyFill="1" applyBorder="1" applyAlignment="1">
      <alignment horizontal="center" vertical="center" wrapText="1"/>
    </xf>
    <xf numFmtId="164" fontId="10" fillId="4" borderId="4" xfId="1" applyNumberFormat="1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vertical="center" wrapText="1"/>
    </xf>
    <xf numFmtId="0" fontId="14" fillId="4" borderId="16" xfId="0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4" fontId="2" fillId="11" borderId="10" xfId="0" applyNumberFormat="1" applyFont="1" applyFill="1" applyBorder="1" applyAlignment="1">
      <alignment horizontal="center" vertical="center"/>
    </xf>
    <xf numFmtId="4" fontId="2" fillId="11" borderId="11" xfId="0" applyNumberFormat="1" applyFont="1" applyFill="1" applyBorder="1" applyAlignment="1">
      <alignment horizontal="center" vertical="center"/>
    </xf>
    <xf numFmtId="4" fontId="2" fillId="11" borderId="1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4" fontId="2" fillId="11" borderId="13" xfId="0" applyNumberFormat="1" applyFont="1" applyFill="1" applyBorder="1" applyAlignment="1">
      <alignment horizontal="center" vertical="center"/>
    </xf>
    <xf numFmtId="4" fontId="2" fillId="11" borderId="14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0" fillId="11" borderId="29" xfId="0" applyFill="1" applyBorder="1" applyAlignment="1">
      <alignment horizontal="center" vertical="center" wrapText="1"/>
    </xf>
    <xf numFmtId="0" fontId="0" fillId="11" borderId="30" xfId="0" applyFill="1" applyBorder="1" applyAlignment="1">
      <alignment horizontal="center" vertical="center" wrapText="1"/>
    </xf>
    <xf numFmtId="0" fontId="0" fillId="11" borderId="13" xfId="0" applyFill="1" applyBorder="1" applyAlignment="1">
      <alignment horizontal="center" vertical="center" wrapText="1"/>
    </xf>
    <xf numFmtId="0" fontId="0" fillId="11" borderId="14" xfId="0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164" fontId="12" fillId="5" borderId="32" xfId="1" applyNumberFormat="1" applyFont="1" applyFill="1" applyBorder="1" applyAlignment="1">
      <alignment horizontal="center" vertical="center" wrapText="1"/>
    </xf>
    <xf numFmtId="164" fontId="10" fillId="4" borderId="32" xfId="1" applyNumberFormat="1" applyFont="1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0" fillId="11" borderId="31" xfId="0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0" fillId="11" borderId="36" xfId="0" applyFill="1" applyBorder="1" applyAlignment="1">
      <alignment horizontal="center" vertical="center" wrapText="1"/>
    </xf>
    <xf numFmtId="0" fontId="0" fillId="11" borderId="37" xfId="0" applyFill="1" applyBorder="1" applyAlignment="1">
      <alignment horizontal="center" vertical="center" wrapText="1"/>
    </xf>
    <xf numFmtId="0" fontId="0" fillId="11" borderId="38" xfId="0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vertical="center" wrapText="1"/>
    </xf>
    <xf numFmtId="0" fontId="14" fillId="4" borderId="15" xfId="0" applyFont="1" applyFill="1" applyBorder="1" applyAlignment="1">
      <alignment horizontal="left" vertical="center" wrapText="1"/>
    </xf>
    <xf numFmtId="0" fontId="14" fillId="4" borderId="8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2" fillId="5" borderId="19" xfId="0" applyFont="1" applyFill="1" applyBorder="1" applyAlignment="1">
      <alignment vertical="center" wrapText="1"/>
    </xf>
    <xf numFmtId="0" fontId="11" fillId="5" borderId="15" xfId="0" applyFont="1" applyFill="1" applyBorder="1" applyAlignment="1">
      <alignment vertical="center" wrapText="1"/>
    </xf>
    <xf numFmtId="0" fontId="11" fillId="5" borderId="8" xfId="0" applyFont="1" applyFill="1" applyBorder="1" applyAlignment="1">
      <alignment vertical="center" wrapText="1"/>
    </xf>
    <xf numFmtId="0" fontId="21" fillId="21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8" fontId="22" fillId="0" borderId="1" xfId="0" applyNumberFormat="1" applyFont="1" applyBorder="1" applyAlignment="1">
      <alignment horizontal="right" vertical="center" wrapText="1"/>
    </xf>
    <xf numFmtId="8" fontId="23" fillId="0" borderId="9" xfId="0" applyNumberFormat="1" applyFont="1" applyBorder="1" applyAlignment="1">
      <alignment horizontal="right" vertical="center" wrapText="1"/>
    </xf>
    <xf numFmtId="171" fontId="22" fillId="0" borderId="27" xfId="0" applyNumberFormat="1" applyFont="1" applyBorder="1" applyAlignment="1">
      <alignment horizontal="right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22" fillId="0" borderId="0" xfId="0" applyFont="1" applyFill="1" applyAlignment="1">
      <alignment vertical="center" wrapText="1"/>
    </xf>
    <xf numFmtId="8" fontId="0" fillId="0" borderId="0" xfId="0" applyNumberFormat="1" applyFill="1"/>
  </cellXfs>
  <cellStyles count="5">
    <cellStyle name="Moneda" xfId="1" builtinId="4"/>
    <cellStyle name="Normal" xfId="0" builtinId="0"/>
    <cellStyle name="Normal 2" xfId="2" xr:uid="{00000000-0005-0000-0000-000002000000}"/>
    <cellStyle name="Porcentaje" xfId="4" builtinId="5"/>
    <cellStyle name="Porcentaje 2" xfId="3" xr:uid="{00000000-0005-0000-0000-000003000000}"/>
  </cellStyles>
  <dxfs count="0"/>
  <tableStyles count="0" defaultTableStyle="TableStyleMedium2" defaultPivotStyle="PivotStyleLight16"/>
  <colors>
    <mruColors>
      <color rgb="FF66FF33"/>
      <color rgb="FFFFCCFF"/>
      <color rgb="FF008080"/>
      <color rgb="FF996633"/>
      <color rgb="FFCC9900"/>
      <color rgb="FFFF5050"/>
      <color rgb="FF99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Structure" Target="richData/rdrichvaluestructure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microsoft.com/office/2022/10/relationships/richValueRel" Target="richData/richValueRel.xml"/><Relationship Id="rId7" Type="http://schemas.openxmlformats.org/officeDocument/2006/relationships/worksheet" Target="worksheets/sheet7.xml"/><Relationship Id="rId12" Type="http://schemas.microsoft.com/office/2017/06/relationships/rdRichValue" Target="richData/rdrichvalue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Types" Target="richData/rdRichValueTyp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tonio Ruiz Sánchez" id="{DCF551FF-6449-4AE2-904D-422930B2F6D2}" userId="S::aruiz@tekia.es::fbb9c799-7533-488f-bacf-0451f5384d35" providerId="AD"/>
  <person displayName="Solis Vazquez, Ana" id="{AFB477B5-8AA9-464D-A63A-9122BC9989E7}" userId="S::asolisv@tmb.cat::17cfddcb-99ca-48ef-bdec-4ef0472ef2ff" providerId="AD"/>
</personList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9" dT="2024-10-17T07:40:27.92" personId="{DCF551FF-6449-4AE2-904D-422930B2F6D2}" id="{F7600740-D04C-463E-82F1-FFD936AB2BD7}">
    <text>Pendiente TMB verificar valor con respecto al actual</text>
  </threadedComment>
  <threadedComment ref="E41" dT="2024-10-17T07:40:55.16" personId="{DCF551FF-6449-4AE2-904D-422930B2F6D2}" id="{1D573675-A32E-466C-B1B4-FD47A36FCF09}">
    <text>Pendiente TMB que nos den este valor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41" dT="2024-10-17T07:40:27.92" personId="{DCF551FF-6449-4AE2-904D-422930B2F6D2}" id="{B5DCD261-8B72-481C-AE4A-12AB5BB52995}">
    <text>Pendiente TMB verificar valor con respecto al actual</text>
  </threadedComment>
  <threadedComment ref="E43" dT="2024-10-17T07:40:55.16" personId="{DCF551FF-6449-4AE2-904D-422930B2F6D2}" id="{07AFA6A4-A711-4725-81D2-D9F1D160C20F}">
    <text>Pendiente TMB que nos den este valor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42" dT="2024-10-17T07:40:27.92" personId="{DCF551FF-6449-4AE2-904D-422930B2F6D2}" id="{29F5CDD8-9C6D-4592-B34B-8363AC2600B7}">
    <text>Pendiente TMB verificar valor con respecto al actual</text>
  </threadedComment>
  <threadedComment ref="E44" dT="2024-10-17T07:40:55.16" personId="{DCF551FF-6449-4AE2-904D-422930B2F6D2}" id="{7970EE35-66F5-4688-9543-044641346498}">
    <text>Pendiente TMB que nos den este valor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C42" dT="2024-10-17T07:40:27.92" personId="{DCF551FF-6449-4AE2-904D-422930B2F6D2}" id="{75A65042-CCFE-4EB8-92F1-AA2C4C244394}">
    <text>Pendiente TMB verificar valor con respecto al actual</text>
  </threadedComment>
  <threadedComment ref="E44" dT="2024-10-17T07:40:55.16" personId="{DCF551FF-6449-4AE2-904D-422930B2F6D2}" id="{39F09259-1863-4A68-833B-F7C3F34144B2}">
    <text>Pendiente TMB que nos den este valor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49" dT="2024-10-17T07:40:27.92" personId="{DCF551FF-6449-4AE2-904D-422930B2F6D2}" id="{41C46DE6-4751-4B34-AA9E-0109F8A1D75B}">
    <text>Pendiente TMB verificar valor con respecto al actual</text>
  </threadedComment>
  <threadedComment ref="E51" dT="2024-10-17T07:40:55.16" personId="{DCF551FF-6449-4AE2-904D-422930B2F6D2}" id="{D9166B66-CFFD-4F1F-845A-E3D46C278C41}">
    <text>Pendiente TMB que nos den este valor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B6" dT="2024-10-09T06:45:39.69" personId="{AFB477B5-8AA9-464D-A63A-9122BC9989E7}" id="{DAEF79C5-370D-4F3C-9F37-BFE3B4B97C13}">
    <text>Diferenciar entre desinstalación de equipo de línea y equipo en almacén. El coste para este segundo debe ser menor.</text>
  </threadedComment>
  <threadedComment ref="B8" dT="2024-10-09T06:46:03.08" personId="{AFB477B5-8AA9-464D-A63A-9122BC9989E7}" id="{82C4389B-EACF-4221-9A52-17D0CBB0931D}">
    <text>Debe incluir partida para dirección de proyecto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61"/>
  <sheetViews>
    <sheetView showGridLines="0" topLeftCell="A3" zoomScale="85" zoomScaleNormal="85" workbookViewId="0">
      <selection activeCell="N10" sqref="N10"/>
    </sheetView>
  </sheetViews>
  <sheetFormatPr baseColWidth="10" defaultColWidth="11.5703125" defaultRowHeight="15" x14ac:dyDescent="0.25"/>
  <cols>
    <col min="1" max="1" width="12.7109375" style="14" customWidth="1"/>
    <col min="2" max="2" width="50.85546875" style="1" customWidth="1"/>
    <col min="3" max="3" width="12.140625" style="20" customWidth="1"/>
    <col min="4" max="4" width="16.85546875" style="2" customWidth="1"/>
    <col min="5" max="5" width="11.7109375" style="2" customWidth="1"/>
    <col min="6" max="6" width="16.28515625" style="20" customWidth="1"/>
    <col min="7" max="7" width="1.7109375" style="28" customWidth="1"/>
    <col min="8" max="8" width="9.7109375" style="12" customWidth="1"/>
    <col min="9" max="9" width="7.42578125" style="12" customWidth="1"/>
    <col min="10" max="10" width="12.7109375" style="4" customWidth="1"/>
    <col min="11" max="11" width="2" style="4" customWidth="1"/>
    <col min="12" max="12" width="10" style="4" customWidth="1"/>
    <col min="13" max="13" width="9.140625" style="4" customWidth="1"/>
    <col min="14" max="14" width="13.7109375" style="4" customWidth="1"/>
    <col min="15" max="15" width="1.7109375" style="4" customWidth="1"/>
    <col min="16" max="16" width="9.7109375" style="4" customWidth="1"/>
    <col min="17" max="17" width="9.28515625" style="4" customWidth="1"/>
    <col min="18" max="18" width="14.7109375" style="4" customWidth="1"/>
    <col min="19" max="19" width="1.85546875" style="4" customWidth="1"/>
    <col min="20" max="20" width="7.5703125" style="4" customWidth="1"/>
    <col min="21" max="21" width="10" style="4" customWidth="1"/>
    <col min="22" max="22" width="14.28515625" style="4" customWidth="1"/>
    <col min="23" max="23" width="1.7109375" style="4" customWidth="1"/>
    <col min="24" max="24" width="6.7109375" style="4" customWidth="1"/>
    <col min="25" max="25" width="9.42578125" style="4" customWidth="1"/>
    <col min="26" max="26" width="14.7109375" style="4" customWidth="1"/>
    <col min="27" max="16384" width="11.5703125" style="4"/>
  </cols>
  <sheetData>
    <row r="2" spans="1:22" ht="15.75" thickBot="1" x14ac:dyDescent="0.3"/>
    <row r="3" spans="1:22" ht="28.9" customHeight="1" thickBot="1" x14ac:dyDescent="0.3">
      <c r="C3" s="231" t="s">
        <v>0</v>
      </c>
      <c r="D3" s="223"/>
      <c r="E3" s="223"/>
      <c r="F3" s="224"/>
      <c r="G3" s="235"/>
      <c r="H3" s="223">
        <v>2025</v>
      </c>
      <c r="I3" s="223"/>
      <c r="J3" s="224"/>
      <c r="K3" s="225"/>
      <c r="L3" s="223">
        <v>2026</v>
      </c>
      <c r="M3" s="223"/>
      <c r="N3" s="223"/>
      <c r="O3" s="225"/>
      <c r="P3" s="223">
        <v>2027</v>
      </c>
      <c r="Q3" s="223"/>
      <c r="R3" s="223"/>
      <c r="S3" s="225"/>
      <c r="T3" s="223">
        <v>2028</v>
      </c>
      <c r="U3" s="223"/>
      <c r="V3" s="224"/>
    </row>
    <row r="4" spans="1:22" ht="48" customHeight="1" thickBot="1" x14ac:dyDescent="0.3">
      <c r="A4" s="124" t="e" vm="1">
        <v>#VALUE!</v>
      </c>
      <c r="B4" s="123" t="s">
        <v>1</v>
      </c>
      <c r="C4" s="73" t="s">
        <v>2</v>
      </c>
      <c r="D4" s="74" t="s">
        <v>3</v>
      </c>
      <c r="E4" s="74" t="s">
        <v>4</v>
      </c>
      <c r="F4" s="78" t="s">
        <v>5</v>
      </c>
      <c r="G4" s="236"/>
      <c r="H4" s="75" t="s">
        <v>3</v>
      </c>
      <c r="I4" s="74" t="s">
        <v>4</v>
      </c>
      <c r="J4" s="89" t="s">
        <v>5</v>
      </c>
      <c r="K4" s="226"/>
      <c r="L4" s="75" t="s">
        <v>3</v>
      </c>
      <c r="M4" s="74" t="s">
        <v>4</v>
      </c>
      <c r="N4" s="89" t="s">
        <v>5</v>
      </c>
      <c r="O4" s="226"/>
      <c r="P4" s="75" t="s">
        <v>3</v>
      </c>
      <c r="Q4" s="74" t="s">
        <v>4</v>
      </c>
      <c r="R4" s="89" t="s">
        <v>5</v>
      </c>
      <c r="S4" s="226"/>
      <c r="T4" s="75" t="s">
        <v>3</v>
      </c>
      <c r="U4" s="74" t="s">
        <v>4</v>
      </c>
      <c r="V4" s="73" t="s">
        <v>5</v>
      </c>
    </row>
    <row r="5" spans="1:22" s="6" customFormat="1" ht="30" customHeight="1" x14ac:dyDescent="0.25">
      <c r="A5" s="248" t="s">
        <v>6</v>
      </c>
      <c r="B5" s="249"/>
      <c r="C5" s="249"/>
      <c r="D5" s="249"/>
      <c r="E5" s="250"/>
      <c r="F5" s="79">
        <f>F6+F15+F24+F30+F28+F3</f>
        <v>18128250</v>
      </c>
      <c r="G5" s="236"/>
      <c r="H5" s="228"/>
      <c r="I5" s="229"/>
      <c r="J5" s="90">
        <f>J6+J15+J24+J28+J30</f>
        <v>35737.5</v>
      </c>
      <c r="K5" s="226"/>
      <c r="L5" s="228"/>
      <c r="M5" s="229"/>
      <c r="N5" s="90">
        <f>N6+N15+N24+N28+N30</f>
        <v>3838216.666666667</v>
      </c>
      <c r="O5" s="226"/>
      <c r="P5" s="228"/>
      <c r="Q5" s="229"/>
      <c r="R5" s="90">
        <f>R6+R15+R24+R28+R30</f>
        <v>7201129.166666667</v>
      </c>
      <c r="S5" s="226"/>
      <c r="T5" s="228"/>
      <c r="U5" s="229"/>
      <c r="V5" s="31">
        <f>V6+V15+V24+V28+V30</f>
        <v>7093516.666666667</v>
      </c>
    </row>
    <row r="6" spans="1:22" ht="28.9" customHeight="1" x14ac:dyDescent="0.25">
      <c r="A6" s="45" t="s">
        <v>7</v>
      </c>
      <c r="B6" s="241" t="s">
        <v>8</v>
      </c>
      <c r="C6" s="242"/>
      <c r="D6" s="242"/>
      <c r="E6" s="242"/>
      <c r="F6" s="80">
        <f>SUM(F7:F12)</f>
        <v>11839500</v>
      </c>
      <c r="G6" s="236"/>
      <c r="H6" s="221"/>
      <c r="I6" s="222"/>
      <c r="J6" s="83">
        <f>SUM(J7:J12)</f>
        <v>0</v>
      </c>
      <c r="K6" s="226"/>
      <c r="L6" s="221"/>
      <c r="M6" s="222"/>
      <c r="N6" s="83">
        <f>SUM(N7:N12)</f>
        <v>1973250</v>
      </c>
      <c r="O6" s="226"/>
      <c r="P6" s="221"/>
      <c r="Q6" s="222"/>
      <c r="R6" s="83">
        <f>SUM(R7:R12)</f>
        <v>4735800</v>
      </c>
      <c r="S6" s="226"/>
      <c r="T6" s="221"/>
      <c r="U6" s="222"/>
      <c r="V6" s="35">
        <f>SUM(V7:V12)</f>
        <v>5130450</v>
      </c>
    </row>
    <row r="7" spans="1:22" x14ac:dyDescent="0.25">
      <c r="A7" s="46" t="s">
        <v>9</v>
      </c>
      <c r="B7" s="8" t="s">
        <v>10</v>
      </c>
      <c r="C7" s="88">
        <f>(33500+58000+36000)/3</f>
        <v>42500</v>
      </c>
      <c r="D7" s="48">
        <f>270-D8-D9-D10-D11</f>
        <v>260</v>
      </c>
      <c r="E7" s="13"/>
      <c r="F7" s="81">
        <f t="shared" ref="F7:F13" si="0">C7*D7</f>
        <v>11050000</v>
      </c>
      <c r="G7" s="236"/>
      <c r="H7" s="48">
        <v>0</v>
      </c>
      <c r="I7" s="13"/>
      <c r="J7" s="91">
        <f>C7*H7</f>
        <v>0</v>
      </c>
      <c r="K7" s="226"/>
      <c r="L7" s="48">
        <f>45-H12-L8-L9-L10-L11</f>
        <v>36</v>
      </c>
      <c r="M7" s="13"/>
      <c r="N7" s="81">
        <f>C7*L7</f>
        <v>1530000</v>
      </c>
      <c r="O7" s="226"/>
      <c r="P7" s="100">
        <f>108-P8-P9-P10-P11</f>
        <v>108</v>
      </c>
      <c r="Q7" s="13"/>
      <c r="R7" s="81">
        <f>C7*P7</f>
        <v>4590000</v>
      </c>
      <c r="S7" s="226"/>
      <c r="T7" s="100">
        <f>117-T8-T9-T10-T11</f>
        <v>117</v>
      </c>
      <c r="U7" s="13"/>
      <c r="V7" s="24">
        <f>C7*T7</f>
        <v>4972500</v>
      </c>
    </row>
    <row r="8" spans="1:22" x14ac:dyDescent="0.25">
      <c r="A8" s="46" t="s">
        <v>11</v>
      </c>
      <c r="B8" s="8" t="s">
        <v>12</v>
      </c>
      <c r="C8" s="88">
        <f>(33500+58000+36000)/3</f>
        <v>42500</v>
      </c>
      <c r="D8" s="48">
        <v>1</v>
      </c>
      <c r="E8" s="13"/>
      <c r="F8" s="81">
        <f>C8*D8</f>
        <v>42500</v>
      </c>
      <c r="G8" s="236"/>
      <c r="H8" s="48">
        <v>0</v>
      </c>
      <c r="I8" s="13"/>
      <c r="J8" s="91">
        <f>C8*H8</f>
        <v>0</v>
      </c>
      <c r="K8" s="226"/>
      <c r="L8" s="48">
        <v>0</v>
      </c>
      <c r="M8" s="13"/>
      <c r="N8" s="81">
        <f t="shared" ref="N8:N12" si="1">C8*L8</f>
        <v>0</v>
      </c>
      <c r="O8" s="226"/>
      <c r="P8" s="100">
        <v>0</v>
      </c>
      <c r="Q8" s="13"/>
      <c r="R8" s="81">
        <f t="shared" ref="R8:R14" si="2">C8*P8</f>
        <v>0</v>
      </c>
      <c r="S8" s="226"/>
      <c r="T8" s="100">
        <v>0</v>
      </c>
      <c r="U8" s="13"/>
      <c r="V8" s="24">
        <f t="shared" ref="V8:V12" si="3">C8*T8</f>
        <v>0</v>
      </c>
    </row>
    <row r="9" spans="1:22" x14ac:dyDescent="0.25">
      <c r="A9" s="46" t="s">
        <v>13</v>
      </c>
      <c r="B9" s="8" t="s">
        <v>14</v>
      </c>
      <c r="C9" s="88">
        <f>C7</f>
        <v>42500</v>
      </c>
      <c r="D9" s="48">
        <v>3</v>
      </c>
      <c r="E9" s="13"/>
      <c r="F9" s="81">
        <f t="shared" si="0"/>
        <v>127500</v>
      </c>
      <c r="G9" s="236"/>
      <c r="H9" s="48">
        <v>0</v>
      </c>
      <c r="I9" s="13"/>
      <c r="J9" s="91">
        <f t="shared" ref="J9:J11" si="4">C9*H9</f>
        <v>0</v>
      </c>
      <c r="K9" s="226"/>
      <c r="L9" s="48">
        <v>3</v>
      </c>
      <c r="M9" s="13"/>
      <c r="N9" s="81">
        <f t="shared" si="1"/>
        <v>127500</v>
      </c>
      <c r="O9" s="226"/>
      <c r="P9" s="100">
        <v>0</v>
      </c>
      <c r="Q9" s="13"/>
      <c r="R9" s="81">
        <f t="shared" si="2"/>
        <v>0</v>
      </c>
      <c r="S9" s="226"/>
      <c r="T9" s="100">
        <v>0</v>
      </c>
      <c r="U9" s="13"/>
      <c r="V9" s="24">
        <f t="shared" si="3"/>
        <v>0</v>
      </c>
    </row>
    <row r="10" spans="1:22" x14ac:dyDescent="0.25">
      <c r="A10" s="46" t="s">
        <v>15</v>
      </c>
      <c r="B10" s="8" t="s">
        <v>16</v>
      </c>
      <c r="C10" s="88">
        <f t="shared" ref="C10" si="5">C9</f>
        <v>42500</v>
      </c>
      <c r="D10" s="48">
        <v>1</v>
      </c>
      <c r="E10" s="13"/>
      <c r="F10" s="81">
        <f t="shared" si="0"/>
        <v>42500</v>
      </c>
      <c r="G10" s="236"/>
      <c r="H10" s="48">
        <v>0</v>
      </c>
      <c r="I10" s="13"/>
      <c r="J10" s="91">
        <f t="shared" si="4"/>
        <v>0</v>
      </c>
      <c r="K10" s="226"/>
      <c r="L10" s="48">
        <v>1</v>
      </c>
      <c r="M10" s="13"/>
      <c r="N10" s="81">
        <f t="shared" si="1"/>
        <v>42500</v>
      </c>
      <c r="O10" s="226"/>
      <c r="P10" s="100">
        <v>0</v>
      </c>
      <c r="Q10" s="13"/>
      <c r="R10" s="81">
        <f t="shared" si="2"/>
        <v>0</v>
      </c>
      <c r="S10" s="226"/>
      <c r="T10" s="100">
        <v>0</v>
      </c>
      <c r="U10" s="13"/>
      <c r="V10" s="24">
        <f t="shared" si="3"/>
        <v>0</v>
      </c>
    </row>
    <row r="11" spans="1:22" x14ac:dyDescent="0.25">
      <c r="A11" s="46" t="s">
        <v>17</v>
      </c>
      <c r="B11" s="8" t="s">
        <v>18</v>
      </c>
      <c r="C11" s="88">
        <f>C10</f>
        <v>42500</v>
      </c>
      <c r="D11" s="49">
        <v>5</v>
      </c>
      <c r="E11" s="13"/>
      <c r="F11" s="81">
        <f t="shared" si="0"/>
        <v>212500</v>
      </c>
      <c r="G11" s="236"/>
      <c r="H11" s="48">
        <v>0</v>
      </c>
      <c r="I11" s="13"/>
      <c r="J11" s="91">
        <f t="shared" si="4"/>
        <v>0</v>
      </c>
      <c r="K11" s="226"/>
      <c r="L11" s="48">
        <v>5</v>
      </c>
      <c r="M11" s="13"/>
      <c r="N11" s="81">
        <f t="shared" si="1"/>
        <v>212500</v>
      </c>
      <c r="O11" s="226"/>
      <c r="P11" s="100">
        <v>0</v>
      </c>
      <c r="Q11" s="13"/>
      <c r="R11" s="81">
        <f t="shared" si="2"/>
        <v>0</v>
      </c>
      <c r="S11" s="226"/>
      <c r="T11" s="100">
        <v>0</v>
      </c>
      <c r="U11" s="13"/>
      <c r="V11" s="24">
        <f t="shared" si="3"/>
        <v>0</v>
      </c>
    </row>
    <row r="12" spans="1:22" x14ac:dyDescent="0.25">
      <c r="A12" s="46" t="s">
        <v>19</v>
      </c>
      <c r="B12" s="8" t="s">
        <v>20</v>
      </c>
      <c r="C12" s="88">
        <f>(C13+C14)/2</f>
        <v>1350</v>
      </c>
      <c r="D12" s="50">
        <f>SUM(D7:D11)</f>
        <v>270</v>
      </c>
      <c r="E12" s="13"/>
      <c r="F12" s="82">
        <f t="shared" si="0"/>
        <v>364500</v>
      </c>
      <c r="G12" s="236"/>
      <c r="H12" s="48">
        <f>SUM(H7:H11)</f>
        <v>0</v>
      </c>
      <c r="I12" s="13"/>
      <c r="J12" s="91">
        <f>C12*H12</f>
        <v>0</v>
      </c>
      <c r="K12" s="226"/>
      <c r="L12" s="48">
        <f>SUM(L7:L11)</f>
        <v>45</v>
      </c>
      <c r="M12" s="13"/>
      <c r="N12" s="81">
        <f t="shared" si="1"/>
        <v>60750</v>
      </c>
      <c r="O12" s="226"/>
      <c r="P12" s="100">
        <f>SUM(P7:P11)</f>
        <v>108</v>
      </c>
      <c r="Q12" s="13"/>
      <c r="R12" s="81">
        <f t="shared" si="2"/>
        <v>145800</v>
      </c>
      <c r="S12" s="226"/>
      <c r="T12" s="100">
        <f>SUM(T7:T11)</f>
        <v>117</v>
      </c>
      <c r="U12" s="13"/>
      <c r="V12" s="24">
        <f t="shared" si="3"/>
        <v>157950</v>
      </c>
    </row>
    <row r="13" spans="1:22" ht="14.45" hidden="1" customHeight="1" x14ac:dyDescent="0.25">
      <c r="A13" s="46" t="s">
        <v>19</v>
      </c>
      <c r="B13" s="8" t="s">
        <v>21</v>
      </c>
      <c r="C13" s="41">
        <f>(700+1750)/2</f>
        <v>1225</v>
      </c>
      <c r="D13" s="47">
        <f>D12</f>
        <v>270</v>
      </c>
      <c r="E13" s="13"/>
      <c r="F13" s="52">
        <f t="shared" si="0"/>
        <v>330750</v>
      </c>
      <c r="G13" s="236"/>
      <c r="K13" s="226"/>
      <c r="L13" s="12"/>
      <c r="M13" s="12"/>
      <c r="O13" s="226"/>
      <c r="P13" s="12"/>
      <c r="Q13" s="12"/>
      <c r="R13" s="98">
        <f t="shared" si="2"/>
        <v>0</v>
      </c>
      <c r="S13" s="226"/>
      <c r="T13" s="12"/>
      <c r="U13" s="12"/>
      <c r="V13" s="7"/>
    </row>
    <row r="14" spans="1:22" ht="14.45" hidden="1" customHeight="1" x14ac:dyDescent="0.25">
      <c r="A14" s="46" t="s">
        <v>22</v>
      </c>
      <c r="B14" s="8" t="s">
        <v>23</v>
      </c>
      <c r="C14" s="41">
        <f>(1900+1050)/2</f>
        <v>1475</v>
      </c>
      <c r="D14" s="43">
        <f>D12</f>
        <v>270</v>
      </c>
      <c r="E14" s="13"/>
      <c r="F14" s="52">
        <f t="shared" ref="F14" si="6">C14*D14</f>
        <v>398250</v>
      </c>
      <c r="G14" s="236"/>
      <c r="K14" s="226"/>
      <c r="L14" s="12"/>
      <c r="M14" s="12"/>
      <c r="O14" s="226"/>
      <c r="P14" s="12"/>
      <c r="Q14" s="12"/>
      <c r="R14" s="98">
        <f t="shared" si="2"/>
        <v>0</v>
      </c>
      <c r="S14" s="226"/>
      <c r="T14" s="12"/>
      <c r="U14" s="12"/>
      <c r="V14" s="7"/>
    </row>
    <row r="15" spans="1:22" ht="23.45" customHeight="1" x14ac:dyDescent="0.25">
      <c r="A15" s="37" t="s">
        <v>24</v>
      </c>
      <c r="B15" s="238" t="s">
        <v>25</v>
      </c>
      <c r="C15" s="239"/>
      <c r="D15" s="239"/>
      <c r="E15" s="240"/>
      <c r="F15" s="83">
        <f>SUM(F16:F21)</f>
        <v>2396100</v>
      </c>
      <c r="G15" s="236"/>
      <c r="H15" s="221"/>
      <c r="I15" s="222"/>
      <c r="J15" s="83">
        <f>SUM(J16:J23)</f>
        <v>0</v>
      </c>
      <c r="K15" s="226"/>
      <c r="L15" s="221"/>
      <c r="M15" s="222"/>
      <c r="N15" s="83">
        <f>SUM(N16:N21)</f>
        <v>760666.66666666674</v>
      </c>
      <c r="O15" s="226"/>
      <c r="P15" s="221"/>
      <c r="Q15" s="222"/>
      <c r="R15" s="83">
        <f>SUM(R16:R23)</f>
        <v>1045916.6666666667</v>
      </c>
      <c r="S15" s="226"/>
      <c r="T15" s="221"/>
      <c r="U15" s="222"/>
      <c r="V15" s="35">
        <f>SUM(V16:V21)</f>
        <v>589516.66666666674</v>
      </c>
    </row>
    <row r="16" spans="1:22" x14ac:dyDescent="0.25">
      <c r="A16" s="15" t="s">
        <v>26</v>
      </c>
      <c r="B16" s="7" t="s">
        <v>27</v>
      </c>
      <c r="C16" s="88">
        <f>(20000+15000+18000)/3</f>
        <v>17666.666666666668</v>
      </c>
      <c r="D16" s="51">
        <f>126-D17-D18-D19-D20</f>
        <v>122</v>
      </c>
      <c r="E16" s="9"/>
      <c r="F16" s="82">
        <f t="shared" ref="F16:F21" si="7">C16*D16</f>
        <v>2155333.3333333335</v>
      </c>
      <c r="G16" s="236"/>
      <c r="H16" s="51">
        <v>0</v>
      </c>
      <c r="I16" s="9"/>
      <c r="J16" s="91">
        <f>C16*H16</f>
        <v>0</v>
      </c>
      <c r="K16" s="226"/>
      <c r="L16" s="48">
        <f>40-H21-L17-L18-L19-L20</f>
        <v>37</v>
      </c>
      <c r="M16" s="13"/>
      <c r="N16" s="81">
        <f>C16*L16</f>
        <v>653666.66666666674</v>
      </c>
      <c r="O16" s="226"/>
      <c r="P16" s="100">
        <f>55-P17-P18-P19-P20</f>
        <v>55</v>
      </c>
      <c r="Q16" s="13"/>
      <c r="R16" s="81">
        <f>C16*P16</f>
        <v>971666.66666666674</v>
      </c>
      <c r="S16" s="226"/>
      <c r="T16" s="100">
        <f>31-T17-T18-T19-T20</f>
        <v>31</v>
      </c>
      <c r="U16" s="13"/>
      <c r="V16" s="24">
        <f>C16*T16</f>
        <v>547666.66666666674</v>
      </c>
    </row>
    <row r="17" spans="1:22" x14ac:dyDescent="0.25">
      <c r="A17" s="15" t="s">
        <v>28</v>
      </c>
      <c r="B17" s="7" t="s">
        <v>29</v>
      </c>
      <c r="C17" s="88">
        <f>(20000+15000+18000)/3</f>
        <v>17666.666666666668</v>
      </c>
      <c r="D17" s="51">
        <v>1</v>
      </c>
      <c r="E17" s="9"/>
      <c r="F17" s="82">
        <f t="shared" si="7"/>
        <v>17666.666666666668</v>
      </c>
      <c r="G17" s="236"/>
      <c r="H17" s="51">
        <v>0</v>
      </c>
      <c r="I17" s="9"/>
      <c r="J17" s="91">
        <f t="shared" ref="J17:J23" si="8">C17*H17</f>
        <v>0</v>
      </c>
      <c r="K17" s="226"/>
      <c r="L17" s="48">
        <v>0</v>
      </c>
      <c r="M17" s="13"/>
      <c r="N17" s="81">
        <f t="shared" ref="N17:N21" si="9">C17*L17</f>
        <v>0</v>
      </c>
      <c r="O17" s="226"/>
      <c r="P17" s="100">
        <v>0</v>
      </c>
      <c r="Q17" s="13"/>
      <c r="R17" s="81">
        <f t="shared" ref="R17:R21" si="10">C17*P17</f>
        <v>0</v>
      </c>
      <c r="S17" s="226"/>
      <c r="T17" s="100">
        <v>0</v>
      </c>
      <c r="U17" s="13"/>
      <c r="V17" s="24">
        <f t="shared" ref="V17:V21" si="11">C17*T17</f>
        <v>0</v>
      </c>
    </row>
    <row r="18" spans="1:22" x14ac:dyDescent="0.25">
      <c r="A18" s="15" t="s">
        <v>30</v>
      </c>
      <c r="B18" s="7" t="s">
        <v>31</v>
      </c>
      <c r="C18" s="88">
        <f>C16</f>
        <v>17666.666666666668</v>
      </c>
      <c r="D18" s="51">
        <v>2</v>
      </c>
      <c r="E18" s="9"/>
      <c r="F18" s="82">
        <f t="shared" si="7"/>
        <v>35333.333333333336</v>
      </c>
      <c r="G18" s="236"/>
      <c r="H18" s="51">
        <v>0</v>
      </c>
      <c r="I18" s="9"/>
      <c r="J18" s="91">
        <f t="shared" si="8"/>
        <v>0</v>
      </c>
      <c r="K18" s="226"/>
      <c r="L18" s="48">
        <v>2</v>
      </c>
      <c r="M18" s="13"/>
      <c r="N18" s="81">
        <f t="shared" si="9"/>
        <v>35333.333333333336</v>
      </c>
      <c r="O18" s="226"/>
      <c r="P18" s="100">
        <v>0</v>
      </c>
      <c r="Q18" s="13"/>
      <c r="R18" s="81">
        <f t="shared" si="10"/>
        <v>0</v>
      </c>
      <c r="S18" s="226"/>
      <c r="T18" s="100">
        <v>0</v>
      </c>
      <c r="U18" s="13"/>
      <c r="V18" s="24">
        <f t="shared" si="11"/>
        <v>0</v>
      </c>
    </row>
    <row r="19" spans="1:22" x14ac:dyDescent="0.25">
      <c r="A19" s="15" t="s">
        <v>32</v>
      </c>
      <c r="B19" s="7" t="s">
        <v>33</v>
      </c>
      <c r="C19" s="88">
        <f t="shared" ref="C19:C20" si="12">C18</f>
        <v>17666.666666666668</v>
      </c>
      <c r="D19" s="51">
        <v>1</v>
      </c>
      <c r="E19" s="9"/>
      <c r="F19" s="82">
        <f t="shared" si="7"/>
        <v>17666.666666666668</v>
      </c>
      <c r="G19" s="236"/>
      <c r="H19" s="51">
        <v>0</v>
      </c>
      <c r="I19" s="9"/>
      <c r="J19" s="91">
        <f t="shared" si="8"/>
        <v>0</v>
      </c>
      <c r="K19" s="226"/>
      <c r="L19" s="48">
        <v>1</v>
      </c>
      <c r="M19" s="13"/>
      <c r="N19" s="81">
        <f t="shared" si="9"/>
        <v>17666.666666666668</v>
      </c>
      <c r="O19" s="226"/>
      <c r="P19" s="100">
        <v>0</v>
      </c>
      <c r="Q19" s="13"/>
      <c r="R19" s="81">
        <f t="shared" si="10"/>
        <v>0</v>
      </c>
      <c r="S19" s="226"/>
      <c r="T19" s="100">
        <v>0</v>
      </c>
      <c r="U19" s="13"/>
      <c r="V19" s="24">
        <f t="shared" si="11"/>
        <v>0</v>
      </c>
    </row>
    <row r="20" spans="1:22" x14ac:dyDescent="0.25">
      <c r="A20" s="15" t="s">
        <v>34</v>
      </c>
      <c r="B20" s="7" t="s">
        <v>35</v>
      </c>
      <c r="C20" s="88">
        <f t="shared" si="12"/>
        <v>17666.666666666668</v>
      </c>
      <c r="D20" s="51">
        <v>0</v>
      </c>
      <c r="E20" s="9"/>
      <c r="F20" s="82">
        <f t="shared" si="7"/>
        <v>0</v>
      </c>
      <c r="G20" s="236"/>
      <c r="H20" s="51">
        <v>0</v>
      </c>
      <c r="I20" s="9"/>
      <c r="J20" s="91">
        <f t="shared" si="8"/>
        <v>0</v>
      </c>
      <c r="K20" s="226"/>
      <c r="L20" s="48">
        <v>0</v>
      </c>
      <c r="M20" s="13"/>
      <c r="N20" s="81">
        <f t="shared" si="9"/>
        <v>0</v>
      </c>
      <c r="O20" s="226"/>
      <c r="P20" s="100">
        <v>0</v>
      </c>
      <c r="Q20" s="13"/>
      <c r="R20" s="81">
        <f t="shared" si="10"/>
        <v>0</v>
      </c>
      <c r="S20" s="226"/>
      <c r="T20" s="100">
        <v>0</v>
      </c>
      <c r="U20" s="13"/>
      <c r="V20" s="24">
        <f t="shared" si="11"/>
        <v>0</v>
      </c>
    </row>
    <row r="21" spans="1:22" x14ac:dyDescent="0.25">
      <c r="A21" s="15" t="s">
        <v>36</v>
      </c>
      <c r="B21" s="7" t="s">
        <v>37</v>
      </c>
      <c r="C21" s="88">
        <f>(C22+C23)/2</f>
        <v>1350</v>
      </c>
      <c r="D21" s="51">
        <f>SUM(D16:D20)</f>
        <v>126</v>
      </c>
      <c r="E21" s="44"/>
      <c r="F21" s="82">
        <f t="shared" si="7"/>
        <v>170100</v>
      </c>
      <c r="G21" s="236"/>
      <c r="H21" s="51">
        <f>SUM(H16:H20)</f>
        <v>0</v>
      </c>
      <c r="I21" s="9"/>
      <c r="J21" s="91">
        <f t="shared" si="8"/>
        <v>0</v>
      </c>
      <c r="K21" s="226"/>
      <c r="L21" s="48">
        <f>SUM(L16:L20)</f>
        <v>40</v>
      </c>
      <c r="M21" s="13"/>
      <c r="N21" s="81">
        <f t="shared" si="9"/>
        <v>54000</v>
      </c>
      <c r="O21" s="226"/>
      <c r="P21" s="100">
        <f>SUM(P16:P20)</f>
        <v>55</v>
      </c>
      <c r="Q21" s="13"/>
      <c r="R21" s="81">
        <f t="shared" si="10"/>
        <v>74250</v>
      </c>
      <c r="S21" s="226"/>
      <c r="T21" s="100">
        <f>SUM(T16:T20)</f>
        <v>31</v>
      </c>
      <c r="U21" s="13"/>
      <c r="V21" s="24">
        <f t="shared" si="11"/>
        <v>41850</v>
      </c>
    </row>
    <row r="22" spans="1:22" ht="14.45" hidden="1" customHeight="1" x14ac:dyDescent="0.25">
      <c r="A22" s="15" t="s">
        <v>36</v>
      </c>
      <c r="B22" s="7" t="s">
        <v>38</v>
      </c>
      <c r="C22" s="41">
        <f>(700+1750)/2</f>
        <v>1225</v>
      </c>
      <c r="D22" s="40">
        <f>D21</f>
        <v>126</v>
      </c>
      <c r="E22" s="44"/>
      <c r="F22" s="84">
        <f t="shared" ref="F22:F23" si="13">C22*D22</f>
        <v>154350</v>
      </c>
      <c r="G22" s="236"/>
      <c r="J22" s="91">
        <f t="shared" si="8"/>
        <v>0</v>
      </c>
      <c r="K22" s="226"/>
      <c r="L22" s="12"/>
      <c r="M22" s="12"/>
      <c r="O22" s="226"/>
      <c r="P22" s="12"/>
      <c r="Q22" s="12"/>
      <c r="S22" s="226"/>
      <c r="T22" s="12"/>
      <c r="U22" s="12"/>
      <c r="V22" s="7"/>
    </row>
    <row r="23" spans="1:22" ht="14.45" hidden="1" customHeight="1" x14ac:dyDescent="0.25">
      <c r="A23" s="15" t="s">
        <v>39</v>
      </c>
      <c r="B23" s="7" t="s">
        <v>40</v>
      </c>
      <c r="C23" s="41">
        <f>(1050+1900)/2</f>
        <v>1475</v>
      </c>
      <c r="D23" s="40">
        <f>D21</f>
        <v>126</v>
      </c>
      <c r="E23" s="44"/>
      <c r="F23" s="84">
        <f t="shared" si="13"/>
        <v>185850</v>
      </c>
      <c r="G23" s="236"/>
      <c r="J23" s="91">
        <f t="shared" si="8"/>
        <v>0</v>
      </c>
      <c r="K23" s="226"/>
      <c r="L23" s="12"/>
      <c r="M23" s="12"/>
      <c r="O23" s="226"/>
      <c r="P23" s="12"/>
      <c r="Q23" s="12"/>
      <c r="S23" s="226"/>
      <c r="T23" s="12"/>
      <c r="U23" s="12"/>
      <c r="V23" s="7"/>
    </row>
    <row r="24" spans="1:22" ht="18.600000000000001" customHeight="1" x14ac:dyDescent="0.25">
      <c r="A24" s="37" t="s">
        <v>41</v>
      </c>
      <c r="B24" s="243" t="s">
        <v>42</v>
      </c>
      <c r="C24" s="244"/>
      <c r="D24" s="244"/>
      <c r="E24" s="245"/>
      <c r="F24" s="85">
        <f>SUM(F25:F27)</f>
        <v>3118500</v>
      </c>
      <c r="G24" s="236"/>
      <c r="H24" s="221"/>
      <c r="I24" s="222"/>
      <c r="J24" s="83">
        <f>SUM(J25:J27)</f>
        <v>0</v>
      </c>
      <c r="K24" s="226"/>
      <c r="L24" s="221"/>
      <c r="M24" s="222"/>
      <c r="N24" s="83">
        <f>SUM(N25:N27)</f>
        <v>519750</v>
      </c>
      <c r="O24" s="226"/>
      <c r="P24" s="221"/>
      <c r="Q24" s="222"/>
      <c r="R24" s="83">
        <f>SUM(R25:R27)</f>
        <v>1247400</v>
      </c>
      <c r="S24" s="226"/>
      <c r="T24" s="221"/>
      <c r="U24" s="222"/>
      <c r="V24" s="35">
        <f>SUM(V25:V27)</f>
        <v>1351350</v>
      </c>
    </row>
    <row r="25" spans="1:22" x14ac:dyDescent="0.25">
      <c r="A25" s="15" t="s">
        <v>43</v>
      </c>
      <c r="B25" s="59" t="s">
        <v>44</v>
      </c>
      <c r="C25" s="122">
        <f>(250+900)/2</f>
        <v>575</v>
      </c>
      <c r="D25" s="67">
        <f>10*D12</f>
        <v>2700</v>
      </c>
      <c r="E25" s="44"/>
      <c r="F25" s="86">
        <f>C25*D25</f>
        <v>1552500</v>
      </c>
      <c r="G25" s="236"/>
      <c r="H25" s="51">
        <f>10*H12</f>
        <v>0</v>
      </c>
      <c r="I25" s="44"/>
      <c r="J25" s="91">
        <f>C25*H25</f>
        <v>0</v>
      </c>
      <c r="K25" s="226"/>
      <c r="L25" s="48">
        <f>10*L12</f>
        <v>450</v>
      </c>
      <c r="M25" s="13"/>
      <c r="N25" s="91">
        <f>C25*L25</f>
        <v>258750</v>
      </c>
      <c r="O25" s="226"/>
      <c r="P25" s="100">
        <f>10*P12</f>
        <v>1080</v>
      </c>
      <c r="Q25" s="13"/>
      <c r="R25" s="91">
        <f>C25*P25</f>
        <v>621000</v>
      </c>
      <c r="S25" s="226"/>
      <c r="T25" s="100">
        <f>10*T12</f>
        <v>1170</v>
      </c>
      <c r="U25" s="13"/>
      <c r="V25" s="99">
        <f>C25*T25</f>
        <v>672750</v>
      </c>
    </row>
    <row r="26" spans="1:22" x14ac:dyDescent="0.25">
      <c r="A26" s="15" t="s">
        <v>45</v>
      </c>
      <c r="B26" s="59" t="s">
        <v>46</v>
      </c>
      <c r="C26" s="122">
        <f>(600+800)/2</f>
        <v>700</v>
      </c>
      <c r="D26" s="67">
        <f>4*D12</f>
        <v>1080</v>
      </c>
      <c r="E26" s="44"/>
      <c r="F26" s="86">
        <f>C26*D26</f>
        <v>756000</v>
      </c>
      <c r="G26" s="236"/>
      <c r="H26" s="51">
        <f>4*H12</f>
        <v>0</v>
      </c>
      <c r="I26" s="44"/>
      <c r="J26" s="91">
        <f>C26*H26</f>
        <v>0</v>
      </c>
      <c r="K26" s="226"/>
      <c r="L26" s="48">
        <f>4*L12</f>
        <v>180</v>
      </c>
      <c r="M26" s="13"/>
      <c r="N26" s="91">
        <f t="shared" ref="N26:N27" si="14">C26*L26</f>
        <v>126000</v>
      </c>
      <c r="O26" s="226"/>
      <c r="P26" s="100">
        <f>4*P12</f>
        <v>432</v>
      </c>
      <c r="Q26" s="13"/>
      <c r="R26" s="91">
        <f t="shared" ref="R26:R27" si="15">C26*P26</f>
        <v>302400</v>
      </c>
      <c r="S26" s="226"/>
      <c r="T26" s="100">
        <f>4*T12</f>
        <v>468</v>
      </c>
      <c r="U26" s="13"/>
      <c r="V26" s="99">
        <f t="shared" ref="V26:V27" si="16">C26*T26</f>
        <v>327600</v>
      </c>
    </row>
    <row r="27" spans="1:22" x14ac:dyDescent="0.25">
      <c r="A27" s="15" t="s">
        <v>47</v>
      </c>
      <c r="B27" s="59" t="s">
        <v>48</v>
      </c>
      <c r="C27" s="122">
        <f>(800+1200)/2</f>
        <v>1000</v>
      </c>
      <c r="D27" s="67">
        <f>3*D12</f>
        <v>810</v>
      </c>
      <c r="E27" s="44"/>
      <c r="F27" s="86">
        <f>C27*D27</f>
        <v>810000</v>
      </c>
      <c r="G27" s="236"/>
      <c r="H27" s="51">
        <f>3*H12</f>
        <v>0</v>
      </c>
      <c r="I27" s="44"/>
      <c r="J27" s="91">
        <f>C27*H27</f>
        <v>0</v>
      </c>
      <c r="K27" s="226"/>
      <c r="L27" s="48">
        <f>3*L12</f>
        <v>135</v>
      </c>
      <c r="M27" s="13"/>
      <c r="N27" s="91">
        <f t="shared" si="14"/>
        <v>135000</v>
      </c>
      <c r="O27" s="226"/>
      <c r="P27" s="100">
        <f>3*P12</f>
        <v>324</v>
      </c>
      <c r="Q27" s="13"/>
      <c r="R27" s="91">
        <f t="shared" si="15"/>
        <v>324000</v>
      </c>
      <c r="S27" s="226"/>
      <c r="T27" s="100">
        <f>3*T12</f>
        <v>351</v>
      </c>
      <c r="U27" s="13"/>
      <c r="V27" s="99">
        <f t="shared" si="16"/>
        <v>351000</v>
      </c>
    </row>
    <row r="28" spans="1:22" ht="23.45" customHeight="1" x14ac:dyDescent="0.25">
      <c r="A28" s="37" t="s">
        <v>49</v>
      </c>
      <c r="B28" s="238" t="s">
        <v>50</v>
      </c>
      <c r="C28" s="239"/>
      <c r="D28" s="239"/>
      <c r="E28" s="240"/>
      <c r="F28" s="85">
        <f>SUM(F29:F29)</f>
        <v>59400</v>
      </c>
      <c r="G28" s="236"/>
      <c r="H28" s="221"/>
      <c r="I28" s="222"/>
      <c r="J28" s="83">
        <f>SUM(J29)</f>
        <v>0</v>
      </c>
      <c r="K28" s="226"/>
      <c r="L28" s="221"/>
      <c r="M28" s="222"/>
      <c r="N28" s="83">
        <f>SUM(N29)</f>
        <v>12750</v>
      </c>
      <c r="O28" s="226"/>
      <c r="P28" s="221"/>
      <c r="Q28" s="222"/>
      <c r="R28" s="83">
        <f>SUM(R29)</f>
        <v>64800</v>
      </c>
      <c r="S28" s="226"/>
      <c r="T28" s="221"/>
      <c r="U28" s="222"/>
      <c r="V28" s="35">
        <f>SUM(V29)</f>
        <v>22200</v>
      </c>
    </row>
    <row r="29" spans="1:22" ht="17.25" customHeight="1" x14ac:dyDescent="0.25">
      <c r="A29" s="15" t="s">
        <v>51</v>
      </c>
      <c r="B29" s="59" t="s">
        <v>52</v>
      </c>
      <c r="C29" s="24">
        <v>150</v>
      </c>
      <c r="D29" s="51">
        <v>396</v>
      </c>
      <c r="E29" s="39"/>
      <c r="F29" s="82">
        <f>C29*D29</f>
        <v>59400</v>
      </c>
      <c r="G29" s="236"/>
      <c r="H29" s="51">
        <f>H12+H21</f>
        <v>0</v>
      </c>
      <c r="I29" s="39"/>
      <c r="J29" s="91">
        <f>C29*H29</f>
        <v>0</v>
      </c>
      <c r="K29" s="226"/>
      <c r="L29" s="51">
        <f>L12+L21</f>
        <v>85</v>
      </c>
      <c r="M29" s="13"/>
      <c r="N29" s="81">
        <f>C29*L29</f>
        <v>12750</v>
      </c>
      <c r="O29" s="226"/>
      <c r="P29" s="65">
        <f>P12+P27</f>
        <v>432</v>
      </c>
      <c r="Q29" s="13"/>
      <c r="R29" s="81">
        <f>C29*P29</f>
        <v>64800</v>
      </c>
      <c r="S29" s="226"/>
      <c r="T29" s="65">
        <f>T12+T21</f>
        <v>148</v>
      </c>
      <c r="U29" s="13"/>
      <c r="V29" s="24">
        <f>C29*T29</f>
        <v>22200</v>
      </c>
    </row>
    <row r="30" spans="1:22" ht="26.45" customHeight="1" x14ac:dyDescent="0.25">
      <c r="A30" s="37" t="s">
        <v>53</v>
      </c>
      <c r="B30" s="238" t="s">
        <v>54</v>
      </c>
      <c r="C30" s="239"/>
      <c r="D30" s="239"/>
      <c r="E30" s="240"/>
      <c r="F30" s="83">
        <f>SUM(F31:F31)</f>
        <v>714750</v>
      </c>
      <c r="G30" s="236"/>
      <c r="H30" s="221"/>
      <c r="I30" s="222"/>
      <c r="J30" s="83">
        <f>SUM(J31)</f>
        <v>35737.5</v>
      </c>
      <c r="K30" s="226"/>
      <c r="L30" s="221"/>
      <c r="M30" s="222"/>
      <c r="N30" s="83">
        <f>SUM(N31)</f>
        <v>571800</v>
      </c>
      <c r="O30" s="226"/>
      <c r="P30" s="221"/>
      <c r="Q30" s="222"/>
      <c r="R30" s="83">
        <f>SUM(R31)</f>
        <v>107212.5</v>
      </c>
      <c r="S30" s="226"/>
      <c r="T30" s="221"/>
      <c r="U30" s="222"/>
      <c r="V30" s="35">
        <f>SUM(V31)</f>
        <v>0</v>
      </c>
    </row>
    <row r="31" spans="1:22" ht="79.150000000000006" customHeight="1" thickBot="1" x14ac:dyDescent="0.3">
      <c r="A31" s="23" t="s">
        <v>55</v>
      </c>
      <c r="B31" s="7" t="s">
        <v>56</v>
      </c>
      <c r="C31" s="60">
        <f>(F6+F15+F28)*0.05</f>
        <v>714750</v>
      </c>
      <c r="D31" s="51">
        <v>1</v>
      </c>
      <c r="E31" s="9"/>
      <c r="F31" s="87">
        <f>C31*D31</f>
        <v>714750</v>
      </c>
      <c r="G31" s="237"/>
      <c r="H31" s="51">
        <v>1</v>
      </c>
      <c r="I31" s="39"/>
      <c r="J31" s="91">
        <f>C31*0.05</f>
        <v>35737.5</v>
      </c>
      <c r="K31" s="227"/>
      <c r="L31" s="51">
        <v>1</v>
      </c>
      <c r="M31" s="13"/>
      <c r="N31" s="91">
        <f>C31*0.8</f>
        <v>571800</v>
      </c>
      <c r="O31" s="227"/>
      <c r="P31" s="65">
        <v>1</v>
      </c>
      <c r="Q31" s="13"/>
      <c r="R31" s="91">
        <f>C31*0.15</f>
        <v>107212.5</v>
      </c>
      <c r="S31" s="227"/>
      <c r="T31" s="65">
        <v>1</v>
      </c>
      <c r="U31" s="13"/>
      <c r="V31" s="99">
        <f>C31*0</f>
        <v>0</v>
      </c>
    </row>
    <row r="32" spans="1:22" ht="40.9" customHeight="1" thickBot="1" x14ac:dyDescent="0.3">
      <c r="A32" s="92"/>
      <c r="B32" s="4"/>
      <c r="C32" s="66" t="s">
        <v>57</v>
      </c>
      <c r="F32" s="66"/>
      <c r="G32" s="25"/>
      <c r="H32" s="2"/>
      <c r="I32" s="93"/>
      <c r="J32" s="94"/>
      <c r="K32" s="93"/>
      <c r="L32" s="2"/>
      <c r="M32" s="2"/>
      <c r="O32" s="93"/>
      <c r="P32" s="2"/>
      <c r="Q32" s="2"/>
      <c r="S32" s="93"/>
      <c r="T32" s="2"/>
      <c r="U32" s="3"/>
    </row>
    <row r="33" spans="1:26" ht="36" customHeight="1" thickBot="1" x14ac:dyDescent="0.3">
      <c r="F33" s="18"/>
      <c r="G33" s="26"/>
      <c r="H33" s="231">
        <v>2025</v>
      </c>
      <c r="I33" s="223"/>
      <c r="J33" s="224"/>
      <c r="K33" s="225"/>
      <c r="L33" s="231">
        <v>2026</v>
      </c>
      <c r="M33" s="223"/>
      <c r="N33" s="224"/>
      <c r="O33" s="225"/>
      <c r="P33" s="231">
        <v>2027</v>
      </c>
      <c r="Q33" s="223"/>
      <c r="R33" s="224"/>
      <c r="S33" s="225"/>
      <c r="T33" s="231">
        <v>2028</v>
      </c>
      <c r="U33" s="223"/>
      <c r="V33" s="224"/>
      <c r="W33" s="225"/>
      <c r="X33" s="231">
        <v>2029</v>
      </c>
      <c r="Y33" s="223"/>
      <c r="Z33" s="224"/>
    </row>
    <row r="34" spans="1:26" ht="47.45" customHeight="1" thickBot="1" x14ac:dyDescent="0.3">
      <c r="A34" s="124" t="e" vm="1">
        <v>#VALUE!</v>
      </c>
      <c r="B34" s="68" t="s">
        <v>58</v>
      </c>
      <c r="C34" s="33" t="s">
        <v>2</v>
      </c>
      <c r="D34" s="34" t="s">
        <v>3</v>
      </c>
      <c r="E34" s="34" t="s">
        <v>4</v>
      </c>
      <c r="F34" s="95" t="s">
        <v>5</v>
      </c>
      <c r="G34" s="235"/>
      <c r="H34" s="63" t="s">
        <v>3</v>
      </c>
      <c r="I34" s="34" t="s">
        <v>4</v>
      </c>
      <c r="J34" s="95" t="s">
        <v>5</v>
      </c>
      <c r="K34" s="226"/>
      <c r="L34" s="63" t="s">
        <v>3</v>
      </c>
      <c r="M34" s="34" t="s">
        <v>4</v>
      </c>
      <c r="N34" s="95" t="s">
        <v>5</v>
      </c>
      <c r="O34" s="226"/>
      <c r="P34" s="63" t="s">
        <v>3</v>
      </c>
      <c r="Q34" s="34" t="s">
        <v>4</v>
      </c>
      <c r="R34" s="95" t="s">
        <v>5</v>
      </c>
      <c r="S34" s="226"/>
      <c r="T34" s="75" t="s">
        <v>3</v>
      </c>
      <c r="U34" s="74" t="s">
        <v>4</v>
      </c>
      <c r="V34" s="73" t="s">
        <v>5</v>
      </c>
      <c r="W34" s="226"/>
      <c r="X34" s="75" t="s">
        <v>3</v>
      </c>
      <c r="Y34" s="74" t="s">
        <v>4</v>
      </c>
      <c r="Z34" s="73" t="s">
        <v>5</v>
      </c>
    </row>
    <row r="35" spans="1:26" s="6" customFormat="1" ht="30" customHeight="1" x14ac:dyDescent="0.25">
      <c r="A35" s="36"/>
      <c r="B35" s="251" t="s">
        <v>59</v>
      </c>
      <c r="C35" s="252"/>
      <c r="D35" s="252"/>
      <c r="E35" s="253"/>
      <c r="F35" s="90">
        <f>(F36+F38+F40)</f>
        <v>1319280</v>
      </c>
      <c r="G35" s="236"/>
      <c r="H35" s="232"/>
      <c r="I35" s="233"/>
      <c r="J35" s="90">
        <f>SUM(J36+J38+J40)</f>
        <v>15000</v>
      </c>
      <c r="K35" s="226"/>
      <c r="L35" s="232"/>
      <c r="M35" s="233"/>
      <c r="N35" s="90">
        <f>SUM(N36+N38+N40)</f>
        <v>285300</v>
      </c>
      <c r="O35" s="226"/>
      <c r="P35" s="232"/>
      <c r="Q35" s="233"/>
      <c r="R35" s="90">
        <f>SUM(R36+R38+R40)</f>
        <v>803640</v>
      </c>
      <c r="S35" s="226"/>
      <c r="T35" s="232"/>
      <c r="U35" s="233"/>
      <c r="V35" s="31">
        <f>SUM(V36+V38+V40)</f>
        <v>1003980</v>
      </c>
      <c r="W35" s="226"/>
      <c r="X35" s="232"/>
      <c r="Y35" s="233"/>
      <c r="Z35" s="31">
        <f>SUM(Z36+Z38+Z40)</f>
        <v>470640</v>
      </c>
    </row>
    <row r="36" spans="1:26" ht="30" customHeight="1" x14ac:dyDescent="0.25">
      <c r="A36" s="37" t="s">
        <v>60</v>
      </c>
      <c r="B36" s="212" t="s">
        <v>61</v>
      </c>
      <c r="C36" s="213"/>
      <c r="D36" s="213"/>
      <c r="E36" s="214"/>
      <c r="F36" s="77">
        <f>SUM(F37:F37)</f>
        <v>858600</v>
      </c>
      <c r="G36" s="236"/>
      <c r="H36" s="230"/>
      <c r="I36" s="213"/>
      <c r="J36" s="77">
        <f>SUM(J37)</f>
        <v>0</v>
      </c>
      <c r="K36" s="226"/>
      <c r="L36" s="230"/>
      <c r="M36" s="213"/>
      <c r="N36" s="77">
        <f>SUM(N37)</f>
        <v>143100</v>
      </c>
      <c r="O36" s="226"/>
      <c r="P36" s="230"/>
      <c r="Q36" s="213"/>
      <c r="R36" s="77">
        <f>SUM(R37)</f>
        <v>486540</v>
      </c>
      <c r="S36" s="226"/>
      <c r="T36" s="230"/>
      <c r="U36" s="213"/>
      <c r="V36" s="30">
        <f>SUM(V37)</f>
        <v>715500</v>
      </c>
      <c r="W36" s="226"/>
      <c r="X36" s="230"/>
      <c r="Y36" s="213"/>
      <c r="Z36" s="30">
        <f>SUM(Z37)</f>
        <v>372060</v>
      </c>
    </row>
    <row r="37" spans="1:26" ht="40.9" customHeight="1" x14ac:dyDescent="0.25">
      <c r="A37" s="15" t="s">
        <v>62</v>
      </c>
      <c r="B37" s="16" t="s">
        <v>63</v>
      </c>
      <c r="C37" s="24">
        <f>(3360+3000)/2</f>
        <v>3180</v>
      </c>
      <c r="D37" s="56">
        <f>D12</f>
        <v>270</v>
      </c>
      <c r="E37" s="9"/>
      <c r="F37" s="96">
        <f>C37*D37</f>
        <v>858600</v>
      </c>
      <c r="G37" s="236"/>
      <c r="H37" s="56">
        <v>0</v>
      </c>
      <c r="I37" s="9"/>
      <c r="J37" s="91">
        <f>C37*H37</f>
        <v>0</v>
      </c>
      <c r="K37" s="226"/>
      <c r="L37" s="56">
        <f>L12+H21+H12</f>
        <v>45</v>
      </c>
      <c r="M37" s="9"/>
      <c r="N37" s="91">
        <f>C37*L37</f>
        <v>143100</v>
      </c>
      <c r="O37" s="226"/>
      <c r="P37" s="56">
        <f>P12+L12</f>
        <v>153</v>
      </c>
      <c r="Q37" s="9"/>
      <c r="R37" s="97">
        <f>C37*P37</f>
        <v>486540</v>
      </c>
      <c r="S37" s="226"/>
      <c r="T37" s="56">
        <f>T12+P12</f>
        <v>225</v>
      </c>
      <c r="U37" s="9"/>
      <c r="V37" s="99">
        <f>C37*T37</f>
        <v>715500</v>
      </c>
      <c r="W37" s="226"/>
      <c r="X37" s="56">
        <f>T12</f>
        <v>117</v>
      </c>
      <c r="Y37" s="9"/>
      <c r="Z37" s="99">
        <f>C37*X37</f>
        <v>372060</v>
      </c>
    </row>
    <row r="38" spans="1:26" ht="29.25" customHeight="1" x14ac:dyDescent="0.25">
      <c r="A38" s="37" t="s">
        <v>64</v>
      </c>
      <c r="B38" s="212" t="s">
        <v>65</v>
      </c>
      <c r="C38" s="213"/>
      <c r="D38" s="213"/>
      <c r="E38" s="214"/>
      <c r="F38" s="77">
        <f>SUM(F39:F39)</f>
        <v>400680</v>
      </c>
      <c r="G38" s="236"/>
      <c r="H38" s="230"/>
      <c r="I38" s="213"/>
      <c r="J38" s="77">
        <f>SUM(J39)</f>
        <v>0</v>
      </c>
      <c r="K38" s="226"/>
      <c r="L38" s="230"/>
      <c r="M38" s="213"/>
      <c r="N38" s="77">
        <f>SUM(N39)</f>
        <v>127200</v>
      </c>
      <c r="O38" s="226"/>
      <c r="P38" s="230"/>
      <c r="Q38" s="213"/>
      <c r="R38" s="77">
        <f>SUM(R39)</f>
        <v>302100</v>
      </c>
      <c r="S38" s="226"/>
      <c r="T38" s="230"/>
      <c r="U38" s="213"/>
      <c r="V38" s="30">
        <f>SUM(V39)</f>
        <v>273480</v>
      </c>
      <c r="W38" s="226"/>
      <c r="X38" s="230"/>
      <c r="Y38" s="213"/>
      <c r="Z38" s="30">
        <f>SUM(Z39)</f>
        <v>98580</v>
      </c>
    </row>
    <row r="39" spans="1:26" ht="40.15" customHeight="1" x14ac:dyDescent="0.25">
      <c r="A39" s="15" t="s">
        <v>66</v>
      </c>
      <c r="B39" s="16" t="s">
        <v>67</v>
      </c>
      <c r="C39" s="62">
        <f>(3360+3000)/2</f>
        <v>3180</v>
      </c>
      <c r="D39" s="57">
        <f>D21</f>
        <v>126</v>
      </c>
      <c r="E39" s="9"/>
      <c r="F39" s="76">
        <f>C39*D39</f>
        <v>400680</v>
      </c>
      <c r="G39" s="246"/>
      <c r="H39" s="56">
        <v>0</v>
      </c>
      <c r="I39" s="9"/>
      <c r="J39" s="91">
        <f>C39*H39</f>
        <v>0</v>
      </c>
      <c r="K39" s="226"/>
      <c r="L39" s="56">
        <f>L21+H39+H21</f>
        <v>40</v>
      </c>
      <c r="M39" s="9"/>
      <c r="N39" s="91">
        <f>C39*L39</f>
        <v>127200</v>
      </c>
      <c r="O39" s="226"/>
      <c r="P39" s="56">
        <f>P21+L21</f>
        <v>95</v>
      </c>
      <c r="Q39" s="9"/>
      <c r="R39" s="91">
        <f>C39*P39</f>
        <v>302100</v>
      </c>
      <c r="S39" s="226"/>
      <c r="T39" s="56">
        <f>T21+P21</f>
        <v>86</v>
      </c>
      <c r="U39" s="9"/>
      <c r="V39" s="99">
        <f>C39*T39</f>
        <v>273480</v>
      </c>
      <c r="W39" s="226"/>
      <c r="X39" s="56">
        <f>T21</f>
        <v>31</v>
      </c>
      <c r="Y39" s="9"/>
      <c r="Z39" s="99">
        <f>C39*X39</f>
        <v>98580</v>
      </c>
    </row>
    <row r="40" spans="1:26" ht="30" customHeight="1" x14ac:dyDescent="0.25">
      <c r="A40" s="37" t="s">
        <v>68</v>
      </c>
      <c r="B40" s="212" t="s">
        <v>69</v>
      </c>
      <c r="C40" s="213"/>
      <c r="D40" s="213"/>
      <c r="E40" s="214"/>
      <c r="F40" s="77">
        <f>SUM(F41)</f>
        <v>60000</v>
      </c>
      <c r="G40" s="236"/>
      <c r="H40" s="230"/>
      <c r="I40" s="213"/>
      <c r="J40" s="77">
        <f>SUM(J41)</f>
        <v>15000</v>
      </c>
      <c r="K40" s="226"/>
      <c r="L40" s="230"/>
      <c r="M40" s="213"/>
      <c r="N40" s="77">
        <f>SUM(N41)</f>
        <v>15000</v>
      </c>
      <c r="O40" s="226"/>
      <c r="P40" s="230"/>
      <c r="Q40" s="213"/>
      <c r="R40" s="77">
        <f>SUM(R41)</f>
        <v>15000</v>
      </c>
      <c r="S40" s="226"/>
      <c r="T40" s="230"/>
      <c r="U40" s="213"/>
      <c r="V40" s="30">
        <f>SUM(V41)</f>
        <v>15000</v>
      </c>
      <c r="W40" s="226"/>
      <c r="X40" s="230"/>
      <c r="Y40" s="213"/>
      <c r="Z40" s="30">
        <f>SUM(Z41)</f>
        <v>0</v>
      </c>
    </row>
    <row r="41" spans="1:26" ht="36.6" customHeight="1" thickBot="1" x14ac:dyDescent="0.3">
      <c r="A41" s="15" t="s">
        <v>70</v>
      </c>
      <c r="B41" s="16" t="s">
        <v>71</v>
      </c>
      <c r="C41" s="21">
        <v>50</v>
      </c>
      <c r="D41" s="9"/>
      <c r="E41" s="42">
        <v>1200</v>
      </c>
      <c r="F41" s="76">
        <f>C41*E41</f>
        <v>60000</v>
      </c>
      <c r="G41" s="247"/>
      <c r="H41" s="9"/>
      <c r="I41" s="42">
        <f>E41*0.25</f>
        <v>300</v>
      </c>
      <c r="J41" s="91">
        <f>C41*I41</f>
        <v>15000</v>
      </c>
      <c r="K41" s="227"/>
      <c r="L41" s="9"/>
      <c r="M41" s="42">
        <f>E41*0.25</f>
        <v>300</v>
      </c>
      <c r="N41" s="91">
        <f>C41*M41</f>
        <v>15000</v>
      </c>
      <c r="O41" s="227"/>
      <c r="P41" s="9"/>
      <c r="Q41" s="42">
        <f>E41*0.25</f>
        <v>300</v>
      </c>
      <c r="R41" s="91">
        <f>C41*Q41</f>
        <v>15000</v>
      </c>
      <c r="S41" s="227"/>
      <c r="T41" s="9"/>
      <c r="U41" s="42">
        <f>E41*0.25</f>
        <v>300</v>
      </c>
      <c r="V41" s="99">
        <f>C41*U41</f>
        <v>15000</v>
      </c>
      <c r="W41" s="227"/>
      <c r="X41" s="9"/>
      <c r="Y41" s="42">
        <v>0</v>
      </c>
      <c r="Z41" s="99">
        <f>G41*Y41</f>
        <v>0</v>
      </c>
    </row>
    <row r="42" spans="1:26" ht="22.15" customHeight="1" x14ac:dyDescent="0.25">
      <c r="B42" s="10"/>
      <c r="F42" s="22"/>
      <c r="G42" s="27"/>
      <c r="H42" s="11"/>
      <c r="I42" s="11"/>
      <c r="J42" s="4" t="s">
        <v>57</v>
      </c>
    </row>
    <row r="43" spans="1:26" ht="21.6" customHeight="1" x14ac:dyDescent="0.25">
      <c r="A43" s="126"/>
      <c r="B43" s="217" t="s">
        <v>72</v>
      </c>
      <c r="C43" s="218"/>
      <c r="D43" s="119">
        <f>SUM(D44:D45)</f>
        <v>20766810</v>
      </c>
      <c r="E43" s="53"/>
      <c r="H43" s="3"/>
      <c r="I43" s="3"/>
    </row>
    <row r="44" spans="1:26" x14ac:dyDescent="0.25">
      <c r="A44" s="215" t="s">
        <v>73</v>
      </c>
      <c r="B44" s="219" t="s">
        <v>74</v>
      </c>
      <c r="C44" s="220"/>
      <c r="D44" s="99">
        <f>F5</f>
        <v>18128250</v>
      </c>
      <c r="E44" s="54"/>
      <c r="G44" s="25"/>
      <c r="H44" s="3"/>
      <c r="I44" s="3"/>
    </row>
    <row r="45" spans="1:26" x14ac:dyDescent="0.25">
      <c r="A45" s="216"/>
      <c r="B45" s="219" t="s">
        <v>75</v>
      </c>
      <c r="C45" s="220"/>
      <c r="D45" s="99">
        <f>F35*2</f>
        <v>2638560</v>
      </c>
      <c r="E45" s="54"/>
      <c r="G45" s="29"/>
      <c r="H45" s="3"/>
      <c r="I45" s="3"/>
    </row>
    <row r="46" spans="1:26" x14ac:dyDescent="0.25">
      <c r="C46" s="55"/>
      <c r="D46" s="5"/>
      <c r="E46" s="55"/>
      <c r="G46" s="25"/>
      <c r="H46" s="3"/>
      <c r="I46" s="3"/>
    </row>
    <row r="47" spans="1:26" ht="22.15" customHeight="1" x14ac:dyDescent="0.25">
      <c r="A47" s="126"/>
      <c r="B47" s="234" t="s">
        <v>76</v>
      </c>
      <c r="C47" s="218"/>
      <c r="D47" s="119">
        <f>SUM(D48:D49)</f>
        <v>50737.5</v>
      </c>
      <c r="E47" s="4"/>
      <c r="F47" s="18"/>
      <c r="G47" s="25"/>
      <c r="H47" s="3"/>
      <c r="I47" s="3"/>
    </row>
    <row r="48" spans="1:26" x14ac:dyDescent="0.25">
      <c r="A48" s="215" t="s">
        <v>73</v>
      </c>
      <c r="B48" s="219" t="s">
        <v>74</v>
      </c>
      <c r="C48" s="220"/>
      <c r="D48" s="99">
        <f>J5</f>
        <v>35737.5</v>
      </c>
      <c r="E48" s="4"/>
      <c r="F48" s="18"/>
      <c r="G48" s="25"/>
      <c r="H48" s="3"/>
      <c r="I48" s="3"/>
    </row>
    <row r="49" spans="1:9" x14ac:dyDescent="0.25">
      <c r="A49" s="216"/>
      <c r="B49" s="219" t="s">
        <v>77</v>
      </c>
      <c r="C49" s="220"/>
      <c r="D49" s="99">
        <f>J35</f>
        <v>15000</v>
      </c>
      <c r="E49" s="4"/>
      <c r="F49" s="18"/>
      <c r="G49" s="25"/>
      <c r="H49" s="3"/>
      <c r="I49" s="3"/>
    </row>
    <row r="50" spans="1:9" x14ac:dyDescent="0.25">
      <c r="A50" s="4"/>
      <c r="B50" s="4"/>
      <c r="C50" s="4"/>
      <c r="D50" s="4"/>
      <c r="E50" s="4"/>
      <c r="F50" s="18"/>
      <c r="G50" s="25"/>
      <c r="H50" s="3"/>
      <c r="I50" s="3"/>
    </row>
    <row r="51" spans="1:9" ht="21.6" customHeight="1" x14ac:dyDescent="0.25">
      <c r="A51" s="126"/>
      <c r="B51" s="234" t="s">
        <v>78</v>
      </c>
      <c r="C51" s="218"/>
      <c r="D51" s="119">
        <f>SUM(D52:D53)</f>
        <v>4358836.666666667</v>
      </c>
      <c r="E51" s="4"/>
      <c r="F51" s="18"/>
      <c r="G51" s="25"/>
      <c r="H51" s="3"/>
      <c r="I51" s="3"/>
    </row>
    <row r="52" spans="1:9" x14ac:dyDescent="0.25">
      <c r="A52" s="215" t="s">
        <v>73</v>
      </c>
      <c r="B52" s="219" t="s">
        <v>74</v>
      </c>
      <c r="C52" s="220"/>
      <c r="D52" s="99">
        <f>N5</f>
        <v>3838216.666666667</v>
      </c>
      <c r="E52" s="4"/>
      <c r="F52" s="18"/>
      <c r="G52" s="25"/>
      <c r="H52" s="3"/>
      <c r="I52" s="3"/>
    </row>
    <row r="53" spans="1:9" x14ac:dyDescent="0.25">
      <c r="A53" s="216"/>
      <c r="B53" s="219" t="s">
        <v>77</v>
      </c>
      <c r="C53" s="220"/>
      <c r="D53" s="99">
        <f>N35+(Z35*0.5)</f>
        <v>520620</v>
      </c>
      <c r="E53" s="4"/>
      <c r="F53" s="18"/>
      <c r="G53" s="25"/>
      <c r="H53" s="3"/>
      <c r="I53" s="3"/>
    </row>
    <row r="54" spans="1:9" x14ac:dyDescent="0.25">
      <c r="A54" s="4"/>
      <c r="B54" s="4"/>
      <c r="C54" s="4"/>
      <c r="D54" s="4"/>
      <c r="E54" s="4"/>
      <c r="F54" s="18"/>
      <c r="G54" s="25"/>
      <c r="H54" s="3"/>
      <c r="I54" s="3"/>
    </row>
    <row r="55" spans="1:9" ht="21.6" customHeight="1" x14ac:dyDescent="0.25">
      <c r="A55" s="126"/>
      <c r="B55" s="234" t="s">
        <v>79</v>
      </c>
      <c r="C55" s="218"/>
      <c r="D55" s="119">
        <f>SUM(D56:D57)</f>
        <v>8240089.166666667</v>
      </c>
      <c r="E55" s="4"/>
      <c r="F55" s="18"/>
      <c r="G55" s="25"/>
      <c r="H55" s="3"/>
      <c r="I55" s="3"/>
    </row>
    <row r="56" spans="1:9" x14ac:dyDescent="0.25">
      <c r="A56" s="215" t="s">
        <v>73</v>
      </c>
      <c r="B56" s="219" t="s">
        <v>74</v>
      </c>
      <c r="C56" s="220"/>
      <c r="D56" s="99">
        <f>R5</f>
        <v>7201129.166666667</v>
      </c>
      <c r="E56" s="4"/>
      <c r="F56" s="18"/>
      <c r="G56" s="25"/>
      <c r="H56" s="3"/>
      <c r="I56" s="3"/>
    </row>
    <row r="57" spans="1:9" x14ac:dyDescent="0.25">
      <c r="A57" s="216"/>
      <c r="B57" s="219" t="s">
        <v>77</v>
      </c>
      <c r="C57" s="220"/>
      <c r="D57" s="99">
        <f>R35+(Z35*0.5)</f>
        <v>1038960</v>
      </c>
      <c r="E57" s="4"/>
      <c r="F57" s="18"/>
      <c r="G57" s="25"/>
      <c r="H57" s="3"/>
      <c r="I57" s="3"/>
    </row>
    <row r="59" spans="1:9" ht="15.75" x14ac:dyDescent="0.25">
      <c r="B59" s="234" t="s">
        <v>80</v>
      </c>
      <c r="C59" s="218"/>
      <c r="D59" s="119">
        <f>SUM(D60:D61)</f>
        <v>8097496.666666667</v>
      </c>
    </row>
    <row r="60" spans="1:9" x14ac:dyDescent="0.25">
      <c r="A60" s="215" t="s">
        <v>73</v>
      </c>
      <c r="B60" s="219" t="s">
        <v>74</v>
      </c>
      <c r="C60" s="220"/>
      <c r="D60" s="99">
        <f>V5</f>
        <v>7093516.666666667</v>
      </c>
      <c r="E60" s="4"/>
      <c r="H60" s="4"/>
      <c r="I60" s="4"/>
    </row>
    <row r="61" spans="1:9" x14ac:dyDescent="0.25">
      <c r="A61" s="216"/>
      <c r="B61" s="219" t="s">
        <v>77</v>
      </c>
      <c r="C61" s="220"/>
      <c r="D61" s="99">
        <f>V35</f>
        <v>1003980</v>
      </c>
    </row>
  </sheetData>
  <mergeCells count="93">
    <mergeCell ref="A5:E5"/>
    <mergeCell ref="B59:C59"/>
    <mergeCell ref="A60:A61"/>
    <mergeCell ref="B60:C60"/>
    <mergeCell ref="B61:C61"/>
    <mergeCell ref="A56:A57"/>
    <mergeCell ref="B56:C56"/>
    <mergeCell ref="B57:C57"/>
    <mergeCell ref="B35:E35"/>
    <mergeCell ref="B36:E36"/>
    <mergeCell ref="B38:E38"/>
    <mergeCell ref="A52:A53"/>
    <mergeCell ref="B52:C52"/>
    <mergeCell ref="B53:C53"/>
    <mergeCell ref="B55:C55"/>
    <mergeCell ref="B47:C47"/>
    <mergeCell ref="X33:Z33"/>
    <mergeCell ref="X35:Y35"/>
    <mergeCell ref="X36:Y36"/>
    <mergeCell ref="X38:Y38"/>
    <mergeCell ref="X40:Y40"/>
    <mergeCell ref="G34:G41"/>
    <mergeCell ref="H35:I35"/>
    <mergeCell ref="H36:I36"/>
    <mergeCell ref="H38:I38"/>
    <mergeCell ref="W33:W41"/>
    <mergeCell ref="T33:V33"/>
    <mergeCell ref="T35:U35"/>
    <mergeCell ref="T36:U36"/>
    <mergeCell ref="T38:U38"/>
    <mergeCell ref="T40:U40"/>
    <mergeCell ref="S33:S41"/>
    <mergeCell ref="L36:M36"/>
    <mergeCell ref="L35:M35"/>
    <mergeCell ref="L38:M38"/>
    <mergeCell ref="L40:M40"/>
    <mergeCell ref="O33:O41"/>
    <mergeCell ref="A48:A49"/>
    <mergeCell ref="B48:C48"/>
    <mergeCell ref="B49:C49"/>
    <mergeCell ref="B51:C51"/>
    <mergeCell ref="H30:I30"/>
    <mergeCell ref="G3:G31"/>
    <mergeCell ref="C3:F3"/>
    <mergeCell ref="B28:E28"/>
    <mergeCell ref="B30:E30"/>
    <mergeCell ref="B6:E6"/>
    <mergeCell ref="B15:E15"/>
    <mergeCell ref="B24:E24"/>
    <mergeCell ref="H6:I6"/>
    <mergeCell ref="H15:I15"/>
    <mergeCell ref="H24:I24"/>
    <mergeCell ref="H28:I28"/>
    <mergeCell ref="L33:N33"/>
    <mergeCell ref="P33:R33"/>
    <mergeCell ref="P35:Q35"/>
    <mergeCell ref="P36:Q36"/>
    <mergeCell ref="P38:Q38"/>
    <mergeCell ref="P40:Q40"/>
    <mergeCell ref="K33:K41"/>
    <mergeCell ref="H33:J33"/>
    <mergeCell ref="H40:I40"/>
    <mergeCell ref="T30:U30"/>
    <mergeCell ref="K3:K31"/>
    <mergeCell ref="O3:O31"/>
    <mergeCell ref="H3:J3"/>
    <mergeCell ref="H5:I5"/>
    <mergeCell ref="L5:M5"/>
    <mergeCell ref="L3:N3"/>
    <mergeCell ref="L30:M30"/>
    <mergeCell ref="L28:M28"/>
    <mergeCell ref="L24:M24"/>
    <mergeCell ref="L15:M15"/>
    <mergeCell ref="L6:M6"/>
    <mergeCell ref="T24:U24"/>
    <mergeCell ref="T28:U28"/>
    <mergeCell ref="T15:U15"/>
    <mergeCell ref="P6:Q6"/>
    <mergeCell ref="T3:V3"/>
    <mergeCell ref="S3:S31"/>
    <mergeCell ref="T5:U5"/>
    <mergeCell ref="P3:R3"/>
    <mergeCell ref="T6:U6"/>
    <mergeCell ref="P15:Q15"/>
    <mergeCell ref="P24:Q24"/>
    <mergeCell ref="P28:Q28"/>
    <mergeCell ref="P30:Q30"/>
    <mergeCell ref="P5:Q5"/>
    <mergeCell ref="B40:E40"/>
    <mergeCell ref="A44:A45"/>
    <mergeCell ref="B43:C43"/>
    <mergeCell ref="B44:C44"/>
    <mergeCell ref="B45:C45"/>
  </mergeCells>
  <phoneticPr fontId="8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89739-AE79-4520-B656-5FEE1321B99D}">
  <dimension ref="A2:AN63"/>
  <sheetViews>
    <sheetView showGridLines="0" topLeftCell="E1" zoomScale="70" zoomScaleNormal="70" workbookViewId="0">
      <selection activeCell="G3" sqref="G3:G33"/>
    </sheetView>
  </sheetViews>
  <sheetFormatPr baseColWidth="10" defaultColWidth="11.5703125" defaultRowHeight="15" x14ac:dyDescent="0.25"/>
  <cols>
    <col min="1" max="1" width="12.7109375" style="14" customWidth="1"/>
    <col min="2" max="2" width="50.85546875" style="1" customWidth="1"/>
    <col min="3" max="3" width="26.42578125" style="20" customWidth="1"/>
    <col min="4" max="4" width="16.85546875" style="2" customWidth="1"/>
    <col min="5" max="5" width="11.7109375" style="2" customWidth="1"/>
    <col min="6" max="6" width="16.28515625" style="20" customWidth="1"/>
    <col min="7" max="7" width="1.7109375" style="28" customWidth="1"/>
    <col min="8" max="8" width="9.7109375" style="12" customWidth="1"/>
    <col min="9" max="9" width="7.42578125" style="12" customWidth="1"/>
    <col min="10" max="10" width="14.85546875" style="4" customWidth="1"/>
    <col min="11" max="11" width="2" style="4" customWidth="1"/>
    <col min="12" max="12" width="14.28515625" style="4" customWidth="1"/>
    <col min="13" max="13" width="11.5703125" style="4" customWidth="1"/>
    <col min="14" max="14" width="10.5703125" style="4" customWidth="1"/>
    <col min="15" max="16" width="9.85546875" style="4" customWidth="1"/>
    <col min="17" max="17" width="10.28515625" style="4" customWidth="1"/>
    <col min="18" max="18" width="10.7109375" style="4" customWidth="1"/>
    <col min="19" max="19" width="12.140625" style="4" customWidth="1"/>
    <col min="20" max="20" width="13.5703125" style="4" customWidth="1"/>
    <col min="21" max="21" width="15" style="4" customWidth="1"/>
    <col min="22" max="22" width="12.28515625" style="4" customWidth="1"/>
    <col min="23" max="23" width="14.7109375" style="4" customWidth="1"/>
    <col min="24" max="24" width="16.5703125" style="4" customWidth="1"/>
    <col min="25" max="25" width="2.140625" style="4" customWidth="1"/>
    <col min="26" max="26" width="10" style="4" customWidth="1"/>
    <col min="27" max="27" width="9.140625" style="4" customWidth="1"/>
    <col min="28" max="28" width="13.7109375" style="4" customWidth="1"/>
    <col min="29" max="29" width="1.7109375" style="4" customWidth="1"/>
    <col min="30" max="30" width="9.7109375" style="4" customWidth="1"/>
    <col min="31" max="31" width="9.28515625" style="4" customWidth="1"/>
    <col min="32" max="32" width="14.7109375" style="4" customWidth="1"/>
    <col min="33" max="33" width="1.85546875" style="4" customWidth="1"/>
    <col min="34" max="34" width="7.5703125" style="4" customWidth="1"/>
    <col min="35" max="35" width="10" style="4" customWidth="1"/>
    <col min="36" max="36" width="14.28515625" style="4" customWidth="1"/>
    <col min="37" max="37" width="1.7109375" style="4" customWidth="1"/>
    <col min="38" max="38" width="6.7109375" style="4" customWidth="1"/>
    <col min="39" max="39" width="9.42578125" style="4" customWidth="1"/>
    <col min="40" max="40" width="14.7109375" style="4" customWidth="1"/>
    <col min="41" max="16384" width="11.5703125" style="4"/>
  </cols>
  <sheetData>
    <row r="2" spans="1:36" ht="15.75" thickBot="1" x14ac:dyDescent="0.3"/>
    <row r="3" spans="1:36" ht="28.9" customHeight="1" thickBot="1" x14ac:dyDescent="0.3">
      <c r="C3" s="231" t="s">
        <v>0</v>
      </c>
      <c r="D3" s="223"/>
      <c r="E3" s="223"/>
      <c r="F3" s="224"/>
      <c r="G3" s="235"/>
      <c r="H3" s="223">
        <v>2025</v>
      </c>
      <c r="I3" s="223"/>
      <c r="J3" s="223"/>
      <c r="K3" s="225"/>
      <c r="L3" s="223">
        <v>2025</v>
      </c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4"/>
      <c r="Y3" s="225" t="s">
        <v>81</v>
      </c>
      <c r="Z3" s="223">
        <v>2026</v>
      </c>
      <c r="AA3" s="223"/>
      <c r="AB3" s="223"/>
      <c r="AC3" s="225" t="s">
        <v>81</v>
      </c>
      <c r="AD3" s="223">
        <v>2027</v>
      </c>
      <c r="AE3" s="223"/>
      <c r="AF3" s="223"/>
      <c r="AG3" s="225"/>
      <c r="AH3" s="223">
        <v>2028</v>
      </c>
      <c r="AI3" s="223"/>
      <c r="AJ3" s="224"/>
    </row>
    <row r="4" spans="1:36" ht="48" customHeight="1" thickBot="1" x14ac:dyDescent="0.3">
      <c r="A4" s="124" t="e" vm="1">
        <v>#VALUE!</v>
      </c>
      <c r="B4" s="123" t="s">
        <v>1</v>
      </c>
      <c r="C4" s="73" t="s">
        <v>2</v>
      </c>
      <c r="D4" s="74" t="s">
        <v>3</v>
      </c>
      <c r="E4" s="74" t="s">
        <v>4</v>
      </c>
      <c r="F4" s="78" t="s">
        <v>5</v>
      </c>
      <c r="G4" s="236"/>
      <c r="H4" s="75" t="s">
        <v>3</v>
      </c>
      <c r="I4" s="74" t="s">
        <v>4</v>
      </c>
      <c r="J4" s="89" t="s">
        <v>5</v>
      </c>
      <c r="K4" s="226"/>
      <c r="L4" s="75" t="s">
        <v>82</v>
      </c>
      <c r="M4" s="75" t="s">
        <v>83</v>
      </c>
      <c r="N4" s="75" t="s">
        <v>84</v>
      </c>
      <c r="O4" s="75" t="s">
        <v>85</v>
      </c>
      <c r="P4" s="75" t="s">
        <v>86</v>
      </c>
      <c r="Q4" s="75" t="s">
        <v>87</v>
      </c>
      <c r="R4" s="75" t="s">
        <v>88</v>
      </c>
      <c r="S4" s="75" t="s">
        <v>89</v>
      </c>
      <c r="T4" s="75" t="s">
        <v>90</v>
      </c>
      <c r="U4" s="75" t="s">
        <v>91</v>
      </c>
      <c r="V4" s="75" t="s">
        <v>92</v>
      </c>
      <c r="W4" s="75" t="s">
        <v>93</v>
      </c>
      <c r="X4" s="74" t="s">
        <v>5</v>
      </c>
      <c r="Y4" s="254"/>
      <c r="Z4" s="75" t="s">
        <v>3</v>
      </c>
      <c r="AA4" s="74" t="s">
        <v>4</v>
      </c>
      <c r="AB4" s="89" t="s">
        <v>5</v>
      </c>
      <c r="AC4" s="226"/>
      <c r="AD4" s="75" t="s">
        <v>3</v>
      </c>
      <c r="AE4" s="74" t="s">
        <v>4</v>
      </c>
      <c r="AF4" s="89" t="s">
        <v>5</v>
      </c>
      <c r="AG4" s="226"/>
      <c r="AH4" s="75" t="s">
        <v>3</v>
      </c>
      <c r="AI4" s="74" t="s">
        <v>4</v>
      </c>
      <c r="AJ4" s="73" t="s">
        <v>5</v>
      </c>
    </row>
    <row r="5" spans="1:36" s="6" customFormat="1" ht="40.9" customHeight="1" x14ac:dyDescent="0.25">
      <c r="A5" s="258" t="s">
        <v>6</v>
      </c>
      <c r="B5" s="259"/>
      <c r="C5" s="259"/>
      <c r="D5" s="259"/>
      <c r="E5" s="260"/>
      <c r="F5" s="79">
        <f>F8+F17+F26+F32+F30+F3</f>
        <v>18128250</v>
      </c>
      <c r="G5" s="236"/>
      <c r="H5" s="228"/>
      <c r="I5" s="229"/>
      <c r="J5" s="90">
        <f>J6+J8+J17+J26+J30+J32</f>
        <v>1689600</v>
      </c>
      <c r="K5" s="226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33">
        <f>X6+X8+X17+X26+X30+X32</f>
        <v>1689600</v>
      </c>
      <c r="Y5" s="254"/>
      <c r="Z5" s="228"/>
      <c r="AA5" s="229"/>
      <c r="AB5" s="90">
        <f>AB8+AB17+AB26+AB30+AB32</f>
        <v>3337891.666666667</v>
      </c>
      <c r="AC5" s="226"/>
      <c r="AD5" s="228"/>
      <c r="AE5" s="229"/>
      <c r="AF5" s="90">
        <f>AF8+AF17+AF26+AF30+AF32</f>
        <v>7129654.166666667</v>
      </c>
      <c r="AG5" s="226"/>
      <c r="AH5" s="228"/>
      <c r="AI5" s="229"/>
      <c r="AJ5" s="31">
        <f>AJ8+AJ17+AJ26+AJ30+AJ32</f>
        <v>7129254.166666667</v>
      </c>
    </row>
    <row r="6" spans="1:36" ht="30.6" customHeight="1" x14ac:dyDescent="0.25">
      <c r="A6" s="45" t="s">
        <v>94</v>
      </c>
      <c r="B6" s="127" t="s">
        <v>95</v>
      </c>
      <c r="C6" s="128"/>
      <c r="D6" s="128"/>
      <c r="E6" s="128"/>
      <c r="F6" s="136">
        <f>SUM(F7)</f>
        <v>1117800</v>
      </c>
      <c r="G6" s="236"/>
      <c r="H6" s="129"/>
      <c r="I6" s="130"/>
      <c r="J6" s="83">
        <f>SUM(J7)</f>
        <v>1117800</v>
      </c>
      <c r="K6" s="226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47">
        <f>SUM(X7:Y7)</f>
        <v>1117800</v>
      </c>
      <c r="Y6" s="254"/>
      <c r="AC6" s="226"/>
      <c r="AG6" s="226"/>
    </row>
    <row r="7" spans="1:36" ht="21.6" customHeight="1" x14ac:dyDescent="0.25">
      <c r="A7" s="46" t="s">
        <v>96</v>
      </c>
      <c r="B7" s="137" t="s">
        <v>97</v>
      </c>
      <c r="C7" s="137">
        <f>22356000*0.05</f>
        <v>1117800</v>
      </c>
      <c r="D7" s="137">
        <v>1</v>
      </c>
      <c r="E7" s="13"/>
      <c r="F7" s="144">
        <f>C7*D7</f>
        <v>1117800</v>
      </c>
      <c r="G7" s="236"/>
      <c r="H7" s="100">
        <v>1</v>
      </c>
      <c r="I7" s="13"/>
      <c r="J7" s="173">
        <f>C7*H7</f>
        <v>1117800</v>
      </c>
      <c r="K7" s="226"/>
      <c r="L7" s="163">
        <v>0</v>
      </c>
      <c r="M7" s="150">
        <v>0</v>
      </c>
      <c r="N7" s="150">
        <v>0</v>
      </c>
      <c r="O7" s="150">
        <v>0</v>
      </c>
      <c r="P7" s="150">
        <v>0</v>
      </c>
      <c r="Q7" s="150">
        <v>0</v>
      </c>
      <c r="R7" s="150">
        <v>0</v>
      </c>
      <c r="S7" s="150">
        <v>0</v>
      </c>
      <c r="T7" s="150">
        <v>0</v>
      </c>
      <c r="U7" s="149">
        <f t="shared" ref="U7:W7" si="0">$F$7/3</f>
        <v>372600</v>
      </c>
      <c r="V7" s="149">
        <f t="shared" si="0"/>
        <v>372600</v>
      </c>
      <c r="W7" s="149">
        <f t="shared" si="0"/>
        <v>372600</v>
      </c>
      <c r="X7" s="146">
        <f>SUM(L7:W7)</f>
        <v>1117800</v>
      </c>
      <c r="Y7" s="254"/>
      <c r="Z7" s="139"/>
      <c r="AA7" s="140"/>
      <c r="AB7" s="138"/>
      <c r="AC7" s="226"/>
      <c r="AD7" s="129"/>
      <c r="AE7" s="130"/>
      <c r="AF7" s="136"/>
      <c r="AG7" s="226"/>
      <c r="AH7" s="129"/>
      <c r="AI7" s="130"/>
      <c r="AJ7" s="35"/>
    </row>
    <row r="8" spans="1:36" ht="28.9" customHeight="1" x14ac:dyDescent="0.25">
      <c r="A8" s="45" t="s">
        <v>7</v>
      </c>
      <c r="B8" s="241" t="s">
        <v>8</v>
      </c>
      <c r="C8" s="242"/>
      <c r="D8" s="242"/>
      <c r="E8" s="242"/>
      <c r="F8" s="80">
        <f>SUM(F9:F14)</f>
        <v>11839500</v>
      </c>
      <c r="G8" s="236"/>
      <c r="H8" s="221"/>
      <c r="I8" s="222"/>
      <c r="J8" s="83">
        <f>SUM(J9:J14)</f>
        <v>0</v>
      </c>
      <c r="K8" s="226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35">
        <f>SUM(X9:X16)</f>
        <v>0</v>
      </c>
      <c r="Y8" s="254"/>
      <c r="Z8" s="221"/>
      <c r="AA8" s="222"/>
      <c r="AB8" s="83">
        <f>SUM(AB9:AB14)</f>
        <v>1973250</v>
      </c>
      <c r="AC8" s="226"/>
      <c r="AD8" s="221"/>
      <c r="AE8" s="222"/>
      <c r="AF8" s="83">
        <f>SUM(AF9:AF14)</f>
        <v>4735800</v>
      </c>
      <c r="AG8" s="226"/>
      <c r="AH8" s="221"/>
      <c r="AI8" s="222"/>
      <c r="AJ8" s="35">
        <f>SUM(AJ9:AJ14)</f>
        <v>5130450</v>
      </c>
    </row>
    <row r="9" spans="1:36" ht="15.75" x14ac:dyDescent="0.25">
      <c r="A9" s="46" t="s">
        <v>9</v>
      </c>
      <c r="B9" s="8" t="s">
        <v>10</v>
      </c>
      <c r="C9" s="88">
        <f>(33500+58000+36000)/3</f>
        <v>42500</v>
      </c>
      <c r="D9" s="48">
        <f>270-D10-D11-D12-D13</f>
        <v>260</v>
      </c>
      <c r="E9" s="13"/>
      <c r="F9" s="81">
        <f t="shared" ref="F9:F16" si="1">C9*D9</f>
        <v>11050000</v>
      </c>
      <c r="G9" s="236"/>
      <c r="H9" s="100">
        <v>0</v>
      </c>
      <c r="I9" s="13"/>
      <c r="J9" s="91">
        <f>C9*H9</f>
        <v>0</v>
      </c>
      <c r="K9" s="226"/>
      <c r="L9" s="163">
        <v>0</v>
      </c>
      <c r="M9" s="150">
        <v>0</v>
      </c>
      <c r="N9" s="150">
        <v>0</v>
      </c>
      <c r="O9" s="150">
        <v>0</v>
      </c>
      <c r="P9" s="150">
        <v>0</v>
      </c>
      <c r="Q9" s="150">
        <v>0</v>
      </c>
      <c r="R9" s="150">
        <v>0</v>
      </c>
      <c r="S9" s="150">
        <v>0</v>
      </c>
      <c r="T9" s="150">
        <v>0</v>
      </c>
      <c r="U9" s="149">
        <f>$J$9/3</f>
        <v>0</v>
      </c>
      <c r="V9" s="149">
        <f t="shared" ref="V9:W9" si="2">$J$9/3</f>
        <v>0</v>
      </c>
      <c r="W9" s="149">
        <f t="shared" si="2"/>
        <v>0</v>
      </c>
      <c r="X9" s="149">
        <f>SUM(U9:W9)</f>
        <v>0</v>
      </c>
      <c r="Y9" s="254"/>
      <c r="Z9" s="48">
        <f>45-H14-Z10-Z11-Z12-Z13</f>
        <v>36</v>
      </c>
      <c r="AA9" s="13"/>
      <c r="AB9" s="81">
        <f t="shared" ref="AB9:AB14" si="3">C9*Z9</f>
        <v>1530000</v>
      </c>
      <c r="AC9" s="226"/>
      <c r="AD9" s="100">
        <f>108-AD10-AD11-AD12-AD13</f>
        <v>108</v>
      </c>
      <c r="AE9" s="13"/>
      <c r="AF9" s="81">
        <f t="shared" ref="AF9:AF16" si="4">C9*AD9</f>
        <v>4590000</v>
      </c>
      <c r="AG9" s="226"/>
      <c r="AH9" s="100">
        <f>117-AH10-AH11-AH12-AH13</f>
        <v>117</v>
      </c>
      <c r="AI9" s="13"/>
      <c r="AJ9" s="24">
        <f t="shared" ref="AJ9:AJ14" si="5">C9*AH9</f>
        <v>4972500</v>
      </c>
    </row>
    <row r="10" spans="1:36" ht="15.75" x14ac:dyDescent="0.25">
      <c r="A10" s="46" t="s">
        <v>11</v>
      </c>
      <c r="B10" s="8" t="s">
        <v>12</v>
      </c>
      <c r="C10" s="88">
        <f>(33500+58000+36000)/3</f>
        <v>42500</v>
      </c>
      <c r="D10" s="48">
        <v>1</v>
      </c>
      <c r="E10" s="13"/>
      <c r="F10" s="81">
        <f>C10*D10</f>
        <v>42500</v>
      </c>
      <c r="G10" s="236"/>
      <c r="H10" s="100">
        <v>0</v>
      </c>
      <c r="I10" s="13"/>
      <c r="J10" s="91">
        <f>C10*H10</f>
        <v>0</v>
      </c>
      <c r="K10" s="226"/>
      <c r="L10" s="163">
        <v>0</v>
      </c>
      <c r="M10" s="150">
        <v>0</v>
      </c>
      <c r="N10" s="150">
        <v>0</v>
      </c>
      <c r="O10" s="150">
        <v>0</v>
      </c>
      <c r="P10" s="150">
        <v>0</v>
      </c>
      <c r="Q10" s="150">
        <v>0</v>
      </c>
      <c r="R10" s="150">
        <v>0</v>
      </c>
      <c r="S10" s="150">
        <v>0</v>
      </c>
      <c r="T10" s="150">
        <v>0</v>
      </c>
      <c r="U10" s="149">
        <f>$J$10/3</f>
        <v>0</v>
      </c>
      <c r="V10" s="149">
        <f t="shared" ref="V10:W10" si="6">$J$10/3</f>
        <v>0</v>
      </c>
      <c r="W10" s="149">
        <f t="shared" si="6"/>
        <v>0</v>
      </c>
      <c r="X10" s="149">
        <f>SUM(U10:W10)</f>
        <v>0</v>
      </c>
      <c r="Y10" s="254"/>
      <c r="Z10" s="48">
        <v>0</v>
      </c>
      <c r="AA10" s="13"/>
      <c r="AB10" s="81">
        <f t="shared" si="3"/>
        <v>0</v>
      </c>
      <c r="AC10" s="226"/>
      <c r="AD10" s="100">
        <v>0</v>
      </c>
      <c r="AE10" s="13"/>
      <c r="AF10" s="81">
        <f t="shared" si="4"/>
        <v>0</v>
      </c>
      <c r="AG10" s="226"/>
      <c r="AH10" s="100">
        <v>0</v>
      </c>
      <c r="AI10" s="13"/>
      <c r="AJ10" s="24">
        <f t="shared" si="5"/>
        <v>0</v>
      </c>
    </row>
    <row r="11" spans="1:36" ht="15.75" x14ac:dyDescent="0.25">
      <c r="A11" s="46" t="s">
        <v>13</v>
      </c>
      <c r="B11" s="8" t="s">
        <v>14</v>
      </c>
      <c r="C11" s="88">
        <f>C9</f>
        <v>42500</v>
      </c>
      <c r="D11" s="48">
        <v>3</v>
      </c>
      <c r="E11" s="13"/>
      <c r="F11" s="81">
        <f t="shared" si="1"/>
        <v>127500</v>
      </c>
      <c r="G11" s="236"/>
      <c r="H11" s="100">
        <v>0</v>
      </c>
      <c r="I11" s="13"/>
      <c r="J11" s="91">
        <f t="shared" ref="J11:J13" si="7">C11*H11</f>
        <v>0</v>
      </c>
      <c r="K11" s="226"/>
      <c r="L11" s="163">
        <v>0</v>
      </c>
      <c r="M11" s="150">
        <v>0</v>
      </c>
      <c r="N11" s="150">
        <v>0</v>
      </c>
      <c r="O11" s="150">
        <v>0</v>
      </c>
      <c r="P11" s="150">
        <v>0</v>
      </c>
      <c r="Q11" s="150">
        <v>0</v>
      </c>
      <c r="R11" s="150">
        <v>0</v>
      </c>
      <c r="S11" s="150">
        <v>0</v>
      </c>
      <c r="T11" s="150">
        <v>0</v>
      </c>
      <c r="U11" s="149">
        <f>$J$11/3</f>
        <v>0</v>
      </c>
      <c r="V11" s="149">
        <f t="shared" ref="V11:W11" si="8">$J$11/3</f>
        <v>0</v>
      </c>
      <c r="W11" s="149">
        <f t="shared" si="8"/>
        <v>0</v>
      </c>
      <c r="X11" s="149">
        <f>SUM(U11:W11)</f>
        <v>0</v>
      </c>
      <c r="Y11" s="254"/>
      <c r="Z11" s="48">
        <v>3</v>
      </c>
      <c r="AA11" s="13"/>
      <c r="AB11" s="81">
        <f t="shared" si="3"/>
        <v>127500</v>
      </c>
      <c r="AC11" s="226"/>
      <c r="AD11" s="100">
        <v>0</v>
      </c>
      <c r="AE11" s="13"/>
      <c r="AF11" s="81">
        <f t="shared" si="4"/>
        <v>0</v>
      </c>
      <c r="AG11" s="226"/>
      <c r="AH11" s="100">
        <v>0</v>
      </c>
      <c r="AI11" s="13"/>
      <c r="AJ11" s="24">
        <f t="shared" si="5"/>
        <v>0</v>
      </c>
    </row>
    <row r="12" spans="1:36" ht="15.75" x14ac:dyDescent="0.25">
      <c r="A12" s="46" t="s">
        <v>15</v>
      </c>
      <c r="B12" s="8" t="s">
        <v>16</v>
      </c>
      <c r="C12" s="88">
        <f t="shared" ref="C12" si="9">C11</f>
        <v>42500</v>
      </c>
      <c r="D12" s="48">
        <v>1</v>
      </c>
      <c r="E12" s="13"/>
      <c r="F12" s="81">
        <f t="shared" si="1"/>
        <v>42500</v>
      </c>
      <c r="G12" s="236"/>
      <c r="H12" s="100">
        <v>0</v>
      </c>
      <c r="I12" s="13"/>
      <c r="J12" s="91">
        <f t="shared" si="7"/>
        <v>0</v>
      </c>
      <c r="K12" s="226"/>
      <c r="L12" s="163">
        <v>0</v>
      </c>
      <c r="M12" s="150">
        <v>0</v>
      </c>
      <c r="N12" s="150">
        <v>0</v>
      </c>
      <c r="O12" s="150">
        <v>0</v>
      </c>
      <c r="P12" s="150">
        <v>0</v>
      </c>
      <c r="Q12" s="150">
        <v>0</v>
      </c>
      <c r="R12" s="150">
        <v>0</v>
      </c>
      <c r="S12" s="150">
        <v>0</v>
      </c>
      <c r="T12" s="150">
        <v>0</v>
      </c>
      <c r="U12" s="149">
        <f>$J$12/3</f>
        <v>0</v>
      </c>
      <c r="V12" s="149">
        <f t="shared" ref="V12:W12" si="10">$J$12/3</f>
        <v>0</v>
      </c>
      <c r="W12" s="149">
        <f t="shared" si="10"/>
        <v>0</v>
      </c>
      <c r="X12" s="149">
        <f t="shared" ref="X12:X16" si="11">SUM(U12:W12)</f>
        <v>0</v>
      </c>
      <c r="Y12" s="254"/>
      <c r="Z12" s="48">
        <v>1</v>
      </c>
      <c r="AA12" s="13"/>
      <c r="AB12" s="81">
        <f t="shared" si="3"/>
        <v>42500</v>
      </c>
      <c r="AC12" s="226"/>
      <c r="AD12" s="100">
        <v>0</v>
      </c>
      <c r="AE12" s="13"/>
      <c r="AF12" s="81">
        <f t="shared" si="4"/>
        <v>0</v>
      </c>
      <c r="AG12" s="226"/>
      <c r="AH12" s="100">
        <v>0</v>
      </c>
      <c r="AI12" s="13"/>
      <c r="AJ12" s="24">
        <f t="shared" si="5"/>
        <v>0</v>
      </c>
    </row>
    <row r="13" spans="1:36" ht="15.75" x14ac:dyDescent="0.25">
      <c r="A13" s="46" t="s">
        <v>17</v>
      </c>
      <c r="B13" s="8" t="s">
        <v>18</v>
      </c>
      <c r="C13" s="88">
        <f>C12</f>
        <v>42500</v>
      </c>
      <c r="D13" s="49">
        <v>5</v>
      </c>
      <c r="E13" s="13"/>
      <c r="F13" s="81">
        <f t="shared" si="1"/>
        <v>212500</v>
      </c>
      <c r="G13" s="236"/>
      <c r="H13" s="100">
        <v>0</v>
      </c>
      <c r="I13" s="13"/>
      <c r="J13" s="91">
        <f t="shared" si="7"/>
        <v>0</v>
      </c>
      <c r="K13" s="226"/>
      <c r="L13" s="163">
        <v>0</v>
      </c>
      <c r="M13" s="150">
        <v>0</v>
      </c>
      <c r="N13" s="150">
        <v>0</v>
      </c>
      <c r="O13" s="150">
        <v>0</v>
      </c>
      <c r="P13" s="150">
        <v>0</v>
      </c>
      <c r="Q13" s="150">
        <v>0</v>
      </c>
      <c r="R13" s="150">
        <v>0</v>
      </c>
      <c r="S13" s="150">
        <v>0</v>
      </c>
      <c r="T13" s="150">
        <v>0</v>
      </c>
      <c r="U13" s="149">
        <f t="shared" ref="U13:W13" si="12">$J$9/3</f>
        <v>0</v>
      </c>
      <c r="V13" s="149">
        <f t="shared" si="12"/>
        <v>0</v>
      </c>
      <c r="W13" s="149">
        <f t="shared" si="12"/>
        <v>0</v>
      </c>
      <c r="X13" s="149">
        <f t="shared" si="11"/>
        <v>0</v>
      </c>
      <c r="Y13" s="254"/>
      <c r="Z13" s="48">
        <v>5</v>
      </c>
      <c r="AA13" s="13"/>
      <c r="AB13" s="81">
        <f t="shared" si="3"/>
        <v>212500</v>
      </c>
      <c r="AC13" s="226"/>
      <c r="AD13" s="100">
        <v>0</v>
      </c>
      <c r="AE13" s="13"/>
      <c r="AF13" s="81">
        <f t="shared" si="4"/>
        <v>0</v>
      </c>
      <c r="AG13" s="226"/>
      <c r="AH13" s="100">
        <v>0</v>
      </c>
      <c r="AI13" s="13"/>
      <c r="AJ13" s="24">
        <f t="shared" si="5"/>
        <v>0</v>
      </c>
    </row>
    <row r="14" spans="1:36" ht="15.75" x14ac:dyDescent="0.25">
      <c r="A14" s="46" t="s">
        <v>19</v>
      </c>
      <c r="B14" s="8" t="s">
        <v>20</v>
      </c>
      <c r="C14" s="88">
        <f>(C15+C16)/2</f>
        <v>1350</v>
      </c>
      <c r="D14" s="50">
        <f>SUM(D9:D13)</f>
        <v>270</v>
      </c>
      <c r="E14" s="13"/>
      <c r="F14" s="82">
        <f t="shared" si="1"/>
        <v>364500</v>
      </c>
      <c r="G14" s="236"/>
      <c r="H14" s="100">
        <f>SUM(H9:H13)</f>
        <v>0</v>
      </c>
      <c r="I14" s="13"/>
      <c r="J14" s="91">
        <f>C14*H14</f>
        <v>0</v>
      </c>
      <c r="K14" s="226"/>
      <c r="L14" s="163">
        <v>0</v>
      </c>
      <c r="M14" s="150">
        <v>0</v>
      </c>
      <c r="N14" s="150">
        <v>0</v>
      </c>
      <c r="O14" s="150">
        <v>0</v>
      </c>
      <c r="P14" s="150">
        <v>0</v>
      </c>
      <c r="Q14" s="150">
        <v>0</v>
      </c>
      <c r="R14" s="150">
        <v>0</v>
      </c>
      <c r="S14" s="150">
        <v>0</v>
      </c>
      <c r="T14" s="150">
        <v>0</v>
      </c>
      <c r="U14" s="149">
        <f>$J$13/3</f>
        <v>0</v>
      </c>
      <c r="V14" s="149">
        <f t="shared" ref="V14:W14" si="13">$J$13/3</f>
        <v>0</v>
      </c>
      <c r="W14" s="149">
        <f t="shared" si="13"/>
        <v>0</v>
      </c>
      <c r="X14" s="149">
        <f t="shared" si="11"/>
        <v>0</v>
      </c>
      <c r="Y14" s="254"/>
      <c r="Z14" s="48">
        <f>SUM(Z9:Z13)</f>
        <v>45</v>
      </c>
      <c r="AA14" s="13"/>
      <c r="AB14" s="81">
        <f t="shared" si="3"/>
        <v>60750</v>
      </c>
      <c r="AC14" s="226"/>
      <c r="AD14" s="100">
        <f>SUM(AD9:AD13)</f>
        <v>108</v>
      </c>
      <c r="AE14" s="13"/>
      <c r="AF14" s="81">
        <f t="shared" si="4"/>
        <v>145800</v>
      </c>
      <c r="AG14" s="226"/>
      <c r="AH14" s="100">
        <f>SUM(AH9:AH13)</f>
        <v>117</v>
      </c>
      <c r="AI14" s="13"/>
      <c r="AJ14" s="24">
        <f t="shared" si="5"/>
        <v>157950</v>
      </c>
    </row>
    <row r="15" spans="1:36" ht="14.45" hidden="1" customHeight="1" x14ac:dyDescent="0.25">
      <c r="A15" s="46" t="s">
        <v>19</v>
      </c>
      <c r="B15" s="8" t="s">
        <v>21</v>
      </c>
      <c r="C15" s="41">
        <f>(700+1750)/2</f>
        <v>1225</v>
      </c>
      <c r="D15" s="47">
        <f>D14</f>
        <v>270</v>
      </c>
      <c r="E15" s="13"/>
      <c r="F15" s="52">
        <f t="shared" si="1"/>
        <v>330750</v>
      </c>
      <c r="G15" s="236"/>
      <c r="K15" s="226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49">
        <f t="shared" si="11"/>
        <v>0</v>
      </c>
      <c r="Y15" s="226"/>
      <c r="Z15" s="12"/>
      <c r="AA15" s="12"/>
      <c r="AC15" s="226"/>
      <c r="AD15" s="12"/>
      <c r="AE15" s="12"/>
      <c r="AF15" s="98">
        <f t="shared" si="4"/>
        <v>0</v>
      </c>
      <c r="AG15" s="226"/>
      <c r="AH15" s="12"/>
      <c r="AI15" s="12"/>
      <c r="AJ15" s="7"/>
    </row>
    <row r="16" spans="1:36" ht="14.45" hidden="1" customHeight="1" x14ac:dyDescent="0.25">
      <c r="A16" s="46" t="s">
        <v>22</v>
      </c>
      <c r="B16" s="8" t="s">
        <v>23</v>
      </c>
      <c r="C16" s="41">
        <f>(1900+1050)/2</f>
        <v>1475</v>
      </c>
      <c r="D16" s="43">
        <f>D14</f>
        <v>270</v>
      </c>
      <c r="E16" s="13"/>
      <c r="F16" s="52">
        <f t="shared" si="1"/>
        <v>398250</v>
      </c>
      <c r="G16" s="236"/>
      <c r="K16" s="226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49">
        <f t="shared" si="11"/>
        <v>0</v>
      </c>
      <c r="Y16" s="226"/>
      <c r="Z16" s="12"/>
      <c r="AA16" s="12"/>
      <c r="AC16" s="226"/>
      <c r="AD16" s="12"/>
      <c r="AE16" s="12"/>
      <c r="AF16" s="98">
        <f t="shared" si="4"/>
        <v>0</v>
      </c>
      <c r="AG16" s="226"/>
      <c r="AH16" s="12"/>
      <c r="AI16" s="12"/>
      <c r="AJ16" s="7"/>
    </row>
    <row r="17" spans="1:36" ht="23.45" customHeight="1" x14ac:dyDescent="0.25">
      <c r="A17" s="37" t="s">
        <v>24</v>
      </c>
      <c r="B17" s="238" t="s">
        <v>25</v>
      </c>
      <c r="C17" s="239"/>
      <c r="D17" s="239"/>
      <c r="E17" s="240"/>
      <c r="F17" s="83">
        <f>SUM(F18:F23)</f>
        <v>2396100</v>
      </c>
      <c r="G17" s="236"/>
      <c r="H17" s="221"/>
      <c r="I17" s="222"/>
      <c r="J17" s="83">
        <f>SUM(J18:J25)</f>
        <v>0</v>
      </c>
      <c r="K17" s="226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147">
        <f>SUM(X18:X23)</f>
        <v>0</v>
      </c>
      <c r="Y17" s="254"/>
      <c r="Z17" s="221"/>
      <c r="AA17" s="222"/>
      <c r="AB17" s="83">
        <f>SUM(AB18:AB23)</f>
        <v>760666.66666666674</v>
      </c>
      <c r="AC17" s="226"/>
      <c r="AD17" s="221"/>
      <c r="AE17" s="222"/>
      <c r="AF17" s="83">
        <f>SUM(AF18:AF25)</f>
        <v>1045916.6666666667</v>
      </c>
      <c r="AG17" s="226"/>
      <c r="AH17" s="221"/>
      <c r="AI17" s="222"/>
      <c r="AJ17" s="35">
        <f>SUM(AJ18:AJ23)</f>
        <v>589516.66666666674</v>
      </c>
    </row>
    <row r="18" spans="1:36" ht="15.75" x14ac:dyDescent="0.25">
      <c r="A18" s="15" t="s">
        <v>26</v>
      </c>
      <c r="B18" s="7" t="s">
        <v>27</v>
      </c>
      <c r="C18" s="88">
        <f>(20000+15000+18000)/3</f>
        <v>17666.666666666668</v>
      </c>
      <c r="D18" s="51">
        <f>126-D19-D20-D21-D22</f>
        <v>122</v>
      </c>
      <c r="E18" s="9"/>
      <c r="F18" s="82">
        <f t="shared" ref="F18:F25" si="14">C18*D18</f>
        <v>2155333.3333333335</v>
      </c>
      <c r="G18" s="236"/>
      <c r="H18" s="65">
        <v>0</v>
      </c>
      <c r="I18" s="9"/>
      <c r="J18" s="91">
        <f>C18*H18</f>
        <v>0</v>
      </c>
      <c r="K18" s="226"/>
      <c r="L18" s="163">
        <v>0</v>
      </c>
      <c r="M18" s="150">
        <v>0</v>
      </c>
      <c r="N18" s="150">
        <v>0</v>
      </c>
      <c r="O18" s="150">
        <v>0</v>
      </c>
      <c r="P18" s="150">
        <v>0</v>
      </c>
      <c r="Q18" s="150">
        <v>0</v>
      </c>
      <c r="R18" s="150">
        <v>0</v>
      </c>
      <c r="S18" s="150">
        <v>0</v>
      </c>
      <c r="T18" s="150">
        <v>0</v>
      </c>
      <c r="U18" s="149">
        <f>$J$18/3</f>
        <v>0</v>
      </c>
      <c r="V18" s="149">
        <f t="shared" ref="V18:W18" si="15">$J$18/3</f>
        <v>0</v>
      </c>
      <c r="W18" s="149">
        <f t="shared" si="15"/>
        <v>0</v>
      </c>
      <c r="X18" s="149">
        <f>SUM(U18:W18)</f>
        <v>0</v>
      </c>
      <c r="Y18" s="254"/>
      <c r="Z18" s="48">
        <f>40-H23-Z19-Z20-Z21-Z22</f>
        <v>37</v>
      </c>
      <c r="AA18" s="13"/>
      <c r="AB18" s="81">
        <f t="shared" ref="AB18:AB23" si="16">C18*Z18</f>
        <v>653666.66666666674</v>
      </c>
      <c r="AC18" s="226"/>
      <c r="AD18" s="100">
        <f>55-AD19-AD20-AD21-AD22</f>
        <v>55</v>
      </c>
      <c r="AE18" s="13"/>
      <c r="AF18" s="81">
        <f t="shared" ref="AF18:AF23" si="17">C18*AD18</f>
        <v>971666.66666666674</v>
      </c>
      <c r="AG18" s="226"/>
      <c r="AH18" s="100">
        <f>31-AH19-AH20-AH21-AH22</f>
        <v>31</v>
      </c>
      <c r="AI18" s="13"/>
      <c r="AJ18" s="24">
        <f t="shared" ref="AJ18:AJ23" si="18">C18*AH18</f>
        <v>547666.66666666674</v>
      </c>
    </row>
    <row r="19" spans="1:36" ht="15.75" x14ac:dyDescent="0.25">
      <c r="A19" s="15" t="s">
        <v>28</v>
      </c>
      <c r="B19" s="7" t="s">
        <v>29</v>
      </c>
      <c r="C19" s="88">
        <f>(20000+15000+18000)/3</f>
        <v>17666.666666666668</v>
      </c>
      <c r="D19" s="51">
        <v>1</v>
      </c>
      <c r="E19" s="9"/>
      <c r="F19" s="82">
        <f t="shared" si="14"/>
        <v>17666.666666666668</v>
      </c>
      <c r="G19" s="236"/>
      <c r="H19" s="65">
        <v>0</v>
      </c>
      <c r="I19" s="9"/>
      <c r="J19" s="91">
        <f t="shared" ref="J19:J25" si="19">C19*H19</f>
        <v>0</v>
      </c>
      <c r="K19" s="226"/>
      <c r="L19" s="163">
        <v>0</v>
      </c>
      <c r="M19" s="150">
        <v>0</v>
      </c>
      <c r="N19" s="150">
        <v>0</v>
      </c>
      <c r="O19" s="150">
        <v>0</v>
      </c>
      <c r="P19" s="150">
        <v>0</v>
      </c>
      <c r="Q19" s="150">
        <v>0</v>
      </c>
      <c r="R19" s="150">
        <v>0</v>
      </c>
      <c r="S19" s="150">
        <v>0</v>
      </c>
      <c r="T19" s="150">
        <v>0</v>
      </c>
      <c r="U19" s="149">
        <f>$J$19/3</f>
        <v>0</v>
      </c>
      <c r="V19" s="149">
        <f t="shared" ref="V19:W19" si="20">$J$19/3</f>
        <v>0</v>
      </c>
      <c r="W19" s="149">
        <f t="shared" si="20"/>
        <v>0</v>
      </c>
      <c r="X19" s="149">
        <f t="shared" ref="X19:X23" si="21">SUM(U19:W19)</f>
        <v>0</v>
      </c>
      <c r="Y19" s="254"/>
      <c r="Z19" s="48">
        <v>0</v>
      </c>
      <c r="AA19" s="13"/>
      <c r="AB19" s="81">
        <f t="shared" si="16"/>
        <v>0</v>
      </c>
      <c r="AC19" s="226"/>
      <c r="AD19" s="100">
        <v>0</v>
      </c>
      <c r="AE19" s="13"/>
      <c r="AF19" s="81">
        <f t="shared" si="17"/>
        <v>0</v>
      </c>
      <c r="AG19" s="226"/>
      <c r="AH19" s="100">
        <v>0</v>
      </c>
      <c r="AI19" s="13"/>
      <c r="AJ19" s="24">
        <f t="shared" si="18"/>
        <v>0</v>
      </c>
    </row>
    <row r="20" spans="1:36" ht="15.75" x14ac:dyDescent="0.25">
      <c r="A20" s="15" t="s">
        <v>30</v>
      </c>
      <c r="B20" s="7" t="s">
        <v>31</v>
      </c>
      <c r="C20" s="88">
        <f>C18</f>
        <v>17666.666666666668</v>
      </c>
      <c r="D20" s="51">
        <v>2</v>
      </c>
      <c r="E20" s="9"/>
      <c r="F20" s="82">
        <f t="shared" si="14"/>
        <v>35333.333333333336</v>
      </c>
      <c r="G20" s="236"/>
      <c r="H20" s="65">
        <v>0</v>
      </c>
      <c r="I20" s="9"/>
      <c r="J20" s="91">
        <f t="shared" si="19"/>
        <v>0</v>
      </c>
      <c r="K20" s="226"/>
      <c r="L20" s="163">
        <v>0</v>
      </c>
      <c r="M20" s="150">
        <v>0</v>
      </c>
      <c r="N20" s="150">
        <v>0</v>
      </c>
      <c r="O20" s="150">
        <v>0</v>
      </c>
      <c r="P20" s="150">
        <v>0</v>
      </c>
      <c r="Q20" s="150">
        <v>0</v>
      </c>
      <c r="R20" s="150">
        <v>0</v>
      </c>
      <c r="S20" s="150">
        <v>0</v>
      </c>
      <c r="T20" s="150">
        <v>0</v>
      </c>
      <c r="U20" s="149">
        <f>$J$20/3</f>
        <v>0</v>
      </c>
      <c r="V20" s="149">
        <f t="shared" ref="V20:W20" si="22">$J$20/3</f>
        <v>0</v>
      </c>
      <c r="W20" s="149">
        <f t="shared" si="22"/>
        <v>0</v>
      </c>
      <c r="X20" s="149">
        <f t="shared" si="21"/>
        <v>0</v>
      </c>
      <c r="Y20" s="254"/>
      <c r="Z20" s="48">
        <v>2</v>
      </c>
      <c r="AA20" s="13"/>
      <c r="AB20" s="81">
        <f t="shared" si="16"/>
        <v>35333.333333333336</v>
      </c>
      <c r="AC20" s="226"/>
      <c r="AD20" s="100">
        <v>0</v>
      </c>
      <c r="AE20" s="13"/>
      <c r="AF20" s="81">
        <f t="shared" si="17"/>
        <v>0</v>
      </c>
      <c r="AG20" s="226"/>
      <c r="AH20" s="100">
        <v>0</v>
      </c>
      <c r="AI20" s="13"/>
      <c r="AJ20" s="24">
        <f t="shared" si="18"/>
        <v>0</v>
      </c>
    </row>
    <row r="21" spans="1:36" ht="15.75" x14ac:dyDescent="0.25">
      <c r="A21" s="15" t="s">
        <v>32</v>
      </c>
      <c r="B21" s="7" t="s">
        <v>33</v>
      </c>
      <c r="C21" s="88">
        <f t="shared" ref="C21:C22" si="23">C20</f>
        <v>17666.666666666668</v>
      </c>
      <c r="D21" s="51">
        <v>1</v>
      </c>
      <c r="E21" s="9"/>
      <c r="F21" s="82">
        <f t="shared" si="14"/>
        <v>17666.666666666668</v>
      </c>
      <c r="G21" s="236"/>
      <c r="H21" s="65">
        <v>0</v>
      </c>
      <c r="I21" s="9"/>
      <c r="J21" s="91">
        <f t="shared" si="19"/>
        <v>0</v>
      </c>
      <c r="K21" s="226"/>
      <c r="L21" s="163">
        <v>0</v>
      </c>
      <c r="M21" s="150">
        <v>0</v>
      </c>
      <c r="N21" s="150">
        <v>0</v>
      </c>
      <c r="O21" s="150">
        <v>0</v>
      </c>
      <c r="P21" s="150">
        <v>0</v>
      </c>
      <c r="Q21" s="150">
        <v>0</v>
      </c>
      <c r="R21" s="150">
        <v>0</v>
      </c>
      <c r="S21" s="150">
        <v>0</v>
      </c>
      <c r="T21" s="150">
        <v>0</v>
      </c>
      <c r="U21" s="149">
        <f>$J$21/3</f>
        <v>0</v>
      </c>
      <c r="V21" s="149">
        <f t="shared" ref="V21:W21" si="24">$J$21/3</f>
        <v>0</v>
      </c>
      <c r="W21" s="149">
        <f t="shared" si="24"/>
        <v>0</v>
      </c>
      <c r="X21" s="149">
        <f t="shared" si="21"/>
        <v>0</v>
      </c>
      <c r="Y21" s="254"/>
      <c r="Z21" s="48">
        <v>1</v>
      </c>
      <c r="AA21" s="13"/>
      <c r="AB21" s="81">
        <f t="shared" si="16"/>
        <v>17666.666666666668</v>
      </c>
      <c r="AC21" s="226"/>
      <c r="AD21" s="100">
        <v>0</v>
      </c>
      <c r="AE21" s="13"/>
      <c r="AF21" s="81">
        <f t="shared" si="17"/>
        <v>0</v>
      </c>
      <c r="AG21" s="226"/>
      <c r="AH21" s="100">
        <v>0</v>
      </c>
      <c r="AI21" s="13"/>
      <c r="AJ21" s="24">
        <f t="shared" si="18"/>
        <v>0</v>
      </c>
    </row>
    <row r="22" spans="1:36" ht="15.75" x14ac:dyDescent="0.25">
      <c r="A22" s="15" t="s">
        <v>34</v>
      </c>
      <c r="B22" s="7" t="s">
        <v>35</v>
      </c>
      <c r="C22" s="88">
        <f t="shared" si="23"/>
        <v>17666.666666666668</v>
      </c>
      <c r="D22" s="51">
        <v>0</v>
      </c>
      <c r="E22" s="9"/>
      <c r="F22" s="82">
        <f t="shared" si="14"/>
        <v>0</v>
      </c>
      <c r="G22" s="236"/>
      <c r="H22" s="65">
        <v>0</v>
      </c>
      <c r="I22" s="9"/>
      <c r="J22" s="91">
        <f t="shared" si="19"/>
        <v>0</v>
      </c>
      <c r="K22" s="226"/>
      <c r="L22" s="163">
        <v>0</v>
      </c>
      <c r="M22" s="150">
        <v>0</v>
      </c>
      <c r="N22" s="150">
        <v>0</v>
      </c>
      <c r="O22" s="150">
        <v>0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49">
        <f>$J$22/3</f>
        <v>0</v>
      </c>
      <c r="V22" s="149">
        <f t="shared" ref="V22:W22" si="25">$J$22/3</f>
        <v>0</v>
      </c>
      <c r="W22" s="149">
        <f t="shared" si="25"/>
        <v>0</v>
      </c>
      <c r="X22" s="149">
        <f t="shared" si="21"/>
        <v>0</v>
      </c>
      <c r="Y22" s="254"/>
      <c r="Z22" s="48">
        <v>0</v>
      </c>
      <c r="AA22" s="13"/>
      <c r="AB22" s="81">
        <f t="shared" si="16"/>
        <v>0</v>
      </c>
      <c r="AC22" s="226"/>
      <c r="AD22" s="100">
        <v>0</v>
      </c>
      <c r="AE22" s="13"/>
      <c r="AF22" s="81">
        <f t="shared" si="17"/>
        <v>0</v>
      </c>
      <c r="AG22" s="226"/>
      <c r="AH22" s="100">
        <v>0</v>
      </c>
      <c r="AI22" s="13"/>
      <c r="AJ22" s="24">
        <f t="shared" si="18"/>
        <v>0</v>
      </c>
    </row>
    <row r="23" spans="1:36" ht="15.75" x14ac:dyDescent="0.25">
      <c r="A23" s="15" t="s">
        <v>36</v>
      </c>
      <c r="B23" s="7" t="s">
        <v>37</v>
      </c>
      <c r="C23" s="88">
        <f>(C24+C25)/2</f>
        <v>1350</v>
      </c>
      <c r="D23" s="51">
        <f>SUM(D18:D22)</f>
        <v>126</v>
      </c>
      <c r="E23" s="44"/>
      <c r="F23" s="82">
        <f t="shared" si="14"/>
        <v>170100</v>
      </c>
      <c r="G23" s="236"/>
      <c r="H23" s="65">
        <f>SUM(H18:H22)</f>
        <v>0</v>
      </c>
      <c r="I23" s="9"/>
      <c r="J23" s="91">
        <f t="shared" si="19"/>
        <v>0</v>
      </c>
      <c r="K23" s="226"/>
      <c r="L23" s="163">
        <v>0</v>
      </c>
      <c r="M23" s="150">
        <v>0</v>
      </c>
      <c r="N23" s="150">
        <v>0</v>
      </c>
      <c r="O23" s="150">
        <v>0</v>
      </c>
      <c r="P23" s="150">
        <v>0</v>
      </c>
      <c r="Q23" s="150">
        <v>0</v>
      </c>
      <c r="R23" s="150">
        <v>0</v>
      </c>
      <c r="S23" s="150">
        <v>0</v>
      </c>
      <c r="T23" s="150">
        <v>0</v>
      </c>
      <c r="U23" s="149">
        <f>$J$23/3</f>
        <v>0</v>
      </c>
      <c r="V23" s="149">
        <f t="shared" ref="V23:W23" si="26">$J$23/3</f>
        <v>0</v>
      </c>
      <c r="W23" s="149">
        <f t="shared" si="26"/>
        <v>0</v>
      </c>
      <c r="X23" s="149">
        <f t="shared" si="21"/>
        <v>0</v>
      </c>
      <c r="Y23" s="254"/>
      <c r="Z23" s="48">
        <f>SUM(Z18:Z22)</f>
        <v>40</v>
      </c>
      <c r="AA23" s="13"/>
      <c r="AB23" s="81">
        <f t="shared" si="16"/>
        <v>54000</v>
      </c>
      <c r="AC23" s="226"/>
      <c r="AD23" s="100">
        <f>SUM(AD18:AD22)</f>
        <v>55</v>
      </c>
      <c r="AE23" s="13"/>
      <c r="AF23" s="81">
        <f t="shared" si="17"/>
        <v>74250</v>
      </c>
      <c r="AG23" s="226"/>
      <c r="AH23" s="100">
        <f>SUM(AH18:AH22)</f>
        <v>31</v>
      </c>
      <c r="AI23" s="13"/>
      <c r="AJ23" s="24">
        <f t="shared" si="18"/>
        <v>41850</v>
      </c>
    </row>
    <row r="24" spans="1:36" ht="14.45" hidden="1" customHeight="1" x14ac:dyDescent="0.25">
      <c r="A24" s="15" t="s">
        <v>36</v>
      </c>
      <c r="B24" s="7" t="s">
        <v>38</v>
      </c>
      <c r="C24" s="41">
        <f>(700+1750)/2</f>
        <v>1225</v>
      </c>
      <c r="D24" s="40">
        <f>D23</f>
        <v>126</v>
      </c>
      <c r="E24" s="44"/>
      <c r="F24" s="84">
        <f t="shared" si="14"/>
        <v>154350</v>
      </c>
      <c r="G24" s="236"/>
      <c r="J24" s="91">
        <f t="shared" si="19"/>
        <v>0</v>
      </c>
      <c r="K24" s="226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26"/>
      <c r="Z24" s="12"/>
      <c r="AA24" s="12"/>
      <c r="AC24" s="226"/>
      <c r="AD24" s="12"/>
      <c r="AE24" s="12"/>
      <c r="AG24" s="226"/>
      <c r="AH24" s="12"/>
      <c r="AI24" s="12"/>
      <c r="AJ24" s="7"/>
    </row>
    <row r="25" spans="1:36" ht="14.45" hidden="1" customHeight="1" x14ac:dyDescent="0.25">
      <c r="A25" s="15" t="s">
        <v>39</v>
      </c>
      <c r="B25" s="7" t="s">
        <v>40</v>
      </c>
      <c r="C25" s="41">
        <f>(1050+1900)/2</f>
        <v>1475</v>
      </c>
      <c r="D25" s="40">
        <f>D23</f>
        <v>126</v>
      </c>
      <c r="E25" s="44"/>
      <c r="F25" s="84">
        <f t="shared" si="14"/>
        <v>185850</v>
      </c>
      <c r="G25" s="236"/>
      <c r="J25" s="91">
        <f t="shared" si="19"/>
        <v>0</v>
      </c>
      <c r="K25" s="226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226"/>
      <c r="Z25" s="12"/>
      <c r="AA25" s="12"/>
      <c r="AC25" s="226"/>
      <c r="AD25" s="12"/>
      <c r="AE25" s="12"/>
      <c r="AG25" s="226"/>
      <c r="AH25" s="12"/>
      <c r="AI25" s="12"/>
      <c r="AJ25" s="7"/>
    </row>
    <row r="26" spans="1:36" ht="18.600000000000001" customHeight="1" x14ac:dyDescent="0.25">
      <c r="A26" s="37" t="s">
        <v>41</v>
      </c>
      <c r="B26" s="243" t="s">
        <v>42</v>
      </c>
      <c r="C26" s="244"/>
      <c r="D26" s="244"/>
      <c r="E26" s="245"/>
      <c r="F26" s="85">
        <f>SUM(F27:F29)</f>
        <v>3118500</v>
      </c>
      <c r="G26" s="236"/>
      <c r="H26" s="221"/>
      <c r="I26" s="222"/>
      <c r="J26" s="83">
        <f>SUM(J27:J29)</f>
        <v>0</v>
      </c>
      <c r="K26" s="226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147">
        <f>SUM(X27:X29)</f>
        <v>0</v>
      </c>
      <c r="Y26" s="254"/>
      <c r="Z26" s="221"/>
      <c r="AA26" s="222"/>
      <c r="AB26" s="83">
        <f>SUM(AB27:AB29)</f>
        <v>519750</v>
      </c>
      <c r="AC26" s="226"/>
      <c r="AD26" s="221"/>
      <c r="AE26" s="222"/>
      <c r="AF26" s="83">
        <f>SUM(AF27:AF29)</f>
        <v>1247400</v>
      </c>
      <c r="AG26" s="226"/>
      <c r="AH26" s="221"/>
      <c r="AI26" s="222"/>
      <c r="AJ26" s="35">
        <f>SUM(AJ27:AJ29)</f>
        <v>1351350</v>
      </c>
    </row>
    <row r="27" spans="1:36" ht="15.75" x14ac:dyDescent="0.25">
      <c r="A27" s="15" t="s">
        <v>43</v>
      </c>
      <c r="B27" s="59" t="s">
        <v>44</v>
      </c>
      <c r="C27" s="122">
        <f>(250+900)/2</f>
        <v>575</v>
      </c>
      <c r="D27" s="67">
        <f>10*D14</f>
        <v>2700</v>
      </c>
      <c r="E27" s="44"/>
      <c r="F27" s="86">
        <f>C27*D27</f>
        <v>1552500</v>
      </c>
      <c r="G27" s="236"/>
      <c r="H27" s="65">
        <f>10*H14</f>
        <v>0</v>
      </c>
      <c r="I27" s="44"/>
      <c r="J27" s="91">
        <f>C27*H27</f>
        <v>0</v>
      </c>
      <c r="K27" s="226"/>
      <c r="L27" s="163">
        <f>10*L14</f>
        <v>0</v>
      </c>
      <c r="M27" s="150">
        <v>0</v>
      </c>
      <c r="N27" s="150">
        <v>0</v>
      </c>
      <c r="O27" s="150">
        <v>0</v>
      </c>
      <c r="P27" s="150">
        <v>0</v>
      </c>
      <c r="Q27" s="150">
        <v>0</v>
      </c>
      <c r="R27" s="150">
        <v>0</v>
      </c>
      <c r="S27" s="150">
        <v>0</v>
      </c>
      <c r="T27" s="150">
        <v>0</v>
      </c>
      <c r="U27" s="149">
        <f>$J$27/3</f>
        <v>0</v>
      </c>
      <c r="V27" s="149">
        <f t="shared" ref="V27:W27" si="27">$J$27/3</f>
        <v>0</v>
      </c>
      <c r="W27" s="149">
        <f t="shared" si="27"/>
        <v>0</v>
      </c>
      <c r="X27" s="149">
        <f>SUM(U27:W27)</f>
        <v>0</v>
      </c>
      <c r="Y27" s="254"/>
      <c r="Z27" s="48">
        <f>10*Z14</f>
        <v>450</v>
      </c>
      <c r="AA27" s="13"/>
      <c r="AB27" s="91">
        <f>C27*Z27</f>
        <v>258750</v>
      </c>
      <c r="AC27" s="226"/>
      <c r="AD27" s="100">
        <f>10*AD14</f>
        <v>1080</v>
      </c>
      <c r="AE27" s="13"/>
      <c r="AF27" s="91">
        <f>C27*AD27</f>
        <v>621000</v>
      </c>
      <c r="AG27" s="226"/>
      <c r="AH27" s="100">
        <f>10*AH14</f>
        <v>1170</v>
      </c>
      <c r="AI27" s="13"/>
      <c r="AJ27" s="99">
        <f>C27*AH27</f>
        <v>672750</v>
      </c>
    </row>
    <row r="28" spans="1:36" ht="15.75" x14ac:dyDescent="0.25">
      <c r="A28" s="15" t="s">
        <v>45</v>
      </c>
      <c r="B28" s="59" t="s">
        <v>46</v>
      </c>
      <c r="C28" s="122">
        <f>(600+800)/2</f>
        <v>700</v>
      </c>
      <c r="D28" s="67">
        <f>4*D14</f>
        <v>1080</v>
      </c>
      <c r="E28" s="44"/>
      <c r="F28" s="86">
        <f>C28*D28</f>
        <v>756000</v>
      </c>
      <c r="G28" s="236"/>
      <c r="H28" s="65">
        <f>4*H14</f>
        <v>0</v>
      </c>
      <c r="I28" s="44"/>
      <c r="J28" s="91">
        <f>C28*H28</f>
        <v>0</v>
      </c>
      <c r="K28" s="226"/>
      <c r="L28" s="163">
        <f t="shared" ref="L28:L29" si="28">10*L15</f>
        <v>0</v>
      </c>
      <c r="M28" s="150">
        <v>0</v>
      </c>
      <c r="N28" s="150">
        <v>0</v>
      </c>
      <c r="O28" s="150">
        <v>0</v>
      </c>
      <c r="P28" s="150">
        <v>0</v>
      </c>
      <c r="Q28" s="150">
        <v>0</v>
      </c>
      <c r="R28" s="150">
        <v>0</v>
      </c>
      <c r="S28" s="150">
        <v>0</v>
      </c>
      <c r="T28" s="150">
        <v>0</v>
      </c>
      <c r="U28" s="149">
        <f>$J$28/3</f>
        <v>0</v>
      </c>
      <c r="V28" s="149">
        <f t="shared" ref="V28:W28" si="29">$J$28/3</f>
        <v>0</v>
      </c>
      <c r="W28" s="149">
        <f t="shared" si="29"/>
        <v>0</v>
      </c>
      <c r="X28" s="149">
        <f>SUM(U28:W28)</f>
        <v>0</v>
      </c>
      <c r="Y28" s="254"/>
      <c r="Z28" s="48">
        <f>4*Z14</f>
        <v>180</v>
      </c>
      <c r="AA28" s="13"/>
      <c r="AB28" s="91">
        <f>C28*Z28</f>
        <v>126000</v>
      </c>
      <c r="AC28" s="226"/>
      <c r="AD28" s="100">
        <f>4*AD14</f>
        <v>432</v>
      </c>
      <c r="AE28" s="13"/>
      <c r="AF28" s="91">
        <f>C28*AD28</f>
        <v>302400</v>
      </c>
      <c r="AG28" s="226"/>
      <c r="AH28" s="100">
        <f>4*AH14</f>
        <v>468</v>
      </c>
      <c r="AI28" s="13"/>
      <c r="AJ28" s="99">
        <f>C28*AH28</f>
        <v>327600</v>
      </c>
    </row>
    <row r="29" spans="1:36" ht="15.75" x14ac:dyDescent="0.25">
      <c r="A29" s="15" t="s">
        <v>47</v>
      </c>
      <c r="B29" s="59" t="s">
        <v>48</v>
      </c>
      <c r="C29" s="122">
        <f>(800+1200)/2</f>
        <v>1000</v>
      </c>
      <c r="D29" s="67">
        <f>3*D14</f>
        <v>810</v>
      </c>
      <c r="E29" s="44"/>
      <c r="F29" s="86">
        <f>C29*D29</f>
        <v>810000</v>
      </c>
      <c r="G29" s="236"/>
      <c r="H29" s="65">
        <f>3*H14</f>
        <v>0</v>
      </c>
      <c r="I29" s="44"/>
      <c r="J29" s="91">
        <f>C29*H29</f>
        <v>0</v>
      </c>
      <c r="K29" s="226"/>
      <c r="L29" s="163">
        <f t="shared" si="28"/>
        <v>0</v>
      </c>
      <c r="M29" s="150">
        <v>0</v>
      </c>
      <c r="N29" s="150">
        <v>0</v>
      </c>
      <c r="O29" s="150">
        <v>0</v>
      </c>
      <c r="P29" s="150">
        <v>0</v>
      </c>
      <c r="Q29" s="150">
        <v>0</v>
      </c>
      <c r="R29" s="150">
        <v>0</v>
      </c>
      <c r="S29" s="150">
        <v>0</v>
      </c>
      <c r="T29" s="150">
        <v>0</v>
      </c>
      <c r="U29" s="149">
        <f>$J$29/3</f>
        <v>0</v>
      </c>
      <c r="V29" s="149">
        <f t="shared" ref="V29:W29" si="30">$J$29/3</f>
        <v>0</v>
      </c>
      <c r="W29" s="149">
        <f t="shared" si="30"/>
        <v>0</v>
      </c>
      <c r="X29" s="149">
        <f>SUM(U29:W29)</f>
        <v>0</v>
      </c>
      <c r="Y29" s="254"/>
      <c r="Z29" s="48">
        <f>3*Z14</f>
        <v>135</v>
      </c>
      <c r="AA29" s="13"/>
      <c r="AB29" s="91">
        <f>C29*Z29</f>
        <v>135000</v>
      </c>
      <c r="AC29" s="226"/>
      <c r="AD29" s="100">
        <f>3*AD14</f>
        <v>324</v>
      </c>
      <c r="AE29" s="13"/>
      <c r="AF29" s="91">
        <f>C29*AD29</f>
        <v>324000</v>
      </c>
      <c r="AG29" s="226"/>
      <c r="AH29" s="100">
        <f>3*AH14</f>
        <v>351</v>
      </c>
      <c r="AI29" s="13"/>
      <c r="AJ29" s="99">
        <f>C29*AH29</f>
        <v>351000</v>
      </c>
    </row>
    <row r="30" spans="1:36" ht="23.45" customHeight="1" x14ac:dyDescent="0.25">
      <c r="A30" s="37" t="s">
        <v>49</v>
      </c>
      <c r="B30" s="238" t="s">
        <v>50</v>
      </c>
      <c r="C30" s="239"/>
      <c r="D30" s="239"/>
      <c r="E30" s="240"/>
      <c r="F30" s="85">
        <f>SUM(F31:F31)</f>
        <v>59400</v>
      </c>
      <c r="G30" s="236"/>
      <c r="H30" s="221"/>
      <c r="I30" s="222"/>
      <c r="J30" s="83">
        <f>SUM(J31)</f>
        <v>0</v>
      </c>
      <c r="K30" s="226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147">
        <f>SUM(X31)</f>
        <v>0</v>
      </c>
      <c r="Y30" s="254"/>
      <c r="Z30" s="221"/>
      <c r="AA30" s="222"/>
      <c r="AB30" s="83">
        <f>SUM(AB31)</f>
        <v>12750</v>
      </c>
      <c r="AC30" s="226"/>
      <c r="AD30" s="221"/>
      <c r="AE30" s="222"/>
      <c r="AF30" s="83">
        <f>SUM(AF31)</f>
        <v>64800</v>
      </c>
      <c r="AG30" s="226"/>
      <c r="AH30" s="221"/>
      <c r="AI30" s="222"/>
      <c r="AJ30" s="35">
        <f>SUM(AJ31)</f>
        <v>22200</v>
      </c>
    </row>
    <row r="31" spans="1:36" ht="17.25" customHeight="1" x14ac:dyDescent="0.25">
      <c r="A31" s="15" t="s">
        <v>51</v>
      </c>
      <c r="B31" s="59" t="s">
        <v>52</v>
      </c>
      <c r="C31" s="24">
        <v>150</v>
      </c>
      <c r="D31" s="51">
        <v>396</v>
      </c>
      <c r="E31" s="39"/>
      <c r="F31" s="82">
        <f>C31*D31</f>
        <v>59400</v>
      </c>
      <c r="G31" s="236"/>
      <c r="H31" s="65">
        <f>H14+H23</f>
        <v>0</v>
      </c>
      <c r="I31" s="39"/>
      <c r="J31" s="91">
        <f>C31*H31</f>
        <v>0</v>
      </c>
      <c r="K31" s="226"/>
      <c r="L31" s="163">
        <v>0</v>
      </c>
      <c r="M31" s="150">
        <v>0</v>
      </c>
      <c r="N31" s="150">
        <v>0</v>
      </c>
      <c r="O31" s="150">
        <v>0</v>
      </c>
      <c r="P31" s="150">
        <v>0</v>
      </c>
      <c r="Q31" s="150">
        <v>0</v>
      </c>
      <c r="R31" s="150">
        <v>0</v>
      </c>
      <c r="S31" s="150">
        <v>0</v>
      </c>
      <c r="T31" s="150">
        <v>0</v>
      </c>
      <c r="U31" s="149">
        <f>$J$31/3</f>
        <v>0</v>
      </c>
      <c r="V31" s="149">
        <f t="shared" ref="V31:W31" si="31">$J$31/3</f>
        <v>0</v>
      </c>
      <c r="W31" s="149">
        <f t="shared" si="31"/>
        <v>0</v>
      </c>
      <c r="X31" s="149">
        <f>SUM(U31:W31)</f>
        <v>0</v>
      </c>
      <c r="Y31" s="254"/>
      <c r="Z31" s="51">
        <f>Z14+Z23</f>
        <v>85</v>
      </c>
      <c r="AA31" s="13"/>
      <c r="AB31" s="81">
        <f>C31*Z31</f>
        <v>12750</v>
      </c>
      <c r="AC31" s="226"/>
      <c r="AD31" s="65">
        <f>AD14+AD29</f>
        <v>432</v>
      </c>
      <c r="AE31" s="13"/>
      <c r="AF31" s="81">
        <f>C31*AD31</f>
        <v>64800</v>
      </c>
      <c r="AG31" s="226"/>
      <c r="AH31" s="65">
        <f>AH14+AH23</f>
        <v>148</v>
      </c>
      <c r="AI31" s="13"/>
      <c r="AJ31" s="24">
        <f>C31*AH31</f>
        <v>22200</v>
      </c>
    </row>
    <row r="32" spans="1:36" ht="26.45" customHeight="1" x14ac:dyDescent="0.25">
      <c r="A32" s="37" t="s">
        <v>53</v>
      </c>
      <c r="B32" s="238" t="s">
        <v>54</v>
      </c>
      <c r="C32" s="239"/>
      <c r="D32" s="239"/>
      <c r="E32" s="240"/>
      <c r="F32" s="83">
        <f>SUM(F33:F33)</f>
        <v>714750</v>
      </c>
      <c r="G32" s="236"/>
      <c r="H32" s="221"/>
      <c r="I32" s="222"/>
      <c r="J32" s="83">
        <f>SUM(J33)</f>
        <v>571800</v>
      </c>
      <c r="K32" s="226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147">
        <f>SUM(X33)</f>
        <v>571800</v>
      </c>
      <c r="Y32" s="254"/>
      <c r="Z32" s="221"/>
      <c r="AA32" s="222"/>
      <c r="AB32" s="83">
        <f>SUM(AB33)</f>
        <v>71475</v>
      </c>
      <c r="AC32" s="226"/>
      <c r="AD32" s="221"/>
      <c r="AE32" s="222"/>
      <c r="AF32" s="83">
        <f>SUM(AF33)</f>
        <v>35737.5</v>
      </c>
      <c r="AG32" s="226"/>
      <c r="AH32" s="221"/>
      <c r="AI32" s="222"/>
      <c r="AJ32" s="35">
        <f>SUM(AJ33)</f>
        <v>35737.5</v>
      </c>
    </row>
    <row r="33" spans="1:40" ht="79.150000000000006" customHeight="1" thickBot="1" x14ac:dyDescent="0.3">
      <c r="A33" s="23" t="s">
        <v>55</v>
      </c>
      <c r="B33" s="7" t="s">
        <v>56</v>
      </c>
      <c r="C33" s="60">
        <f>(F8+F17+F30)*0.05</f>
        <v>714750</v>
      </c>
      <c r="D33" s="51">
        <v>1</v>
      </c>
      <c r="E33" s="9"/>
      <c r="F33" s="87">
        <f>C33*D33</f>
        <v>714750</v>
      </c>
      <c r="G33" s="237"/>
      <c r="H33" s="65">
        <v>1</v>
      </c>
      <c r="I33" s="39"/>
      <c r="J33" s="91">
        <f>C33*0.8</f>
        <v>571800</v>
      </c>
      <c r="K33" s="227"/>
      <c r="L33" s="163">
        <v>0</v>
      </c>
      <c r="M33" s="150">
        <v>0</v>
      </c>
      <c r="N33" s="150">
        <v>0</v>
      </c>
      <c r="O33" s="150">
        <v>0</v>
      </c>
      <c r="P33" s="150">
        <v>0</v>
      </c>
      <c r="Q33" s="150">
        <v>0</v>
      </c>
      <c r="R33" s="150">
        <v>0</v>
      </c>
      <c r="S33" s="150">
        <v>0</v>
      </c>
      <c r="T33" s="150">
        <v>0</v>
      </c>
      <c r="U33" s="149">
        <f>$J$33/3</f>
        <v>190600</v>
      </c>
      <c r="V33" s="149">
        <f t="shared" ref="V33:W33" si="32">$J$33/3</f>
        <v>190600</v>
      </c>
      <c r="W33" s="149">
        <f t="shared" si="32"/>
        <v>190600</v>
      </c>
      <c r="X33" s="149">
        <f>SUM(U33:W33)</f>
        <v>571800</v>
      </c>
      <c r="Y33" s="255"/>
      <c r="Z33" s="51">
        <v>1</v>
      </c>
      <c r="AA33" s="13"/>
      <c r="AB33" s="91">
        <f>C33*0.1</f>
        <v>71475</v>
      </c>
      <c r="AC33" s="227"/>
      <c r="AD33" s="65">
        <v>1</v>
      </c>
      <c r="AE33" s="13"/>
      <c r="AF33" s="91">
        <f>C33*0.05</f>
        <v>35737.5</v>
      </c>
      <c r="AG33" s="227"/>
      <c r="AH33" s="65">
        <v>1</v>
      </c>
      <c r="AI33" s="13"/>
      <c r="AJ33" s="99">
        <f>C33*0.05</f>
        <v>35737.5</v>
      </c>
    </row>
    <row r="34" spans="1:40" ht="40.9" customHeight="1" thickBot="1" x14ac:dyDescent="0.3">
      <c r="A34" s="92"/>
      <c r="B34" s="4"/>
      <c r="C34" s="66"/>
      <c r="F34" s="66"/>
      <c r="G34" s="25"/>
      <c r="H34" s="2"/>
      <c r="I34" s="93"/>
      <c r="J34" s="94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2"/>
      <c r="AA34" s="2"/>
      <c r="AC34" s="93"/>
      <c r="AD34" s="2"/>
      <c r="AE34" s="2"/>
      <c r="AG34" s="93"/>
      <c r="AH34" s="2"/>
      <c r="AI34" s="3"/>
    </row>
    <row r="35" spans="1:40" ht="36" customHeight="1" thickBot="1" x14ac:dyDescent="0.3">
      <c r="F35" s="18"/>
      <c r="G35" s="26"/>
      <c r="H35" s="231">
        <v>2025</v>
      </c>
      <c r="I35" s="223"/>
      <c r="J35" s="224"/>
      <c r="K35" s="225"/>
      <c r="L35" s="231">
        <v>2025</v>
      </c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4"/>
      <c r="Y35" s="131"/>
      <c r="Z35" s="223">
        <v>2026</v>
      </c>
      <c r="AA35" s="223"/>
      <c r="AB35" s="224"/>
      <c r="AC35" s="225"/>
      <c r="AD35" s="231">
        <v>2027</v>
      </c>
      <c r="AE35" s="223"/>
      <c r="AF35" s="224"/>
      <c r="AG35" s="225"/>
      <c r="AH35" s="231">
        <v>2028</v>
      </c>
      <c r="AI35" s="223"/>
      <c r="AJ35" s="224"/>
      <c r="AK35" s="225"/>
      <c r="AL35" s="231">
        <v>2029</v>
      </c>
      <c r="AM35" s="223"/>
      <c r="AN35" s="224"/>
    </row>
    <row r="36" spans="1:40" ht="47.45" customHeight="1" thickBot="1" x14ac:dyDescent="0.3">
      <c r="A36" s="124" t="e" vm="1">
        <v>#VALUE!</v>
      </c>
      <c r="B36" s="68" t="s">
        <v>58</v>
      </c>
      <c r="C36" s="33" t="s">
        <v>2</v>
      </c>
      <c r="D36" s="34" t="s">
        <v>3</v>
      </c>
      <c r="E36" s="34" t="s">
        <v>4</v>
      </c>
      <c r="F36" s="95" t="s">
        <v>5</v>
      </c>
      <c r="G36" s="235"/>
      <c r="H36" s="63" t="s">
        <v>3</v>
      </c>
      <c r="I36" s="34" t="s">
        <v>4</v>
      </c>
      <c r="J36" s="95" t="s">
        <v>5</v>
      </c>
      <c r="K36" s="226"/>
      <c r="L36" s="75" t="s">
        <v>82</v>
      </c>
      <c r="M36" s="75" t="s">
        <v>83</v>
      </c>
      <c r="N36" s="75" t="s">
        <v>84</v>
      </c>
      <c r="O36" s="75" t="s">
        <v>85</v>
      </c>
      <c r="P36" s="75" t="s">
        <v>86</v>
      </c>
      <c r="Q36" s="75" t="s">
        <v>87</v>
      </c>
      <c r="R36" s="75" t="s">
        <v>88</v>
      </c>
      <c r="S36" s="75" t="s">
        <v>89</v>
      </c>
      <c r="T36" s="75" t="s">
        <v>90</v>
      </c>
      <c r="U36" s="75" t="s">
        <v>91</v>
      </c>
      <c r="V36" s="75" t="s">
        <v>92</v>
      </c>
      <c r="W36" s="75" t="s">
        <v>93</v>
      </c>
      <c r="X36" s="152" t="s">
        <v>5</v>
      </c>
      <c r="Y36" s="132"/>
      <c r="Z36" s="63" t="s">
        <v>3</v>
      </c>
      <c r="AA36" s="34" t="s">
        <v>4</v>
      </c>
      <c r="AB36" s="95" t="s">
        <v>5</v>
      </c>
      <c r="AC36" s="226"/>
      <c r="AD36" s="63" t="s">
        <v>3</v>
      </c>
      <c r="AE36" s="34" t="s">
        <v>4</v>
      </c>
      <c r="AF36" s="95" t="s">
        <v>5</v>
      </c>
      <c r="AG36" s="226"/>
      <c r="AH36" s="75" t="s">
        <v>3</v>
      </c>
      <c r="AI36" s="74" t="s">
        <v>4</v>
      </c>
      <c r="AJ36" s="73" t="s">
        <v>5</v>
      </c>
      <c r="AK36" s="226"/>
      <c r="AL36" s="75" t="s">
        <v>3</v>
      </c>
      <c r="AM36" s="74" t="s">
        <v>4</v>
      </c>
      <c r="AN36" s="73" t="s">
        <v>5</v>
      </c>
    </row>
    <row r="37" spans="1:40" s="6" customFormat="1" ht="30" customHeight="1" x14ac:dyDescent="0.25">
      <c r="A37" s="36"/>
      <c r="B37" s="251" t="s">
        <v>59</v>
      </c>
      <c r="C37" s="252"/>
      <c r="D37" s="252"/>
      <c r="E37" s="253"/>
      <c r="F37" s="90">
        <f>(F38+F40+F42)</f>
        <v>1319280</v>
      </c>
      <c r="G37" s="236"/>
      <c r="H37" s="232"/>
      <c r="I37" s="233"/>
      <c r="J37" s="90">
        <f>SUM(J38+J40+J42)</f>
        <v>15000</v>
      </c>
      <c r="K37" s="226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95">
        <f>X38+X40+X42</f>
        <v>15000</v>
      </c>
      <c r="Y37" s="132"/>
      <c r="Z37" s="232"/>
      <c r="AA37" s="233"/>
      <c r="AB37" s="90">
        <f>SUM(AB38+AB40+AB42)</f>
        <v>285300</v>
      </c>
      <c r="AC37" s="226"/>
      <c r="AD37" s="232"/>
      <c r="AE37" s="233"/>
      <c r="AF37" s="90">
        <f>SUM(AF38+AF40+AF42)</f>
        <v>803640</v>
      </c>
      <c r="AG37" s="226"/>
      <c r="AH37" s="232"/>
      <c r="AI37" s="233"/>
      <c r="AJ37" s="31">
        <f>SUM(AJ38+AJ40+AJ42)</f>
        <v>1003980</v>
      </c>
      <c r="AK37" s="226"/>
      <c r="AL37" s="232"/>
      <c r="AM37" s="233"/>
      <c r="AN37" s="31">
        <f>SUM(AN38+AN40+AN42)</f>
        <v>470640</v>
      </c>
    </row>
    <row r="38" spans="1:40" ht="30" customHeight="1" x14ac:dyDescent="0.25">
      <c r="A38" s="37" t="s">
        <v>60</v>
      </c>
      <c r="B38" s="212" t="s">
        <v>61</v>
      </c>
      <c r="C38" s="213"/>
      <c r="D38" s="213"/>
      <c r="E38" s="214"/>
      <c r="F38" s="147">
        <f>SUM(F39:F39)</f>
        <v>858600</v>
      </c>
      <c r="G38" s="236"/>
      <c r="H38" s="230"/>
      <c r="I38" s="213"/>
      <c r="J38" s="77">
        <f>SUM(J39)</f>
        <v>0</v>
      </c>
      <c r="K38" s="226"/>
      <c r="L38" s="230"/>
      <c r="M38" s="213"/>
      <c r="N38" s="230"/>
      <c r="O38" s="213"/>
      <c r="P38" s="230"/>
      <c r="Q38" s="213"/>
      <c r="R38" s="230"/>
      <c r="S38" s="213"/>
      <c r="T38" s="230"/>
      <c r="U38" s="213"/>
      <c r="V38" s="230"/>
      <c r="W38" s="213"/>
      <c r="X38" s="147">
        <f>SUM(X39)</f>
        <v>0</v>
      </c>
      <c r="Y38" s="132"/>
      <c r="Z38" s="230"/>
      <c r="AA38" s="213"/>
      <c r="AB38" s="77">
        <f>SUM(AB39)</f>
        <v>143100</v>
      </c>
      <c r="AC38" s="226"/>
      <c r="AD38" s="230"/>
      <c r="AE38" s="213"/>
      <c r="AF38" s="77">
        <f>SUM(AF39)</f>
        <v>486540</v>
      </c>
      <c r="AG38" s="226"/>
      <c r="AH38" s="230"/>
      <c r="AI38" s="213"/>
      <c r="AJ38" s="30">
        <f>SUM(AJ39)</f>
        <v>715500</v>
      </c>
      <c r="AK38" s="226"/>
      <c r="AL38" s="230"/>
      <c r="AM38" s="213"/>
      <c r="AN38" s="30">
        <f>SUM(AN39)</f>
        <v>372060</v>
      </c>
    </row>
    <row r="39" spans="1:40" ht="40.9" customHeight="1" x14ac:dyDescent="0.25">
      <c r="A39" s="15" t="s">
        <v>62</v>
      </c>
      <c r="B39" s="16" t="s">
        <v>63</v>
      </c>
      <c r="C39" s="24">
        <f>(3360+3000)/2</f>
        <v>3180</v>
      </c>
      <c r="D39" s="56">
        <f>D14</f>
        <v>270</v>
      </c>
      <c r="E39" s="9"/>
      <c r="F39" s="149">
        <f>C39*D39</f>
        <v>858600</v>
      </c>
      <c r="G39" s="236"/>
      <c r="H39" s="56">
        <v>0</v>
      </c>
      <c r="I39" s="9"/>
      <c r="J39" s="91">
        <f>C39*H39</f>
        <v>0</v>
      </c>
      <c r="K39" s="256"/>
      <c r="L39" s="150">
        <v>0</v>
      </c>
      <c r="M39" s="150">
        <v>0</v>
      </c>
      <c r="N39" s="150">
        <v>0</v>
      </c>
      <c r="O39" s="150">
        <v>0</v>
      </c>
      <c r="P39" s="150">
        <v>0</v>
      </c>
      <c r="Q39" s="150">
        <v>0</v>
      </c>
      <c r="R39" s="150">
        <v>0</v>
      </c>
      <c r="S39" s="150">
        <v>0</v>
      </c>
      <c r="T39" s="150">
        <v>0</v>
      </c>
      <c r="U39" s="149">
        <f>$J$39/3</f>
        <v>0</v>
      </c>
      <c r="V39" s="149">
        <f t="shared" ref="V39:W39" si="33">$J$39/3</f>
        <v>0</v>
      </c>
      <c r="W39" s="149">
        <f t="shared" si="33"/>
        <v>0</v>
      </c>
      <c r="X39" s="149">
        <f>SUM(U39:W39)</f>
        <v>0</v>
      </c>
      <c r="Y39" s="141"/>
      <c r="Z39" s="151">
        <f>Z14+H23+H14</f>
        <v>45</v>
      </c>
      <c r="AA39" s="9"/>
      <c r="AB39" s="91">
        <f>C39*Z39</f>
        <v>143100</v>
      </c>
      <c r="AC39" s="226"/>
      <c r="AD39" s="56">
        <f>AD14+Z14</f>
        <v>153</v>
      </c>
      <c r="AE39" s="9"/>
      <c r="AF39" s="97">
        <f>C39*AD39</f>
        <v>486540</v>
      </c>
      <c r="AG39" s="226"/>
      <c r="AH39" s="56">
        <f>AH14+AD14</f>
        <v>225</v>
      </c>
      <c r="AI39" s="9"/>
      <c r="AJ39" s="99">
        <f>C39*AH39</f>
        <v>715500</v>
      </c>
      <c r="AK39" s="226"/>
      <c r="AL39" s="56">
        <f>AH14</f>
        <v>117</v>
      </c>
      <c r="AM39" s="9"/>
      <c r="AN39" s="99">
        <f>C39*AL39</f>
        <v>372060</v>
      </c>
    </row>
    <row r="40" spans="1:40" ht="29.25" customHeight="1" x14ac:dyDescent="0.25">
      <c r="A40" s="37" t="s">
        <v>64</v>
      </c>
      <c r="B40" s="212" t="s">
        <v>65</v>
      </c>
      <c r="C40" s="213"/>
      <c r="D40" s="213"/>
      <c r="E40" s="214"/>
      <c r="F40" s="147">
        <f>SUM(F41:F41)</f>
        <v>400680</v>
      </c>
      <c r="G40" s="236"/>
      <c r="H40" s="230"/>
      <c r="I40" s="213"/>
      <c r="J40" s="77">
        <f>SUM(J41)</f>
        <v>0</v>
      </c>
      <c r="K40" s="226"/>
      <c r="L40" s="230"/>
      <c r="M40" s="213"/>
      <c r="N40" s="230"/>
      <c r="O40" s="213"/>
      <c r="P40" s="230"/>
      <c r="Q40" s="213"/>
      <c r="R40" s="230"/>
      <c r="S40" s="213"/>
      <c r="T40" s="230"/>
      <c r="U40" s="213"/>
      <c r="V40" s="230"/>
      <c r="W40" s="213"/>
      <c r="X40" s="147">
        <f>SUM(X41)</f>
        <v>0</v>
      </c>
      <c r="Y40" s="132"/>
      <c r="Z40" s="230"/>
      <c r="AA40" s="213"/>
      <c r="AB40" s="77">
        <f>SUM(AB41)</f>
        <v>127200</v>
      </c>
      <c r="AC40" s="226"/>
      <c r="AD40" s="230"/>
      <c r="AE40" s="213"/>
      <c r="AF40" s="77">
        <f>SUM(AF41)</f>
        <v>302100</v>
      </c>
      <c r="AG40" s="226"/>
      <c r="AH40" s="230"/>
      <c r="AI40" s="213"/>
      <c r="AJ40" s="30">
        <f>SUM(AJ41)</f>
        <v>273480</v>
      </c>
      <c r="AK40" s="226"/>
      <c r="AL40" s="230"/>
      <c r="AM40" s="213"/>
      <c r="AN40" s="30">
        <f>SUM(AN41)</f>
        <v>98580</v>
      </c>
    </row>
    <row r="41" spans="1:40" ht="40.15" customHeight="1" x14ac:dyDescent="0.25">
      <c r="A41" s="15" t="s">
        <v>66</v>
      </c>
      <c r="B41" s="16" t="s">
        <v>67</v>
      </c>
      <c r="C41" s="62">
        <f>(3360+3000)/2</f>
        <v>3180</v>
      </c>
      <c r="D41" s="57">
        <f>D23</f>
        <v>126</v>
      </c>
      <c r="E41" s="9"/>
      <c r="F41" s="149">
        <f>C41*D41</f>
        <v>400680</v>
      </c>
      <c r="G41" s="246"/>
      <c r="H41" s="56">
        <v>0</v>
      </c>
      <c r="I41" s="9"/>
      <c r="J41" s="91">
        <f>C41*H41</f>
        <v>0</v>
      </c>
      <c r="K41" s="256"/>
      <c r="L41" s="150">
        <v>0</v>
      </c>
      <c r="M41" s="150">
        <v>0</v>
      </c>
      <c r="N41" s="150">
        <v>0</v>
      </c>
      <c r="O41" s="150">
        <v>0</v>
      </c>
      <c r="P41" s="150">
        <v>0</v>
      </c>
      <c r="Q41" s="150">
        <v>0</v>
      </c>
      <c r="R41" s="150">
        <v>0</v>
      </c>
      <c r="S41" s="150">
        <v>0</v>
      </c>
      <c r="T41" s="150">
        <v>0</v>
      </c>
      <c r="U41" s="149">
        <f>$J$41/3</f>
        <v>0</v>
      </c>
      <c r="V41" s="149">
        <f t="shared" ref="V41:W41" si="34">$J$41/3</f>
        <v>0</v>
      </c>
      <c r="W41" s="149">
        <f t="shared" si="34"/>
        <v>0</v>
      </c>
      <c r="X41" s="149">
        <f>SUM(U41:W41)</f>
        <v>0</v>
      </c>
      <c r="Y41" s="141"/>
      <c r="Z41" s="151">
        <f>Z23+H41+H23</f>
        <v>40</v>
      </c>
      <c r="AA41" s="9"/>
      <c r="AB41" s="91">
        <f>C41*Z41</f>
        <v>127200</v>
      </c>
      <c r="AC41" s="226"/>
      <c r="AD41" s="56">
        <f>AD23+Z23</f>
        <v>95</v>
      </c>
      <c r="AE41" s="9"/>
      <c r="AF41" s="91">
        <f>C41*AD41</f>
        <v>302100</v>
      </c>
      <c r="AG41" s="226"/>
      <c r="AH41" s="56">
        <f>AH23+AD23</f>
        <v>86</v>
      </c>
      <c r="AI41" s="9"/>
      <c r="AJ41" s="99">
        <f>C41*AH41</f>
        <v>273480</v>
      </c>
      <c r="AK41" s="226"/>
      <c r="AL41" s="56">
        <f>AH23</f>
        <v>31</v>
      </c>
      <c r="AM41" s="9"/>
      <c r="AN41" s="99">
        <f>C41*AL41</f>
        <v>98580</v>
      </c>
    </row>
    <row r="42" spans="1:40" ht="30" customHeight="1" x14ac:dyDescent="0.25">
      <c r="A42" s="37" t="s">
        <v>68</v>
      </c>
      <c r="B42" s="212" t="s">
        <v>69</v>
      </c>
      <c r="C42" s="213"/>
      <c r="D42" s="213"/>
      <c r="E42" s="214"/>
      <c r="F42" s="147">
        <f>SUM(F43)</f>
        <v>60000</v>
      </c>
      <c r="G42" s="236"/>
      <c r="H42" s="230"/>
      <c r="I42" s="213"/>
      <c r="J42" s="77">
        <f>SUM(J43)</f>
        <v>15000</v>
      </c>
      <c r="K42" s="226"/>
      <c r="L42" s="230"/>
      <c r="M42" s="213"/>
      <c r="N42" s="230"/>
      <c r="O42" s="213"/>
      <c r="P42" s="230"/>
      <c r="Q42" s="213"/>
      <c r="R42" s="230"/>
      <c r="S42" s="213"/>
      <c r="T42" s="230"/>
      <c r="U42" s="213"/>
      <c r="V42" s="230"/>
      <c r="W42" s="213"/>
      <c r="X42" s="147">
        <f>SUM(X43)</f>
        <v>15000</v>
      </c>
      <c r="Y42" s="132"/>
      <c r="Z42" s="230"/>
      <c r="AA42" s="213"/>
      <c r="AB42" s="77">
        <f>SUM(AB43)</f>
        <v>15000</v>
      </c>
      <c r="AC42" s="226"/>
      <c r="AD42" s="230"/>
      <c r="AE42" s="213"/>
      <c r="AF42" s="77">
        <f>SUM(AF43)</f>
        <v>15000</v>
      </c>
      <c r="AG42" s="226"/>
      <c r="AH42" s="230"/>
      <c r="AI42" s="213"/>
      <c r="AJ42" s="30">
        <f>SUM(AJ43)</f>
        <v>15000</v>
      </c>
      <c r="AK42" s="226"/>
      <c r="AL42" s="230"/>
      <c r="AM42" s="213"/>
      <c r="AN42" s="30">
        <f>SUM(AN43)</f>
        <v>0</v>
      </c>
    </row>
    <row r="43" spans="1:40" ht="36.6" customHeight="1" thickBot="1" x14ac:dyDescent="0.3">
      <c r="A43" s="15" t="s">
        <v>70</v>
      </c>
      <c r="B43" s="16" t="s">
        <v>71</v>
      </c>
      <c r="C43" s="21">
        <v>50</v>
      </c>
      <c r="D43" s="9"/>
      <c r="E43" s="42">
        <v>1200</v>
      </c>
      <c r="F43" s="149">
        <f>C43*E43</f>
        <v>60000</v>
      </c>
      <c r="G43" s="247"/>
      <c r="H43" s="9"/>
      <c r="I43" s="42">
        <f>E43*0.25</f>
        <v>300</v>
      </c>
      <c r="J43" s="91">
        <f>C43*I43</f>
        <v>15000</v>
      </c>
      <c r="K43" s="257"/>
      <c r="L43" s="150">
        <v>0</v>
      </c>
      <c r="M43" s="150">
        <v>0</v>
      </c>
      <c r="N43" s="150">
        <v>0</v>
      </c>
      <c r="O43" s="150">
        <v>0</v>
      </c>
      <c r="P43" s="150">
        <v>0</v>
      </c>
      <c r="Q43" s="150">
        <v>0</v>
      </c>
      <c r="R43" s="150">
        <v>0</v>
      </c>
      <c r="S43" s="150">
        <v>0</v>
      </c>
      <c r="T43" s="150">
        <v>0</v>
      </c>
      <c r="U43" s="149">
        <f>$J$43/3</f>
        <v>5000</v>
      </c>
      <c r="V43" s="149">
        <f t="shared" ref="V43:W43" si="35">$J$43/3</f>
        <v>5000</v>
      </c>
      <c r="W43" s="149">
        <f t="shared" si="35"/>
        <v>5000</v>
      </c>
      <c r="X43" s="149">
        <f>SUM(U43:W43)</f>
        <v>15000</v>
      </c>
      <c r="Y43" s="148"/>
      <c r="Z43" s="44"/>
      <c r="AA43" s="42">
        <f>E43*0.25</f>
        <v>300</v>
      </c>
      <c r="AB43" s="91">
        <f>C43*AA43</f>
        <v>15000</v>
      </c>
      <c r="AC43" s="227"/>
      <c r="AD43" s="9"/>
      <c r="AE43" s="42">
        <f>E43*0.25</f>
        <v>300</v>
      </c>
      <c r="AF43" s="91">
        <f>C43*AE43</f>
        <v>15000</v>
      </c>
      <c r="AG43" s="227"/>
      <c r="AH43" s="9"/>
      <c r="AI43" s="42">
        <f>E43*0.25</f>
        <v>300</v>
      </c>
      <c r="AJ43" s="99">
        <f>C43*AI43</f>
        <v>15000</v>
      </c>
      <c r="AK43" s="227"/>
      <c r="AL43" s="9"/>
      <c r="AM43" s="42">
        <v>0</v>
      </c>
      <c r="AN43" s="99">
        <f>G43*AM43</f>
        <v>0</v>
      </c>
    </row>
    <row r="44" spans="1:40" ht="22.15" customHeight="1" x14ac:dyDescent="0.25">
      <c r="B44" s="10"/>
      <c r="F44" s="22"/>
      <c r="G44" s="27"/>
      <c r="H44" s="11"/>
      <c r="I44" s="11"/>
      <c r="J44" s="4" t="s">
        <v>57</v>
      </c>
    </row>
    <row r="45" spans="1:40" ht="21.6" customHeight="1" x14ac:dyDescent="0.25">
      <c r="A45" s="126"/>
      <c r="B45" s="217" t="s">
        <v>72</v>
      </c>
      <c r="C45" s="218"/>
      <c r="D45" s="119">
        <f>SUM(D46:D47)</f>
        <v>20766810</v>
      </c>
      <c r="E45" s="53"/>
      <c r="H45" s="3"/>
      <c r="I45" s="3"/>
    </row>
    <row r="46" spans="1:40" x14ac:dyDescent="0.25">
      <c r="A46" s="215" t="s">
        <v>73</v>
      </c>
      <c r="B46" s="219" t="s">
        <v>74</v>
      </c>
      <c r="C46" s="220"/>
      <c r="D46" s="99">
        <f>F5</f>
        <v>18128250</v>
      </c>
      <c r="E46" s="54"/>
      <c r="G46" s="25"/>
      <c r="H46" s="3"/>
      <c r="I46" s="3"/>
    </row>
    <row r="47" spans="1:40" x14ac:dyDescent="0.25">
      <c r="A47" s="216"/>
      <c r="B47" s="219" t="s">
        <v>75</v>
      </c>
      <c r="C47" s="220"/>
      <c r="D47" s="99">
        <f>F37*2</f>
        <v>2638560</v>
      </c>
      <c r="E47" s="54"/>
      <c r="G47" s="29"/>
      <c r="H47" s="3"/>
      <c r="I47" s="3"/>
    </row>
    <row r="48" spans="1:40" x14ac:dyDescent="0.25">
      <c r="C48" s="55"/>
      <c r="D48" s="5"/>
      <c r="E48" s="55"/>
      <c r="G48" s="25"/>
      <c r="H48" s="3"/>
      <c r="I48" s="3"/>
    </row>
    <row r="49" spans="1:9" ht="22.15" customHeight="1" x14ac:dyDescent="0.25">
      <c r="A49" s="126"/>
      <c r="B49" s="234" t="s">
        <v>76</v>
      </c>
      <c r="C49" s="218"/>
      <c r="D49" s="119">
        <f>SUM(D50:D51)</f>
        <v>1704600</v>
      </c>
      <c r="E49" s="4"/>
      <c r="F49" s="18"/>
      <c r="G49" s="25"/>
      <c r="H49" s="3"/>
      <c r="I49" s="3"/>
    </row>
    <row r="50" spans="1:9" x14ac:dyDescent="0.25">
      <c r="A50" s="215" t="s">
        <v>73</v>
      </c>
      <c r="B50" s="219" t="s">
        <v>74</v>
      </c>
      <c r="C50" s="220"/>
      <c r="D50" s="99">
        <f>J5</f>
        <v>1689600</v>
      </c>
      <c r="E50" s="4"/>
      <c r="F50" s="18"/>
      <c r="G50" s="25"/>
      <c r="H50" s="3"/>
      <c r="I50" s="3"/>
    </row>
    <row r="51" spans="1:9" x14ac:dyDescent="0.25">
      <c r="A51" s="216"/>
      <c r="B51" s="219" t="s">
        <v>77</v>
      </c>
      <c r="C51" s="220"/>
      <c r="D51" s="99">
        <f>J37</f>
        <v>15000</v>
      </c>
      <c r="E51" s="4"/>
      <c r="F51" s="18"/>
      <c r="G51" s="25"/>
      <c r="H51" s="3"/>
      <c r="I51" s="3"/>
    </row>
    <row r="52" spans="1:9" x14ac:dyDescent="0.25">
      <c r="A52" s="4"/>
      <c r="B52" s="4"/>
      <c r="C52" s="4"/>
      <c r="D52" s="4"/>
      <c r="E52" s="4"/>
      <c r="F52" s="18"/>
      <c r="G52" s="25"/>
      <c r="H52" s="3"/>
      <c r="I52" s="3"/>
    </row>
    <row r="53" spans="1:9" ht="21.6" customHeight="1" x14ac:dyDescent="0.25">
      <c r="A53" s="126"/>
      <c r="B53" s="234" t="s">
        <v>78</v>
      </c>
      <c r="C53" s="218"/>
      <c r="D53" s="119">
        <f>SUM(D54:D55)</f>
        <v>3858511.666666667</v>
      </c>
      <c r="E53" s="4"/>
      <c r="F53" s="18"/>
      <c r="G53" s="25"/>
      <c r="H53" s="3"/>
      <c r="I53" s="3"/>
    </row>
    <row r="54" spans="1:9" x14ac:dyDescent="0.25">
      <c r="A54" s="215" t="s">
        <v>73</v>
      </c>
      <c r="B54" s="219" t="s">
        <v>74</v>
      </c>
      <c r="C54" s="220"/>
      <c r="D54" s="99">
        <f>AB5</f>
        <v>3337891.666666667</v>
      </c>
      <c r="E54" s="4"/>
      <c r="F54" s="18"/>
      <c r="G54" s="25"/>
      <c r="H54" s="3"/>
      <c r="I54" s="3"/>
    </row>
    <row r="55" spans="1:9" x14ac:dyDescent="0.25">
      <c r="A55" s="216"/>
      <c r="B55" s="219" t="s">
        <v>77</v>
      </c>
      <c r="C55" s="220"/>
      <c r="D55" s="99">
        <f>AB37+(AN37*0.5)</f>
        <v>520620</v>
      </c>
      <c r="E55" s="4"/>
      <c r="F55" s="18"/>
      <c r="G55" s="25"/>
      <c r="H55" s="3"/>
      <c r="I55" s="3"/>
    </row>
    <row r="56" spans="1:9" x14ac:dyDescent="0.25">
      <c r="A56" s="4"/>
      <c r="B56" s="4"/>
      <c r="C56" s="4"/>
      <c r="D56" s="4"/>
      <c r="E56" s="4"/>
      <c r="F56" s="18"/>
      <c r="G56" s="25"/>
      <c r="H56" s="3"/>
      <c r="I56" s="3"/>
    </row>
    <row r="57" spans="1:9" ht="21.6" customHeight="1" x14ac:dyDescent="0.25">
      <c r="A57" s="126"/>
      <c r="B57" s="234" t="s">
        <v>79</v>
      </c>
      <c r="C57" s="218"/>
      <c r="D57" s="119">
        <f>SUM(D58:D59)</f>
        <v>8168614.166666667</v>
      </c>
      <c r="E57" s="4"/>
      <c r="F57" s="18"/>
      <c r="G57" s="25"/>
      <c r="H57" s="3"/>
      <c r="I57" s="3"/>
    </row>
    <row r="58" spans="1:9" x14ac:dyDescent="0.25">
      <c r="A58" s="215" t="s">
        <v>73</v>
      </c>
      <c r="B58" s="219" t="s">
        <v>74</v>
      </c>
      <c r="C58" s="220"/>
      <c r="D58" s="99">
        <f>AF5</f>
        <v>7129654.166666667</v>
      </c>
      <c r="E58" s="4"/>
      <c r="F58" s="18"/>
      <c r="G58" s="25"/>
      <c r="H58" s="3"/>
      <c r="I58" s="3"/>
    </row>
    <row r="59" spans="1:9" x14ac:dyDescent="0.25">
      <c r="A59" s="216"/>
      <c r="B59" s="219" t="s">
        <v>77</v>
      </c>
      <c r="C59" s="220"/>
      <c r="D59" s="99">
        <f>AF37+(AN37*0.5)</f>
        <v>1038960</v>
      </c>
      <c r="E59" s="4"/>
      <c r="F59" s="18"/>
      <c r="G59" s="25"/>
      <c r="H59" s="3"/>
      <c r="I59" s="3"/>
    </row>
    <row r="61" spans="1:9" ht="15.75" x14ac:dyDescent="0.25">
      <c r="B61" s="234" t="s">
        <v>80</v>
      </c>
      <c r="C61" s="218"/>
      <c r="D61" s="119">
        <f>SUM(D62:D63)</f>
        <v>8133234.166666667</v>
      </c>
    </row>
    <row r="62" spans="1:9" x14ac:dyDescent="0.25">
      <c r="A62" s="215" t="s">
        <v>73</v>
      </c>
      <c r="B62" s="219" t="s">
        <v>74</v>
      </c>
      <c r="C62" s="220"/>
      <c r="D62" s="99">
        <f>AJ5</f>
        <v>7129254.166666667</v>
      </c>
      <c r="E62" s="4"/>
      <c r="H62" s="4"/>
      <c r="I62" s="4"/>
    </row>
    <row r="63" spans="1:9" x14ac:dyDescent="0.25">
      <c r="A63" s="216"/>
      <c r="B63" s="219" t="s">
        <v>77</v>
      </c>
      <c r="C63" s="220"/>
      <c r="D63" s="99">
        <f>AJ37</f>
        <v>1003980</v>
      </c>
    </row>
  </sheetData>
  <mergeCells count="121">
    <mergeCell ref="AD8:AE8"/>
    <mergeCell ref="AH8:AI8"/>
    <mergeCell ref="B17:E17"/>
    <mergeCell ref="H17:I17"/>
    <mergeCell ref="Z17:AA17"/>
    <mergeCell ref="AD17:AE17"/>
    <mergeCell ref="AH17:AI17"/>
    <mergeCell ref="AD3:AF3"/>
    <mergeCell ref="AG3:AG33"/>
    <mergeCell ref="AH3:AJ3"/>
    <mergeCell ref="A5:E5"/>
    <mergeCell ref="H5:I5"/>
    <mergeCell ref="Z5:AA5"/>
    <mergeCell ref="AD5:AE5"/>
    <mergeCell ref="AH5:AI5"/>
    <mergeCell ref="B8:E8"/>
    <mergeCell ref="H8:I8"/>
    <mergeCell ref="C3:F3"/>
    <mergeCell ref="G3:G33"/>
    <mergeCell ref="H3:J3"/>
    <mergeCell ref="K3:K33"/>
    <mergeCell ref="Z3:AB3"/>
    <mergeCell ref="AC3:AC33"/>
    <mergeCell ref="Z8:AA8"/>
    <mergeCell ref="Z32:AA32"/>
    <mergeCell ref="AD32:AE32"/>
    <mergeCell ref="AH32:AI32"/>
    <mergeCell ref="H35:J35"/>
    <mergeCell ref="K35:K43"/>
    <mergeCell ref="Z35:AB35"/>
    <mergeCell ref="AC35:AC43"/>
    <mergeCell ref="AD35:AF35"/>
    <mergeCell ref="AD26:AE26"/>
    <mergeCell ref="AH26:AI26"/>
    <mergeCell ref="H30:I30"/>
    <mergeCell ref="Z30:AA30"/>
    <mergeCell ref="AD30:AE30"/>
    <mergeCell ref="AH30:AI30"/>
    <mergeCell ref="H26:I26"/>
    <mergeCell ref="Z26:AA26"/>
    <mergeCell ref="Z40:AA40"/>
    <mergeCell ref="AD40:AE40"/>
    <mergeCell ref="AH40:AI40"/>
    <mergeCell ref="AL37:AM37"/>
    <mergeCell ref="B38:E38"/>
    <mergeCell ref="H38:I38"/>
    <mergeCell ref="Z38:AA38"/>
    <mergeCell ref="AD38:AE38"/>
    <mergeCell ref="AH38:AI38"/>
    <mergeCell ref="AL38:AM38"/>
    <mergeCell ref="V38:W38"/>
    <mergeCell ref="AG35:AG43"/>
    <mergeCell ref="AH35:AJ35"/>
    <mergeCell ref="AK35:AK43"/>
    <mergeCell ref="AL35:AN35"/>
    <mergeCell ref="G36:G43"/>
    <mergeCell ref="B37:E37"/>
    <mergeCell ref="H37:I37"/>
    <mergeCell ref="Z37:AA37"/>
    <mergeCell ref="AD37:AE37"/>
    <mergeCell ref="AH37:AI37"/>
    <mergeCell ref="Z42:AA42"/>
    <mergeCell ref="AD42:AE42"/>
    <mergeCell ref="AH42:AI42"/>
    <mergeCell ref="AL42:AM42"/>
    <mergeCell ref="B40:E40"/>
    <mergeCell ref="H40:I40"/>
    <mergeCell ref="AL40:AM40"/>
    <mergeCell ref="L40:M40"/>
    <mergeCell ref="N40:O40"/>
    <mergeCell ref="P40:Q40"/>
    <mergeCell ref="R40:S40"/>
    <mergeCell ref="A62:A63"/>
    <mergeCell ref="B62:C62"/>
    <mergeCell ref="B63:C63"/>
    <mergeCell ref="L5:W5"/>
    <mergeCell ref="L8:W8"/>
    <mergeCell ref="L17:W17"/>
    <mergeCell ref="L26:W26"/>
    <mergeCell ref="L30:W30"/>
    <mergeCell ref="B53:C53"/>
    <mergeCell ref="A54:A55"/>
    <mergeCell ref="B54:C54"/>
    <mergeCell ref="B55:C55"/>
    <mergeCell ref="B57:C57"/>
    <mergeCell ref="A58:A59"/>
    <mergeCell ref="B58:C58"/>
    <mergeCell ref="B59:C59"/>
    <mergeCell ref="B45:C45"/>
    <mergeCell ref="A46:A47"/>
    <mergeCell ref="B46:C46"/>
    <mergeCell ref="A50:A51"/>
    <mergeCell ref="B50:C50"/>
    <mergeCell ref="B51:C51"/>
    <mergeCell ref="Y3:Y33"/>
    <mergeCell ref="L37:W37"/>
    <mergeCell ref="L35:X35"/>
    <mergeCell ref="L38:M38"/>
    <mergeCell ref="N38:O38"/>
    <mergeCell ref="P38:Q38"/>
    <mergeCell ref="R38:S38"/>
    <mergeCell ref="T38:U38"/>
    <mergeCell ref="B61:C61"/>
    <mergeCell ref="B42:E42"/>
    <mergeCell ref="H42:I42"/>
    <mergeCell ref="B32:E32"/>
    <mergeCell ref="H32:I32"/>
    <mergeCell ref="B30:E30"/>
    <mergeCell ref="B26:E26"/>
    <mergeCell ref="L3:X3"/>
    <mergeCell ref="T40:U40"/>
    <mergeCell ref="V40:W40"/>
    <mergeCell ref="L42:M42"/>
    <mergeCell ref="N42:O42"/>
    <mergeCell ref="P42:Q42"/>
    <mergeCell ref="R42:S42"/>
    <mergeCell ref="T42:U42"/>
    <mergeCell ref="V42:W42"/>
    <mergeCell ref="L32:W32"/>
    <mergeCell ref="B47:C47"/>
    <mergeCell ref="B49:C49"/>
  </mergeCells>
  <phoneticPr fontId="8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3A829-AAB1-40D7-95D8-4872F55AAAB2}">
  <dimension ref="A2:BB64"/>
  <sheetViews>
    <sheetView showGridLines="0" topLeftCell="V1" zoomScale="70" zoomScaleNormal="70" workbookViewId="0">
      <selection activeCell="AU1" sqref="AU1:AU1048576"/>
    </sheetView>
  </sheetViews>
  <sheetFormatPr baseColWidth="10" defaultColWidth="11.5703125" defaultRowHeight="15" x14ac:dyDescent="0.25"/>
  <cols>
    <col min="1" max="1" width="12.7109375" style="14" customWidth="1"/>
    <col min="2" max="2" width="50.85546875" style="1" customWidth="1"/>
    <col min="3" max="3" width="26.42578125" style="20" customWidth="1"/>
    <col min="4" max="4" width="16.85546875" style="2" customWidth="1"/>
    <col min="5" max="5" width="11.7109375" style="2" customWidth="1"/>
    <col min="6" max="6" width="16.28515625" style="20" customWidth="1"/>
    <col min="7" max="7" width="1.7109375" style="28" customWidth="1"/>
    <col min="8" max="8" width="9.7109375" style="12" customWidth="1"/>
    <col min="9" max="9" width="7.42578125" style="12" customWidth="1"/>
    <col min="10" max="10" width="14.85546875" style="4" customWidth="1"/>
    <col min="11" max="11" width="2" style="4" customWidth="1"/>
    <col min="12" max="12" width="14.28515625" style="4" customWidth="1"/>
    <col min="13" max="13" width="11.5703125" style="4" customWidth="1"/>
    <col min="14" max="14" width="10.5703125" style="4" customWidth="1"/>
    <col min="15" max="16" width="9.85546875" style="4" customWidth="1"/>
    <col min="17" max="17" width="10.28515625" style="4" customWidth="1"/>
    <col min="18" max="18" width="10.7109375" style="4" customWidth="1"/>
    <col min="19" max="19" width="12.140625" style="4" customWidth="1"/>
    <col min="20" max="20" width="13.5703125" style="4" customWidth="1"/>
    <col min="21" max="21" width="15" style="4" customWidth="1"/>
    <col min="22" max="22" width="12.28515625" style="4" customWidth="1"/>
    <col min="23" max="23" width="14.7109375" style="4" customWidth="1"/>
    <col min="24" max="24" width="16.5703125" style="4" customWidth="1"/>
    <col min="25" max="25" width="2.140625" style="4" customWidth="1"/>
    <col min="26" max="26" width="10" style="4" customWidth="1"/>
    <col min="27" max="27" width="9.140625" style="4" customWidth="1"/>
    <col min="28" max="28" width="13.7109375" style="4" customWidth="1"/>
    <col min="29" max="29" width="2.28515625" style="4" customWidth="1"/>
    <col min="30" max="30" width="13.85546875" style="4" customWidth="1"/>
    <col min="31" max="31" width="17" style="4" customWidth="1"/>
    <col min="32" max="32" width="17.7109375" style="4" customWidth="1"/>
    <col min="33" max="34" width="12.5703125" style="4" customWidth="1"/>
    <col min="35" max="35" width="12" style="4" customWidth="1"/>
    <col min="36" max="36" width="15.7109375" style="4" customWidth="1"/>
    <col min="37" max="37" width="14.85546875" style="4" customWidth="1"/>
    <col min="38" max="38" width="14" style="4" customWidth="1"/>
    <col min="39" max="39" width="15.28515625" style="4" customWidth="1"/>
    <col min="40" max="40" width="13.140625" style="4" customWidth="1"/>
    <col min="41" max="41" width="11.140625" style="4" customWidth="1"/>
    <col min="42" max="42" width="13.7109375" style="4" customWidth="1"/>
    <col min="43" max="43" width="1.85546875" style="4" customWidth="1"/>
    <col min="44" max="44" width="9.7109375" style="4" customWidth="1"/>
    <col min="45" max="45" width="9.28515625" style="4" customWidth="1"/>
    <col min="46" max="46" width="14.7109375" style="4" customWidth="1"/>
    <col min="47" max="47" width="1.85546875" style="4" customWidth="1"/>
    <col min="48" max="48" width="7.5703125" style="4" customWidth="1"/>
    <col min="49" max="49" width="10" style="4" customWidth="1"/>
    <col min="50" max="50" width="14.28515625" style="4" customWidth="1"/>
    <col min="51" max="51" width="1.7109375" style="4" customWidth="1"/>
    <col min="52" max="52" width="6.7109375" style="4" customWidth="1"/>
    <col min="53" max="53" width="9.42578125" style="4" customWidth="1"/>
    <col min="54" max="54" width="14.7109375" style="4" customWidth="1"/>
    <col min="55" max="16384" width="11.5703125" style="4"/>
  </cols>
  <sheetData>
    <row r="2" spans="1:50" ht="15.75" thickBot="1" x14ac:dyDescent="0.3"/>
    <row r="3" spans="1:50" ht="28.9" customHeight="1" thickBot="1" x14ac:dyDescent="0.3">
      <c r="C3" s="231" t="s">
        <v>0</v>
      </c>
      <c r="D3" s="223"/>
      <c r="E3" s="223"/>
      <c r="F3" s="224"/>
      <c r="G3" s="235"/>
      <c r="H3" s="223">
        <v>2025</v>
      </c>
      <c r="I3" s="223"/>
      <c r="J3" s="224"/>
      <c r="K3" s="225"/>
      <c r="L3" s="231">
        <v>2025</v>
      </c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4"/>
      <c r="Y3" s="264" t="s">
        <v>81</v>
      </c>
      <c r="Z3" s="223">
        <v>2026</v>
      </c>
      <c r="AA3" s="223"/>
      <c r="AB3" s="223"/>
      <c r="AC3" s="225"/>
      <c r="AD3" s="223">
        <v>2026</v>
      </c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4"/>
      <c r="AQ3" s="225"/>
      <c r="AR3" s="223">
        <v>2027</v>
      </c>
      <c r="AS3" s="223"/>
      <c r="AT3" s="224"/>
      <c r="AU3" s="225"/>
      <c r="AV3" s="231">
        <v>2028</v>
      </c>
      <c r="AW3" s="223"/>
      <c r="AX3" s="224"/>
    </row>
    <row r="4" spans="1:50" ht="48" customHeight="1" thickBot="1" x14ac:dyDescent="0.3">
      <c r="A4" s="124" t="e" vm="1">
        <v>#VALUE!</v>
      </c>
      <c r="B4" s="123" t="s">
        <v>1</v>
      </c>
      <c r="C4" s="73" t="s">
        <v>2</v>
      </c>
      <c r="D4" s="74" t="s">
        <v>3</v>
      </c>
      <c r="E4" s="74" t="s">
        <v>4</v>
      </c>
      <c r="F4" s="78" t="s">
        <v>5</v>
      </c>
      <c r="G4" s="236"/>
      <c r="H4" s="75" t="s">
        <v>3</v>
      </c>
      <c r="I4" s="74" t="s">
        <v>4</v>
      </c>
      <c r="J4" s="89" t="s">
        <v>5</v>
      </c>
      <c r="K4" s="226"/>
      <c r="L4" s="75" t="s">
        <v>82</v>
      </c>
      <c r="M4" s="75" t="s">
        <v>83</v>
      </c>
      <c r="N4" s="75" t="s">
        <v>84</v>
      </c>
      <c r="O4" s="75" t="s">
        <v>85</v>
      </c>
      <c r="P4" s="75" t="s">
        <v>86</v>
      </c>
      <c r="Q4" s="75" t="s">
        <v>87</v>
      </c>
      <c r="R4" s="75" t="s">
        <v>88</v>
      </c>
      <c r="S4" s="75" t="s">
        <v>89</v>
      </c>
      <c r="T4" s="75" t="s">
        <v>90</v>
      </c>
      <c r="U4" s="75" t="s">
        <v>91</v>
      </c>
      <c r="V4" s="75" t="s">
        <v>92</v>
      </c>
      <c r="W4" s="75" t="s">
        <v>93</v>
      </c>
      <c r="X4" s="74" t="s">
        <v>5</v>
      </c>
      <c r="Y4" s="254"/>
      <c r="Z4" s="75" t="s">
        <v>3</v>
      </c>
      <c r="AA4" s="74" t="s">
        <v>4</v>
      </c>
      <c r="AB4" s="89" t="s">
        <v>5</v>
      </c>
      <c r="AC4" s="226"/>
      <c r="AD4" s="75" t="s">
        <v>82</v>
      </c>
      <c r="AE4" s="75" t="s">
        <v>83</v>
      </c>
      <c r="AF4" s="75" t="s">
        <v>84</v>
      </c>
      <c r="AG4" s="75" t="s">
        <v>85</v>
      </c>
      <c r="AH4" s="75" t="s">
        <v>86</v>
      </c>
      <c r="AI4" s="75" t="s">
        <v>87</v>
      </c>
      <c r="AJ4" s="75" t="s">
        <v>88</v>
      </c>
      <c r="AK4" s="75" t="s">
        <v>89</v>
      </c>
      <c r="AL4" s="75" t="s">
        <v>90</v>
      </c>
      <c r="AM4" s="75" t="s">
        <v>91</v>
      </c>
      <c r="AN4" s="75" t="s">
        <v>92</v>
      </c>
      <c r="AO4" s="75" t="s">
        <v>93</v>
      </c>
      <c r="AP4" s="152" t="s">
        <v>5</v>
      </c>
      <c r="AQ4" s="226"/>
      <c r="AR4" s="75" t="s">
        <v>3</v>
      </c>
      <c r="AS4" s="74" t="s">
        <v>4</v>
      </c>
      <c r="AT4" s="89" t="s">
        <v>5</v>
      </c>
      <c r="AU4" s="226"/>
      <c r="AV4" s="75" t="s">
        <v>3</v>
      </c>
      <c r="AW4" s="74" t="s">
        <v>4</v>
      </c>
      <c r="AX4" s="73" t="s">
        <v>5</v>
      </c>
    </row>
    <row r="5" spans="1:50" s="6" customFormat="1" ht="40.9" customHeight="1" x14ac:dyDescent="0.25">
      <c r="A5" s="258" t="s">
        <v>6</v>
      </c>
      <c r="B5" s="259"/>
      <c r="C5" s="259"/>
      <c r="D5" s="259"/>
      <c r="E5" s="260"/>
      <c r="F5" s="79">
        <f>F8+F17+F26+F32+F30+F3</f>
        <v>18128250</v>
      </c>
      <c r="G5" s="236"/>
      <c r="H5" s="228"/>
      <c r="I5" s="229"/>
      <c r="J5" s="90">
        <f>J6+J8+J17+J26+J30+J32</f>
        <v>1074078</v>
      </c>
      <c r="K5" s="226"/>
      <c r="L5" s="262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9"/>
      <c r="X5" s="33">
        <f>X6+X8+X17+X26+X30+X32</f>
        <v>1074078</v>
      </c>
      <c r="Y5" s="254"/>
      <c r="Z5" s="228"/>
      <c r="AA5" s="229"/>
      <c r="AB5" s="90">
        <f>AB6+AB8+AB17+AB26+AB30+AB32</f>
        <v>300403.16666666669</v>
      </c>
      <c r="AC5" s="226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95">
        <f>AP6+AP8+AP17+AP26+AP30+AP32</f>
        <v>300103.16666666669</v>
      </c>
      <c r="AQ5" s="226"/>
      <c r="AR5" s="228"/>
      <c r="AS5" s="229"/>
      <c r="AT5" s="90">
        <f>AT8+AT17+AT26+AT30+AT32</f>
        <v>7129654.166666667</v>
      </c>
      <c r="AU5" s="226"/>
      <c r="AV5" s="262"/>
      <c r="AW5" s="229"/>
      <c r="AX5" s="31">
        <f>AX8+AX17+AX26+AX30+AX32</f>
        <v>7129254.166666667</v>
      </c>
    </row>
    <row r="6" spans="1:50" ht="30.6" customHeight="1" x14ac:dyDescent="0.25">
      <c r="A6" s="45" t="s">
        <v>94</v>
      </c>
      <c r="B6" s="127" t="s">
        <v>95</v>
      </c>
      <c r="C6" s="128"/>
      <c r="D6" s="128"/>
      <c r="E6" s="128"/>
      <c r="F6" s="136">
        <f>SUM(F7)</f>
        <v>1038340.5</v>
      </c>
      <c r="G6" s="236"/>
      <c r="H6" s="129"/>
      <c r="I6" s="130"/>
      <c r="J6" s="83">
        <f>SUM(J7)</f>
        <v>1038340.5</v>
      </c>
      <c r="K6" s="226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47">
        <f>SUM(X7:Y7)</f>
        <v>1038340.5</v>
      </c>
      <c r="Y6" s="254"/>
      <c r="Z6" s="129"/>
      <c r="AA6" s="129"/>
      <c r="AB6" s="156">
        <f>SUM(AB7)</f>
        <v>-346113.5</v>
      </c>
      <c r="AC6" s="226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56">
        <f>SUM(AP7:AQ7)</f>
        <v>-346113.5</v>
      </c>
      <c r="AQ6" s="226"/>
      <c r="AR6" s="129"/>
      <c r="AS6" s="129"/>
      <c r="AT6" s="147"/>
      <c r="AU6" s="254"/>
      <c r="AV6" s="129"/>
      <c r="AW6" s="129"/>
      <c r="AX6" s="147"/>
    </row>
    <row r="7" spans="1:50" ht="21.6" customHeight="1" x14ac:dyDescent="0.25">
      <c r="A7" s="46" t="s">
        <v>96</v>
      </c>
      <c r="B7" s="137" t="s">
        <v>97</v>
      </c>
      <c r="C7" s="149">
        <f>D46*0.05</f>
        <v>1038340.5</v>
      </c>
      <c r="D7" s="137">
        <v>1</v>
      </c>
      <c r="E7" s="13"/>
      <c r="F7" s="144">
        <f>C7*D7</f>
        <v>1038340.5</v>
      </c>
      <c r="G7" s="246"/>
      <c r="H7" s="48">
        <v>1</v>
      </c>
      <c r="I7" s="13"/>
      <c r="J7" s="145">
        <f>C7*H7</f>
        <v>1038340.5</v>
      </c>
      <c r="K7" s="263"/>
      <c r="L7" s="150">
        <v>0</v>
      </c>
      <c r="M7" s="150">
        <v>0</v>
      </c>
      <c r="N7" s="150">
        <v>0</v>
      </c>
      <c r="O7" s="150">
        <v>0</v>
      </c>
      <c r="P7" s="150">
        <v>0</v>
      </c>
      <c r="Q7" s="150">
        <v>0</v>
      </c>
      <c r="R7" s="150">
        <v>0</v>
      </c>
      <c r="S7" s="150">
        <v>0</v>
      </c>
      <c r="T7" s="150">
        <v>0</v>
      </c>
      <c r="U7" s="149">
        <f t="shared" ref="U7:W7" si="0">$F$7/3</f>
        <v>346113.5</v>
      </c>
      <c r="V7" s="149">
        <f t="shared" si="0"/>
        <v>346113.5</v>
      </c>
      <c r="W7" s="149">
        <f t="shared" si="0"/>
        <v>346113.5</v>
      </c>
      <c r="X7" s="158">
        <f>SUM(L7:W7)</f>
        <v>1038340.5</v>
      </c>
      <c r="Y7" s="254"/>
      <c r="Z7" s="139"/>
      <c r="AA7" s="140"/>
      <c r="AB7" s="144">
        <f>-(J7/3)</f>
        <v>-346113.5</v>
      </c>
      <c r="AC7" s="226"/>
      <c r="AD7" s="159">
        <f>-(($X$7/3)/12)</f>
        <v>-28842.791666666668</v>
      </c>
      <c r="AE7" s="149">
        <f t="shared" ref="AE7:AO7" si="1">-(($X$7/3)/12)</f>
        <v>-28842.791666666668</v>
      </c>
      <c r="AF7" s="149">
        <f t="shared" si="1"/>
        <v>-28842.791666666668</v>
      </c>
      <c r="AG7" s="149">
        <f t="shared" si="1"/>
        <v>-28842.791666666668</v>
      </c>
      <c r="AH7" s="149">
        <f t="shared" si="1"/>
        <v>-28842.791666666668</v>
      </c>
      <c r="AI7" s="149">
        <f t="shared" si="1"/>
        <v>-28842.791666666668</v>
      </c>
      <c r="AJ7" s="149">
        <f t="shared" si="1"/>
        <v>-28842.791666666668</v>
      </c>
      <c r="AK7" s="149">
        <f t="shared" si="1"/>
        <v>-28842.791666666668</v>
      </c>
      <c r="AL7" s="149">
        <f t="shared" si="1"/>
        <v>-28842.791666666668</v>
      </c>
      <c r="AM7" s="149">
        <f t="shared" si="1"/>
        <v>-28842.791666666668</v>
      </c>
      <c r="AN7" s="149">
        <f t="shared" si="1"/>
        <v>-28842.791666666668</v>
      </c>
      <c r="AO7" s="149">
        <f t="shared" si="1"/>
        <v>-28842.791666666668</v>
      </c>
      <c r="AP7" s="146">
        <f>SUM(AD7:AO7)</f>
        <v>-346113.5</v>
      </c>
      <c r="AQ7" s="256"/>
      <c r="AR7" s="142"/>
      <c r="AS7" s="169"/>
      <c r="AT7" s="138"/>
      <c r="AU7" s="256"/>
      <c r="AV7" s="142"/>
      <c r="AW7" s="169"/>
      <c r="AX7" s="143"/>
    </row>
    <row r="8" spans="1:50" ht="28.9" customHeight="1" x14ac:dyDescent="0.25">
      <c r="A8" s="45" t="s">
        <v>7</v>
      </c>
      <c r="B8" s="241" t="s">
        <v>8</v>
      </c>
      <c r="C8" s="242"/>
      <c r="D8" s="242"/>
      <c r="E8" s="242"/>
      <c r="F8" s="80">
        <f>SUM(F9:F14)</f>
        <v>11839500</v>
      </c>
      <c r="G8" s="236"/>
      <c r="H8" s="221"/>
      <c r="I8" s="222"/>
      <c r="J8" s="83">
        <f>SUM(J9:J14)</f>
        <v>0</v>
      </c>
      <c r="K8" s="226"/>
      <c r="L8" s="26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2"/>
      <c r="X8" s="35">
        <f>SUM(X9:X16)</f>
        <v>0</v>
      </c>
      <c r="Y8" s="254"/>
      <c r="Z8" s="221"/>
      <c r="AA8" s="222"/>
      <c r="AB8" s="83">
        <f>SUM(AB9:AB14)</f>
        <v>43850</v>
      </c>
      <c r="AC8" s="226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83">
        <f>SUM(AP9:AP16)</f>
        <v>43850</v>
      </c>
      <c r="AQ8" s="226"/>
      <c r="AR8" s="221"/>
      <c r="AS8" s="222"/>
      <c r="AT8" s="83">
        <f>SUM(AT9:AT14)</f>
        <v>4735800</v>
      </c>
      <c r="AU8" s="226"/>
      <c r="AV8" s="261"/>
      <c r="AW8" s="222"/>
      <c r="AX8" s="35">
        <f>SUM(AX9:AX14)</f>
        <v>5130450</v>
      </c>
    </row>
    <row r="9" spans="1:50" ht="15.75" x14ac:dyDescent="0.25">
      <c r="A9" s="46" t="s">
        <v>9</v>
      </c>
      <c r="B9" s="8" t="s">
        <v>10</v>
      </c>
      <c r="C9" s="149">
        <f>(33500+58000+36000)/3</f>
        <v>42500</v>
      </c>
      <c r="D9" s="48">
        <f>270-D10-D11-D12-D13</f>
        <v>260</v>
      </c>
      <c r="E9" s="13"/>
      <c r="F9" s="149">
        <f t="shared" ref="F9:F16" si="2">C9*D9</f>
        <v>11050000</v>
      </c>
      <c r="G9" s="236"/>
      <c r="H9" s="48">
        <v>0</v>
      </c>
      <c r="I9" s="13"/>
      <c r="J9" s="149">
        <f>C9*H9</f>
        <v>0</v>
      </c>
      <c r="K9" s="226"/>
      <c r="L9" s="150">
        <v>0</v>
      </c>
      <c r="M9" s="150">
        <v>0</v>
      </c>
      <c r="N9" s="150">
        <v>0</v>
      </c>
      <c r="O9" s="150">
        <v>0</v>
      </c>
      <c r="P9" s="150">
        <v>0</v>
      </c>
      <c r="Q9" s="150">
        <v>0</v>
      </c>
      <c r="R9" s="150">
        <v>0</v>
      </c>
      <c r="S9" s="150">
        <v>0</v>
      </c>
      <c r="T9" s="150">
        <v>0</v>
      </c>
      <c r="U9" s="149">
        <f>$J$9/3</f>
        <v>0</v>
      </c>
      <c r="V9" s="149">
        <f t="shared" ref="V9:W9" si="3">$J$9/3</f>
        <v>0</v>
      </c>
      <c r="W9" s="149">
        <f t="shared" si="3"/>
        <v>0</v>
      </c>
      <c r="X9" s="149">
        <f>SUM(U9:W9)</f>
        <v>0</v>
      </c>
      <c r="Y9" s="254"/>
      <c r="Z9" s="48">
        <v>0</v>
      </c>
      <c r="AA9" s="13"/>
      <c r="AB9" s="157">
        <f t="shared" ref="AB9:AB14" si="4">C9*Z9</f>
        <v>0</v>
      </c>
      <c r="AC9" s="226"/>
      <c r="AD9" s="163">
        <f>$AB$9/12</f>
        <v>0</v>
      </c>
      <c r="AE9" s="150">
        <f t="shared" ref="AE9:AO9" si="5">$AB$9/12</f>
        <v>0</v>
      </c>
      <c r="AF9" s="150">
        <f t="shared" si="5"/>
        <v>0</v>
      </c>
      <c r="AG9" s="150">
        <f t="shared" si="5"/>
        <v>0</v>
      </c>
      <c r="AH9" s="150">
        <f t="shared" si="5"/>
        <v>0</v>
      </c>
      <c r="AI9" s="150">
        <f t="shared" si="5"/>
        <v>0</v>
      </c>
      <c r="AJ9" s="150">
        <f t="shared" si="5"/>
        <v>0</v>
      </c>
      <c r="AK9" s="150">
        <f t="shared" si="5"/>
        <v>0</v>
      </c>
      <c r="AL9" s="150">
        <f t="shared" si="5"/>
        <v>0</v>
      </c>
      <c r="AM9" s="149">
        <f t="shared" si="5"/>
        <v>0</v>
      </c>
      <c r="AN9" s="149">
        <f t="shared" si="5"/>
        <v>0</v>
      </c>
      <c r="AO9" s="149">
        <f t="shared" si="5"/>
        <v>0</v>
      </c>
      <c r="AP9" s="157">
        <f>SUM(AM9:AO9)</f>
        <v>0</v>
      </c>
      <c r="AQ9" s="226"/>
      <c r="AR9" s="100">
        <f>108-AR10-AR11-AR12-AR13</f>
        <v>108</v>
      </c>
      <c r="AS9" s="13"/>
      <c r="AT9" s="157">
        <f t="shared" ref="AT9:AT16" si="6">C9*AR9</f>
        <v>4590000</v>
      </c>
      <c r="AU9" s="226"/>
      <c r="AV9" s="100">
        <f>117-AV10-AV11-AV12-AV13</f>
        <v>117</v>
      </c>
      <c r="AW9" s="13"/>
      <c r="AX9" s="149">
        <f t="shared" ref="AX9:AX14" si="7">C9*AV9</f>
        <v>4972500</v>
      </c>
    </row>
    <row r="10" spans="1:50" ht="15.75" x14ac:dyDescent="0.25">
      <c r="A10" s="46" t="s">
        <v>11</v>
      </c>
      <c r="B10" s="8" t="s">
        <v>12</v>
      </c>
      <c r="C10" s="149">
        <f>(33500+58000+36000)/3</f>
        <v>42500</v>
      </c>
      <c r="D10" s="48">
        <v>1</v>
      </c>
      <c r="E10" s="13"/>
      <c r="F10" s="149">
        <f>C10*D10</f>
        <v>42500</v>
      </c>
      <c r="G10" s="236"/>
      <c r="H10" s="48">
        <v>0</v>
      </c>
      <c r="I10" s="13"/>
      <c r="J10" s="149">
        <f>C10*H10</f>
        <v>0</v>
      </c>
      <c r="K10" s="226"/>
      <c r="L10" s="150">
        <v>0</v>
      </c>
      <c r="M10" s="150">
        <v>0</v>
      </c>
      <c r="N10" s="150">
        <v>0</v>
      </c>
      <c r="O10" s="150">
        <v>0</v>
      </c>
      <c r="P10" s="150">
        <v>0</v>
      </c>
      <c r="Q10" s="150">
        <v>0</v>
      </c>
      <c r="R10" s="150">
        <v>0</v>
      </c>
      <c r="S10" s="150">
        <v>0</v>
      </c>
      <c r="T10" s="150">
        <v>0</v>
      </c>
      <c r="U10" s="149">
        <f>$J$10/3</f>
        <v>0</v>
      </c>
      <c r="V10" s="149">
        <f t="shared" ref="V10:W10" si="8">$J$10/3</f>
        <v>0</v>
      </c>
      <c r="W10" s="149">
        <f t="shared" si="8"/>
        <v>0</v>
      </c>
      <c r="X10" s="149">
        <f>SUM(U10:W10)</f>
        <v>0</v>
      </c>
      <c r="Y10" s="254"/>
      <c r="Z10" s="48">
        <v>1</v>
      </c>
      <c r="AA10" s="13"/>
      <c r="AB10" s="157">
        <f t="shared" si="4"/>
        <v>42500</v>
      </c>
      <c r="AC10" s="226"/>
      <c r="AD10" s="163">
        <v>0</v>
      </c>
      <c r="AE10" s="150">
        <v>0</v>
      </c>
      <c r="AF10" s="150">
        <v>0</v>
      </c>
      <c r="AG10" s="150">
        <v>0</v>
      </c>
      <c r="AH10" s="150">
        <v>0</v>
      </c>
      <c r="AI10" s="150">
        <v>0</v>
      </c>
      <c r="AJ10" s="150">
        <v>0</v>
      </c>
      <c r="AK10" s="150">
        <v>0</v>
      </c>
      <c r="AL10" s="150">
        <v>0</v>
      </c>
      <c r="AM10" s="149">
        <f t="shared" ref="AM10:AO10" si="9">$AB$10/3</f>
        <v>14166.666666666666</v>
      </c>
      <c r="AN10" s="149">
        <f t="shared" si="9"/>
        <v>14166.666666666666</v>
      </c>
      <c r="AO10" s="149">
        <f t="shared" si="9"/>
        <v>14166.666666666666</v>
      </c>
      <c r="AP10" s="157">
        <f>SUM(AM10:AO10)</f>
        <v>42500</v>
      </c>
      <c r="AQ10" s="226"/>
      <c r="AR10" s="100">
        <v>0</v>
      </c>
      <c r="AS10" s="13"/>
      <c r="AT10" s="157">
        <f t="shared" si="6"/>
        <v>0</v>
      </c>
      <c r="AU10" s="226"/>
      <c r="AV10" s="100">
        <v>0</v>
      </c>
      <c r="AW10" s="13"/>
      <c r="AX10" s="149">
        <f t="shared" si="7"/>
        <v>0</v>
      </c>
    </row>
    <row r="11" spans="1:50" ht="15.75" x14ac:dyDescent="0.25">
      <c r="A11" s="46" t="s">
        <v>13</v>
      </c>
      <c r="B11" s="8" t="s">
        <v>14</v>
      </c>
      <c r="C11" s="149">
        <f>C9</f>
        <v>42500</v>
      </c>
      <c r="D11" s="48">
        <v>3</v>
      </c>
      <c r="E11" s="13"/>
      <c r="F11" s="149">
        <f t="shared" si="2"/>
        <v>127500</v>
      </c>
      <c r="G11" s="236"/>
      <c r="H11" s="48">
        <v>0</v>
      </c>
      <c r="I11" s="13"/>
      <c r="J11" s="149">
        <f t="shared" ref="J11:J13" si="10">C11*H11</f>
        <v>0</v>
      </c>
      <c r="K11" s="226"/>
      <c r="L11" s="150">
        <v>0</v>
      </c>
      <c r="M11" s="150">
        <v>0</v>
      </c>
      <c r="N11" s="150">
        <v>0</v>
      </c>
      <c r="O11" s="150">
        <v>0</v>
      </c>
      <c r="P11" s="150">
        <v>0</v>
      </c>
      <c r="Q11" s="150">
        <v>0</v>
      </c>
      <c r="R11" s="150">
        <v>0</v>
      </c>
      <c r="S11" s="150">
        <v>0</v>
      </c>
      <c r="T11" s="150">
        <v>0</v>
      </c>
      <c r="U11" s="149">
        <f>$J$11/3</f>
        <v>0</v>
      </c>
      <c r="V11" s="149">
        <f t="shared" ref="V11:W11" si="11">$J$11/3</f>
        <v>0</v>
      </c>
      <c r="W11" s="149">
        <f t="shared" si="11"/>
        <v>0</v>
      </c>
      <c r="X11" s="149">
        <f>SUM(U11:W11)</f>
        <v>0</v>
      </c>
      <c r="Y11" s="254"/>
      <c r="Z11" s="48">
        <v>0</v>
      </c>
      <c r="AA11" s="13"/>
      <c r="AB11" s="157">
        <f t="shared" si="4"/>
        <v>0</v>
      </c>
      <c r="AC11" s="226"/>
      <c r="AD11" s="163">
        <f>$AB$11/3</f>
        <v>0</v>
      </c>
      <c r="AE11" s="150">
        <v>0</v>
      </c>
      <c r="AF11" s="150">
        <v>0</v>
      </c>
      <c r="AG11" s="150">
        <v>0</v>
      </c>
      <c r="AH11" s="150">
        <v>0</v>
      </c>
      <c r="AI11" s="150">
        <v>0</v>
      </c>
      <c r="AJ11" s="150">
        <v>0</v>
      </c>
      <c r="AK11" s="150">
        <v>0</v>
      </c>
      <c r="AL11" s="150">
        <v>0</v>
      </c>
      <c r="AM11" s="149">
        <f>$J$11/3</f>
        <v>0</v>
      </c>
      <c r="AN11" s="149">
        <f t="shared" ref="AN11:AO11" si="12">$J$11/3</f>
        <v>0</v>
      </c>
      <c r="AO11" s="149">
        <f t="shared" si="12"/>
        <v>0</v>
      </c>
      <c r="AP11" s="157">
        <f>SUM(AM11:AO11)</f>
        <v>0</v>
      </c>
      <c r="AQ11" s="226"/>
      <c r="AR11" s="100">
        <v>0</v>
      </c>
      <c r="AS11" s="13"/>
      <c r="AT11" s="157">
        <f t="shared" si="6"/>
        <v>0</v>
      </c>
      <c r="AU11" s="226"/>
      <c r="AV11" s="100">
        <v>0</v>
      </c>
      <c r="AW11" s="13"/>
      <c r="AX11" s="149">
        <f t="shared" si="7"/>
        <v>0</v>
      </c>
    </row>
    <row r="12" spans="1:50" ht="15.75" x14ac:dyDescent="0.25">
      <c r="A12" s="46" t="s">
        <v>15</v>
      </c>
      <c r="B12" s="8" t="s">
        <v>16</v>
      </c>
      <c r="C12" s="149">
        <f t="shared" ref="C12" si="13">C11</f>
        <v>42500</v>
      </c>
      <c r="D12" s="48">
        <v>1</v>
      </c>
      <c r="E12" s="13"/>
      <c r="F12" s="149">
        <f t="shared" si="2"/>
        <v>42500</v>
      </c>
      <c r="G12" s="236"/>
      <c r="H12" s="48">
        <v>0</v>
      </c>
      <c r="I12" s="13"/>
      <c r="J12" s="149">
        <f t="shared" si="10"/>
        <v>0</v>
      </c>
      <c r="K12" s="226"/>
      <c r="L12" s="150">
        <v>0</v>
      </c>
      <c r="M12" s="150">
        <v>0</v>
      </c>
      <c r="N12" s="150">
        <v>0</v>
      </c>
      <c r="O12" s="150">
        <v>0</v>
      </c>
      <c r="P12" s="150">
        <v>0</v>
      </c>
      <c r="Q12" s="150">
        <v>0</v>
      </c>
      <c r="R12" s="150">
        <v>0</v>
      </c>
      <c r="S12" s="150">
        <v>0</v>
      </c>
      <c r="T12" s="150">
        <v>0</v>
      </c>
      <c r="U12" s="149">
        <f>$J$12/3</f>
        <v>0</v>
      </c>
      <c r="V12" s="149">
        <f t="shared" ref="V12:W12" si="14">$J$12/3</f>
        <v>0</v>
      </c>
      <c r="W12" s="149">
        <f t="shared" si="14"/>
        <v>0</v>
      </c>
      <c r="X12" s="149">
        <f t="shared" ref="X12:X16" si="15">SUM(U12:W12)</f>
        <v>0</v>
      </c>
      <c r="Y12" s="254"/>
      <c r="Z12" s="48">
        <v>0</v>
      </c>
      <c r="AA12" s="13"/>
      <c r="AB12" s="157">
        <f t="shared" si="4"/>
        <v>0</v>
      </c>
      <c r="AC12" s="226"/>
      <c r="AD12" s="163">
        <f>$AB$12/12</f>
        <v>0</v>
      </c>
      <c r="AE12" s="150">
        <v>0</v>
      </c>
      <c r="AF12" s="150">
        <v>0</v>
      </c>
      <c r="AG12" s="150">
        <v>0</v>
      </c>
      <c r="AH12" s="150">
        <v>0</v>
      </c>
      <c r="AI12" s="150">
        <v>0</v>
      </c>
      <c r="AJ12" s="150">
        <v>0</v>
      </c>
      <c r="AK12" s="150">
        <v>0</v>
      </c>
      <c r="AL12" s="150">
        <v>0</v>
      </c>
      <c r="AM12" s="149">
        <f>$J$12/3</f>
        <v>0</v>
      </c>
      <c r="AN12" s="149">
        <f t="shared" ref="AN12:AO12" si="16">$J$12/3</f>
        <v>0</v>
      </c>
      <c r="AO12" s="149">
        <f t="shared" si="16"/>
        <v>0</v>
      </c>
      <c r="AP12" s="157">
        <f t="shared" ref="AP12:AP16" si="17">SUM(AM12:AO12)</f>
        <v>0</v>
      </c>
      <c r="AQ12" s="226"/>
      <c r="AR12" s="100">
        <v>0</v>
      </c>
      <c r="AS12" s="13"/>
      <c r="AT12" s="157">
        <f t="shared" si="6"/>
        <v>0</v>
      </c>
      <c r="AU12" s="226"/>
      <c r="AV12" s="100">
        <v>0</v>
      </c>
      <c r="AW12" s="13"/>
      <c r="AX12" s="149">
        <f t="shared" si="7"/>
        <v>0</v>
      </c>
    </row>
    <row r="13" spans="1:50" ht="15.75" x14ac:dyDescent="0.25">
      <c r="A13" s="46" t="s">
        <v>17</v>
      </c>
      <c r="B13" s="8" t="s">
        <v>18</v>
      </c>
      <c r="C13" s="149">
        <f>C12</f>
        <v>42500</v>
      </c>
      <c r="D13" s="49">
        <v>5</v>
      </c>
      <c r="E13" s="13"/>
      <c r="F13" s="149">
        <f t="shared" si="2"/>
        <v>212500</v>
      </c>
      <c r="G13" s="236"/>
      <c r="H13" s="48">
        <v>0</v>
      </c>
      <c r="I13" s="13"/>
      <c r="J13" s="149">
        <f t="shared" si="10"/>
        <v>0</v>
      </c>
      <c r="K13" s="226"/>
      <c r="L13" s="150">
        <v>0</v>
      </c>
      <c r="M13" s="150">
        <v>0</v>
      </c>
      <c r="N13" s="150">
        <v>0</v>
      </c>
      <c r="O13" s="150">
        <v>0</v>
      </c>
      <c r="P13" s="150">
        <v>0</v>
      </c>
      <c r="Q13" s="150">
        <v>0</v>
      </c>
      <c r="R13" s="150">
        <v>0</v>
      </c>
      <c r="S13" s="150">
        <v>0</v>
      </c>
      <c r="T13" s="150">
        <v>0</v>
      </c>
      <c r="U13" s="149">
        <f t="shared" ref="U13:W13" si="18">$J$9/3</f>
        <v>0</v>
      </c>
      <c r="V13" s="149">
        <f t="shared" si="18"/>
        <v>0</v>
      </c>
      <c r="W13" s="149">
        <f t="shared" si="18"/>
        <v>0</v>
      </c>
      <c r="X13" s="149">
        <f t="shared" si="15"/>
        <v>0</v>
      </c>
      <c r="Y13" s="254"/>
      <c r="Z13" s="48">
        <v>0</v>
      </c>
      <c r="AA13" s="13"/>
      <c r="AB13" s="157">
        <f t="shared" si="4"/>
        <v>0</v>
      </c>
      <c r="AC13" s="226"/>
      <c r="AD13" s="163">
        <f>$AB$13/12</f>
        <v>0</v>
      </c>
      <c r="AE13" s="150">
        <v>0</v>
      </c>
      <c r="AF13" s="150">
        <v>0</v>
      </c>
      <c r="AG13" s="150">
        <v>0</v>
      </c>
      <c r="AH13" s="150">
        <v>0</v>
      </c>
      <c r="AI13" s="150">
        <v>0</v>
      </c>
      <c r="AJ13" s="150">
        <v>0</v>
      </c>
      <c r="AK13" s="150">
        <v>0</v>
      </c>
      <c r="AL13" s="150">
        <v>0</v>
      </c>
      <c r="AM13" s="149">
        <f t="shared" ref="AM13:AO13" si="19">$J$9/3</f>
        <v>0</v>
      </c>
      <c r="AN13" s="149">
        <f t="shared" si="19"/>
        <v>0</v>
      </c>
      <c r="AO13" s="149">
        <f t="shared" si="19"/>
        <v>0</v>
      </c>
      <c r="AP13" s="157">
        <f t="shared" si="17"/>
        <v>0</v>
      </c>
      <c r="AQ13" s="226"/>
      <c r="AR13" s="100">
        <v>0</v>
      </c>
      <c r="AS13" s="13"/>
      <c r="AT13" s="157">
        <f t="shared" si="6"/>
        <v>0</v>
      </c>
      <c r="AU13" s="226"/>
      <c r="AV13" s="100">
        <v>0</v>
      </c>
      <c r="AW13" s="13"/>
      <c r="AX13" s="149">
        <f t="shared" si="7"/>
        <v>0</v>
      </c>
    </row>
    <row r="14" spans="1:50" ht="15.75" x14ac:dyDescent="0.25">
      <c r="A14" s="46" t="s">
        <v>19</v>
      </c>
      <c r="B14" s="8" t="s">
        <v>20</v>
      </c>
      <c r="C14" s="149">
        <f>(C15+C16)/2</f>
        <v>1350</v>
      </c>
      <c r="D14" s="50">
        <f>SUM(D9:D13)</f>
        <v>270</v>
      </c>
      <c r="E14" s="13"/>
      <c r="F14" s="149">
        <f t="shared" si="2"/>
        <v>364500</v>
      </c>
      <c r="G14" s="236"/>
      <c r="H14" s="48">
        <f>SUM(H9:H13)</f>
        <v>0</v>
      </c>
      <c r="I14" s="13"/>
      <c r="J14" s="149">
        <f>C14*H14</f>
        <v>0</v>
      </c>
      <c r="K14" s="226"/>
      <c r="L14" s="150">
        <v>0</v>
      </c>
      <c r="M14" s="150">
        <v>0</v>
      </c>
      <c r="N14" s="150">
        <v>0</v>
      </c>
      <c r="O14" s="150">
        <v>0</v>
      </c>
      <c r="P14" s="150">
        <v>0</v>
      </c>
      <c r="Q14" s="150">
        <v>0</v>
      </c>
      <c r="R14" s="150">
        <v>0</v>
      </c>
      <c r="S14" s="150">
        <v>0</v>
      </c>
      <c r="T14" s="150">
        <v>0</v>
      </c>
      <c r="U14" s="149">
        <f>$J$13/3</f>
        <v>0</v>
      </c>
      <c r="V14" s="149">
        <f t="shared" ref="V14:W14" si="20">$J$13/3</f>
        <v>0</v>
      </c>
      <c r="W14" s="149">
        <f t="shared" si="20"/>
        <v>0</v>
      </c>
      <c r="X14" s="149">
        <f t="shared" si="15"/>
        <v>0</v>
      </c>
      <c r="Y14" s="254"/>
      <c r="Z14" s="48">
        <f>SUM(Z9:Z13)</f>
        <v>1</v>
      </c>
      <c r="AA14" s="13"/>
      <c r="AB14" s="157">
        <f t="shared" si="4"/>
        <v>1350</v>
      </c>
      <c r="AC14" s="226"/>
      <c r="AD14" s="163">
        <v>0</v>
      </c>
      <c r="AE14" s="150">
        <v>0</v>
      </c>
      <c r="AF14" s="150">
        <v>0</v>
      </c>
      <c r="AG14" s="150">
        <v>0</v>
      </c>
      <c r="AH14" s="150">
        <v>0</v>
      </c>
      <c r="AI14" s="150">
        <v>0</v>
      </c>
      <c r="AJ14" s="150">
        <v>0</v>
      </c>
      <c r="AK14" s="150">
        <v>0</v>
      </c>
      <c r="AL14" s="150">
        <v>0</v>
      </c>
      <c r="AM14" s="149">
        <f>$AB$14/3</f>
        <v>450</v>
      </c>
      <c r="AN14" s="149">
        <f t="shared" ref="AN14:AO14" si="21">$AB$14/3</f>
        <v>450</v>
      </c>
      <c r="AO14" s="149">
        <f t="shared" si="21"/>
        <v>450</v>
      </c>
      <c r="AP14" s="157">
        <f t="shared" si="17"/>
        <v>1350</v>
      </c>
      <c r="AQ14" s="226"/>
      <c r="AR14" s="100">
        <f>SUM(AR9:AR13)</f>
        <v>108</v>
      </c>
      <c r="AS14" s="13"/>
      <c r="AT14" s="157">
        <f t="shared" si="6"/>
        <v>145800</v>
      </c>
      <c r="AU14" s="226"/>
      <c r="AV14" s="100">
        <f>SUM(AV9:AV13)</f>
        <v>117</v>
      </c>
      <c r="AW14" s="13"/>
      <c r="AX14" s="149">
        <f t="shared" si="7"/>
        <v>157950</v>
      </c>
    </row>
    <row r="15" spans="1:50" ht="14.45" hidden="1" customHeight="1" x14ac:dyDescent="0.25">
      <c r="A15" s="46" t="s">
        <v>19</v>
      </c>
      <c r="B15" s="8" t="s">
        <v>21</v>
      </c>
      <c r="C15" s="41">
        <f>(700+1750)/2</f>
        <v>1225</v>
      </c>
      <c r="D15" s="47">
        <f>D14</f>
        <v>270</v>
      </c>
      <c r="E15" s="13"/>
      <c r="F15" s="52">
        <f t="shared" si="2"/>
        <v>330750</v>
      </c>
      <c r="G15" s="236"/>
      <c r="K15" s="226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49">
        <f t="shared" si="15"/>
        <v>0</v>
      </c>
      <c r="Y15" s="254"/>
      <c r="Z15" s="12"/>
      <c r="AA15" s="12"/>
      <c r="AC15" s="226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57">
        <f t="shared" si="17"/>
        <v>0</v>
      </c>
      <c r="AQ15" s="226"/>
      <c r="AR15" s="12"/>
      <c r="AS15" s="12"/>
      <c r="AT15" s="98">
        <f t="shared" si="6"/>
        <v>0</v>
      </c>
      <c r="AU15" s="226"/>
      <c r="AV15" s="12"/>
      <c r="AW15" s="12"/>
      <c r="AX15" s="7"/>
    </row>
    <row r="16" spans="1:50" ht="14.45" hidden="1" customHeight="1" x14ac:dyDescent="0.25">
      <c r="A16" s="46" t="s">
        <v>22</v>
      </c>
      <c r="B16" s="8" t="s">
        <v>23</v>
      </c>
      <c r="C16" s="41">
        <f>(1900+1050)/2</f>
        <v>1475</v>
      </c>
      <c r="D16" s="43">
        <f>D14</f>
        <v>270</v>
      </c>
      <c r="E16" s="13"/>
      <c r="F16" s="52">
        <f t="shared" si="2"/>
        <v>398250</v>
      </c>
      <c r="G16" s="236"/>
      <c r="K16" s="226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49">
        <f t="shared" si="15"/>
        <v>0</v>
      </c>
      <c r="Y16" s="254"/>
      <c r="Z16" s="12"/>
      <c r="AA16" s="12"/>
      <c r="AC16" s="226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57">
        <f t="shared" si="17"/>
        <v>0</v>
      </c>
      <c r="AQ16" s="226"/>
      <c r="AR16" s="12"/>
      <c r="AS16" s="12"/>
      <c r="AT16" s="98">
        <f t="shared" si="6"/>
        <v>0</v>
      </c>
      <c r="AU16" s="226"/>
      <c r="AV16" s="12"/>
      <c r="AW16" s="12"/>
      <c r="AX16" s="7"/>
    </row>
    <row r="17" spans="1:50" ht="23.45" customHeight="1" x14ac:dyDescent="0.25">
      <c r="A17" s="37" t="s">
        <v>24</v>
      </c>
      <c r="B17" s="238" t="s">
        <v>25</v>
      </c>
      <c r="C17" s="239"/>
      <c r="D17" s="239"/>
      <c r="E17" s="240"/>
      <c r="F17" s="83">
        <f>SUM(F18:F23)</f>
        <v>2396100</v>
      </c>
      <c r="G17" s="236"/>
      <c r="H17" s="221"/>
      <c r="I17" s="222"/>
      <c r="J17" s="83">
        <f>SUM(J18:J25)</f>
        <v>0</v>
      </c>
      <c r="K17" s="226"/>
      <c r="L17" s="26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2"/>
      <c r="X17" s="147">
        <f>SUM(X18:X23)</f>
        <v>0</v>
      </c>
      <c r="Y17" s="254"/>
      <c r="Z17" s="221"/>
      <c r="AA17" s="222"/>
      <c r="AB17" s="83">
        <f>SUM(AB18:AB23)</f>
        <v>19016.666666666668</v>
      </c>
      <c r="AC17" s="226"/>
      <c r="AD17" s="221"/>
      <c r="AE17" s="221"/>
      <c r="AF17" s="221"/>
      <c r="AG17" s="221"/>
      <c r="AH17" s="221"/>
      <c r="AI17" s="221"/>
      <c r="AJ17" s="221"/>
      <c r="AK17" s="221"/>
      <c r="AL17" s="221"/>
      <c r="AM17" s="221"/>
      <c r="AN17" s="221"/>
      <c r="AO17" s="222"/>
      <c r="AP17" s="129">
        <f>SUM(AP18:AP23)</f>
        <v>19016.666666666668</v>
      </c>
      <c r="AQ17" s="226"/>
      <c r="AR17" s="221"/>
      <c r="AS17" s="222"/>
      <c r="AT17" s="83">
        <f>SUM(AT18:AT25)</f>
        <v>1045916.6666666667</v>
      </c>
      <c r="AU17" s="226"/>
      <c r="AV17" s="261"/>
      <c r="AW17" s="222"/>
      <c r="AX17" s="35">
        <f>SUM(AX18:AX23)</f>
        <v>589516.66666666674</v>
      </c>
    </row>
    <row r="18" spans="1:50" ht="15.75" x14ac:dyDescent="0.25">
      <c r="A18" s="15" t="s">
        <v>26</v>
      </c>
      <c r="B18" s="7" t="s">
        <v>27</v>
      </c>
      <c r="C18" s="149">
        <f>(20000+15000+18000)/3</f>
        <v>17666.666666666668</v>
      </c>
      <c r="D18" s="51">
        <f>126-D19-D20-D21-D22</f>
        <v>122</v>
      </c>
      <c r="E18" s="9"/>
      <c r="F18" s="149">
        <f t="shared" ref="F18:F25" si="22">C18*D18</f>
        <v>2155333.3333333335</v>
      </c>
      <c r="G18" s="236"/>
      <c r="H18" s="51">
        <v>0</v>
      </c>
      <c r="I18" s="9"/>
      <c r="J18" s="149">
        <f>C18*H18</f>
        <v>0</v>
      </c>
      <c r="K18" s="226"/>
      <c r="L18" s="150">
        <v>0</v>
      </c>
      <c r="M18" s="150">
        <v>0</v>
      </c>
      <c r="N18" s="150">
        <v>0</v>
      </c>
      <c r="O18" s="150">
        <v>0</v>
      </c>
      <c r="P18" s="150">
        <v>0</v>
      </c>
      <c r="Q18" s="150">
        <v>0</v>
      </c>
      <c r="R18" s="150">
        <v>0</v>
      </c>
      <c r="S18" s="150">
        <v>0</v>
      </c>
      <c r="T18" s="150">
        <v>0</v>
      </c>
      <c r="U18" s="149">
        <f>$J$18/3</f>
        <v>0</v>
      </c>
      <c r="V18" s="149">
        <f t="shared" ref="V18:W18" si="23">$J$18/3</f>
        <v>0</v>
      </c>
      <c r="W18" s="149">
        <f t="shared" si="23"/>
        <v>0</v>
      </c>
      <c r="X18" s="149">
        <f>SUM(U18:W18)</f>
        <v>0</v>
      </c>
      <c r="Y18" s="254"/>
      <c r="Z18" s="48">
        <v>0</v>
      </c>
      <c r="AA18" s="13"/>
      <c r="AB18" s="157">
        <f t="shared" ref="AB18:AB23" si="24">C18*Z18</f>
        <v>0</v>
      </c>
      <c r="AC18" s="226"/>
      <c r="AD18" s="164">
        <v>0</v>
      </c>
      <c r="AE18" s="165">
        <v>0</v>
      </c>
      <c r="AF18" s="165">
        <v>0</v>
      </c>
      <c r="AG18" s="165">
        <v>0</v>
      </c>
      <c r="AH18" s="165">
        <v>0</v>
      </c>
      <c r="AI18" s="165">
        <v>0</v>
      </c>
      <c r="AJ18" s="165">
        <v>0</v>
      </c>
      <c r="AK18" s="165">
        <v>0</v>
      </c>
      <c r="AL18" s="165">
        <v>0</v>
      </c>
      <c r="AM18" s="153">
        <f>$J$18/3</f>
        <v>0</v>
      </c>
      <c r="AN18" s="153">
        <f t="shared" ref="AN18:AO18" si="25">$J$18/3</f>
        <v>0</v>
      </c>
      <c r="AO18" s="153">
        <f t="shared" si="25"/>
        <v>0</v>
      </c>
      <c r="AP18" s="157">
        <f>SUM(AM18:AO18)</f>
        <v>0</v>
      </c>
      <c r="AQ18" s="226"/>
      <c r="AR18" s="100">
        <f>55-AR19-AR20-AR21-AR22</f>
        <v>55</v>
      </c>
      <c r="AS18" s="13"/>
      <c r="AT18" s="157">
        <f t="shared" ref="AT18:AT23" si="26">C18*AR18</f>
        <v>971666.66666666674</v>
      </c>
      <c r="AU18" s="226"/>
      <c r="AV18" s="100">
        <f>31-AV19-AV20-AV21-AV22</f>
        <v>31</v>
      </c>
      <c r="AW18" s="13"/>
      <c r="AX18" s="149">
        <f t="shared" ref="AX18:AX23" si="27">C18*AV18</f>
        <v>547666.66666666674</v>
      </c>
    </row>
    <row r="19" spans="1:50" ht="15.75" x14ac:dyDescent="0.25">
      <c r="A19" s="15" t="s">
        <v>28</v>
      </c>
      <c r="B19" s="7" t="s">
        <v>29</v>
      </c>
      <c r="C19" s="149">
        <f>(20000+15000+18000)/3</f>
        <v>17666.666666666668</v>
      </c>
      <c r="D19" s="51">
        <v>1</v>
      </c>
      <c r="E19" s="9"/>
      <c r="F19" s="149">
        <f t="shared" si="22"/>
        <v>17666.666666666668</v>
      </c>
      <c r="G19" s="236"/>
      <c r="H19" s="51">
        <v>0</v>
      </c>
      <c r="I19" s="9"/>
      <c r="J19" s="149">
        <f t="shared" ref="J19:J25" si="28">C19*H19</f>
        <v>0</v>
      </c>
      <c r="K19" s="226"/>
      <c r="L19" s="150">
        <v>0</v>
      </c>
      <c r="M19" s="150">
        <v>0</v>
      </c>
      <c r="N19" s="150">
        <v>0</v>
      </c>
      <c r="O19" s="150">
        <v>0</v>
      </c>
      <c r="P19" s="150">
        <v>0</v>
      </c>
      <c r="Q19" s="150">
        <v>0</v>
      </c>
      <c r="R19" s="150">
        <v>0</v>
      </c>
      <c r="S19" s="150">
        <v>0</v>
      </c>
      <c r="T19" s="150">
        <v>0</v>
      </c>
      <c r="U19" s="149">
        <f>$J$19/3</f>
        <v>0</v>
      </c>
      <c r="V19" s="149">
        <f t="shared" ref="V19:W19" si="29">$J$19/3</f>
        <v>0</v>
      </c>
      <c r="W19" s="149">
        <f t="shared" si="29"/>
        <v>0</v>
      </c>
      <c r="X19" s="149">
        <f t="shared" ref="X19:X23" si="30">SUM(U19:W19)</f>
        <v>0</v>
      </c>
      <c r="Y19" s="254"/>
      <c r="Z19" s="48">
        <v>1</v>
      </c>
      <c r="AA19" s="13"/>
      <c r="AB19" s="157">
        <f t="shared" si="24"/>
        <v>17666.666666666668</v>
      </c>
      <c r="AC19" s="226"/>
      <c r="AD19" s="163">
        <v>0</v>
      </c>
      <c r="AE19" s="150">
        <v>0</v>
      </c>
      <c r="AF19" s="150">
        <v>0</v>
      </c>
      <c r="AG19" s="150">
        <v>0</v>
      </c>
      <c r="AH19" s="150">
        <v>0</v>
      </c>
      <c r="AI19" s="150">
        <v>0</v>
      </c>
      <c r="AJ19" s="150">
        <v>0</v>
      </c>
      <c r="AK19" s="150">
        <v>0</v>
      </c>
      <c r="AL19" s="150">
        <v>0</v>
      </c>
      <c r="AM19" s="149">
        <f>$AB$19/3</f>
        <v>5888.8888888888896</v>
      </c>
      <c r="AN19" s="149">
        <f t="shared" ref="AN19:AO19" si="31">$AB$19/3</f>
        <v>5888.8888888888896</v>
      </c>
      <c r="AO19" s="149">
        <f t="shared" si="31"/>
        <v>5888.8888888888896</v>
      </c>
      <c r="AP19" s="157">
        <f t="shared" ref="AP19:AP23" si="32">SUM(AM19:AO19)</f>
        <v>17666.666666666668</v>
      </c>
      <c r="AQ19" s="226"/>
      <c r="AR19" s="100">
        <v>0</v>
      </c>
      <c r="AS19" s="13"/>
      <c r="AT19" s="157">
        <f t="shared" si="26"/>
        <v>0</v>
      </c>
      <c r="AU19" s="226"/>
      <c r="AV19" s="100">
        <v>0</v>
      </c>
      <c r="AW19" s="13"/>
      <c r="AX19" s="149">
        <f t="shared" si="27"/>
        <v>0</v>
      </c>
    </row>
    <row r="20" spans="1:50" ht="15.75" x14ac:dyDescent="0.25">
      <c r="A20" s="15" t="s">
        <v>30</v>
      </c>
      <c r="B20" s="7" t="s">
        <v>31</v>
      </c>
      <c r="C20" s="149">
        <f>C18</f>
        <v>17666.666666666668</v>
      </c>
      <c r="D20" s="51">
        <v>2</v>
      </c>
      <c r="E20" s="9"/>
      <c r="F20" s="149">
        <f t="shared" si="22"/>
        <v>35333.333333333336</v>
      </c>
      <c r="G20" s="236"/>
      <c r="H20" s="51">
        <v>0</v>
      </c>
      <c r="I20" s="9"/>
      <c r="J20" s="149">
        <f t="shared" si="28"/>
        <v>0</v>
      </c>
      <c r="K20" s="226"/>
      <c r="L20" s="150">
        <v>0</v>
      </c>
      <c r="M20" s="150">
        <v>0</v>
      </c>
      <c r="N20" s="150">
        <v>0</v>
      </c>
      <c r="O20" s="150">
        <v>0</v>
      </c>
      <c r="P20" s="150">
        <v>0</v>
      </c>
      <c r="Q20" s="150">
        <v>0</v>
      </c>
      <c r="R20" s="150">
        <v>0</v>
      </c>
      <c r="S20" s="150">
        <v>0</v>
      </c>
      <c r="T20" s="150">
        <v>0</v>
      </c>
      <c r="U20" s="149">
        <f>$J$20/3</f>
        <v>0</v>
      </c>
      <c r="V20" s="149">
        <f t="shared" ref="V20:W20" si="33">$J$20/3</f>
        <v>0</v>
      </c>
      <c r="W20" s="149">
        <f t="shared" si="33"/>
        <v>0</v>
      </c>
      <c r="X20" s="149">
        <f t="shared" si="30"/>
        <v>0</v>
      </c>
      <c r="Y20" s="254"/>
      <c r="Z20" s="48">
        <v>0</v>
      </c>
      <c r="AA20" s="13"/>
      <c r="AB20" s="157">
        <f t="shared" si="24"/>
        <v>0</v>
      </c>
      <c r="AC20" s="226"/>
      <c r="AD20" s="163">
        <v>0</v>
      </c>
      <c r="AE20" s="150">
        <v>0</v>
      </c>
      <c r="AF20" s="150">
        <v>0</v>
      </c>
      <c r="AG20" s="150">
        <v>0</v>
      </c>
      <c r="AH20" s="150">
        <v>0</v>
      </c>
      <c r="AI20" s="150">
        <v>0</v>
      </c>
      <c r="AJ20" s="150">
        <v>0</v>
      </c>
      <c r="AK20" s="150">
        <v>0</v>
      </c>
      <c r="AL20" s="150">
        <v>0</v>
      </c>
      <c r="AM20" s="149">
        <f>$J$20/3</f>
        <v>0</v>
      </c>
      <c r="AN20" s="149">
        <f t="shared" ref="AN20:AO20" si="34">$J$20/3</f>
        <v>0</v>
      </c>
      <c r="AO20" s="149">
        <f t="shared" si="34"/>
        <v>0</v>
      </c>
      <c r="AP20" s="157">
        <f t="shared" si="32"/>
        <v>0</v>
      </c>
      <c r="AQ20" s="226"/>
      <c r="AR20" s="100">
        <v>0</v>
      </c>
      <c r="AS20" s="13"/>
      <c r="AT20" s="157">
        <f t="shared" si="26"/>
        <v>0</v>
      </c>
      <c r="AU20" s="226"/>
      <c r="AV20" s="100">
        <v>0</v>
      </c>
      <c r="AW20" s="13"/>
      <c r="AX20" s="149">
        <f t="shared" si="27"/>
        <v>0</v>
      </c>
    </row>
    <row r="21" spans="1:50" ht="15.75" x14ac:dyDescent="0.25">
      <c r="A21" s="15" t="s">
        <v>32</v>
      </c>
      <c r="B21" s="7" t="s">
        <v>33</v>
      </c>
      <c r="C21" s="149">
        <f t="shared" ref="C21:C22" si="35">C20</f>
        <v>17666.666666666668</v>
      </c>
      <c r="D21" s="51">
        <v>1</v>
      </c>
      <c r="E21" s="9"/>
      <c r="F21" s="149">
        <f t="shared" si="22"/>
        <v>17666.666666666668</v>
      </c>
      <c r="G21" s="236"/>
      <c r="H21" s="51">
        <v>0</v>
      </c>
      <c r="I21" s="9"/>
      <c r="J21" s="149">
        <f t="shared" si="28"/>
        <v>0</v>
      </c>
      <c r="K21" s="226"/>
      <c r="L21" s="150">
        <v>0</v>
      </c>
      <c r="M21" s="150">
        <v>0</v>
      </c>
      <c r="N21" s="150">
        <v>0</v>
      </c>
      <c r="O21" s="150">
        <v>0</v>
      </c>
      <c r="P21" s="150">
        <v>0</v>
      </c>
      <c r="Q21" s="150">
        <v>0</v>
      </c>
      <c r="R21" s="150">
        <v>0</v>
      </c>
      <c r="S21" s="150">
        <v>0</v>
      </c>
      <c r="T21" s="150">
        <v>0</v>
      </c>
      <c r="U21" s="149">
        <f>$J$21/3</f>
        <v>0</v>
      </c>
      <c r="V21" s="149">
        <f t="shared" ref="V21:W21" si="36">$J$21/3</f>
        <v>0</v>
      </c>
      <c r="W21" s="149">
        <f t="shared" si="36"/>
        <v>0</v>
      </c>
      <c r="X21" s="149">
        <f t="shared" si="30"/>
        <v>0</v>
      </c>
      <c r="Y21" s="254"/>
      <c r="Z21" s="48">
        <v>0</v>
      </c>
      <c r="AA21" s="13"/>
      <c r="AB21" s="157">
        <f t="shared" si="24"/>
        <v>0</v>
      </c>
      <c r="AC21" s="226"/>
      <c r="AD21" s="163">
        <v>0</v>
      </c>
      <c r="AE21" s="150">
        <v>0</v>
      </c>
      <c r="AF21" s="150">
        <v>0</v>
      </c>
      <c r="AG21" s="150">
        <v>0</v>
      </c>
      <c r="AH21" s="150">
        <v>0</v>
      </c>
      <c r="AI21" s="150">
        <v>0</v>
      </c>
      <c r="AJ21" s="150">
        <v>0</v>
      </c>
      <c r="AK21" s="150">
        <v>0</v>
      </c>
      <c r="AL21" s="150">
        <v>0</v>
      </c>
      <c r="AM21" s="149">
        <f>$J$21/3</f>
        <v>0</v>
      </c>
      <c r="AN21" s="149">
        <f t="shared" ref="AN21:AO21" si="37">$J$21/3</f>
        <v>0</v>
      </c>
      <c r="AO21" s="149">
        <f t="shared" si="37"/>
        <v>0</v>
      </c>
      <c r="AP21" s="157">
        <f t="shared" si="32"/>
        <v>0</v>
      </c>
      <c r="AQ21" s="226"/>
      <c r="AR21" s="100">
        <v>0</v>
      </c>
      <c r="AS21" s="13"/>
      <c r="AT21" s="157">
        <f t="shared" si="26"/>
        <v>0</v>
      </c>
      <c r="AU21" s="226"/>
      <c r="AV21" s="100">
        <v>0</v>
      </c>
      <c r="AW21" s="13"/>
      <c r="AX21" s="149">
        <f t="shared" si="27"/>
        <v>0</v>
      </c>
    </row>
    <row r="22" spans="1:50" ht="15.75" x14ac:dyDescent="0.25">
      <c r="A22" s="15" t="s">
        <v>34</v>
      </c>
      <c r="B22" s="7" t="s">
        <v>35</v>
      </c>
      <c r="C22" s="149">
        <f t="shared" si="35"/>
        <v>17666.666666666668</v>
      </c>
      <c r="D22" s="51">
        <v>0</v>
      </c>
      <c r="E22" s="9"/>
      <c r="F22" s="149">
        <f t="shared" si="22"/>
        <v>0</v>
      </c>
      <c r="G22" s="236"/>
      <c r="H22" s="51">
        <v>0</v>
      </c>
      <c r="I22" s="9"/>
      <c r="J22" s="149">
        <f t="shared" si="28"/>
        <v>0</v>
      </c>
      <c r="K22" s="226"/>
      <c r="L22" s="150">
        <v>0</v>
      </c>
      <c r="M22" s="150">
        <v>0</v>
      </c>
      <c r="N22" s="150">
        <v>0</v>
      </c>
      <c r="O22" s="150">
        <v>0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49">
        <f>$J$22/3</f>
        <v>0</v>
      </c>
      <c r="V22" s="149">
        <f t="shared" ref="V22:W22" si="38">$J$22/3</f>
        <v>0</v>
      </c>
      <c r="W22" s="149">
        <f t="shared" si="38"/>
        <v>0</v>
      </c>
      <c r="X22" s="149">
        <f t="shared" si="30"/>
        <v>0</v>
      </c>
      <c r="Y22" s="254"/>
      <c r="Z22" s="48">
        <v>0</v>
      </c>
      <c r="AA22" s="13"/>
      <c r="AB22" s="157">
        <f t="shared" si="24"/>
        <v>0</v>
      </c>
      <c r="AC22" s="226"/>
      <c r="AD22" s="163">
        <v>0</v>
      </c>
      <c r="AE22" s="150">
        <v>0</v>
      </c>
      <c r="AF22" s="150">
        <v>0</v>
      </c>
      <c r="AG22" s="150">
        <v>0</v>
      </c>
      <c r="AH22" s="150">
        <v>0</v>
      </c>
      <c r="AI22" s="150">
        <v>0</v>
      </c>
      <c r="AJ22" s="150">
        <v>0</v>
      </c>
      <c r="AK22" s="150">
        <v>0</v>
      </c>
      <c r="AL22" s="150">
        <v>0</v>
      </c>
      <c r="AM22" s="149">
        <f>$J$22/3</f>
        <v>0</v>
      </c>
      <c r="AN22" s="149">
        <f t="shared" ref="AN22:AO22" si="39">$J$22/3</f>
        <v>0</v>
      </c>
      <c r="AO22" s="149">
        <f t="shared" si="39"/>
        <v>0</v>
      </c>
      <c r="AP22" s="157">
        <f t="shared" si="32"/>
        <v>0</v>
      </c>
      <c r="AQ22" s="226"/>
      <c r="AR22" s="100">
        <v>0</v>
      </c>
      <c r="AS22" s="13"/>
      <c r="AT22" s="157">
        <f t="shared" si="26"/>
        <v>0</v>
      </c>
      <c r="AU22" s="226"/>
      <c r="AV22" s="100">
        <v>0</v>
      </c>
      <c r="AW22" s="13"/>
      <c r="AX22" s="149">
        <f t="shared" si="27"/>
        <v>0</v>
      </c>
    </row>
    <row r="23" spans="1:50" ht="15.75" x14ac:dyDescent="0.25">
      <c r="A23" s="15" t="s">
        <v>36</v>
      </c>
      <c r="B23" s="7" t="s">
        <v>37</v>
      </c>
      <c r="C23" s="149">
        <f>(C24+C25)/2</f>
        <v>1350</v>
      </c>
      <c r="D23" s="51">
        <f>SUM(D18:D22)</f>
        <v>126</v>
      </c>
      <c r="E23" s="44"/>
      <c r="F23" s="149">
        <f t="shared" si="22"/>
        <v>170100</v>
      </c>
      <c r="G23" s="236"/>
      <c r="H23" s="51">
        <f>SUM(H18:H22)</f>
        <v>0</v>
      </c>
      <c r="I23" s="9"/>
      <c r="J23" s="149">
        <f t="shared" si="28"/>
        <v>0</v>
      </c>
      <c r="K23" s="226"/>
      <c r="L23" s="150">
        <v>0</v>
      </c>
      <c r="M23" s="150">
        <v>0</v>
      </c>
      <c r="N23" s="150">
        <v>0</v>
      </c>
      <c r="O23" s="150">
        <v>0</v>
      </c>
      <c r="P23" s="150">
        <v>0</v>
      </c>
      <c r="Q23" s="150">
        <v>0</v>
      </c>
      <c r="R23" s="150">
        <v>0</v>
      </c>
      <c r="S23" s="150">
        <v>0</v>
      </c>
      <c r="T23" s="150">
        <v>0</v>
      </c>
      <c r="U23" s="149">
        <f>$J$23/3</f>
        <v>0</v>
      </c>
      <c r="V23" s="149">
        <f t="shared" ref="V23:W23" si="40">$J$23/3</f>
        <v>0</v>
      </c>
      <c r="W23" s="149">
        <f t="shared" si="40"/>
        <v>0</v>
      </c>
      <c r="X23" s="149">
        <f t="shared" si="30"/>
        <v>0</v>
      </c>
      <c r="Y23" s="254"/>
      <c r="Z23" s="48">
        <f>SUM(Z18:Z22)</f>
        <v>1</v>
      </c>
      <c r="AA23" s="13"/>
      <c r="AB23" s="157">
        <f t="shared" si="24"/>
        <v>1350</v>
      </c>
      <c r="AC23" s="226"/>
      <c r="AD23" s="163">
        <v>0</v>
      </c>
      <c r="AE23" s="150">
        <v>0</v>
      </c>
      <c r="AF23" s="150">
        <v>0</v>
      </c>
      <c r="AG23" s="150">
        <v>0</v>
      </c>
      <c r="AH23" s="150">
        <v>0</v>
      </c>
      <c r="AI23" s="150">
        <v>0</v>
      </c>
      <c r="AJ23" s="150">
        <v>0</v>
      </c>
      <c r="AK23" s="150">
        <v>0</v>
      </c>
      <c r="AL23" s="150">
        <v>0</v>
      </c>
      <c r="AM23" s="149">
        <f>$AB$23/3</f>
        <v>450</v>
      </c>
      <c r="AN23" s="149">
        <f t="shared" ref="AN23:AO23" si="41">$AB$23/3</f>
        <v>450</v>
      </c>
      <c r="AO23" s="149">
        <f t="shared" si="41"/>
        <v>450</v>
      </c>
      <c r="AP23" s="157">
        <f t="shared" si="32"/>
        <v>1350</v>
      </c>
      <c r="AQ23" s="226"/>
      <c r="AR23" s="100">
        <f>SUM(AR18:AR22)</f>
        <v>55</v>
      </c>
      <c r="AS23" s="13"/>
      <c r="AT23" s="157">
        <f t="shared" si="26"/>
        <v>74250</v>
      </c>
      <c r="AU23" s="226"/>
      <c r="AV23" s="100">
        <f>SUM(AV18:AV22)</f>
        <v>31</v>
      </c>
      <c r="AW23" s="13"/>
      <c r="AX23" s="149">
        <f t="shared" si="27"/>
        <v>41850</v>
      </c>
    </row>
    <row r="24" spans="1:50" ht="14.45" hidden="1" customHeight="1" x14ac:dyDescent="0.25">
      <c r="A24" s="15" t="s">
        <v>36</v>
      </c>
      <c r="B24" s="7" t="s">
        <v>38</v>
      </c>
      <c r="C24" s="41">
        <f>(700+1750)/2</f>
        <v>1225</v>
      </c>
      <c r="D24" s="40">
        <f>D23</f>
        <v>126</v>
      </c>
      <c r="E24" s="44"/>
      <c r="F24" s="84">
        <f t="shared" si="22"/>
        <v>154350</v>
      </c>
      <c r="G24" s="236"/>
      <c r="J24" s="91">
        <f t="shared" si="28"/>
        <v>0</v>
      </c>
      <c r="K24" s="226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54"/>
      <c r="Z24" s="12"/>
      <c r="AA24" s="12"/>
      <c r="AC24" s="226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226"/>
      <c r="AR24" s="12"/>
      <c r="AS24" s="12"/>
      <c r="AU24" s="226"/>
      <c r="AV24" s="12"/>
      <c r="AW24" s="12"/>
      <c r="AX24" s="7"/>
    </row>
    <row r="25" spans="1:50" ht="14.45" hidden="1" customHeight="1" x14ac:dyDescent="0.25">
      <c r="A25" s="15" t="s">
        <v>39</v>
      </c>
      <c r="B25" s="7" t="s">
        <v>40</v>
      </c>
      <c r="C25" s="41">
        <f>(1050+1900)/2</f>
        <v>1475</v>
      </c>
      <c r="D25" s="40">
        <f>D23</f>
        <v>126</v>
      </c>
      <c r="E25" s="44"/>
      <c r="F25" s="84">
        <f t="shared" si="22"/>
        <v>185850</v>
      </c>
      <c r="G25" s="236"/>
      <c r="J25" s="91">
        <f t="shared" si="28"/>
        <v>0</v>
      </c>
      <c r="K25" s="226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254"/>
      <c r="Z25" s="12"/>
      <c r="AA25" s="12"/>
      <c r="AC25" s="226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226"/>
      <c r="AR25" s="12"/>
      <c r="AS25" s="12"/>
      <c r="AU25" s="226"/>
      <c r="AV25" s="12"/>
      <c r="AW25" s="12"/>
      <c r="AX25" s="7"/>
    </row>
    <row r="26" spans="1:50" ht="18.600000000000001" customHeight="1" x14ac:dyDescent="0.25">
      <c r="A26" s="37" t="s">
        <v>41</v>
      </c>
      <c r="B26" s="243" t="s">
        <v>42</v>
      </c>
      <c r="C26" s="244"/>
      <c r="D26" s="244"/>
      <c r="E26" s="245"/>
      <c r="F26" s="85">
        <f>SUM(F27:F29)</f>
        <v>3118500</v>
      </c>
      <c r="G26" s="236"/>
      <c r="H26" s="221"/>
      <c r="I26" s="222"/>
      <c r="J26" s="83">
        <f>SUM(J27:J29)</f>
        <v>0</v>
      </c>
      <c r="K26" s="226"/>
      <c r="L26" s="26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2"/>
      <c r="X26" s="147">
        <f>SUM(X27:X29)</f>
        <v>0</v>
      </c>
      <c r="Y26" s="254"/>
      <c r="Z26" s="221"/>
      <c r="AA26" s="222"/>
      <c r="AB26" s="83">
        <f>SUM(AB27:AB29)</f>
        <v>11550</v>
      </c>
      <c r="AC26" s="226"/>
      <c r="AD26" s="221"/>
      <c r="AE26" s="221"/>
      <c r="AF26" s="221"/>
      <c r="AG26" s="221"/>
      <c r="AH26" s="221"/>
      <c r="AI26" s="221"/>
      <c r="AJ26" s="221"/>
      <c r="AK26" s="221"/>
      <c r="AL26" s="221"/>
      <c r="AM26" s="221"/>
      <c r="AN26" s="221"/>
      <c r="AO26" s="222"/>
      <c r="AP26" s="129">
        <f>SUM(AP27:AP29)</f>
        <v>11550</v>
      </c>
      <c r="AQ26" s="226"/>
      <c r="AR26" s="221"/>
      <c r="AS26" s="222"/>
      <c r="AT26" s="83">
        <f>SUM(AT27:AT29)</f>
        <v>1247400</v>
      </c>
      <c r="AU26" s="226"/>
      <c r="AV26" s="261"/>
      <c r="AW26" s="222"/>
      <c r="AX26" s="35">
        <f>SUM(AX27:AX29)</f>
        <v>1351350</v>
      </c>
    </row>
    <row r="27" spans="1:50" ht="15.75" x14ac:dyDescent="0.25">
      <c r="A27" s="15" t="s">
        <v>43</v>
      </c>
      <c r="B27" s="59" t="s">
        <v>44</v>
      </c>
      <c r="C27" s="149">
        <f>(250+900)/2</f>
        <v>575</v>
      </c>
      <c r="D27" s="67">
        <f>10*D14</f>
        <v>2700</v>
      </c>
      <c r="E27" s="44"/>
      <c r="F27" s="149">
        <f>C27*D27</f>
        <v>1552500</v>
      </c>
      <c r="G27" s="236"/>
      <c r="H27" s="51">
        <f>10*H14</f>
        <v>0</v>
      </c>
      <c r="I27" s="44"/>
      <c r="J27" s="149">
        <f>C27*H27</f>
        <v>0</v>
      </c>
      <c r="K27" s="226"/>
      <c r="L27" s="150">
        <f>10*L14</f>
        <v>0</v>
      </c>
      <c r="M27" s="150">
        <v>0</v>
      </c>
      <c r="N27" s="150">
        <v>0</v>
      </c>
      <c r="O27" s="150">
        <v>0</v>
      </c>
      <c r="P27" s="150">
        <v>0</v>
      </c>
      <c r="Q27" s="150">
        <v>0</v>
      </c>
      <c r="R27" s="150">
        <v>0</v>
      </c>
      <c r="S27" s="150">
        <v>0</v>
      </c>
      <c r="T27" s="150">
        <v>0</v>
      </c>
      <c r="U27" s="149">
        <f>$J$27/3</f>
        <v>0</v>
      </c>
      <c r="V27" s="149">
        <f t="shared" ref="V27:W27" si="42">$J$27/3</f>
        <v>0</v>
      </c>
      <c r="W27" s="149">
        <f t="shared" si="42"/>
        <v>0</v>
      </c>
      <c r="X27" s="149">
        <f>SUM(U27:W27)</f>
        <v>0</v>
      </c>
      <c r="Y27" s="254"/>
      <c r="Z27" s="48">
        <f>10*Z14</f>
        <v>10</v>
      </c>
      <c r="AA27" s="13"/>
      <c r="AB27" s="157">
        <f>C27*Z27</f>
        <v>5750</v>
      </c>
      <c r="AC27" s="226"/>
      <c r="AD27" s="160">
        <f>10*AD14</f>
        <v>0</v>
      </c>
      <c r="AE27" s="153">
        <v>0</v>
      </c>
      <c r="AF27" s="153">
        <v>0</v>
      </c>
      <c r="AG27" s="153">
        <v>0</v>
      </c>
      <c r="AH27" s="153">
        <v>0</v>
      </c>
      <c r="AI27" s="153">
        <v>0</v>
      </c>
      <c r="AJ27" s="153">
        <v>0</v>
      </c>
      <c r="AK27" s="153">
        <v>0</v>
      </c>
      <c r="AL27" s="153">
        <v>0</v>
      </c>
      <c r="AM27" s="153">
        <f>$AB$27/3</f>
        <v>1916.6666666666667</v>
      </c>
      <c r="AN27" s="153">
        <f t="shared" ref="AN27:AO27" si="43">$AB$27/3</f>
        <v>1916.6666666666667</v>
      </c>
      <c r="AO27" s="153">
        <f t="shared" si="43"/>
        <v>1916.6666666666667</v>
      </c>
      <c r="AP27" s="157">
        <f>SUM(AM27:AO27)</f>
        <v>5750</v>
      </c>
      <c r="AQ27" s="226"/>
      <c r="AR27" s="100">
        <f>10*AR14</f>
        <v>1080</v>
      </c>
      <c r="AS27" s="13"/>
      <c r="AT27" s="91">
        <f>C27*AR27</f>
        <v>621000</v>
      </c>
      <c r="AU27" s="226"/>
      <c r="AV27" s="100">
        <f>10*AV14</f>
        <v>1170</v>
      </c>
      <c r="AW27" s="13"/>
      <c r="AX27" s="99">
        <f>C27*AV27</f>
        <v>672750</v>
      </c>
    </row>
    <row r="28" spans="1:50" ht="15.75" x14ac:dyDescent="0.25">
      <c r="A28" s="15" t="s">
        <v>45</v>
      </c>
      <c r="B28" s="59" t="s">
        <v>46</v>
      </c>
      <c r="C28" s="149">
        <f>(600+800)/2</f>
        <v>700</v>
      </c>
      <c r="D28" s="67">
        <f>4*D14</f>
        <v>1080</v>
      </c>
      <c r="E28" s="44"/>
      <c r="F28" s="149">
        <f>C28*D28</f>
        <v>756000</v>
      </c>
      <c r="G28" s="236"/>
      <c r="H28" s="51">
        <f>4*H14</f>
        <v>0</v>
      </c>
      <c r="I28" s="44"/>
      <c r="J28" s="149">
        <f>C28*H28</f>
        <v>0</v>
      </c>
      <c r="K28" s="226"/>
      <c r="L28" s="150">
        <f t="shared" ref="L28:L29" si="44">10*L15</f>
        <v>0</v>
      </c>
      <c r="M28" s="150">
        <v>0</v>
      </c>
      <c r="N28" s="150">
        <v>0</v>
      </c>
      <c r="O28" s="150">
        <v>0</v>
      </c>
      <c r="P28" s="150">
        <v>0</v>
      </c>
      <c r="Q28" s="150">
        <v>0</v>
      </c>
      <c r="R28" s="150">
        <v>0</v>
      </c>
      <c r="S28" s="150">
        <v>0</v>
      </c>
      <c r="T28" s="150">
        <v>0</v>
      </c>
      <c r="U28" s="149">
        <f>$J$28/3</f>
        <v>0</v>
      </c>
      <c r="V28" s="149">
        <f t="shared" ref="V28:W28" si="45">$J$28/3</f>
        <v>0</v>
      </c>
      <c r="W28" s="149">
        <f t="shared" si="45"/>
        <v>0</v>
      </c>
      <c r="X28" s="149">
        <f>SUM(U28:W28)</f>
        <v>0</v>
      </c>
      <c r="Y28" s="254"/>
      <c r="Z28" s="48">
        <f>4*Z14</f>
        <v>4</v>
      </c>
      <c r="AA28" s="13"/>
      <c r="AB28" s="157">
        <f>C28*Z28</f>
        <v>2800</v>
      </c>
      <c r="AC28" s="226"/>
      <c r="AD28" s="159">
        <f t="shared" ref="AD28:AD29" si="46">10*AD15</f>
        <v>0</v>
      </c>
      <c r="AE28" s="149">
        <v>0</v>
      </c>
      <c r="AF28" s="149">
        <v>0</v>
      </c>
      <c r="AG28" s="149">
        <v>0</v>
      </c>
      <c r="AH28" s="149">
        <v>0</v>
      </c>
      <c r="AI28" s="149">
        <v>0</v>
      </c>
      <c r="AJ28" s="149">
        <v>0</v>
      </c>
      <c r="AK28" s="149">
        <v>0</v>
      </c>
      <c r="AL28" s="149">
        <v>0</v>
      </c>
      <c r="AM28" s="149">
        <f>$AB$28/3</f>
        <v>933.33333333333337</v>
      </c>
      <c r="AN28" s="149">
        <f t="shared" ref="AN28:AO28" si="47">$AB$28/3</f>
        <v>933.33333333333337</v>
      </c>
      <c r="AO28" s="149">
        <f t="shared" si="47"/>
        <v>933.33333333333337</v>
      </c>
      <c r="AP28" s="157">
        <f>SUM(AM28:AO28)</f>
        <v>2800</v>
      </c>
      <c r="AQ28" s="226"/>
      <c r="AR28" s="100">
        <f>4*AR14</f>
        <v>432</v>
      </c>
      <c r="AS28" s="13"/>
      <c r="AT28" s="91">
        <f>C28*AR28</f>
        <v>302400</v>
      </c>
      <c r="AU28" s="226"/>
      <c r="AV28" s="100">
        <f>4*AV14</f>
        <v>468</v>
      </c>
      <c r="AW28" s="13"/>
      <c r="AX28" s="99">
        <f>C28*AV28</f>
        <v>327600</v>
      </c>
    </row>
    <row r="29" spans="1:50" ht="15.75" x14ac:dyDescent="0.25">
      <c r="A29" s="15" t="s">
        <v>47</v>
      </c>
      <c r="B29" s="59" t="s">
        <v>48</v>
      </c>
      <c r="C29" s="149">
        <f>(800+1200)/2</f>
        <v>1000</v>
      </c>
      <c r="D29" s="67">
        <f>3*D14</f>
        <v>810</v>
      </c>
      <c r="E29" s="44"/>
      <c r="F29" s="149">
        <f>C29*D29</f>
        <v>810000</v>
      </c>
      <c r="G29" s="236"/>
      <c r="H29" s="51">
        <f>3*H14</f>
        <v>0</v>
      </c>
      <c r="I29" s="44"/>
      <c r="J29" s="149">
        <f>C29*H29</f>
        <v>0</v>
      </c>
      <c r="K29" s="226"/>
      <c r="L29" s="150">
        <f t="shared" si="44"/>
        <v>0</v>
      </c>
      <c r="M29" s="150">
        <v>0</v>
      </c>
      <c r="N29" s="150">
        <v>0</v>
      </c>
      <c r="O29" s="150">
        <v>0</v>
      </c>
      <c r="P29" s="150">
        <v>0</v>
      </c>
      <c r="Q29" s="150">
        <v>0</v>
      </c>
      <c r="R29" s="150">
        <v>0</v>
      </c>
      <c r="S29" s="150">
        <v>0</v>
      </c>
      <c r="T29" s="150">
        <v>0</v>
      </c>
      <c r="U29" s="149">
        <f>$J$29/3</f>
        <v>0</v>
      </c>
      <c r="V29" s="149">
        <f t="shared" ref="V29:W29" si="48">$J$29/3</f>
        <v>0</v>
      </c>
      <c r="W29" s="149">
        <f t="shared" si="48"/>
        <v>0</v>
      </c>
      <c r="X29" s="149">
        <f>SUM(U29:W29)</f>
        <v>0</v>
      </c>
      <c r="Y29" s="254"/>
      <c r="Z29" s="48">
        <f>3*Z14</f>
        <v>3</v>
      </c>
      <c r="AA29" s="13"/>
      <c r="AB29" s="157">
        <f>C29*Z29</f>
        <v>3000</v>
      </c>
      <c r="AC29" s="226"/>
      <c r="AD29" s="161">
        <f t="shared" si="46"/>
        <v>0</v>
      </c>
      <c r="AE29" s="154">
        <v>0</v>
      </c>
      <c r="AF29" s="154">
        <v>0</v>
      </c>
      <c r="AG29" s="154">
        <v>0</v>
      </c>
      <c r="AH29" s="154">
        <v>0</v>
      </c>
      <c r="AI29" s="154">
        <v>0</v>
      </c>
      <c r="AJ29" s="154">
        <v>0</v>
      </c>
      <c r="AK29" s="154">
        <v>0</v>
      </c>
      <c r="AL29" s="154">
        <v>0</v>
      </c>
      <c r="AM29" s="154">
        <f>$AB$29/3</f>
        <v>1000</v>
      </c>
      <c r="AN29" s="154">
        <f t="shared" ref="AN29:AO29" si="49">$AB$29/3</f>
        <v>1000</v>
      </c>
      <c r="AO29" s="154">
        <f t="shared" si="49"/>
        <v>1000</v>
      </c>
      <c r="AP29" s="157">
        <f>SUM(AM29:AO29)</f>
        <v>3000</v>
      </c>
      <c r="AQ29" s="226"/>
      <c r="AR29" s="100">
        <f>3*AR14</f>
        <v>324</v>
      </c>
      <c r="AS29" s="13"/>
      <c r="AT29" s="91">
        <f>C29*AR29</f>
        <v>324000</v>
      </c>
      <c r="AU29" s="226"/>
      <c r="AV29" s="100">
        <f>3*AV14</f>
        <v>351</v>
      </c>
      <c r="AW29" s="13"/>
      <c r="AX29" s="99">
        <f>C29*AV29</f>
        <v>351000</v>
      </c>
    </row>
    <row r="30" spans="1:50" ht="23.45" customHeight="1" x14ac:dyDescent="0.25">
      <c r="A30" s="37" t="s">
        <v>49</v>
      </c>
      <c r="B30" s="238" t="s">
        <v>50</v>
      </c>
      <c r="C30" s="239"/>
      <c r="D30" s="239"/>
      <c r="E30" s="240"/>
      <c r="F30" s="85">
        <f>SUM(F31:F31)</f>
        <v>59400</v>
      </c>
      <c r="G30" s="236"/>
      <c r="H30" s="221"/>
      <c r="I30" s="222"/>
      <c r="J30" s="83">
        <f>SUM(J31)</f>
        <v>0</v>
      </c>
      <c r="K30" s="226"/>
      <c r="L30" s="26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2"/>
      <c r="X30" s="147">
        <f>SUM(X31)</f>
        <v>0</v>
      </c>
      <c r="Y30" s="254"/>
      <c r="Z30" s="221"/>
      <c r="AA30" s="222"/>
      <c r="AB30" s="83">
        <f>SUM(AB31)</f>
        <v>300</v>
      </c>
      <c r="AC30" s="226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  <c r="AO30" s="222"/>
      <c r="AP30" s="129">
        <f>SUM(AP31)</f>
        <v>0</v>
      </c>
      <c r="AQ30" s="226"/>
      <c r="AR30" s="221"/>
      <c r="AS30" s="222"/>
      <c r="AT30" s="83">
        <f>SUM(AT31)</f>
        <v>64800</v>
      </c>
      <c r="AU30" s="226"/>
      <c r="AV30" s="261"/>
      <c r="AW30" s="222"/>
      <c r="AX30" s="35">
        <f>SUM(AX31)</f>
        <v>22200</v>
      </c>
    </row>
    <row r="31" spans="1:50" ht="17.25" customHeight="1" x14ac:dyDescent="0.25">
      <c r="A31" s="15" t="s">
        <v>51</v>
      </c>
      <c r="B31" s="59" t="s">
        <v>52</v>
      </c>
      <c r="C31" s="149">
        <v>150</v>
      </c>
      <c r="D31" s="51">
        <v>396</v>
      </c>
      <c r="E31" s="39"/>
      <c r="F31" s="82">
        <f>C31*D31</f>
        <v>59400</v>
      </c>
      <c r="G31" s="236"/>
      <c r="H31" s="51">
        <f>H14+H23</f>
        <v>0</v>
      </c>
      <c r="I31" s="39"/>
      <c r="J31" s="149">
        <f>C31*H31</f>
        <v>0</v>
      </c>
      <c r="K31" s="226"/>
      <c r="L31" s="150">
        <v>0</v>
      </c>
      <c r="M31" s="150">
        <v>0</v>
      </c>
      <c r="N31" s="150">
        <v>0</v>
      </c>
      <c r="O31" s="150">
        <v>0</v>
      </c>
      <c r="P31" s="150">
        <v>0</v>
      </c>
      <c r="Q31" s="150">
        <v>0</v>
      </c>
      <c r="R31" s="150">
        <v>0</v>
      </c>
      <c r="S31" s="150">
        <v>0</v>
      </c>
      <c r="T31" s="150">
        <v>0</v>
      </c>
      <c r="U31" s="149">
        <f>$J$31/3</f>
        <v>0</v>
      </c>
      <c r="V31" s="149">
        <f t="shared" ref="V31:W31" si="50">$J$31/3</f>
        <v>0</v>
      </c>
      <c r="W31" s="149">
        <f t="shared" si="50"/>
        <v>0</v>
      </c>
      <c r="X31" s="149">
        <f>SUM(U31:W31)</f>
        <v>0</v>
      </c>
      <c r="Y31" s="254"/>
      <c r="Z31" s="51">
        <f>Z14+Z23</f>
        <v>2</v>
      </c>
      <c r="AA31" s="13"/>
      <c r="AB31" s="157">
        <f>C31*Z31</f>
        <v>300</v>
      </c>
      <c r="AC31" s="226"/>
      <c r="AD31" s="162">
        <v>0</v>
      </c>
      <c r="AE31" s="155">
        <v>0</v>
      </c>
      <c r="AF31" s="155">
        <v>0</v>
      </c>
      <c r="AG31" s="155">
        <v>0</v>
      </c>
      <c r="AH31" s="155">
        <v>0</v>
      </c>
      <c r="AI31" s="155">
        <v>0</v>
      </c>
      <c r="AJ31" s="155">
        <v>0</v>
      </c>
      <c r="AK31" s="155">
        <v>0</v>
      </c>
      <c r="AL31" s="155">
        <v>0</v>
      </c>
      <c r="AM31" s="155">
        <f>$J$31/3</f>
        <v>0</v>
      </c>
      <c r="AN31" s="155">
        <f t="shared" ref="AN31:AO31" si="51">$J$31/3</f>
        <v>0</v>
      </c>
      <c r="AO31" s="155">
        <f t="shared" si="51"/>
        <v>0</v>
      </c>
      <c r="AP31" s="157">
        <f>SUM(AM31:AO31)</f>
        <v>0</v>
      </c>
      <c r="AQ31" s="226"/>
      <c r="AR31" s="65">
        <f>AR14+AR29</f>
        <v>432</v>
      </c>
      <c r="AS31" s="13"/>
      <c r="AT31" s="81">
        <f>C31*AR31</f>
        <v>64800</v>
      </c>
      <c r="AU31" s="226"/>
      <c r="AV31" s="65">
        <f>AV14+AV23</f>
        <v>148</v>
      </c>
      <c r="AW31" s="13"/>
      <c r="AX31" s="24">
        <f>C31*AV31</f>
        <v>22200</v>
      </c>
    </row>
    <row r="32" spans="1:50" ht="26.45" customHeight="1" x14ac:dyDescent="0.25">
      <c r="A32" s="37" t="s">
        <v>53</v>
      </c>
      <c r="B32" s="238" t="s">
        <v>54</v>
      </c>
      <c r="C32" s="239"/>
      <c r="D32" s="239"/>
      <c r="E32" s="240"/>
      <c r="F32" s="83">
        <f>SUM(F33:F33)</f>
        <v>714750</v>
      </c>
      <c r="G32" s="236"/>
      <c r="H32" s="221"/>
      <c r="I32" s="222"/>
      <c r="J32" s="83">
        <f>SUM(J33)</f>
        <v>35737.5</v>
      </c>
      <c r="K32" s="226"/>
      <c r="L32" s="26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2"/>
      <c r="X32" s="147">
        <f>SUM(X33)</f>
        <v>35737.5</v>
      </c>
      <c r="Y32" s="254"/>
      <c r="Z32" s="221"/>
      <c r="AA32" s="222"/>
      <c r="AB32" s="83">
        <f>SUM(AB33)</f>
        <v>571800</v>
      </c>
      <c r="AC32" s="226"/>
      <c r="AD32" s="221"/>
      <c r="AE32" s="221"/>
      <c r="AF32" s="221"/>
      <c r="AG32" s="221"/>
      <c r="AH32" s="221"/>
      <c r="AI32" s="221"/>
      <c r="AJ32" s="221"/>
      <c r="AK32" s="221"/>
      <c r="AL32" s="221"/>
      <c r="AM32" s="221"/>
      <c r="AN32" s="221"/>
      <c r="AO32" s="222"/>
      <c r="AP32" s="129">
        <f>SUM(AP33)</f>
        <v>571800</v>
      </c>
      <c r="AQ32" s="226"/>
      <c r="AR32" s="221"/>
      <c r="AS32" s="222"/>
      <c r="AT32" s="83">
        <f>SUM(AT33)</f>
        <v>35737.5</v>
      </c>
      <c r="AU32" s="226"/>
      <c r="AV32" s="261"/>
      <c r="AW32" s="222"/>
      <c r="AX32" s="35">
        <f>SUM(AX33)</f>
        <v>35737.5</v>
      </c>
    </row>
    <row r="33" spans="1:54" ht="79.150000000000006" customHeight="1" thickBot="1" x14ac:dyDescent="0.3">
      <c r="A33" s="23" t="s">
        <v>55</v>
      </c>
      <c r="B33" s="7" t="s">
        <v>56</v>
      </c>
      <c r="C33" s="149">
        <f>(F8+F17+F30)*0.05</f>
        <v>714750</v>
      </c>
      <c r="D33" s="51">
        <v>1</v>
      </c>
      <c r="E33" s="9"/>
      <c r="F33" s="149">
        <f>C33*D33</f>
        <v>714750</v>
      </c>
      <c r="G33" s="237"/>
      <c r="H33" s="51">
        <v>1</v>
      </c>
      <c r="I33" s="39"/>
      <c r="J33" s="149">
        <f>C33*0.05</f>
        <v>35737.5</v>
      </c>
      <c r="K33" s="257"/>
      <c r="L33" s="150">
        <v>0</v>
      </c>
      <c r="M33" s="150">
        <v>0</v>
      </c>
      <c r="N33" s="150">
        <v>0</v>
      </c>
      <c r="O33" s="150">
        <v>0</v>
      </c>
      <c r="P33" s="150">
        <v>0</v>
      </c>
      <c r="Q33" s="150">
        <v>0</v>
      </c>
      <c r="R33" s="150">
        <v>0</v>
      </c>
      <c r="S33" s="150">
        <v>0</v>
      </c>
      <c r="T33" s="150">
        <v>0</v>
      </c>
      <c r="U33" s="149">
        <f>$J$33/3</f>
        <v>11912.5</v>
      </c>
      <c r="V33" s="149">
        <f t="shared" ref="V33:W33" si="52">$J$33/3</f>
        <v>11912.5</v>
      </c>
      <c r="W33" s="149">
        <f t="shared" si="52"/>
        <v>11912.5</v>
      </c>
      <c r="X33" s="149">
        <f>SUM(U33:W33)</f>
        <v>35737.5</v>
      </c>
      <c r="Y33" s="255"/>
      <c r="Z33" s="51">
        <v>1</v>
      </c>
      <c r="AA33" s="13"/>
      <c r="AB33" s="157">
        <f>C33*0.8</f>
        <v>571800</v>
      </c>
      <c r="AC33" s="227"/>
      <c r="AD33" s="160">
        <f t="shared" ref="AD33:AO33" si="53">$AB$33/12</f>
        <v>47650</v>
      </c>
      <c r="AE33" s="153">
        <f t="shared" si="53"/>
        <v>47650</v>
      </c>
      <c r="AF33" s="153">
        <f t="shared" si="53"/>
        <v>47650</v>
      </c>
      <c r="AG33" s="153">
        <f t="shared" si="53"/>
        <v>47650</v>
      </c>
      <c r="AH33" s="153">
        <f t="shared" si="53"/>
        <v>47650</v>
      </c>
      <c r="AI33" s="153">
        <f t="shared" si="53"/>
        <v>47650</v>
      </c>
      <c r="AJ33" s="153">
        <f t="shared" si="53"/>
        <v>47650</v>
      </c>
      <c r="AK33" s="153">
        <f t="shared" si="53"/>
        <v>47650</v>
      </c>
      <c r="AL33" s="153">
        <f t="shared" si="53"/>
        <v>47650</v>
      </c>
      <c r="AM33" s="153">
        <f>$AB$33/12</f>
        <v>47650</v>
      </c>
      <c r="AN33" s="153">
        <f t="shared" si="53"/>
        <v>47650</v>
      </c>
      <c r="AO33" s="153">
        <f t="shared" si="53"/>
        <v>47650</v>
      </c>
      <c r="AP33" s="157">
        <f>SUM(AD33:AO33)</f>
        <v>571800</v>
      </c>
      <c r="AQ33" s="227"/>
      <c r="AR33" s="65">
        <v>1</v>
      </c>
      <c r="AS33" s="13"/>
      <c r="AT33" s="91">
        <f>C33*0.05</f>
        <v>35737.5</v>
      </c>
      <c r="AU33" s="227"/>
      <c r="AV33" s="65">
        <v>1</v>
      </c>
      <c r="AW33" s="13"/>
      <c r="AX33" s="99">
        <f>C33*0.05</f>
        <v>35737.5</v>
      </c>
    </row>
    <row r="34" spans="1:54" ht="34.15" customHeight="1" x14ac:dyDescent="0.25">
      <c r="A34" s="92"/>
      <c r="B34" s="4"/>
      <c r="C34" s="158"/>
      <c r="F34" s="158"/>
      <c r="G34" s="25"/>
      <c r="H34" s="2"/>
      <c r="I34" s="93"/>
      <c r="J34" s="158"/>
      <c r="K34" s="93"/>
      <c r="L34" s="158"/>
      <c r="M34" s="158"/>
      <c r="N34" s="158"/>
      <c r="O34" s="158"/>
      <c r="P34" s="158"/>
      <c r="Q34" s="158"/>
      <c r="R34" s="158"/>
      <c r="S34" s="158"/>
      <c r="T34" s="158"/>
      <c r="U34" s="166">
        <f>SUM(U7:U33)</f>
        <v>358026</v>
      </c>
      <c r="V34" s="166">
        <f>SUM(V7:V33)</f>
        <v>358026</v>
      </c>
      <c r="W34" s="166">
        <f>SUM(W7:W33)</f>
        <v>358026</v>
      </c>
      <c r="X34" s="158"/>
      <c r="Y34" s="93"/>
      <c r="Z34" s="2"/>
      <c r="AA34" s="2"/>
      <c r="AB34" s="158"/>
      <c r="AC34" s="93"/>
      <c r="AD34" s="166">
        <f>SUM(AD7:AD33)</f>
        <v>18807.208333333332</v>
      </c>
      <c r="AE34" s="166">
        <f t="shared" ref="AE34:AO34" si="54">SUM(AE7:AE33)</f>
        <v>18807.208333333332</v>
      </c>
      <c r="AF34" s="166">
        <f t="shared" si="54"/>
        <v>18807.208333333332</v>
      </c>
      <c r="AG34" s="166">
        <f t="shared" si="54"/>
        <v>18807.208333333332</v>
      </c>
      <c r="AH34" s="166">
        <f t="shared" si="54"/>
        <v>18807.208333333332</v>
      </c>
      <c r="AI34" s="166">
        <f t="shared" si="54"/>
        <v>18807.208333333332</v>
      </c>
      <c r="AJ34" s="166">
        <f t="shared" si="54"/>
        <v>18807.208333333332</v>
      </c>
      <c r="AK34" s="166">
        <f t="shared" si="54"/>
        <v>18807.208333333332</v>
      </c>
      <c r="AL34" s="166">
        <f t="shared" si="54"/>
        <v>18807.208333333332</v>
      </c>
      <c r="AM34" s="166">
        <f t="shared" si="54"/>
        <v>43612.763888888891</v>
      </c>
      <c r="AN34" s="166">
        <f t="shared" si="54"/>
        <v>43612.763888888891</v>
      </c>
      <c r="AO34" s="166">
        <f t="shared" si="54"/>
        <v>43612.763888888891</v>
      </c>
      <c r="AP34" s="158"/>
      <c r="AQ34" s="93"/>
      <c r="AR34" s="2"/>
      <c r="AS34" s="2"/>
      <c r="AT34" s="94"/>
      <c r="AU34" s="93"/>
      <c r="AV34" s="2"/>
      <c r="AW34" s="2"/>
      <c r="AX34" s="94"/>
    </row>
    <row r="35" spans="1:54" ht="40.9" customHeight="1" thickBot="1" x14ac:dyDescent="0.3">
      <c r="A35" s="92"/>
      <c r="B35" s="4"/>
      <c r="C35" s="66"/>
      <c r="F35" s="66"/>
      <c r="G35" s="25"/>
      <c r="H35" s="2"/>
      <c r="I35" s="93"/>
      <c r="J35" s="94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2"/>
      <c r="AA35" s="2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2"/>
      <c r="AS35" s="2"/>
      <c r="AU35" s="93"/>
      <c r="AV35" s="2"/>
      <c r="AW35" s="3"/>
    </row>
    <row r="36" spans="1:54" ht="36" customHeight="1" thickBot="1" x14ac:dyDescent="0.3">
      <c r="F36" s="18"/>
      <c r="G36" s="26"/>
      <c r="H36" s="231">
        <v>2025</v>
      </c>
      <c r="I36" s="223"/>
      <c r="J36" s="224"/>
      <c r="K36" s="225"/>
      <c r="L36" s="231">
        <v>2025</v>
      </c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4"/>
      <c r="Y36" s="131"/>
      <c r="Z36" s="223">
        <v>2026</v>
      </c>
      <c r="AA36" s="223"/>
      <c r="AB36" s="224"/>
      <c r="AC36" s="225"/>
      <c r="AD36" s="231">
        <v>2026</v>
      </c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23"/>
      <c r="AQ36" s="131"/>
      <c r="AR36" s="223">
        <v>2027</v>
      </c>
      <c r="AS36" s="223"/>
      <c r="AT36" s="224"/>
      <c r="AU36" s="225"/>
      <c r="AV36" s="231">
        <v>2028</v>
      </c>
      <c r="AW36" s="223"/>
      <c r="AX36" s="224"/>
      <c r="AY36" s="225"/>
      <c r="AZ36" s="231">
        <v>2029</v>
      </c>
      <c r="BA36" s="223"/>
      <c r="BB36" s="224"/>
    </row>
    <row r="37" spans="1:54" ht="47.45" customHeight="1" thickBot="1" x14ac:dyDescent="0.3">
      <c r="A37" s="124" t="e" vm="1">
        <v>#VALUE!</v>
      </c>
      <c r="B37" s="68" t="s">
        <v>58</v>
      </c>
      <c r="C37" s="33" t="s">
        <v>2</v>
      </c>
      <c r="D37" s="34" t="s">
        <v>3</v>
      </c>
      <c r="E37" s="34" t="s">
        <v>4</v>
      </c>
      <c r="F37" s="95" t="s">
        <v>5</v>
      </c>
      <c r="G37" s="235"/>
      <c r="H37" s="63" t="s">
        <v>3</v>
      </c>
      <c r="I37" s="34" t="s">
        <v>4</v>
      </c>
      <c r="J37" s="95" t="s">
        <v>5</v>
      </c>
      <c r="K37" s="226"/>
      <c r="L37" s="75" t="s">
        <v>82</v>
      </c>
      <c r="M37" s="75" t="s">
        <v>83</v>
      </c>
      <c r="N37" s="75" t="s">
        <v>84</v>
      </c>
      <c r="O37" s="75" t="s">
        <v>85</v>
      </c>
      <c r="P37" s="75" t="s">
        <v>86</v>
      </c>
      <c r="Q37" s="75" t="s">
        <v>87</v>
      </c>
      <c r="R37" s="75" t="s">
        <v>88</v>
      </c>
      <c r="S37" s="75" t="s">
        <v>89</v>
      </c>
      <c r="T37" s="75" t="s">
        <v>90</v>
      </c>
      <c r="U37" s="75" t="s">
        <v>91</v>
      </c>
      <c r="V37" s="75" t="s">
        <v>92</v>
      </c>
      <c r="W37" s="75" t="s">
        <v>93</v>
      </c>
      <c r="X37" s="152" t="s">
        <v>5</v>
      </c>
      <c r="Y37" s="132"/>
      <c r="Z37" s="63" t="s">
        <v>3</v>
      </c>
      <c r="AA37" s="34" t="s">
        <v>4</v>
      </c>
      <c r="AB37" s="95" t="s">
        <v>5</v>
      </c>
      <c r="AC37" s="226"/>
      <c r="AD37" s="75" t="s">
        <v>82</v>
      </c>
      <c r="AE37" s="75" t="s">
        <v>83</v>
      </c>
      <c r="AF37" s="75" t="s">
        <v>84</v>
      </c>
      <c r="AG37" s="75" t="s">
        <v>85</v>
      </c>
      <c r="AH37" s="75" t="s">
        <v>86</v>
      </c>
      <c r="AI37" s="75" t="s">
        <v>87</v>
      </c>
      <c r="AJ37" s="75" t="s">
        <v>88</v>
      </c>
      <c r="AK37" s="75" t="s">
        <v>89</v>
      </c>
      <c r="AL37" s="75" t="s">
        <v>90</v>
      </c>
      <c r="AM37" s="75" t="s">
        <v>91</v>
      </c>
      <c r="AN37" s="75" t="s">
        <v>92</v>
      </c>
      <c r="AO37" s="75" t="s">
        <v>93</v>
      </c>
      <c r="AP37" s="152" t="s">
        <v>5</v>
      </c>
      <c r="AQ37" s="132"/>
      <c r="AR37" s="63" t="s">
        <v>3</v>
      </c>
      <c r="AS37" s="34" t="s">
        <v>4</v>
      </c>
      <c r="AT37" s="95" t="s">
        <v>5</v>
      </c>
      <c r="AU37" s="226"/>
      <c r="AV37" s="75" t="s">
        <v>3</v>
      </c>
      <c r="AW37" s="74" t="s">
        <v>4</v>
      </c>
      <c r="AX37" s="73" t="s">
        <v>5</v>
      </c>
      <c r="AY37" s="226"/>
      <c r="AZ37" s="75" t="s">
        <v>3</v>
      </c>
      <c r="BA37" s="74" t="s">
        <v>4</v>
      </c>
      <c r="BB37" s="73" t="s">
        <v>5</v>
      </c>
    </row>
    <row r="38" spans="1:54" s="6" customFormat="1" ht="30" customHeight="1" x14ac:dyDescent="0.25">
      <c r="A38" s="36"/>
      <c r="B38" s="251" t="s">
        <v>59</v>
      </c>
      <c r="C38" s="252"/>
      <c r="D38" s="252"/>
      <c r="E38" s="253"/>
      <c r="F38" s="90">
        <f>(F39+F41+F43)</f>
        <v>1319280</v>
      </c>
      <c r="G38" s="236"/>
      <c r="H38" s="232"/>
      <c r="I38" s="233"/>
      <c r="J38" s="90">
        <f>SUM(J39+J41+J43)</f>
        <v>15000</v>
      </c>
      <c r="K38" s="226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95">
        <f>X39+X41+X43</f>
        <v>15000</v>
      </c>
      <c r="Y38" s="132"/>
      <c r="Z38" s="232"/>
      <c r="AA38" s="233"/>
      <c r="AB38" s="90">
        <f>SUM(AB39+AB41+AB43)</f>
        <v>21360</v>
      </c>
      <c r="AC38" s="226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95">
        <f>AP39+AP41+AP43</f>
        <v>21360</v>
      </c>
      <c r="AQ38" s="132"/>
      <c r="AR38" s="232"/>
      <c r="AS38" s="233"/>
      <c r="AT38" s="90">
        <f>SUM(AT39+AT41+AT43)</f>
        <v>539700</v>
      </c>
      <c r="AU38" s="226"/>
      <c r="AV38" s="232"/>
      <c r="AW38" s="233"/>
      <c r="AX38" s="31">
        <f>SUM(AX39+AX41+AX43)</f>
        <v>1003980</v>
      </c>
      <c r="AY38" s="226"/>
      <c r="AZ38" s="232"/>
      <c r="BA38" s="233"/>
      <c r="BB38" s="31">
        <f>SUM(BB39+BB41+BB43)</f>
        <v>470640</v>
      </c>
    </row>
    <row r="39" spans="1:54" ht="30" customHeight="1" x14ac:dyDescent="0.25">
      <c r="A39" s="37" t="s">
        <v>60</v>
      </c>
      <c r="B39" s="212" t="s">
        <v>61</v>
      </c>
      <c r="C39" s="213"/>
      <c r="D39" s="213"/>
      <c r="E39" s="214"/>
      <c r="F39" s="147">
        <f>SUM(F40:F40)</f>
        <v>858600</v>
      </c>
      <c r="G39" s="236"/>
      <c r="H39" s="230"/>
      <c r="I39" s="213"/>
      <c r="J39" s="77">
        <f>SUM(J40)</f>
        <v>0</v>
      </c>
      <c r="K39" s="226"/>
      <c r="L39" s="230"/>
      <c r="M39" s="213"/>
      <c r="N39" s="230"/>
      <c r="O39" s="213"/>
      <c r="P39" s="230"/>
      <c r="Q39" s="213"/>
      <c r="R39" s="230"/>
      <c r="S39" s="213"/>
      <c r="T39" s="230"/>
      <c r="U39" s="213"/>
      <c r="V39" s="230"/>
      <c r="W39" s="213"/>
      <c r="X39" s="147">
        <f>SUM(X40)</f>
        <v>0</v>
      </c>
      <c r="Y39" s="132"/>
      <c r="Z39" s="230"/>
      <c r="AA39" s="213"/>
      <c r="AB39" s="147">
        <f>SUM(AB40)</f>
        <v>3180</v>
      </c>
      <c r="AC39" s="226"/>
      <c r="AD39" s="230"/>
      <c r="AE39" s="213"/>
      <c r="AF39" s="230"/>
      <c r="AG39" s="213"/>
      <c r="AH39" s="230"/>
      <c r="AI39" s="213"/>
      <c r="AJ39" s="230"/>
      <c r="AK39" s="213"/>
      <c r="AL39" s="230"/>
      <c r="AM39" s="213"/>
      <c r="AN39" s="230"/>
      <c r="AO39" s="213"/>
      <c r="AP39" s="156">
        <f>SUM(AP40)</f>
        <v>3180</v>
      </c>
      <c r="AQ39" s="132"/>
      <c r="AR39" s="230"/>
      <c r="AS39" s="213"/>
      <c r="AT39" s="77">
        <f>SUM(AT40)</f>
        <v>346620</v>
      </c>
      <c r="AU39" s="226"/>
      <c r="AV39" s="230"/>
      <c r="AW39" s="213"/>
      <c r="AX39" s="30">
        <f>SUM(AX40)</f>
        <v>715500</v>
      </c>
      <c r="AY39" s="226"/>
      <c r="AZ39" s="230"/>
      <c r="BA39" s="213"/>
      <c r="BB39" s="30">
        <f>SUM(BB40)</f>
        <v>372060</v>
      </c>
    </row>
    <row r="40" spans="1:54" ht="40.9" customHeight="1" x14ac:dyDescent="0.25">
      <c r="A40" s="15" t="s">
        <v>62</v>
      </c>
      <c r="B40" s="16" t="s">
        <v>63</v>
      </c>
      <c r="C40" s="24">
        <f>(3360+3000)/2</f>
        <v>3180</v>
      </c>
      <c r="D40" s="56">
        <f>D14</f>
        <v>270</v>
      </c>
      <c r="E40" s="9"/>
      <c r="F40" s="149">
        <f>C40*D40</f>
        <v>858600</v>
      </c>
      <c r="G40" s="236"/>
      <c r="H40" s="56">
        <v>0</v>
      </c>
      <c r="I40" s="9"/>
      <c r="J40" s="91">
        <f>C40*H40</f>
        <v>0</v>
      </c>
      <c r="K40" s="256"/>
      <c r="L40" s="150">
        <v>0</v>
      </c>
      <c r="M40" s="150">
        <v>0</v>
      </c>
      <c r="N40" s="150">
        <v>0</v>
      </c>
      <c r="O40" s="150">
        <v>0</v>
      </c>
      <c r="P40" s="150">
        <v>0</v>
      </c>
      <c r="Q40" s="150">
        <v>0</v>
      </c>
      <c r="R40" s="150">
        <v>0</v>
      </c>
      <c r="S40" s="150">
        <v>0</v>
      </c>
      <c r="T40" s="150">
        <v>0</v>
      </c>
      <c r="U40" s="149">
        <f>$J$40/3</f>
        <v>0</v>
      </c>
      <c r="V40" s="149">
        <f t="shared" ref="V40:W40" si="55">$J$40/3</f>
        <v>0</v>
      </c>
      <c r="W40" s="149">
        <f t="shared" si="55"/>
        <v>0</v>
      </c>
      <c r="X40" s="149">
        <f>SUM(U40:W40)</f>
        <v>0</v>
      </c>
      <c r="Y40" s="141"/>
      <c r="Z40" s="151">
        <f>Z14+H23+H14</f>
        <v>1</v>
      </c>
      <c r="AA40" s="9"/>
      <c r="AB40" s="91">
        <f>C40*Z40</f>
        <v>3180</v>
      </c>
      <c r="AC40" s="226"/>
      <c r="AD40" s="150">
        <v>0</v>
      </c>
      <c r="AE40" s="150">
        <v>0</v>
      </c>
      <c r="AF40" s="150">
        <v>0</v>
      </c>
      <c r="AG40" s="150">
        <v>0</v>
      </c>
      <c r="AH40" s="150">
        <v>0</v>
      </c>
      <c r="AI40" s="150">
        <v>0</v>
      </c>
      <c r="AJ40" s="150">
        <v>0</v>
      </c>
      <c r="AK40" s="150">
        <v>0</v>
      </c>
      <c r="AL40" s="150">
        <v>0</v>
      </c>
      <c r="AM40" s="149">
        <f>$AB$40/3</f>
        <v>1060</v>
      </c>
      <c r="AN40" s="149">
        <f t="shared" ref="AN40:AO40" si="56">$AB$40/3</f>
        <v>1060</v>
      </c>
      <c r="AO40" s="149">
        <f t="shared" si="56"/>
        <v>1060</v>
      </c>
      <c r="AP40" s="157">
        <f>SUM(AM40:AO40)</f>
        <v>3180</v>
      </c>
      <c r="AQ40" s="132"/>
      <c r="AR40" s="151">
        <f>AR14+Z14</f>
        <v>109</v>
      </c>
      <c r="AS40" s="9"/>
      <c r="AT40" s="97">
        <f>C40*AR40</f>
        <v>346620</v>
      </c>
      <c r="AU40" s="226"/>
      <c r="AV40" s="56">
        <f>AV14+AR14</f>
        <v>225</v>
      </c>
      <c r="AW40" s="9"/>
      <c r="AX40" s="99">
        <f>C40*AV40</f>
        <v>715500</v>
      </c>
      <c r="AY40" s="226"/>
      <c r="AZ40" s="56">
        <f>AV14</f>
        <v>117</v>
      </c>
      <c r="BA40" s="9"/>
      <c r="BB40" s="99">
        <f>C40*AZ40</f>
        <v>372060</v>
      </c>
    </row>
    <row r="41" spans="1:54" ht="29.25" customHeight="1" x14ac:dyDescent="0.25">
      <c r="A41" s="37" t="s">
        <v>64</v>
      </c>
      <c r="B41" s="212" t="s">
        <v>65</v>
      </c>
      <c r="C41" s="213"/>
      <c r="D41" s="213"/>
      <c r="E41" s="214"/>
      <c r="F41" s="147">
        <f>SUM(F42:F42)</f>
        <v>400680</v>
      </c>
      <c r="G41" s="236"/>
      <c r="H41" s="230"/>
      <c r="I41" s="213"/>
      <c r="J41" s="77">
        <f>SUM(J42)</f>
        <v>0</v>
      </c>
      <c r="K41" s="226"/>
      <c r="L41" s="230"/>
      <c r="M41" s="213"/>
      <c r="N41" s="230"/>
      <c r="O41" s="213"/>
      <c r="P41" s="230"/>
      <c r="Q41" s="213"/>
      <c r="R41" s="230"/>
      <c r="S41" s="213"/>
      <c r="T41" s="230"/>
      <c r="U41" s="213"/>
      <c r="V41" s="230"/>
      <c r="W41" s="213"/>
      <c r="X41" s="147">
        <f>SUM(X42)</f>
        <v>0</v>
      </c>
      <c r="Y41" s="132"/>
      <c r="Z41" s="230"/>
      <c r="AA41" s="213"/>
      <c r="AB41" s="147">
        <f>SUM(AB42)</f>
        <v>3180</v>
      </c>
      <c r="AC41" s="226"/>
      <c r="AD41" s="230"/>
      <c r="AE41" s="213"/>
      <c r="AF41" s="230"/>
      <c r="AG41" s="213"/>
      <c r="AH41" s="230"/>
      <c r="AI41" s="213"/>
      <c r="AJ41" s="230"/>
      <c r="AK41" s="213"/>
      <c r="AL41" s="230"/>
      <c r="AM41" s="213"/>
      <c r="AN41" s="230"/>
      <c r="AO41" s="213"/>
      <c r="AP41" s="156">
        <f>SUM(AP42)</f>
        <v>3180</v>
      </c>
      <c r="AQ41" s="132"/>
      <c r="AR41" s="230"/>
      <c r="AS41" s="213"/>
      <c r="AT41" s="77">
        <f>SUM(AT42)</f>
        <v>178080</v>
      </c>
      <c r="AU41" s="226"/>
      <c r="AV41" s="230"/>
      <c r="AW41" s="213"/>
      <c r="AX41" s="30">
        <f>SUM(AX42)</f>
        <v>273480</v>
      </c>
      <c r="AY41" s="226"/>
      <c r="AZ41" s="230"/>
      <c r="BA41" s="213"/>
      <c r="BB41" s="30">
        <f>SUM(BB42)</f>
        <v>98580</v>
      </c>
    </row>
    <row r="42" spans="1:54" ht="40.15" customHeight="1" x14ac:dyDescent="0.25">
      <c r="A42" s="15" t="s">
        <v>66</v>
      </c>
      <c r="B42" s="16" t="s">
        <v>67</v>
      </c>
      <c r="C42" s="62">
        <f>(3360+3000)/2</f>
        <v>3180</v>
      </c>
      <c r="D42" s="57">
        <f>D23</f>
        <v>126</v>
      </c>
      <c r="E42" s="9"/>
      <c r="F42" s="149">
        <f>C42*D42</f>
        <v>400680</v>
      </c>
      <c r="G42" s="246"/>
      <c r="H42" s="56">
        <v>0</v>
      </c>
      <c r="I42" s="9"/>
      <c r="J42" s="91">
        <f>C42*H42</f>
        <v>0</v>
      </c>
      <c r="K42" s="256"/>
      <c r="L42" s="150">
        <v>0</v>
      </c>
      <c r="M42" s="150">
        <v>0</v>
      </c>
      <c r="N42" s="150">
        <v>0</v>
      </c>
      <c r="O42" s="150">
        <v>0</v>
      </c>
      <c r="P42" s="150">
        <v>0</v>
      </c>
      <c r="Q42" s="150">
        <v>0</v>
      </c>
      <c r="R42" s="150">
        <v>0</v>
      </c>
      <c r="S42" s="150">
        <v>0</v>
      </c>
      <c r="T42" s="150">
        <v>0</v>
      </c>
      <c r="U42" s="149">
        <f>$J$42/3</f>
        <v>0</v>
      </c>
      <c r="V42" s="149">
        <f t="shared" ref="V42:W42" si="57">$J$42/3</f>
        <v>0</v>
      </c>
      <c r="W42" s="149">
        <f t="shared" si="57"/>
        <v>0</v>
      </c>
      <c r="X42" s="149">
        <f>SUM(U42:W42)</f>
        <v>0</v>
      </c>
      <c r="Y42" s="141"/>
      <c r="Z42" s="151">
        <f>Z23+H42+H23</f>
        <v>1</v>
      </c>
      <c r="AA42" s="9"/>
      <c r="AB42" s="91">
        <f>C42*Z42</f>
        <v>3180</v>
      </c>
      <c r="AC42" s="226"/>
      <c r="AD42" s="150">
        <v>0</v>
      </c>
      <c r="AE42" s="150">
        <v>0</v>
      </c>
      <c r="AF42" s="150">
        <v>0</v>
      </c>
      <c r="AG42" s="150">
        <v>0</v>
      </c>
      <c r="AH42" s="150">
        <v>0</v>
      </c>
      <c r="AI42" s="150">
        <v>0</v>
      </c>
      <c r="AJ42" s="150">
        <v>0</v>
      </c>
      <c r="AK42" s="150">
        <v>0</v>
      </c>
      <c r="AL42" s="150">
        <v>0</v>
      </c>
      <c r="AM42" s="149">
        <f>$AB$42/3</f>
        <v>1060</v>
      </c>
      <c r="AN42" s="149">
        <f t="shared" ref="AN42:AO42" si="58">$AB$42/3</f>
        <v>1060</v>
      </c>
      <c r="AO42" s="149">
        <f t="shared" si="58"/>
        <v>1060</v>
      </c>
      <c r="AP42" s="157">
        <f>SUM(AM42:AO42)</f>
        <v>3180</v>
      </c>
      <c r="AQ42" s="132"/>
      <c r="AR42" s="151">
        <f>AR23+Z23</f>
        <v>56</v>
      </c>
      <c r="AS42" s="9"/>
      <c r="AT42" s="91">
        <f>C42*AR42</f>
        <v>178080</v>
      </c>
      <c r="AU42" s="226"/>
      <c r="AV42" s="56">
        <f>AV23+AR23</f>
        <v>86</v>
      </c>
      <c r="AW42" s="9"/>
      <c r="AX42" s="99">
        <f>C42*AV42</f>
        <v>273480</v>
      </c>
      <c r="AY42" s="226"/>
      <c r="AZ42" s="56">
        <f>AV23</f>
        <v>31</v>
      </c>
      <c r="BA42" s="9"/>
      <c r="BB42" s="99">
        <f>C42*AZ42</f>
        <v>98580</v>
      </c>
    </row>
    <row r="43" spans="1:54" ht="30" customHeight="1" x14ac:dyDescent="0.25">
      <c r="A43" s="37" t="s">
        <v>68</v>
      </c>
      <c r="B43" s="212" t="s">
        <v>69</v>
      </c>
      <c r="C43" s="213"/>
      <c r="D43" s="213"/>
      <c r="E43" s="214"/>
      <c r="F43" s="147">
        <f>SUM(F44)</f>
        <v>60000</v>
      </c>
      <c r="G43" s="236"/>
      <c r="H43" s="230"/>
      <c r="I43" s="213"/>
      <c r="J43" s="77">
        <f>SUM(J44)</f>
        <v>15000</v>
      </c>
      <c r="K43" s="226"/>
      <c r="L43" s="230"/>
      <c r="M43" s="213"/>
      <c r="N43" s="230"/>
      <c r="O43" s="213"/>
      <c r="P43" s="230"/>
      <c r="Q43" s="213"/>
      <c r="R43" s="230"/>
      <c r="S43" s="213"/>
      <c r="T43" s="230"/>
      <c r="U43" s="213"/>
      <c r="V43" s="230"/>
      <c r="W43" s="213"/>
      <c r="X43" s="147">
        <f>SUM(X44)</f>
        <v>15000</v>
      </c>
      <c r="Y43" s="132"/>
      <c r="Z43" s="230"/>
      <c r="AA43" s="213"/>
      <c r="AB43" s="147">
        <f>SUM(AB44)</f>
        <v>15000</v>
      </c>
      <c r="AC43" s="226"/>
      <c r="AD43" s="230"/>
      <c r="AE43" s="213"/>
      <c r="AF43" s="230"/>
      <c r="AG43" s="213"/>
      <c r="AH43" s="230"/>
      <c r="AI43" s="213"/>
      <c r="AJ43" s="230"/>
      <c r="AK43" s="213"/>
      <c r="AL43" s="230"/>
      <c r="AM43" s="213"/>
      <c r="AN43" s="230"/>
      <c r="AO43" s="213"/>
      <c r="AP43" s="156">
        <f>SUM(AP44)</f>
        <v>15000</v>
      </c>
      <c r="AQ43" s="132"/>
      <c r="AR43" s="230"/>
      <c r="AS43" s="213"/>
      <c r="AT43" s="77">
        <f>SUM(AT44)</f>
        <v>15000</v>
      </c>
      <c r="AU43" s="226"/>
      <c r="AV43" s="230"/>
      <c r="AW43" s="213"/>
      <c r="AX43" s="30">
        <f>SUM(AX44)</f>
        <v>15000</v>
      </c>
      <c r="AY43" s="226"/>
      <c r="AZ43" s="230"/>
      <c r="BA43" s="213"/>
      <c r="BB43" s="30">
        <f>SUM(BB44)</f>
        <v>0</v>
      </c>
    </row>
    <row r="44" spans="1:54" ht="36.6" customHeight="1" thickBot="1" x14ac:dyDescent="0.3">
      <c r="A44" s="15" t="s">
        <v>70</v>
      </c>
      <c r="B44" s="16" t="s">
        <v>71</v>
      </c>
      <c r="C44" s="21">
        <v>50</v>
      </c>
      <c r="D44" s="9"/>
      <c r="E44" s="42">
        <v>1200</v>
      </c>
      <c r="F44" s="149">
        <f>C44*E44</f>
        <v>60000</v>
      </c>
      <c r="G44" s="247"/>
      <c r="H44" s="9"/>
      <c r="I44" s="42">
        <f>E44*0.25</f>
        <v>300</v>
      </c>
      <c r="J44" s="91">
        <f>C44*I44</f>
        <v>15000</v>
      </c>
      <c r="K44" s="257"/>
      <c r="L44" s="150">
        <v>0</v>
      </c>
      <c r="M44" s="150">
        <v>0</v>
      </c>
      <c r="N44" s="150">
        <v>0</v>
      </c>
      <c r="O44" s="150">
        <v>0</v>
      </c>
      <c r="P44" s="150">
        <v>0</v>
      </c>
      <c r="Q44" s="150">
        <v>0</v>
      </c>
      <c r="R44" s="150">
        <v>0</v>
      </c>
      <c r="S44" s="150">
        <v>0</v>
      </c>
      <c r="T44" s="150">
        <v>0</v>
      </c>
      <c r="U44" s="149">
        <f>$J$44/3</f>
        <v>5000</v>
      </c>
      <c r="V44" s="149">
        <f t="shared" ref="V44:W44" si="59">$J$44/3</f>
        <v>5000</v>
      </c>
      <c r="W44" s="149">
        <f t="shared" si="59"/>
        <v>5000</v>
      </c>
      <c r="X44" s="149">
        <f>SUM(U44:W44)</f>
        <v>15000</v>
      </c>
      <c r="Y44" s="148"/>
      <c r="Z44" s="44"/>
      <c r="AA44" s="42">
        <f>E44*0.25</f>
        <v>300</v>
      </c>
      <c r="AB44" s="91">
        <f>C44*AA44</f>
        <v>15000</v>
      </c>
      <c r="AC44" s="227"/>
      <c r="AD44" s="150">
        <v>0</v>
      </c>
      <c r="AE44" s="150">
        <v>0</v>
      </c>
      <c r="AF44" s="150">
        <v>0</v>
      </c>
      <c r="AG44" s="150">
        <v>0</v>
      </c>
      <c r="AH44" s="150">
        <v>0</v>
      </c>
      <c r="AI44" s="150">
        <v>0</v>
      </c>
      <c r="AJ44" s="150">
        <v>0</v>
      </c>
      <c r="AK44" s="150">
        <v>0</v>
      </c>
      <c r="AL44" s="150">
        <v>0</v>
      </c>
      <c r="AM44" s="149">
        <f>$J$44/3</f>
        <v>5000</v>
      </c>
      <c r="AN44" s="149">
        <f t="shared" ref="AN44:AO44" si="60">$J$44/3</f>
        <v>5000</v>
      </c>
      <c r="AO44" s="149">
        <f t="shared" si="60"/>
        <v>5000</v>
      </c>
      <c r="AP44" s="157">
        <f>SUM(AM44:AO44)</f>
        <v>15000</v>
      </c>
      <c r="AQ44" s="133"/>
      <c r="AR44" s="44"/>
      <c r="AS44" s="42">
        <f>E44*0.25</f>
        <v>300</v>
      </c>
      <c r="AT44" s="91">
        <f>C44*AS44</f>
        <v>15000</v>
      </c>
      <c r="AU44" s="227"/>
      <c r="AV44" s="9"/>
      <c r="AW44" s="42">
        <f>E44*0.25</f>
        <v>300</v>
      </c>
      <c r="AX44" s="99">
        <f>C44*AW44</f>
        <v>15000</v>
      </c>
      <c r="AY44" s="227"/>
      <c r="AZ44" s="9"/>
      <c r="BA44" s="42">
        <v>0</v>
      </c>
      <c r="BB44" s="99">
        <f>G44*BA44</f>
        <v>0</v>
      </c>
    </row>
    <row r="45" spans="1:54" ht="30.6" customHeight="1" x14ac:dyDescent="0.25">
      <c r="B45" s="10"/>
      <c r="F45" s="22"/>
      <c r="G45" s="27"/>
      <c r="H45" s="11"/>
      <c r="I45" s="11"/>
      <c r="J45" s="4" t="s">
        <v>57</v>
      </c>
      <c r="U45" s="166">
        <f>SUM(U40:U44)</f>
        <v>5000</v>
      </c>
      <c r="V45" s="166">
        <f>SUM(V40:V44)</f>
        <v>5000</v>
      </c>
      <c r="W45" s="166">
        <f>SUM(W40:W44)</f>
        <v>5000</v>
      </c>
      <c r="AM45" s="166">
        <f>SUM(AM40:AM44)</f>
        <v>7120</v>
      </c>
      <c r="AN45" s="166">
        <f>SUM(AN40:AN44)</f>
        <v>7120</v>
      </c>
      <c r="AO45" s="166">
        <f>SUM(AO40:AO44)</f>
        <v>7120</v>
      </c>
    </row>
    <row r="46" spans="1:54" ht="21.6" customHeight="1" x14ac:dyDescent="0.25">
      <c r="A46" s="126"/>
      <c r="B46" s="217" t="s">
        <v>72</v>
      </c>
      <c r="C46" s="218"/>
      <c r="D46" s="119">
        <f>SUM(D47:D48)</f>
        <v>20766810</v>
      </c>
      <c r="E46" s="53"/>
      <c r="H46" s="3"/>
      <c r="I46" s="3"/>
    </row>
    <row r="47" spans="1:54" x14ac:dyDescent="0.25">
      <c r="A47" s="215" t="s">
        <v>73</v>
      </c>
      <c r="B47" s="219" t="s">
        <v>74</v>
      </c>
      <c r="C47" s="220"/>
      <c r="D47" s="99">
        <f>F5</f>
        <v>18128250</v>
      </c>
      <c r="E47" s="54"/>
      <c r="G47" s="25"/>
      <c r="H47" s="3"/>
      <c r="I47" s="3"/>
    </row>
    <row r="48" spans="1:54" x14ac:dyDescent="0.25">
      <c r="A48" s="216"/>
      <c r="B48" s="219" t="s">
        <v>75</v>
      </c>
      <c r="C48" s="220"/>
      <c r="D48" s="99">
        <f>F38*2</f>
        <v>2638560</v>
      </c>
      <c r="E48" s="54"/>
      <c r="G48" s="29"/>
      <c r="H48" s="3"/>
      <c r="I48" s="3"/>
    </row>
    <row r="49" spans="1:9" x14ac:dyDescent="0.25">
      <c r="C49" s="55"/>
      <c r="D49" s="5"/>
      <c r="E49" s="55"/>
      <c r="G49" s="25"/>
      <c r="H49" s="3"/>
      <c r="I49" s="3"/>
    </row>
    <row r="50" spans="1:9" ht="22.15" customHeight="1" x14ac:dyDescent="0.25">
      <c r="A50" s="126"/>
      <c r="B50" s="234" t="s">
        <v>76</v>
      </c>
      <c r="C50" s="218"/>
      <c r="D50" s="119">
        <f>SUM(D51:D52)</f>
        <v>1089078</v>
      </c>
      <c r="E50" s="4"/>
      <c r="F50" s="18"/>
      <c r="G50" s="25"/>
      <c r="H50" s="3"/>
      <c r="I50" s="3"/>
    </row>
    <row r="51" spans="1:9" x14ac:dyDescent="0.25">
      <c r="A51" s="215" t="s">
        <v>73</v>
      </c>
      <c r="B51" s="219" t="s">
        <v>74</v>
      </c>
      <c r="C51" s="220"/>
      <c r="D51" s="99">
        <f>J5</f>
        <v>1074078</v>
      </c>
      <c r="E51" s="4"/>
      <c r="F51" s="18"/>
      <c r="G51" s="25"/>
      <c r="H51" s="3"/>
      <c r="I51" s="3"/>
    </row>
    <row r="52" spans="1:9" x14ac:dyDescent="0.25">
      <c r="A52" s="216"/>
      <c r="B52" s="219" t="s">
        <v>77</v>
      </c>
      <c r="C52" s="220"/>
      <c r="D52" s="99">
        <f>J38</f>
        <v>15000</v>
      </c>
      <c r="E52" s="4"/>
      <c r="F52" s="18"/>
      <c r="G52" s="25"/>
      <c r="H52" s="3"/>
      <c r="I52" s="3"/>
    </row>
    <row r="53" spans="1:9" x14ac:dyDescent="0.25">
      <c r="A53" s="4"/>
      <c r="B53" s="4"/>
      <c r="C53" s="4"/>
      <c r="D53" s="4"/>
      <c r="E53" s="4"/>
      <c r="F53" s="18"/>
      <c r="G53" s="25"/>
      <c r="H53" s="3"/>
      <c r="I53" s="3"/>
    </row>
    <row r="54" spans="1:9" ht="21.6" customHeight="1" x14ac:dyDescent="0.25">
      <c r="A54" s="126"/>
      <c r="B54" s="234" t="s">
        <v>78</v>
      </c>
      <c r="C54" s="218"/>
      <c r="D54" s="119">
        <f>SUM(D55:D56)</f>
        <v>557083.16666666674</v>
      </c>
      <c r="E54" s="4"/>
      <c r="F54" s="18"/>
      <c r="G54" s="25"/>
      <c r="H54" s="3"/>
      <c r="I54" s="3"/>
    </row>
    <row r="55" spans="1:9" x14ac:dyDescent="0.25">
      <c r="A55" s="215" t="s">
        <v>73</v>
      </c>
      <c r="B55" s="219" t="s">
        <v>74</v>
      </c>
      <c r="C55" s="220"/>
      <c r="D55" s="99">
        <f>AB5</f>
        <v>300403.16666666669</v>
      </c>
      <c r="E55" s="4"/>
      <c r="F55" s="18"/>
      <c r="G55" s="25"/>
      <c r="H55" s="3"/>
      <c r="I55" s="3"/>
    </row>
    <row r="56" spans="1:9" x14ac:dyDescent="0.25">
      <c r="A56" s="216"/>
      <c r="B56" s="219" t="s">
        <v>77</v>
      </c>
      <c r="C56" s="220"/>
      <c r="D56" s="99">
        <f>AB38+(BB38*0.5)</f>
        <v>256680</v>
      </c>
      <c r="E56" s="4"/>
      <c r="F56" s="18"/>
      <c r="G56" s="25"/>
      <c r="H56" s="3"/>
      <c r="I56" s="3"/>
    </row>
    <row r="57" spans="1:9" x14ac:dyDescent="0.25">
      <c r="A57" s="4"/>
      <c r="B57" s="4"/>
      <c r="C57" s="4"/>
      <c r="D57" s="4"/>
      <c r="E57" s="4"/>
      <c r="F57" s="18"/>
      <c r="G57" s="25"/>
      <c r="H57" s="3"/>
      <c r="I57" s="3"/>
    </row>
    <row r="58" spans="1:9" ht="21.6" customHeight="1" x14ac:dyDescent="0.25">
      <c r="A58" s="126"/>
      <c r="B58" s="234" t="s">
        <v>79</v>
      </c>
      <c r="C58" s="218"/>
      <c r="D58" s="119">
        <f>SUM(D59:D60)</f>
        <v>7904674.166666667</v>
      </c>
      <c r="E58" s="4"/>
      <c r="F58" s="18"/>
      <c r="G58" s="25"/>
      <c r="H58" s="3"/>
      <c r="I58" s="3"/>
    </row>
    <row r="59" spans="1:9" x14ac:dyDescent="0.25">
      <c r="A59" s="215" t="s">
        <v>73</v>
      </c>
      <c r="B59" s="219" t="s">
        <v>74</v>
      </c>
      <c r="C59" s="220"/>
      <c r="D59" s="99">
        <f>AT5</f>
        <v>7129654.166666667</v>
      </c>
      <c r="E59" s="4"/>
      <c r="F59" s="18"/>
      <c r="G59" s="25"/>
      <c r="H59" s="3"/>
      <c r="I59" s="3"/>
    </row>
    <row r="60" spans="1:9" x14ac:dyDescent="0.25">
      <c r="A60" s="216"/>
      <c r="B60" s="219" t="s">
        <v>77</v>
      </c>
      <c r="C60" s="220"/>
      <c r="D60" s="99">
        <f>AT38+(BB38*0.5)</f>
        <v>775020</v>
      </c>
      <c r="E60" s="4"/>
      <c r="F60" s="18"/>
      <c r="G60" s="25"/>
      <c r="H60" s="3"/>
      <c r="I60" s="3"/>
    </row>
    <row r="62" spans="1:9" ht="15.75" x14ac:dyDescent="0.25">
      <c r="B62" s="234" t="s">
        <v>80</v>
      </c>
      <c r="C62" s="218"/>
      <c r="D62" s="119">
        <f>SUM(D63:D64)</f>
        <v>8133234.166666667</v>
      </c>
    </row>
    <row r="63" spans="1:9" x14ac:dyDescent="0.25">
      <c r="A63" s="215" t="s">
        <v>73</v>
      </c>
      <c r="B63" s="219" t="s">
        <v>74</v>
      </c>
      <c r="C63" s="220"/>
      <c r="D63" s="99">
        <f>AX5</f>
        <v>7129254.166666667</v>
      </c>
      <c r="E63" s="4"/>
      <c r="H63" s="4"/>
      <c r="I63" s="4"/>
    </row>
    <row r="64" spans="1:9" x14ac:dyDescent="0.25">
      <c r="A64" s="216"/>
      <c r="B64" s="219" t="s">
        <v>77</v>
      </c>
      <c r="C64" s="220"/>
      <c r="D64" s="99">
        <f>AX38</f>
        <v>1003980</v>
      </c>
    </row>
  </sheetData>
  <mergeCells count="169">
    <mergeCell ref="B8:E8"/>
    <mergeCell ref="H8:I8"/>
    <mergeCell ref="L8:W8"/>
    <mergeCell ref="Z8:AA8"/>
    <mergeCell ref="AD8:AO8"/>
    <mergeCell ref="AH17:AI17"/>
    <mergeCell ref="AJ17:AK17"/>
    <mergeCell ref="AR32:AS32"/>
    <mergeCell ref="AD3:AP3"/>
    <mergeCell ref="AD5:AO5"/>
    <mergeCell ref="Z26:AA26"/>
    <mergeCell ref="AR26:AS26"/>
    <mergeCell ref="B32:E32"/>
    <mergeCell ref="B30:E30"/>
    <mergeCell ref="B17:E17"/>
    <mergeCell ref="B26:E26"/>
    <mergeCell ref="AJ26:AK26"/>
    <mergeCell ref="AL26:AM26"/>
    <mergeCell ref="AN26:AO26"/>
    <mergeCell ref="AV26:AW26"/>
    <mergeCell ref="AL17:AM17"/>
    <mergeCell ref="H17:I17"/>
    <mergeCell ref="L17:W17"/>
    <mergeCell ref="AQ3:AQ33"/>
    <mergeCell ref="AF30:AG30"/>
    <mergeCell ref="AH30:AI30"/>
    <mergeCell ref="AV5:AW5"/>
    <mergeCell ref="H3:J3"/>
    <mergeCell ref="K3:K33"/>
    <mergeCell ref="L3:X3"/>
    <mergeCell ref="Y3:Y33"/>
    <mergeCell ref="AR17:AS17"/>
    <mergeCell ref="AD17:AE17"/>
    <mergeCell ref="AF17:AG17"/>
    <mergeCell ref="AD32:AE32"/>
    <mergeCell ref="AF32:AG32"/>
    <mergeCell ref="H32:I32"/>
    <mergeCell ref="L32:W32"/>
    <mergeCell ref="Z32:AA32"/>
    <mergeCell ref="AD26:AE26"/>
    <mergeCell ref="AF26:AG26"/>
    <mergeCell ref="H26:I26"/>
    <mergeCell ref="L26:W26"/>
    <mergeCell ref="AR36:AT36"/>
    <mergeCell ref="AU36:AU44"/>
    <mergeCell ref="AV36:AX36"/>
    <mergeCell ref="T39:U39"/>
    <mergeCell ref="AR39:AS39"/>
    <mergeCell ref="AV39:AW39"/>
    <mergeCell ref="AR30:AS30"/>
    <mergeCell ref="AV30:AW30"/>
    <mergeCell ref="AD36:AP36"/>
    <mergeCell ref="AD38:AO38"/>
    <mergeCell ref="AH41:AI41"/>
    <mergeCell ref="AJ41:AK41"/>
    <mergeCell ref="AV32:AW32"/>
    <mergeCell ref="AU3:AU33"/>
    <mergeCell ref="AV3:AX3"/>
    <mergeCell ref="AV8:AW8"/>
    <mergeCell ref="AL30:AM30"/>
    <mergeCell ref="AN30:AO30"/>
    <mergeCell ref="AH26:AI26"/>
    <mergeCell ref="AC36:AC44"/>
    <mergeCell ref="Z17:AA17"/>
    <mergeCell ref="AF41:AG41"/>
    <mergeCell ref="V39:W39"/>
    <mergeCell ref="Z39:AA39"/>
    <mergeCell ref="H36:J36"/>
    <mergeCell ref="Z36:AB36"/>
    <mergeCell ref="AV17:AW17"/>
    <mergeCell ref="A5:E5"/>
    <mergeCell ref="H5:I5"/>
    <mergeCell ref="L5:W5"/>
    <mergeCell ref="Z5:AA5"/>
    <mergeCell ref="AR5:AS5"/>
    <mergeCell ref="C3:F3"/>
    <mergeCell ref="G3:G33"/>
    <mergeCell ref="H30:I30"/>
    <mergeCell ref="L30:W30"/>
    <mergeCell ref="Z30:AA30"/>
    <mergeCell ref="AJ32:AK32"/>
    <mergeCell ref="AL32:AM32"/>
    <mergeCell ref="AN32:AO32"/>
    <mergeCell ref="AN17:AO17"/>
    <mergeCell ref="AD30:AE30"/>
    <mergeCell ref="AR8:AS8"/>
    <mergeCell ref="Z3:AB3"/>
    <mergeCell ref="AC3:AC33"/>
    <mergeCell ref="AH32:AI32"/>
    <mergeCell ref="AR3:AT3"/>
    <mergeCell ref="AJ30:AK30"/>
    <mergeCell ref="AZ39:BA39"/>
    <mergeCell ref="B41:E41"/>
    <mergeCell ref="H41:I41"/>
    <mergeCell ref="L41:M41"/>
    <mergeCell ref="N41:O41"/>
    <mergeCell ref="P41:Q41"/>
    <mergeCell ref="B39:E39"/>
    <mergeCell ref="H39:I39"/>
    <mergeCell ref="L39:M39"/>
    <mergeCell ref="N39:O39"/>
    <mergeCell ref="P39:Q39"/>
    <mergeCell ref="R39:S39"/>
    <mergeCell ref="AY36:AY44"/>
    <mergeCell ref="AZ36:BB36"/>
    <mergeCell ref="G37:G44"/>
    <mergeCell ref="B38:E38"/>
    <mergeCell ref="H38:I38"/>
    <mergeCell ref="L38:W38"/>
    <mergeCell ref="Z38:AA38"/>
    <mergeCell ref="AR38:AS38"/>
    <mergeCell ref="AV38:AW38"/>
    <mergeCell ref="AZ38:BA38"/>
    <mergeCell ref="AR43:AS43"/>
    <mergeCell ref="AV43:AW43"/>
    <mergeCell ref="AZ43:BA43"/>
    <mergeCell ref="B46:C46"/>
    <mergeCell ref="A47:A48"/>
    <mergeCell ref="B47:C47"/>
    <mergeCell ref="B48:C48"/>
    <mergeCell ref="AZ41:BA41"/>
    <mergeCell ref="B43:E43"/>
    <mergeCell ref="H43:I43"/>
    <mergeCell ref="L43:M43"/>
    <mergeCell ref="N43:O43"/>
    <mergeCell ref="P43:Q43"/>
    <mergeCell ref="R43:S43"/>
    <mergeCell ref="T43:U43"/>
    <mergeCell ref="V43:W43"/>
    <mergeCell ref="Z43:AA43"/>
    <mergeCell ref="R41:S41"/>
    <mergeCell ref="T41:U41"/>
    <mergeCell ref="V41:W41"/>
    <mergeCell ref="Z41:AA41"/>
    <mergeCell ref="AR41:AS41"/>
    <mergeCell ref="AV41:AW41"/>
    <mergeCell ref="AD41:AE41"/>
    <mergeCell ref="K36:K44"/>
    <mergeCell ref="L36:X36"/>
    <mergeCell ref="B62:C62"/>
    <mergeCell ref="A63:A64"/>
    <mergeCell ref="B63:C63"/>
    <mergeCell ref="B64:C64"/>
    <mergeCell ref="B50:C50"/>
    <mergeCell ref="A51:A52"/>
    <mergeCell ref="B51:C51"/>
    <mergeCell ref="B52:C52"/>
    <mergeCell ref="B54:C54"/>
    <mergeCell ref="A55:A56"/>
    <mergeCell ref="B55:C55"/>
    <mergeCell ref="B56:C56"/>
    <mergeCell ref="B58:C58"/>
    <mergeCell ref="A59:A60"/>
    <mergeCell ref="B59:C59"/>
    <mergeCell ref="B60:C60"/>
    <mergeCell ref="AN41:AO41"/>
    <mergeCell ref="AD43:AE43"/>
    <mergeCell ref="AF43:AG43"/>
    <mergeCell ref="AH43:AI43"/>
    <mergeCell ref="AJ43:AK43"/>
    <mergeCell ref="AL43:AM43"/>
    <mergeCell ref="AN43:AO43"/>
    <mergeCell ref="AD39:AE39"/>
    <mergeCell ref="AF39:AG39"/>
    <mergeCell ref="AH39:AI39"/>
    <mergeCell ref="AJ39:AK39"/>
    <mergeCell ref="AL39:AM39"/>
    <mergeCell ref="AN39:AO39"/>
    <mergeCell ref="AL41:AM4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1947B-B89E-4EDE-A73D-EB9109201329}">
  <dimension ref="A2:BP64"/>
  <sheetViews>
    <sheetView showGridLines="0" topLeftCell="AI1" zoomScale="70" zoomScaleNormal="70" workbookViewId="0">
      <selection activeCell="AR9" sqref="AR9"/>
    </sheetView>
  </sheetViews>
  <sheetFormatPr baseColWidth="10" defaultColWidth="11.5703125" defaultRowHeight="15" x14ac:dyDescent="0.25"/>
  <cols>
    <col min="1" max="1" width="12.7109375" style="14" customWidth="1"/>
    <col min="2" max="2" width="50.85546875" style="1" customWidth="1"/>
    <col min="3" max="3" width="26.42578125" style="20" customWidth="1"/>
    <col min="4" max="4" width="16.85546875" style="2" customWidth="1"/>
    <col min="5" max="5" width="11.7109375" style="2" customWidth="1"/>
    <col min="6" max="6" width="16.28515625" style="20" customWidth="1"/>
    <col min="7" max="7" width="1.7109375" style="28" customWidth="1"/>
    <col min="8" max="8" width="9.7109375" style="12" customWidth="1"/>
    <col min="9" max="9" width="7.42578125" style="12" customWidth="1"/>
    <col min="10" max="10" width="14.85546875" style="4" customWidth="1"/>
    <col min="11" max="11" width="2" style="4" customWidth="1"/>
    <col min="12" max="12" width="14.28515625" style="4" customWidth="1"/>
    <col min="13" max="13" width="11.5703125" style="4" customWidth="1"/>
    <col min="14" max="14" width="10.5703125" style="4" customWidth="1"/>
    <col min="15" max="16" width="9.85546875" style="4" customWidth="1"/>
    <col min="17" max="17" width="10.28515625" style="4" customWidth="1"/>
    <col min="18" max="18" width="10.7109375" style="4" customWidth="1"/>
    <col min="19" max="19" width="12.140625" style="4" customWidth="1"/>
    <col min="20" max="20" width="13.5703125" style="4" customWidth="1"/>
    <col min="21" max="21" width="15" style="4" customWidth="1"/>
    <col min="22" max="22" width="12.28515625" style="4" customWidth="1"/>
    <col min="23" max="23" width="14.7109375" style="4" customWidth="1"/>
    <col min="24" max="24" width="16.5703125" style="4" customWidth="1"/>
    <col min="25" max="25" width="2.140625" style="4" customWidth="1"/>
    <col min="26" max="26" width="10" style="4" customWidth="1"/>
    <col min="27" max="27" width="9.140625" style="4" customWidth="1"/>
    <col min="28" max="28" width="13.7109375" style="4" customWidth="1"/>
    <col min="29" max="29" width="2.28515625" style="4" customWidth="1"/>
    <col min="30" max="30" width="13.85546875" style="4" customWidth="1"/>
    <col min="31" max="31" width="17" style="4" customWidth="1"/>
    <col min="32" max="32" width="17.7109375" style="4" customWidth="1"/>
    <col min="33" max="34" width="12.5703125" style="4" customWidth="1"/>
    <col min="35" max="35" width="12" style="4" customWidth="1"/>
    <col min="36" max="36" width="15.7109375" style="4" customWidth="1"/>
    <col min="37" max="37" width="14.85546875" style="4" customWidth="1"/>
    <col min="38" max="38" width="14" style="4" customWidth="1"/>
    <col min="39" max="39" width="15.28515625" style="4" customWidth="1"/>
    <col min="40" max="40" width="13.140625" style="4" customWidth="1"/>
    <col min="41" max="41" width="11.140625" style="4" customWidth="1"/>
    <col min="42" max="42" width="13.7109375" style="4" customWidth="1"/>
    <col min="43" max="43" width="1.85546875" style="4" customWidth="1"/>
    <col min="44" max="44" width="9.7109375" style="4" customWidth="1"/>
    <col min="45" max="45" width="9.28515625" style="4" customWidth="1"/>
    <col min="46" max="46" width="14.7109375" style="4" customWidth="1"/>
    <col min="47" max="47" width="1.85546875" style="4" customWidth="1"/>
    <col min="48" max="48" width="14.28515625" style="4" customWidth="1"/>
    <col min="49" max="49" width="16.28515625" style="4" customWidth="1"/>
    <col min="50" max="50" width="14.5703125" style="4" customWidth="1"/>
    <col min="51" max="51" width="11.7109375" style="4" customWidth="1"/>
    <col min="52" max="52" width="19.5703125" style="4" customWidth="1"/>
    <col min="53" max="53" width="18.42578125" style="4" customWidth="1"/>
    <col min="54" max="54" width="19.7109375" style="4" customWidth="1"/>
    <col min="55" max="55" width="19.140625" style="4" customWidth="1"/>
    <col min="56" max="56" width="16.28515625" style="4" customWidth="1"/>
    <col min="57" max="57" width="20.28515625" style="4" customWidth="1"/>
    <col min="58" max="58" width="19.42578125" style="4" customWidth="1"/>
    <col min="59" max="59" width="13.140625" style="4" customWidth="1"/>
    <col min="60" max="60" width="16" style="4" customWidth="1"/>
    <col min="61" max="61" width="2.7109375" style="4" customWidth="1"/>
    <col min="62" max="62" width="7.5703125" style="4" customWidth="1"/>
    <col min="63" max="63" width="10" style="4" customWidth="1"/>
    <col min="64" max="64" width="14.28515625" style="4" customWidth="1"/>
    <col min="65" max="65" width="1.7109375" style="4" customWidth="1"/>
    <col min="66" max="66" width="6.7109375" style="4" customWidth="1"/>
    <col min="67" max="67" width="9.42578125" style="4" customWidth="1"/>
    <col min="68" max="68" width="14.7109375" style="4" customWidth="1"/>
    <col min="69" max="16384" width="11.5703125" style="4"/>
  </cols>
  <sheetData>
    <row r="2" spans="1:64" ht="15.75" thickBot="1" x14ac:dyDescent="0.3"/>
    <row r="3" spans="1:64" ht="28.9" customHeight="1" thickBot="1" x14ac:dyDescent="0.3">
      <c r="C3" s="231" t="s">
        <v>0</v>
      </c>
      <c r="D3" s="223"/>
      <c r="E3" s="223"/>
      <c r="F3" s="224"/>
      <c r="G3" s="235"/>
      <c r="H3" s="223">
        <v>2025</v>
      </c>
      <c r="I3" s="223"/>
      <c r="J3" s="224"/>
      <c r="K3" s="225"/>
      <c r="L3" s="231">
        <v>2025</v>
      </c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4"/>
      <c r="Y3" s="264" t="s">
        <v>81</v>
      </c>
      <c r="Z3" s="223">
        <v>2026</v>
      </c>
      <c r="AA3" s="223"/>
      <c r="AB3" s="223"/>
      <c r="AC3" s="225"/>
      <c r="AD3" s="223">
        <v>2026</v>
      </c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4"/>
      <c r="AQ3" s="225"/>
      <c r="AR3" s="223">
        <v>2027</v>
      </c>
      <c r="AS3" s="223"/>
      <c r="AT3" s="223"/>
      <c r="AU3" s="225"/>
      <c r="AV3" s="223">
        <v>2027</v>
      </c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4"/>
      <c r="BI3" s="225"/>
      <c r="BJ3" s="231">
        <v>2028</v>
      </c>
      <c r="BK3" s="223"/>
      <c r="BL3" s="224"/>
    </row>
    <row r="4" spans="1:64" ht="48" customHeight="1" thickBot="1" x14ac:dyDescent="0.3">
      <c r="A4" s="124" t="e" vm="1">
        <v>#VALUE!</v>
      </c>
      <c r="B4" s="123" t="s">
        <v>1</v>
      </c>
      <c r="C4" s="73" t="s">
        <v>2</v>
      </c>
      <c r="D4" s="74" t="s">
        <v>3</v>
      </c>
      <c r="E4" s="74" t="s">
        <v>4</v>
      </c>
      <c r="F4" s="78" t="s">
        <v>5</v>
      </c>
      <c r="G4" s="236"/>
      <c r="H4" s="75" t="s">
        <v>3</v>
      </c>
      <c r="I4" s="74" t="s">
        <v>4</v>
      </c>
      <c r="J4" s="89" t="s">
        <v>5</v>
      </c>
      <c r="K4" s="226"/>
      <c r="L4" s="75" t="s">
        <v>82</v>
      </c>
      <c r="M4" s="75" t="s">
        <v>83</v>
      </c>
      <c r="N4" s="75" t="s">
        <v>84</v>
      </c>
      <c r="O4" s="75" t="s">
        <v>85</v>
      </c>
      <c r="P4" s="75" t="s">
        <v>86</v>
      </c>
      <c r="Q4" s="75" t="s">
        <v>87</v>
      </c>
      <c r="R4" s="75" t="s">
        <v>88</v>
      </c>
      <c r="S4" s="75" t="s">
        <v>89</v>
      </c>
      <c r="T4" s="75" t="s">
        <v>90</v>
      </c>
      <c r="U4" s="75" t="s">
        <v>91</v>
      </c>
      <c r="V4" s="75" t="s">
        <v>92</v>
      </c>
      <c r="W4" s="75" t="s">
        <v>93</v>
      </c>
      <c r="X4" s="74" t="s">
        <v>5</v>
      </c>
      <c r="Y4" s="254"/>
      <c r="Z4" s="75" t="s">
        <v>3</v>
      </c>
      <c r="AA4" s="74" t="s">
        <v>4</v>
      </c>
      <c r="AB4" s="89" t="s">
        <v>5</v>
      </c>
      <c r="AC4" s="226"/>
      <c r="AD4" s="75" t="s">
        <v>82</v>
      </c>
      <c r="AE4" s="75" t="s">
        <v>83</v>
      </c>
      <c r="AF4" s="75" t="s">
        <v>84</v>
      </c>
      <c r="AG4" s="75" t="s">
        <v>85</v>
      </c>
      <c r="AH4" s="75" t="s">
        <v>86</v>
      </c>
      <c r="AI4" s="75" t="s">
        <v>87</v>
      </c>
      <c r="AJ4" s="75" t="s">
        <v>88</v>
      </c>
      <c r="AK4" s="75" t="s">
        <v>89</v>
      </c>
      <c r="AL4" s="75" t="s">
        <v>90</v>
      </c>
      <c r="AM4" s="75" t="s">
        <v>91</v>
      </c>
      <c r="AN4" s="75" t="s">
        <v>92</v>
      </c>
      <c r="AO4" s="75" t="s">
        <v>93</v>
      </c>
      <c r="AP4" s="152" t="s">
        <v>5</v>
      </c>
      <c r="AQ4" s="226"/>
      <c r="AR4" s="75" t="s">
        <v>3</v>
      </c>
      <c r="AS4" s="74" t="s">
        <v>4</v>
      </c>
      <c r="AT4" s="89" t="s">
        <v>5</v>
      </c>
      <c r="AU4" s="226"/>
      <c r="AV4" s="75" t="s">
        <v>82</v>
      </c>
      <c r="AW4" s="75" t="s">
        <v>83</v>
      </c>
      <c r="AX4" s="75" t="s">
        <v>84</v>
      </c>
      <c r="AY4" s="75" t="s">
        <v>85</v>
      </c>
      <c r="AZ4" s="75" t="s">
        <v>86</v>
      </c>
      <c r="BA4" s="75" t="s">
        <v>87</v>
      </c>
      <c r="BB4" s="75" t="s">
        <v>88</v>
      </c>
      <c r="BC4" s="75" t="s">
        <v>89</v>
      </c>
      <c r="BD4" s="75" t="s">
        <v>90</v>
      </c>
      <c r="BE4" s="75" t="s">
        <v>91</v>
      </c>
      <c r="BF4" s="75" t="s">
        <v>92</v>
      </c>
      <c r="BG4" s="75" t="s">
        <v>93</v>
      </c>
      <c r="BH4" s="152" t="s">
        <v>5</v>
      </c>
      <c r="BI4" s="226"/>
      <c r="BJ4" s="75" t="s">
        <v>3</v>
      </c>
      <c r="BK4" s="74" t="s">
        <v>4</v>
      </c>
      <c r="BL4" s="73" t="s">
        <v>5</v>
      </c>
    </row>
    <row r="5" spans="1:64" s="6" customFormat="1" ht="40.9" customHeight="1" x14ac:dyDescent="0.25">
      <c r="A5" s="258" t="s">
        <v>6</v>
      </c>
      <c r="B5" s="259"/>
      <c r="C5" s="259"/>
      <c r="D5" s="259"/>
      <c r="E5" s="260"/>
      <c r="F5" s="79">
        <f>F8+F17+F26+F32+F30+F3</f>
        <v>18128250</v>
      </c>
      <c r="G5" s="236"/>
      <c r="H5" s="228"/>
      <c r="I5" s="229"/>
      <c r="J5" s="90">
        <f>J6+J8+J17+J26+J30+J32</f>
        <v>1074078</v>
      </c>
      <c r="K5" s="226"/>
      <c r="L5" s="262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9"/>
      <c r="X5" s="33">
        <f>X6+X8+X17+X26+X30+X32</f>
        <v>1074078</v>
      </c>
      <c r="Y5" s="254"/>
      <c r="Z5" s="228"/>
      <c r="AA5" s="229"/>
      <c r="AB5" s="90">
        <f>AB6+AB8+AB17+AB26+AB30+AB32</f>
        <v>300403.16666666669</v>
      </c>
      <c r="AC5" s="226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95">
        <f>AP6+AP8+AP17+AP26+AP30+AP32</f>
        <v>300103.16666666669</v>
      </c>
      <c r="AQ5" s="226"/>
      <c r="AR5" s="228"/>
      <c r="AS5" s="229"/>
      <c r="AT5" s="90">
        <f>AT6+AT8+AT17+AT26+AT30+AT32</f>
        <v>8348624</v>
      </c>
      <c r="AU5" s="226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95">
        <f>BH6+BH8+BH17+BH26+BH30+BH32</f>
        <v>6236019.833333334</v>
      </c>
      <c r="BI5" s="226"/>
      <c r="BJ5" s="262"/>
      <c r="BK5" s="229"/>
      <c r="BL5" s="31">
        <f>BL8+BL17+BL26+BL30+BL32</f>
        <v>7129254.166666667</v>
      </c>
    </row>
    <row r="6" spans="1:64" ht="30.6" customHeight="1" x14ac:dyDescent="0.25">
      <c r="A6" s="45" t="s">
        <v>94</v>
      </c>
      <c r="B6" s="127" t="s">
        <v>95</v>
      </c>
      <c r="C6" s="128"/>
      <c r="D6" s="128"/>
      <c r="E6" s="128"/>
      <c r="F6" s="136">
        <f>SUM(F7)</f>
        <v>1038340.5</v>
      </c>
      <c r="G6" s="236"/>
      <c r="H6" s="129"/>
      <c r="I6" s="130"/>
      <c r="J6" s="83">
        <f>SUM(J7)</f>
        <v>1038340.5</v>
      </c>
      <c r="K6" s="226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47">
        <f>SUM(X7:Y7)</f>
        <v>1038340.5</v>
      </c>
      <c r="Y6" s="254"/>
      <c r="Z6" s="129"/>
      <c r="AA6" s="129"/>
      <c r="AB6" s="156">
        <f>SUM(AB7)</f>
        <v>-346113.5</v>
      </c>
      <c r="AC6" s="226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56">
        <f>SUM(AP7:AQ7)</f>
        <v>-346113.5</v>
      </c>
      <c r="AQ6" s="226"/>
      <c r="AR6" s="129"/>
      <c r="AS6" s="129"/>
      <c r="AT6" s="156">
        <f>SUM(AT7)</f>
        <v>-346113.5</v>
      </c>
      <c r="AU6" s="226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56">
        <f>SUM(BH7:BJ7)</f>
        <v>-346113.5</v>
      </c>
      <c r="BI6" s="254"/>
      <c r="BJ6" s="129"/>
      <c r="BK6" s="129"/>
      <c r="BL6" s="147"/>
    </row>
    <row r="7" spans="1:64" ht="21.6" customHeight="1" x14ac:dyDescent="0.25">
      <c r="A7" s="46" t="s">
        <v>96</v>
      </c>
      <c r="B7" s="137" t="s">
        <v>97</v>
      </c>
      <c r="C7" s="149">
        <f>D46*0.05</f>
        <v>1038340.5</v>
      </c>
      <c r="D7" s="137">
        <v>1</v>
      </c>
      <c r="E7" s="13"/>
      <c r="F7" s="144">
        <f>C7*D7</f>
        <v>1038340.5</v>
      </c>
      <c r="G7" s="246"/>
      <c r="H7" s="48">
        <v>1</v>
      </c>
      <c r="I7" s="13"/>
      <c r="J7" s="145">
        <f>C7*H7</f>
        <v>1038340.5</v>
      </c>
      <c r="K7" s="263"/>
      <c r="L7" s="150">
        <v>0</v>
      </c>
      <c r="M7" s="150">
        <v>0</v>
      </c>
      <c r="N7" s="150">
        <v>0</v>
      </c>
      <c r="O7" s="150">
        <v>0</v>
      </c>
      <c r="P7" s="150">
        <v>0</v>
      </c>
      <c r="Q7" s="150">
        <v>0</v>
      </c>
      <c r="R7" s="150">
        <v>0</v>
      </c>
      <c r="S7" s="150">
        <v>0</v>
      </c>
      <c r="T7" s="150">
        <v>0</v>
      </c>
      <c r="U7" s="149">
        <f t="shared" ref="U7:W7" si="0">$F$7/3</f>
        <v>346113.5</v>
      </c>
      <c r="V7" s="149">
        <f t="shared" si="0"/>
        <v>346113.5</v>
      </c>
      <c r="W7" s="149">
        <f t="shared" si="0"/>
        <v>346113.5</v>
      </c>
      <c r="X7" s="158">
        <f>SUM(L7:W7)</f>
        <v>1038340.5</v>
      </c>
      <c r="Y7" s="254"/>
      <c r="Z7" s="139"/>
      <c r="AA7" s="140"/>
      <c r="AB7" s="144">
        <f>-(J7/3)</f>
        <v>-346113.5</v>
      </c>
      <c r="AC7" s="226"/>
      <c r="AD7" s="159">
        <f>-(($X$7/3)/12)</f>
        <v>-28842.791666666668</v>
      </c>
      <c r="AE7" s="149">
        <f t="shared" ref="AE7:AO7" si="1">-(($X$7/3)/12)</f>
        <v>-28842.791666666668</v>
      </c>
      <c r="AF7" s="149">
        <f t="shared" si="1"/>
        <v>-28842.791666666668</v>
      </c>
      <c r="AG7" s="149">
        <f t="shared" si="1"/>
        <v>-28842.791666666668</v>
      </c>
      <c r="AH7" s="149">
        <f t="shared" si="1"/>
        <v>-28842.791666666668</v>
      </c>
      <c r="AI7" s="149">
        <f t="shared" si="1"/>
        <v>-28842.791666666668</v>
      </c>
      <c r="AJ7" s="149">
        <f t="shared" si="1"/>
        <v>-28842.791666666668</v>
      </c>
      <c r="AK7" s="149">
        <f t="shared" si="1"/>
        <v>-28842.791666666668</v>
      </c>
      <c r="AL7" s="149">
        <f t="shared" si="1"/>
        <v>-28842.791666666668</v>
      </c>
      <c r="AM7" s="149">
        <f t="shared" si="1"/>
        <v>-28842.791666666668</v>
      </c>
      <c r="AN7" s="149">
        <f t="shared" si="1"/>
        <v>-28842.791666666668</v>
      </c>
      <c r="AO7" s="149">
        <f t="shared" si="1"/>
        <v>-28842.791666666668</v>
      </c>
      <c r="AP7" s="146">
        <f>SUM(AD7:AO7)</f>
        <v>-346113.5</v>
      </c>
      <c r="AQ7" s="226"/>
      <c r="AR7" s="140"/>
      <c r="AS7" s="169"/>
      <c r="AT7" s="144">
        <f>-(J7/3)</f>
        <v>-346113.5</v>
      </c>
      <c r="AU7" s="226"/>
      <c r="AV7" s="159">
        <f>-(($X$7/3)/12)</f>
        <v>-28842.791666666668</v>
      </c>
      <c r="AW7" s="149">
        <f t="shared" ref="AW7:BG7" si="2">-(($X$7/3)/12)</f>
        <v>-28842.791666666668</v>
      </c>
      <c r="AX7" s="149">
        <f t="shared" si="2"/>
        <v>-28842.791666666668</v>
      </c>
      <c r="AY7" s="149">
        <f t="shared" si="2"/>
        <v>-28842.791666666668</v>
      </c>
      <c r="AZ7" s="149">
        <f t="shared" si="2"/>
        <v>-28842.791666666668</v>
      </c>
      <c r="BA7" s="149">
        <f t="shared" si="2"/>
        <v>-28842.791666666668</v>
      </c>
      <c r="BB7" s="149">
        <f t="shared" si="2"/>
        <v>-28842.791666666668</v>
      </c>
      <c r="BC7" s="149">
        <f t="shared" si="2"/>
        <v>-28842.791666666668</v>
      </c>
      <c r="BD7" s="149">
        <f t="shared" si="2"/>
        <v>-28842.791666666668</v>
      </c>
      <c r="BE7" s="149">
        <f t="shared" si="2"/>
        <v>-28842.791666666668</v>
      </c>
      <c r="BF7" s="149">
        <f t="shared" si="2"/>
        <v>-28842.791666666668</v>
      </c>
      <c r="BG7" s="149">
        <f t="shared" si="2"/>
        <v>-28842.791666666668</v>
      </c>
      <c r="BH7" s="146">
        <f>SUM(AV7:BG7)</f>
        <v>-346113.5</v>
      </c>
      <c r="BI7" s="256"/>
      <c r="BJ7" s="142"/>
      <c r="BK7" s="169"/>
      <c r="BL7" s="143"/>
    </row>
    <row r="8" spans="1:64" ht="28.9" customHeight="1" x14ac:dyDescent="0.25">
      <c r="A8" s="45" t="s">
        <v>7</v>
      </c>
      <c r="B8" s="241" t="s">
        <v>8</v>
      </c>
      <c r="C8" s="242"/>
      <c r="D8" s="242"/>
      <c r="E8" s="242"/>
      <c r="F8" s="80">
        <f>SUM(F9:F14)</f>
        <v>11839500</v>
      </c>
      <c r="G8" s="236"/>
      <c r="H8" s="221"/>
      <c r="I8" s="222"/>
      <c r="J8" s="83">
        <f>SUM(J9:J14)</f>
        <v>0</v>
      </c>
      <c r="K8" s="226"/>
      <c r="L8" s="26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2"/>
      <c r="X8" s="35">
        <f>SUM(X9:X16)</f>
        <v>0</v>
      </c>
      <c r="Y8" s="254"/>
      <c r="Z8" s="221"/>
      <c r="AA8" s="222"/>
      <c r="AB8" s="83">
        <f>SUM(AB9:AB14)</f>
        <v>43850</v>
      </c>
      <c r="AC8" s="226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83">
        <f>SUM(AP9:AP16)</f>
        <v>43850</v>
      </c>
      <c r="AQ8" s="226"/>
      <c r="AR8" s="221"/>
      <c r="AS8" s="222"/>
      <c r="AT8" s="83">
        <f>SUM(AT9:AT14)</f>
        <v>5700500</v>
      </c>
      <c r="AU8" s="226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83">
        <f>SUM(BH9:BH16)</f>
        <v>5377625</v>
      </c>
      <c r="BI8" s="226"/>
      <c r="BJ8" s="261"/>
      <c r="BK8" s="222"/>
      <c r="BL8" s="35">
        <f>SUM(BL9:BL14)</f>
        <v>5130450</v>
      </c>
    </row>
    <row r="9" spans="1:64" ht="15.75" x14ac:dyDescent="0.25">
      <c r="A9" s="46" t="s">
        <v>9</v>
      </c>
      <c r="B9" s="8" t="s">
        <v>10</v>
      </c>
      <c r="C9" s="149">
        <f>(33500+58000+36000)/3</f>
        <v>42500</v>
      </c>
      <c r="D9" s="48">
        <f>270-D10-D11-D12-D13</f>
        <v>260</v>
      </c>
      <c r="E9" s="13"/>
      <c r="F9" s="149">
        <f t="shared" ref="F9:F16" si="3">C9*D9</f>
        <v>11050000</v>
      </c>
      <c r="G9" s="236"/>
      <c r="H9" s="48">
        <v>0</v>
      </c>
      <c r="I9" s="13"/>
      <c r="J9" s="149">
        <f>C9*H9</f>
        <v>0</v>
      </c>
      <c r="K9" s="226"/>
      <c r="L9" s="150">
        <v>0</v>
      </c>
      <c r="M9" s="150">
        <v>0</v>
      </c>
      <c r="N9" s="150">
        <v>0</v>
      </c>
      <c r="O9" s="150">
        <v>0</v>
      </c>
      <c r="P9" s="150">
        <v>0</v>
      </c>
      <c r="Q9" s="150">
        <v>0</v>
      </c>
      <c r="R9" s="150">
        <v>0</v>
      </c>
      <c r="S9" s="150">
        <v>0</v>
      </c>
      <c r="T9" s="150">
        <v>0</v>
      </c>
      <c r="U9" s="149">
        <f>$J$9/3</f>
        <v>0</v>
      </c>
      <c r="V9" s="149">
        <f t="shared" ref="V9:W9" si="4">$J$9/3</f>
        <v>0</v>
      </c>
      <c r="W9" s="149">
        <f t="shared" si="4"/>
        <v>0</v>
      </c>
      <c r="X9" s="149">
        <f>SUM(U9:W9)</f>
        <v>0</v>
      </c>
      <c r="Y9" s="254"/>
      <c r="Z9" s="48">
        <v>0</v>
      </c>
      <c r="AA9" s="13"/>
      <c r="AB9" s="157">
        <f t="shared" ref="AB9:AB14" si="5">C9*Z9</f>
        <v>0</v>
      </c>
      <c r="AC9" s="226"/>
      <c r="AD9" s="163">
        <f>$AB$9/12</f>
        <v>0</v>
      </c>
      <c r="AE9" s="150">
        <f t="shared" ref="AE9:AO9" si="6">$AB$9/12</f>
        <v>0</v>
      </c>
      <c r="AF9" s="150">
        <f t="shared" si="6"/>
        <v>0</v>
      </c>
      <c r="AG9" s="150">
        <f t="shared" si="6"/>
        <v>0</v>
      </c>
      <c r="AH9" s="150">
        <f t="shared" si="6"/>
        <v>0</v>
      </c>
      <c r="AI9" s="150">
        <f t="shared" si="6"/>
        <v>0</v>
      </c>
      <c r="AJ9" s="150">
        <f t="shared" si="6"/>
        <v>0</v>
      </c>
      <c r="AK9" s="150">
        <f t="shared" si="6"/>
        <v>0</v>
      </c>
      <c r="AL9" s="150">
        <f t="shared" si="6"/>
        <v>0</v>
      </c>
      <c r="AM9" s="149">
        <f t="shared" si="6"/>
        <v>0</v>
      </c>
      <c r="AN9" s="149">
        <f t="shared" si="6"/>
        <v>0</v>
      </c>
      <c r="AO9" s="149">
        <f t="shared" si="6"/>
        <v>0</v>
      </c>
      <c r="AP9" s="157">
        <f>SUM(AM9:AO9)</f>
        <v>0</v>
      </c>
      <c r="AQ9" s="226"/>
      <c r="AR9" s="100">
        <f>130-AR10-AR11-AR12-AR13</f>
        <v>121</v>
      </c>
      <c r="AS9" s="13"/>
      <c r="AT9" s="157">
        <f t="shared" ref="AT9:AT16" si="7">C9*AR9</f>
        <v>5142500</v>
      </c>
      <c r="AU9" s="226"/>
      <c r="AV9" s="159">
        <f>$AT$9/12</f>
        <v>428541.66666666669</v>
      </c>
      <c r="AW9" s="159">
        <f t="shared" ref="AW9:BG9" si="8">$AT$9/12</f>
        <v>428541.66666666669</v>
      </c>
      <c r="AX9" s="159">
        <f t="shared" si="8"/>
        <v>428541.66666666669</v>
      </c>
      <c r="AY9" s="159">
        <f t="shared" si="8"/>
        <v>428541.66666666669</v>
      </c>
      <c r="AZ9" s="159">
        <f t="shared" si="8"/>
        <v>428541.66666666669</v>
      </c>
      <c r="BA9" s="159">
        <f t="shared" si="8"/>
        <v>428541.66666666669</v>
      </c>
      <c r="BB9" s="159">
        <f t="shared" si="8"/>
        <v>428541.66666666669</v>
      </c>
      <c r="BC9" s="159">
        <f t="shared" si="8"/>
        <v>428541.66666666669</v>
      </c>
      <c r="BD9" s="159">
        <f t="shared" si="8"/>
        <v>428541.66666666669</v>
      </c>
      <c r="BE9" s="159">
        <f t="shared" si="8"/>
        <v>428541.66666666669</v>
      </c>
      <c r="BF9" s="159">
        <f t="shared" si="8"/>
        <v>428541.66666666669</v>
      </c>
      <c r="BG9" s="159">
        <f t="shared" si="8"/>
        <v>428541.66666666669</v>
      </c>
      <c r="BH9" s="157">
        <f>SUM(AV9:BG9)</f>
        <v>5142500</v>
      </c>
      <c r="BI9" s="226"/>
      <c r="BJ9" s="100">
        <f>117-BJ10-BJ11-BJ12-BJ13</f>
        <v>117</v>
      </c>
      <c r="BK9" s="13"/>
      <c r="BL9" s="149">
        <f t="shared" ref="BL9:BL14" si="9">C9*BJ9</f>
        <v>4972500</v>
      </c>
    </row>
    <row r="10" spans="1:64" ht="15.75" x14ac:dyDescent="0.25">
      <c r="A10" s="46" t="s">
        <v>11</v>
      </c>
      <c r="B10" s="8" t="s">
        <v>12</v>
      </c>
      <c r="C10" s="149">
        <f>(33500+58000+36000)/3</f>
        <v>42500</v>
      </c>
      <c r="D10" s="48">
        <v>1</v>
      </c>
      <c r="E10" s="13"/>
      <c r="F10" s="149">
        <f>C10*D10</f>
        <v>42500</v>
      </c>
      <c r="G10" s="236"/>
      <c r="H10" s="48">
        <v>0</v>
      </c>
      <c r="I10" s="13"/>
      <c r="J10" s="149">
        <f>C10*H10</f>
        <v>0</v>
      </c>
      <c r="K10" s="226"/>
      <c r="L10" s="150">
        <v>0</v>
      </c>
      <c r="M10" s="150">
        <v>0</v>
      </c>
      <c r="N10" s="150">
        <v>0</v>
      </c>
      <c r="O10" s="150">
        <v>0</v>
      </c>
      <c r="P10" s="150">
        <v>0</v>
      </c>
      <c r="Q10" s="150">
        <v>0</v>
      </c>
      <c r="R10" s="150">
        <v>0</v>
      </c>
      <c r="S10" s="150">
        <v>0</v>
      </c>
      <c r="T10" s="150">
        <v>0</v>
      </c>
      <c r="U10" s="149">
        <f>$J$10/3</f>
        <v>0</v>
      </c>
      <c r="V10" s="149">
        <f t="shared" ref="V10:W10" si="10">$J$10/3</f>
        <v>0</v>
      </c>
      <c r="W10" s="149">
        <f t="shared" si="10"/>
        <v>0</v>
      </c>
      <c r="X10" s="149">
        <f>SUM(U10:W10)</f>
        <v>0</v>
      </c>
      <c r="Y10" s="254"/>
      <c r="Z10" s="48">
        <v>1</v>
      </c>
      <c r="AA10" s="13"/>
      <c r="AB10" s="157">
        <f t="shared" si="5"/>
        <v>42500</v>
      </c>
      <c r="AC10" s="226"/>
      <c r="AD10" s="163">
        <v>0</v>
      </c>
      <c r="AE10" s="150">
        <v>0</v>
      </c>
      <c r="AF10" s="150">
        <v>0</v>
      </c>
      <c r="AG10" s="150">
        <v>0</v>
      </c>
      <c r="AH10" s="150">
        <v>0</v>
      </c>
      <c r="AI10" s="150">
        <v>0</v>
      </c>
      <c r="AJ10" s="150">
        <v>0</v>
      </c>
      <c r="AK10" s="150">
        <v>0</v>
      </c>
      <c r="AL10" s="150">
        <v>0</v>
      </c>
      <c r="AM10" s="149">
        <f t="shared" ref="AM10:AO10" si="11">$AB$10/3</f>
        <v>14166.666666666666</v>
      </c>
      <c r="AN10" s="149">
        <f t="shared" si="11"/>
        <v>14166.666666666666</v>
      </c>
      <c r="AO10" s="149">
        <f t="shared" si="11"/>
        <v>14166.666666666666</v>
      </c>
      <c r="AP10" s="157">
        <f>SUM(AM10:AO10)</f>
        <v>42500</v>
      </c>
      <c r="AQ10" s="226"/>
      <c r="AR10" s="100">
        <v>0</v>
      </c>
      <c r="AS10" s="13"/>
      <c r="AT10" s="157">
        <f t="shared" si="7"/>
        <v>0</v>
      </c>
      <c r="AU10" s="226"/>
      <c r="AV10" s="159">
        <f>$AT$10/12</f>
        <v>0</v>
      </c>
      <c r="AW10" s="159">
        <f t="shared" ref="AW10:BG10" si="12">$AT$10/12</f>
        <v>0</v>
      </c>
      <c r="AX10" s="159">
        <f t="shared" si="12"/>
        <v>0</v>
      </c>
      <c r="AY10" s="159">
        <f t="shared" si="12"/>
        <v>0</v>
      </c>
      <c r="AZ10" s="159">
        <f t="shared" si="12"/>
        <v>0</v>
      </c>
      <c r="BA10" s="159">
        <f t="shared" si="12"/>
        <v>0</v>
      </c>
      <c r="BB10" s="159">
        <f t="shared" si="12"/>
        <v>0</v>
      </c>
      <c r="BC10" s="159">
        <f t="shared" si="12"/>
        <v>0</v>
      </c>
      <c r="BD10" s="159">
        <f t="shared" si="12"/>
        <v>0</v>
      </c>
      <c r="BE10" s="159">
        <f t="shared" si="12"/>
        <v>0</v>
      </c>
      <c r="BF10" s="159">
        <f t="shared" si="12"/>
        <v>0</v>
      </c>
      <c r="BG10" s="159">
        <f t="shared" si="12"/>
        <v>0</v>
      </c>
      <c r="BH10" s="157">
        <f>SUM(BE10:BG10)</f>
        <v>0</v>
      </c>
      <c r="BI10" s="226"/>
      <c r="BJ10" s="100">
        <v>0</v>
      </c>
      <c r="BK10" s="13"/>
      <c r="BL10" s="149">
        <f t="shared" si="9"/>
        <v>0</v>
      </c>
    </row>
    <row r="11" spans="1:64" ht="15.75" x14ac:dyDescent="0.25">
      <c r="A11" s="46" t="s">
        <v>13</v>
      </c>
      <c r="B11" s="8" t="s">
        <v>14</v>
      </c>
      <c r="C11" s="149">
        <f>C9</f>
        <v>42500</v>
      </c>
      <c r="D11" s="48">
        <v>3</v>
      </c>
      <c r="E11" s="13"/>
      <c r="F11" s="149">
        <f t="shared" si="3"/>
        <v>127500</v>
      </c>
      <c r="G11" s="236"/>
      <c r="H11" s="48">
        <v>0</v>
      </c>
      <c r="I11" s="13"/>
      <c r="J11" s="149">
        <f t="shared" ref="J11:J13" si="13">C11*H11</f>
        <v>0</v>
      </c>
      <c r="K11" s="226"/>
      <c r="L11" s="150">
        <v>0</v>
      </c>
      <c r="M11" s="150">
        <v>0</v>
      </c>
      <c r="N11" s="150">
        <v>0</v>
      </c>
      <c r="O11" s="150">
        <v>0</v>
      </c>
      <c r="P11" s="150">
        <v>0</v>
      </c>
      <c r="Q11" s="150">
        <v>0</v>
      </c>
      <c r="R11" s="150">
        <v>0</v>
      </c>
      <c r="S11" s="150">
        <v>0</v>
      </c>
      <c r="T11" s="150">
        <v>0</v>
      </c>
      <c r="U11" s="149">
        <f>$J$11/3</f>
        <v>0</v>
      </c>
      <c r="V11" s="149">
        <f t="shared" ref="V11:W11" si="14">$J$11/3</f>
        <v>0</v>
      </c>
      <c r="W11" s="149">
        <f t="shared" si="14"/>
        <v>0</v>
      </c>
      <c r="X11" s="149">
        <f>SUM(U11:W11)</f>
        <v>0</v>
      </c>
      <c r="Y11" s="254"/>
      <c r="Z11" s="48">
        <v>0</v>
      </c>
      <c r="AA11" s="13"/>
      <c r="AB11" s="157">
        <f t="shared" si="5"/>
        <v>0</v>
      </c>
      <c r="AC11" s="226"/>
      <c r="AD11" s="163">
        <f>$AB$11/3</f>
        <v>0</v>
      </c>
      <c r="AE11" s="150">
        <v>0</v>
      </c>
      <c r="AF11" s="150">
        <v>0</v>
      </c>
      <c r="AG11" s="150">
        <v>0</v>
      </c>
      <c r="AH11" s="150">
        <v>0</v>
      </c>
      <c r="AI11" s="150">
        <v>0</v>
      </c>
      <c r="AJ11" s="150">
        <v>0</v>
      </c>
      <c r="AK11" s="150">
        <v>0</v>
      </c>
      <c r="AL11" s="150">
        <v>0</v>
      </c>
      <c r="AM11" s="149">
        <f>$J$11/3</f>
        <v>0</v>
      </c>
      <c r="AN11" s="149">
        <f t="shared" ref="AN11:AO11" si="15">$J$11/3</f>
        <v>0</v>
      </c>
      <c r="AO11" s="149">
        <f t="shared" si="15"/>
        <v>0</v>
      </c>
      <c r="AP11" s="157">
        <f>SUM(AM11:AO11)</f>
        <v>0</v>
      </c>
      <c r="AQ11" s="226"/>
      <c r="AR11" s="100">
        <v>3</v>
      </c>
      <c r="AS11" s="13"/>
      <c r="AT11" s="157">
        <f t="shared" si="7"/>
        <v>127500</v>
      </c>
      <c r="AU11" s="226"/>
      <c r="AV11" s="159">
        <f>$AT$11/12</f>
        <v>10625</v>
      </c>
      <c r="AW11" s="159">
        <f t="shared" ref="AW11:BG11" si="16">$AT$11/12</f>
        <v>10625</v>
      </c>
      <c r="AX11" s="159">
        <f t="shared" si="16"/>
        <v>10625</v>
      </c>
      <c r="AY11" s="159">
        <f t="shared" si="16"/>
        <v>10625</v>
      </c>
      <c r="AZ11" s="159">
        <f t="shared" si="16"/>
        <v>10625</v>
      </c>
      <c r="BA11" s="159">
        <f t="shared" si="16"/>
        <v>10625</v>
      </c>
      <c r="BB11" s="159">
        <f t="shared" si="16"/>
        <v>10625</v>
      </c>
      <c r="BC11" s="159">
        <f t="shared" si="16"/>
        <v>10625</v>
      </c>
      <c r="BD11" s="159">
        <f t="shared" si="16"/>
        <v>10625</v>
      </c>
      <c r="BE11" s="159">
        <f t="shared" si="16"/>
        <v>10625</v>
      </c>
      <c r="BF11" s="159">
        <f t="shared" si="16"/>
        <v>10625</v>
      </c>
      <c r="BG11" s="159">
        <f t="shared" si="16"/>
        <v>10625</v>
      </c>
      <c r="BH11" s="157">
        <f>SUM(AY11:BG11)</f>
        <v>95625</v>
      </c>
      <c r="BI11" s="226"/>
      <c r="BJ11" s="100">
        <v>0</v>
      </c>
      <c r="BK11" s="13"/>
      <c r="BL11" s="149">
        <f t="shared" si="9"/>
        <v>0</v>
      </c>
    </row>
    <row r="12" spans="1:64" ht="15.75" x14ac:dyDescent="0.25">
      <c r="A12" s="46" t="s">
        <v>15</v>
      </c>
      <c r="B12" s="8" t="s">
        <v>16</v>
      </c>
      <c r="C12" s="149">
        <f t="shared" ref="C12" si="17">C11</f>
        <v>42500</v>
      </c>
      <c r="D12" s="48">
        <v>1</v>
      </c>
      <c r="E12" s="13"/>
      <c r="F12" s="149">
        <f t="shared" si="3"/>
        <v>42500</v>
      </c>
      <c r="G12" s="236"/>
      <c r="H12" s="48">
        <v>0</v>
      </c>
      <c r="I12" s="13"/>
      <c r="J12" s="149">
        <f t="shared" si="13"/>
        <v>0</v>
      </c>
      <c r="K12" s="226"/>
      <c r="L12" s="150">
        <v>0</v>
      </c>
      <c r="M12" s="150">
        <v>0</v>
      </c>
      <c r="N12" s="150">
        <v>0</v>
      </c>
      <c r="O12" s="150">
        <v>0</v>
      </c>
      <c r="P12" s="150">
        <v>0</v>
      </c>
      <c r="Q12" s="150">
        <v>0</v>
      </c>
      <c r="R12" s="150">
        <v>0</v>
      </c>
      <c r="S12" s="150">
        <v>0</v>
      </c>
      <c r="T12" s="150">
        <v>0</v>
      </c>
      <c r="U12" s="149">
        <f>$J$12/3</f>
        <v>0</v>
      </c>
      <c r="V12" s="149">
        <f t="shared" ref="V12:W12" si="18">$J$12/3</f>
        <v>0</v>
      </c>
      <c r="W12" s="149">
        <f t="shared" si="18"/>
        <v>0</v>
      </c>
      <c r="X12" s="149">
        <f t="shared" ref="X12:X16" si="19">SUM(U12:W12)</f>
        <v>0</v>
      </c>
      <c r="Y12" s="254"/>
      <c r="Z12" s="48">
        <v>0</v>
      </c>
      <c r="AA12" s="13"/>
      <c r="AB12" s="157">
        <f t="shared" si="5"/>
        <v>0</v>
      </c>
      <c r="AC12" s="226"/>
      <c r="AD12" s="163">
        <f>$AB$12/12</f>
        <v>0</v>
      </c>
      <c r="AE12" s="150">
        <v>0</v>
      </c>
      <c r="AF12" s="150">
        <v>0</v>
      </c>
      <c r="AG12" s="150">
        <v>0</v>
      </c>
      <c r="AH12" s="150">
        <v>0</v>
      </c>
      <c r="AI12" s="150">
        <v>0</v>
      </c>
      <c r="AJ12" s="150">
        <v>0</v>
      </c>
      <c r="AK12" s="150">
        <v>0</v>
      </c>
      <c r="AL12" s="150">
        <v>0</v>
      </c>
      <c r="AM12" s="149">
        <f>$J$12/3</f>
        <v>0</v>
      </c>
      <c r="AN12" s="149">
        <f t="shared" ref="AN12:AO12" si="20">$J$12/3</f>
        <v>0</v>
      </c>
      <c r="AO12" s="149">
        <f t="shared" si="20"/>
        <v>0</v>
      </c>
      <c r="AP12" s="157">
        <f t="shared" ref="AP12:AP16" si="21">SUM(AM12:AO12)</f>
        <v>0</v>
      </c>
      <c r="AQ12" s="226"/>
      <c r="AR12" s="100">
        <v>1</v>
      </c>
      <c r="AS12" s="13"/>
      <c r="AT12" s="157">
        <f t="shared" si="7"/>
        <v>42500</v>
      </c>
      <c r="AU12" s="226"/>
      <c r="AV12" s="159">
        <f>$AT$12/12</f>
        <v>3541.6666666666665</v>
      </c>
      <c r="AW12" s="159">
        <f t="shared" ref="AW12:BG12" si="22">$AT$12/12</f>
        <v>3541.6666666666665</v>
      </c>
      <c r="AX12" s="159">
        <f t="shared" si="22"/>
        <v>3541.6666666666665</v>
      </c>
      <c r="AY12" s="159">
        <f t="shared" si="22"/>
        <v>3541.6666666666665</v>
      </c>
      <c r="AZ12" s="159">
        <f t="shared" si="22"/>
        <v>3541.6666666666665</v>
      </c>
      <c r="BA12" s="159">
        <f t="shared" si="22"/>
        <v>3541.6666666666665</v>
      </c>
      <c r="BB12" s="159">
        <f t="shared" si="22"/>
        <v>3541.6666666666665</v>
      </c>
      <c r="BC12" s="159">
        <f t="shared" si="22"/>
        <v>3541.6666666666665</v>
      </c>
      <c r="BD12" s="159">
        <f t="shared" si="22"/>
        <v>3541.6666666666665</v>
      </c>
      <c r="BE12" s="159">
        <f t="shared" si="22"/>
        <v>3541.6666666666665</v>
      </c>
      <c r="BF12" s="159">
        <f t="shared" si="22"/>
        <v>3541.6666666666665</v>
      </c>
      <c r="BG12" s="159">
        <f t="shared" si="22"/>
        <v>3541.6666666666665</v>
      </c>
      <c r="BH12" s="157">
        <f>SUM(AV12:BG12)</f>
        <v>42500</v>
      </c>
      <c r="BI12" s="226"/>
      <c r="BJ12" s="100">
        <v>0</v>
      </c>
      <c r="BK12" s="13"/>
      <c r="BL12" s="149">
        <f t="shared" si="9"/>
        <v>0</v>
      </c>
    </row>
    <row r="13" spans="1:64" ht="15.75" x14ac:dyDescent="0.25">
      <c r="A13" s="46" t="s">
        <v>17</v>
      </c>
      <c r="B13" s="8" t="s">
        <v>18</v>
      </c>
      <c r="C13" s="149">
        <f>C12</f>
        <v>42500</v>
      </c>
      <c r="D13" s="49">
        <v>5</v>
      </c>
      <c r="E13" s="13"/>
      <c r="F13" s="149">
        <f t="shared" si="3"/>
        <v>212500</v>
      </c>
      <c r="G13" s="236"/>
      <c r="H13" s="48">
        <v>0</v>
      </c>
      <c r="I13" s="13"/>
      <c r="J13" s="149">
        <f t="shared" si="13"/>
        <v>0</v>
      </c>
      <c r="K13" s="226"/>
      <c r="L13" s="150">
        <v>0</v>
      </c>
      <c r="M13" s="150">
        <v>0</v>
      </c>
      <c r="N13" s="150">
        <v>0</v>
      </c>
      <c r="O13" s="150">
        <v>0</v>
      </c>
      <c r="P13" s="150">
        <v>0</v>
      </c>
      <c r="Q13" s="150">
        <v>0</v>
      </c>
      <c r="R13" s="150">
        <v>0</v>
      </c>
      <c r="S13" s="150">
        <v>0</v>
      </c>
      <c r="T13" s="150">
        <v>0</v>
      </c>
      <c r="U13" s="149">
        <f t="shared" ref="U13:W13" si="23">$J$9/3</f>
        <v>0</v>
      </c>
      <c r="V13" s="149">
        <f t="shared" si="23"/>
        <v>0</v>
      </c>
      <c r="W13" s="149">
        <f t="shared" si="23"/>
        <v>0</v>
      </c>
      <c r="X13" s="149">
        <f t="shared" si="19"/>
        <v>0</v>
      </c>
      <c r="Y13" s="254"/>
      <c r="Z13" s="48">
        <v>0</v>
      </c>
      <c r="AA13" s="13"/>
      <c r="AB13" s="157">
        <f t="shared" si="5"/>
        <v>0</v>
      </c>
      <c r="AC13" s="226"/>
      <c r="AD13" s="163">
        <f>$AB$13/12</f>
        <v>0</v>
      </c>
      <c r="AE13" s="150">
        <v>0</v>
      </c>
      <c r="AF13" s="150">
        <v>0</v>
      </c>
      <c r="AG13" s="150">
        <v>0</v>
      </c>
      <c r="AH13" s="150">
        <v>0</v>
      </c>
      <c r="AI13" s="150">
        <v>0</v>
      </c>
      <c r="AJ13" s="150">
        <v>0</v>
      </c>
      <c r="AK13" s="150">
        <v>0</v>
      </c>
      <c r="AL13" s="150">
        <v>0</v>
      </c>
      <c r="AM13" s="149">
        <f t="shared" ref="AM13:AO13" si="24">$J$9/3</f>
        <v>0</v>
      </c>
      <c r="AN13" s="149">
        <f t="shared" si="24"/>
        <v>0</v>
      </c>
      <c r="AO13" s="149">
        <f t="shared" si="24"/>
        <v>0</v>
      </c>
      <c r="AP13" s="157">
        <f t="shared" si="21"/>
        <v>0</v>
      </c>
      <c r="AQ13" s="226"/>
      <c r="AR13" s="100">
        <v>5</v>
      </c>
      <c r="AS13" s="13"/>
      <c r="AT13" s="157">
        <f t="shared" si="7"/>
        <v>212500</v>
      </c>
      <c r="AU13" s="226"/>
      <c r="AV13" s="159">
        <f>$AT$13/12</f>
        <v>17708.333333333332</v>
      </c>
      <c r="AW13" s="159">
        <f t="shared" ref="AW13:BG13" si="25">$AT$13/12</f>
        <v>17708.333333333332</v>
      </c>
      <c r="AX13" s="159">
        <f t="shared" si="25"/>
        <v>17708.333333333332</v>
      </c>
      <c r="AY13" s="159">
        <f t="shared" si="25"/>
        <v>17708.333333333332</v>
      </c>
      <c r="AZ13" s="159">
        <f t="shared" si="25"/>
        <v>17708.333333333332</v>
      </c>
      <c r="BA13" s="159">
        <f t="shared" si="25"/>
        <v>17708.333333333332</v>
      </c>
      <c r="BB13" s="159">
        <f t="shared" si="25"/>
        <v>17708.333333333332</v>
      </c>
      <c r="BC13" s="159">
        <f t="shared" si="25"/>
        <v>17708.333333333332</v>
      </c>
      <c r="BD13" s="159">
        <f t="shared" si="25"/>
        <v>17708.333333333332</v>
      </c>
      <c r="BE13" s="159">
        <f t="shared" si="25"/>
        <v>17708.333333333332</v>
      </c>
      <c r="BF13" s="159">
        <f t="shared" si="25"/>
        <v>17708.333333333332</v>
      </c>
      <c r="BG13" s="159">
        <f t="shared" si="25"/>
        <v>17708.333333333332</v>
      </c>
      <c r="BH13" s="157">
        <f t="shared" ref="BH13:BH16" si="26">SUM(BE13:BG13)</f>
        <v>53125</v>
      </c>
      <c r="BI13" s="226"/>
      <c r="BJ13" s="100">
        <v>0</v>
      </c>
      <c r="BK13" s="13"/>
      <c r="BL13" s="149">
        <f t="shared" si="9"/>
        <v>0</v>
      </c>
    </row>
    <row r="14" spans="1:64" ht="15.75" x14ac:dyDescent="0.25">
      <c r="A14" s="46" t="s">
        <v>19</v>
      </c>
      <c r="B14" s="8" t="s">
        <v>20</v>
      </c>
      <c r="C14" s="149">
        <f>(C15+C16)/2</f>
        <v>1350</v>
      </c>
      <c r="D14" s="50">
        <f>SUM(D9:D13)</f>
        <v>270</v>
      </c>
      <c r="E14" s="13"/>
      <c r="F14" s="149">
        <f t="shared" si="3"/>
        <v>364500</v>
      </c>
      <c r="G14" s="236"/>
      <c r="H14" s="48">
        <f>SUM(H9:H13)</f>
        <v>0</v>
      </c>
      <c r="I14" s="13"/>
      <c r="J14" s="149">
        <f>C14*H14</f>
        <v>0</v>
      </c>
      <c r="K14" s="226"/>
      <c r="L14" s="150">
        <v>0</v>
      </c>
      <c r="M14" s="150">
        <v>0</v>
      </c>
      <c r="N14" s="150">
        <v>0</v>
      </c>
      <c r="O14" s="150">
        <v>0</v>
      </c>
      <c r="P14" s="150">
        <v>0</v>
      </c>
      <c r="Q14" s="150">
        <v>0</v>
      </c>
      <c r="R14" s="150">
        <v>0</v>
      </c>
      <c r="S14" s="150">
        <v>0</v>
      </c>
      <c r="T14" s="150">
        <v>0</v>
      </c>
      <c r="U14" s="149">
        <f>$J$13/3</f>
        <v>0</v>
      </c>
      <c r="V14" s="149">
        <f t="shared" ref="V14:W14" si="27">$J$13/3</f>
        <v>0</v>
      </c>
      <c r="W14" s="149">
        <f t="shared" si="27"/>
        <v>0</v>
      </c>
      <c r="X14" s="149">
        <f t="shared" si="19"/>
        <v>0</v>
      </c>
      <c r="Y14" s="254"/>
      <c r="Z14" s="48">
        <f>SUM(Z9:Z13)</f>
        <v>1</v>
      </c>
      <c r="AA14" s="13"/>
      <c r="AB14" s="157">
        <f t="shared" si="5"/>
        <v>1350</v>
      </c>
      <c r="AC14" s="226"/>
      <c r="AD14" s="163">
        <v>0</v>
      </c>
      <c r="AE14" s="150">
        <v>0</v>
      </c>
      <c r="AF14" s="150">
        <v>0</v>
      </c>
      <c r="AG14" s="150">
        <v>0</v>
      </c>
      <c r="AH14" s="150">
        <v>0</v>
      </c>
      <c r="AI14" s="150">
        <v>0</v>
      </c>
      <c r="AJ14" s="150">
        <v>0</v>
      </c>
      <c r="AK14" s="150">
        <v>0</v>
      </c>
      <c r="AL14" s="150">
        <v>0</v>
      </c>
      <c r="AM14" s="149">
        <f>$AB$14/3</f>
        <v>450</v>
      </c>
      <c r="AN14" s="149">
        <f t="shared" ref="AN14:AO14" si="28">$AB$14/3</f>
        <v>450</v>
      </c>
      <c r="AO14" s="149">
        <f t="shared" si="28"/>
        <v>450</v>
      </c>
      <c r="AP14" s="157">
        <f t="shared" si="21"/>
        <v>1350</v>
      </c>
      <c r="AQ14" s="226"/>
      <c r="AR14" s="100">
        <f>SUM(AR9:AR13)</f>
        <v>130</v>
      </c>
      <c r="AS14" s="13"/>
      <c r="AT14" s="157">
        <f t="shared" si="7"/>
        <v>175500</v>
      </c>
      <c r="AU14" s="226"/>
      <c r="AV14" s="159">
        <f>$AT$14/12</f>
        <v>14625</v>
      </c>
      <c r="AW14" s="159">
        <f t="shared" ref="AW14:BG14" si="29">$AT$14/12</f>
        <v>14625</v>
      </c>
      <c r="AX14" s="159">
        <f t="shared" si="29"/>
        <v>14625</v>
      </c>
      <c r="AY14" s="159">
        <f t="shared" si="29"/>
        <v>14625</v>
      </c>
      <c r="AZ14" s="159">
        <f t="shared" si="29"/>
        <v>14625</v>
      </c>
      <c r="BA14" s="159">
        <f t="shared" si="29"/>
        <v>14625</v>
      </c>
      <c r="BB14" s="159">
        <f t="shared" si="29"/>
        <v>14625</v>
      </c>
      <c r="BC14" s="159">
        <f t="shared" si="29"/>
        <v>14625</v>
      </c>
      <c r="BD14" s="159">
        <f t="shared" si="29"/>
        <v>14625</v>
      </c>
      <c r="BE14" s="159">
        <f t="shared" si="29"/>
        <v>14625</v>
      </c>
      <c r="BF14" s="159">
        <f t="shared" si="29"/>
        <v>14625</v>
      </c>
      <c r="BG14" s="159">
        <f t="shared" si="29"/>
        <v>14625</v>
      </c>
      <c r="BH14" s="157">
        <f t="shared" si="26"/>
        <v>43875</v>
      </c>
      <c r="BI14" s="226"/>
      <c r="BJ14" s="100">
        <f>SUM(BJ9:BJ13)</f>
        <v>117</v>
      </c>
      <c r="BK14" s="13"/>
      <c r="BL14" s="149">
        <f t="shared" si="9"/>
        <v>157950</v>
      </c>
    </row>
    <row r="15" spans="1:64" ht="14.45" hidden="1" customHeight="1" x14ac:dyDescent="0.25">
      <c r="A15" s="46" t="s">
        <v>19</v>
      </c>
      <c r="B15" s="8" t="s">
        <v>21</v>
      </c>
      <c r="C15" s="41">
        <f>(700+1750)/2</f>
        <v>1225</v>
      </c>
      <c r="D15" s="47">
        <f>D14</f>
        <v>270</v>
      </c>
      <c r="E15" s="13"/>
      <c r="F15" s="52">
        <f t="shared" si="3"/>
        <v>330750</v>
      </c>
      <c r="G15" s="236"/>
      <c r="K15" s="226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49">
        <f t="shared" si="19"/>
        <v>0</v>
      </c>
      <c r="Y15" s="254"/>
      <c r="Z15" s="12"/>
      <c r="AA15" s="12"/>
      <c r="AC15" s="226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57">
        <f t="shared" si="21"/>
        <v>0</v>
      </c>
      <c r="AQ15" s="226"/>
      <c r="AR15" s="12"/>
      <c r="AS15" s="12"/>
      <c r="AT15" s="98">
        <f t="shared" si="7"/>
        <v>0</v>
      </c>
      <c r="AU15" s="226"/>
      <c r="AV15" s="159">
        <f t="shared" ref="AV15:AV16" si="30">$AT$9/12</f>
        <v>428541.66666666669</v>
      </c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57">
        <f t="shared" si="26"/>
        <v>0</v>
      </c>
      <c r="BI15" s="226"/>
      <c r="BJ15" s="12"/>
      <c r="BK15" s="12"/>
      <c r="BL15" s="7"/>
    </row>
    <row r="16" spans="1:64" ht="14.45" hidden="1" customHeight="1" x14ac:dyDescent="0.25">
      <c r="A16" s="46" t="s">
        <v>22</v>
      </c>
      <c r="B16" s="8" t="s">
        <v>23</v>
      </c>
      <c r="C16" s="41">
        <f>(1900+1050)/2</f>
        <v>1475</v>
      </c>
      <c r="D16" s="43">
        <f>D14</f>
        <v>270</v>
      </c>
      <c r="E16" s="13"/>
      <c r="F16" s="52">
        <f t="shared" si="3"/>
        <v>398250</v>
      </c>
      <c r="G16" s="236"/>
      <c r="K16" s="226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49">
        <f t="shared" si="19"/>
        <v>0</v>
      </c>
      <c r="Y16" s="254"/>
      <c r="Z16" s="12"/>
      <c r="AA16" s="12"/>
      <c r="AC16" s="226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57">
        <f t="shared" si="21"/>
        <v>0</v>
      </c>
      <c r="AQ16" s="226"/>
      <c r="AR16" s="12"/>
      <c r="AS16" s="12"/>
      <c r="AT16" s="98">
        <f t="shared" si="7"/>
        <v>0</v>
      </c>
      <c r="AU16" s="226"/>
      <c r="AV16" s="159">
        <f t="shared" si="30"/>
        <v>428541.66666666669</v>
      </c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57">
        <f t="shared" si="26"/>
        <v>0</v>
      </c>
      <c r="BI16" s="226"/>
      <c r="BJ16" s="12"/>
      <c r="BK16" s="12"/>
      <c r="BL16" s="7"/>
    </row>
    <row r="17" spans="1:64" ht="23.45" customHeight="1" x14ac:dyDescent="0.25">
      <c r="A17" s="37" t="s">
        <v>24</v>
      </c>
      <c r="B17" s="238" t="s">
        <v>25</v>
      </c>
      <c r="C17" s="239"/>
      <c r="D17" s="239"/>
      <c r="E17" s="240"/>
      <c r="F17" s="83">
        <f>SUM(F18:F23)</f>
        <v>2396100</v>
      </c>
      <c r="G17" s="236"/>
      <c r="H17" s="221"/>
      <c r="I17" s="222"/>
      <c r="J17" s="83">
        <f>SUM(J18:J25)</f>
        <v>0</v>
      </c>
      <c r="K17" s="226"/>
      <c r="L17" s="26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2"/>
      <c r="X17" s="147">
        <f>SUM(X18:X23)</f>
        <v>0</v>
      </c>
      <c r="Y17" s="254"/>
      <c r="Z17" s="221"/>
      <c r="AA17" s="222"/>
      <c r="AB17" s="83">
        <f>SUM(AB18:AB23)</f>
        <v>19016.666666666668</v>
      </c>
      <c r="AC17" s="226"/>
      <c r="AD17" s="221"/>
      <c r="AE17" s="221"/>
      <c r="AF17" s="221"/>
      <c r="AG17" s="221"/>
      <c r="AH17" s="221"/>
      <c r="AI17" s="221"/>
      <c r="AJ17" s="221"/>
      <c r="AK17" s="221"/>
      <c r="AL17" s="221"/>
      <c r="AM17" s="221"/>
      <c r="AN17" s="221"/>
      <c r="AO17" s="222"/>
      <c r="AP17" s="129">
        <f>SUM(AP18:AP23)</f>
        <v>19016.666666666668</v>
      </c>
      <c r="AQ17" s="226"/>
      <c r="AR17" s="221"/>
      <c r="AS17" s="222"/>
      <c r="AT17" s="83">
        <f>SUM(AT18:AT25)</f>
        <v>1426250</v>
      </c>
      <c r="AU17" s="226"/>
      <c r="AV17" s="221"/>
      <c r="AW17" s="221"/>
      <c r="AX17" s="221"/>
      <c r="AY17" s="221"/>
      <c r="AZ17" s="221"/>
      <c r="BA17" s="221"/>
      <c r="BB17" s="221"/>
      <c r="BC17" s="221"/>
      <c r="BD17" s="221"/>
      <c r="BE17" s="221"/>
      <c r="BF17" s="221"/>
      <c r="BG17" s="222"/>
      <c r="BH17" s="129">
        <f>SUM(BH18:BH23)</f>
        <v>374229.16666666669</v>
      </c>
      <c r="BI17" s="226"/>
      <c r="BJ17" s="261"/>
      <c r="BK17" s="222"/>
      <c r="BL17" s="35">
        <f>SUM(BL18:BL23)</f>
        <v>589516.66666666674</v>
      </c>
    </row>
    <row r="18" spans="1:64" ht="15.75" x14ac:dyDescent="0.25">
      <c r="A18" s="15" t="s">
        <v>26</v>
      </c>
      <c r="B18" s="7" t="s">
        <v>27</v>
      </c>
      <c r="C18" s="149">
        <f>(20000+15000+18000)/3</f>
        <v>17666.666666666668</v>
      </c>
      <c r="D18" s="51">
        <f>126-D19-D20-D21-D22</f>
        <v>122</v>
      </c>
      <c r="E18" s="9"/>
      <c r="F18" s="149">
        <f t="shared" ref="F18:F25" si="31">C18*D18</f>
        <v>2155333.3333333335</v>
      </c>
      <c r="G18" s="236"/>
      <c r="H18" s="51">
        <v>0</v>
      </c>
      <c r="I18" s="9"/>
      <c r="J18" s="149">
        <f>C18*H18</f>
        <v>0</v>
      </c>
      <c r="K18" s="226"/>
      <c r="L18" s="150">
        <v>0</v>
      </c>
      <c r="M18" s="150">
        <v>0</v>
      </c>
      <c r="N18" s="150">
        <v>0</v>
      </c>
      <c r="O18" s="150">
        <v>0</v>
      </c>
      <c r="P18" s="150">
        <v>0</v>
      </c>
      <c r="Q18" s="150">
        <v>0</v>
      </c>
      <c r="R18" s="150">
        <v>0</v>
      </c>
      <c r="S18" s="150">
        <v>0</v>
      </c>
      <c r="T18" s="150">
        <v>0</v>
      </c>
      <c r="U18" s="149">
        <f>$J$18/3</f>
        <v>0</v>
      </c>
      <c r="V18" s="149">
        <f t="shared" ref="V18:W18" si="32">$J$18/3</f>
        <v>0</v>
      </c>
      <c r="W18" s="149">
        <f t="shared" si="32"/>
        <v>0</v>
      </c>
      <c r="X18" s="149">
        <f>SUM(U18:W18)</f>
        <v>0</v>
      </c>
      <c r="Y18" s="254"/>
      <c r="Z18" s="48">
        <v>0</v>
      </c>
      <c r="AA18" s="13"/>
      <c r="AB18" s="157">
        <f t="shared" ref="AB18:AB23" si="33">C18*Z18</f>
        <v>0</v>
      </c>
      <c r="AC18" s="226"/>
      <c r="AD18" s="164">
        <v>0</v>
      </c>
      <c r="AE18" s="165">
        <v>0</v>
      </c>
      <c r="AF18" s="165">
        <v>0</v>
      </c>
      <c r="AG18" s="165">
        <v>0</v>
      </c>
      <c r="AH18" s="165">
        <v>0</v>
      </c>
      <c r="AI18" s="165">
        <v>0</v>
      </c>
      <c r="AJ18" s="165">
        <v>0</v>
      </c>
      <c r="AK18" s="165">
        <v>0</v>
      </c>
      <c r="AL18" s="165">
        <v>0</v>
      </c>
      <c r="AM18" s="153">
        <f>$J$18/3</f>
        <v>0</v>
      </c>
      <c r="AN18" s="153">
        <f t="shared" ref="AN18:AO18" si="34">$J$18/3</f>
        <v>0</v>
      </c>
      <c r="AO18" s="153">
        <f t="shared" si="34"/>
        <v>0</v>
      </c>
      <c r="AP18" s="157">
        <f>SUM(AM18:AO18)</f>
        <v>0</v>
      </c>
      <c r="AQ18" s="226"/>
      <c r="AR18" s="100">
        <f>75-AR19-AR20-AR21-AR22</f>
        <v>72</v>
      </c>
      <c r="AS18" s="13"/>
      <c r="AT18" s="157">
        <f t="shared" ref="AT18:AT23" si="35">C18*AR18</f>
        <v>1272000</v>
      </c>
      <c r="AU18" s="226"/>
      <c r="AV18" s="160">
        <f>$AT$18/12</f>
        <v>106000</v>
      </c>
      <c r="AW18" s="160">
        <f t="shared" ref="AW18:BG18" si="36">$AT$18/12</f>
        <v>106000</v>
      </c>
      <c r="AX18" s="160">
        <f t="shared" si="36"/>
        <v>106000</v>
      </c>
      <c r="AY18" s="160">
        <f t="shared" si="36"/>
        <v>106000</v>
      </c>
      <c r="AZ18" s="160">
        <f t="shared" si="36"/>
        <v>106000</v>
      </c>
      <c r="BA18" s="160">
        <f t="shared" si="36"/>
        <v>106000</v>
      </c>
      <c r="BB18" s="160">
        <f t="shared" si="36"/>
        <v>106000</v>
      </c>
      <c r="BC18" s="160">
        <f t="shared" si="36"/>
        <v>106000</v>
      </c>
      <c r="BD18" s="160">
        <f t="shared" si="36"/>
        <v>106000</v>
      </c>
      <c r="BE18" s="160">
        <f t="shared" si="36"/>
        <v>106000</v>
      </c>
      <c r="BF18" s="160">
        <f t="shared" si="36"/>
        <v>106000</v>
      </c>
      <c r="BG18" s="160">
        <f t="shared" si="36"/>
        <v>106000</v>
      </c>
      <c r="BH18" s="157">
        <f>SUM(BE18:BG18)</f>
        <v>318000</v>
      </c>
      <c r="BI18" s="226"/>
      <c r="BJ18" s="100">
        <f>31-BJ19-BJ20-BJ21-BJ22</f>
        <v>31</v>
      </c>
      <c r="BK18" s="13"/>
      <c r="BL18" s="149">
        <f t="shared" ref="BL18:BL23" si="37">C18*BJ18</f>
        <v>547666.66666666674</v>
      </c>
    </row>
    <row r="19" spans="1:64" ht="15.75" x14ac:dyDescent="0.25">
      <c r="A19" s="15" t="s">
        <v>28</v>
      </c>
      <c r="B19" s="7" t="s">
        <v>29</v>
      </c>
      <c r="C19" s="149">
        <f>(20000+15000+18000)/3</f>
        <v>17666.666666666668</v>
      </c>
      <c r="D19" s="51">
        <v>1</v>
      </c>
      <c r="E19" s="9"/>
      <c r="F19" s="149">
        <f t="shared" si="31"/>
        <v>17666.666666666668</v>
      </c>
      <c r="G19" s="236"/>
      <c r="H19" s="51">
        <v>0</v>
      </c>
      <c r="I19" s="9"/>
      <c r="J19" s="149">
        <f t="shared" ref="J19:J25" si="38">C19*H19</f>
        <v>0</v>
      </c>
      <c r="K19" s="226"/>
      <c r="L19" s="150">
        <v>0</v>
      </c>
      <c r="M19" s="150">
        <v>0</v>
      </c>
      <c r="N19" s="150">
        <v>0</v>
      </c>
      <c r="O19" s="150">
        <v>0</v>
      </c>
      <c r="P19" s="150">
        <v>0</v>
      </c>
      <c r="Q19" s="150">
        <v>0</v>
      </c>
      <c r="R19" s="150">
        <v>0</v>
      </c>
      <c r="S19" s="150">
        <v>0</v>
      </c>
      <c r="T19" s="150">
        <v>0</v>
      </c>
      <c r="U19" s="149">
        <f>$J$19/3</f>
        <v>0</v>
      </c>
      <c r="V19" s="149">
        <f t="shared" ref="V19:W19" si="39">$J$19/3</f>
        <v>0</v>
      </c>
      <c r="W19" s="149">
        <f t="shared" si="39"/>
        <v>0</v>
      </c>
      <c r="X19" s="149">
        <f t="shared" ref="X19:X23" si="40">SUM(U19:W19)</f>
        <v>0</v>
      </c>
      <c r="Y19" s="254"/>
      <c r="Z19" s="48">
        <v>1</v>
      </c>
      <c r="AA19" s="13"/>
      <c r="AB19" s="157">
        <f t="shared" si="33"/>
        <v>17666.666666666668</v>
      </c>
      <c r="AC19" s="226"/>
      <c r="AD19" s="163">
        <v>0</v>
      </c>
      <c r="AE19" s="150">
        <v>0</v>
      </c>
      <c r="AF19" s="150">
        <v>0</v>
      </c>
      <c r="AG19" s="150">
        <v>0</v>
      </c>
      <c r="AH19" s="150">
        <v>0</v>
      </c>
      <c r="AI19" s="150">
        <v>0</v>
      </c>
      <c r="AJ19" s="150">
        <v>0</v>
      </c>
      <c r="AK19" s="150">
        <v>0</v>
      </c>
      <c r="AL19" s="150">
        <v>0</v>
      </c>
      <c r="AM19" s="149">
        <f>$AB$19/3</f>
        <v>5888.8888888888896</v>
      </c>
      <c r="AN19" s="149">
        <f t="shared" ref="AN19:AO19" si="41">$AB$19/3</f>
        <v>5888.8888888888896</v>
      </c>
      <c r="AO19" s="149">
        <f t="shared" si="41"/>
        <v>5888.8888888888896</v>
      </c>
      <c r="AP19" s="157">
        <f t="shared" ref="AP19:AP23" si="42">SUM(AM19:AO19)</f>
        <v>17666.666666666668</v>
      </c>
      <c r="AQ19" s="226"/>
      <c r="AR19" s="100">
        <v>0</v>
      </c>
      <c r="AS19" s="13"/>
      <c r="AT19" s="157">
        <f t="shared" si="35"/>
        <v>0</v>
      </c>
      <c r="AU19" s="226"/>
      <c r="AV19" s="160">
        <f>$AT$19/12</f>
        <v>0</v>
      </c>
      <c r="AW19" s="149">
        <v>0</v>
      </c>
      <c r="AX19" s="149">
        <v>0</v>
      </c>
      <c r="AY19" s="149">
        <v>0</v>
      </c>
      <c r="AZ19" s="149">
        <v>0</v>
      </c>
      <c r="BA19" s="149">
        <v>0</v>
      </c>
      <c r="BB19" s="149">
        <v>0</v>
      </c>
      <c r="BC19" s="149">
        <v>0</v>
      </c>
      <c r="BD19" s="149">
        <v>0</v>
      </c>
      <c r="BE19" s="149">
        <f>$AB$19/3</f>
        <v>5888.8888888888896</v>
      </c>
      <c r="BF19" s="149">
        <f t="shared" ref="BF19:BG19" si="43">$AB$19/3</f>
        <v>5888.8888888888896</v>
      </c>
      <c r="BG19" s="149">
        <f t="shared" si="43"/>
        <v>5888.8888888888896</v>
      </c>
      <c r="BH19" s="157">
        <f t="shared" ref="BH19:BH23" si="44">SUM(BE19:BG19)</f>
        <v>17666.666666666668</v>
      </c>
      <c r="BI19" s="226"/>
      <c r="BJ19" s="100">
        <v>0</v>
      </c>
      <c r="BK19" s="13"/>
      <c r="BL19" s="149">
        <f t="shared" si="37"/>
        <v>0</v>
      </c>
    </row>
    <row r="20" spans="1:64" ht="15.75" x14ac:dyDescent="0.25">
      <c r="A20" s="15" t="s">
        <v>30</v>
      </c>
      <c r="B20" s="7" t="s">
        <v>31</v>
      </c>
      <c r="C20" s="149">
        <f>C18</f>
        <v>17666.666666666668</v>
      </c>
      <c r="D20" s="51">
        <v>2</v>
      </c>
      <c r="E20" s="9"/>
      <c r="F20" s="149">
        <f t="shared" si="31"/>
        <v>35333.333333333336</v>
      </c>
      <c r="G20" s="236"/>
      <c r="H20" s="51">
        <v>0</v>
      </c>
      <c r="I20" s="9"/>
      <c r="J20" s="149">
        <f t="shared" si="38"/>
        <v>0</v>
      </c>
      <c r="K20" s="226"/>
      <c r="L20" s="150">
        <v>0</v>
      </c>
      <c r="M20" s="150">
        <v>0</v>
      </c>
      <c r="N20" s="150">
        <v>0</v>
      </c>
      <c r="O20" s="150">
        <v>0</v>
      </c>
      <c r="P20" s="150">
        <v>0</v>
      </c>
      <c r="Q20" s="150">
        <v>0</v>
      </c>
      <c r="R20" s="150">
        <v>0</v>
      </c>
      <c r="S20" s="150">
        <v>0</v>
      </c>
      <c r="T20" s="150">
        <v>0</v>
      </c>
      <c r="U20" s="149">
        <f>$J$20/3</f>
        <v>0</v>
      </c>
      <c r="V20" s="149">
        <f t="shared" ref="V20:W20" si="45">$J$20/3</f>
        <v>0</v>
      </c>
      <c r="W20" s="149">
        <f t="shared" si="45"/>
        <v>0</v>
      </c>
      <c r="X20" s="149">
        <f t="shared" si="40"/>
        <v>0</v>
      </c>
      <c r="Y20" s="254"/>
      <c r="Z20" s="48">
        <v>0</v>
      </c>
      <c r="AA20" s="13"/>
      <c r="AB20" s="157">
        <f t="shared" si="33"/>
        <v>0</v>
      </c>
      <c r="AC20" s="226"/>
      <c r="AD20" s="163">
        <v>0</v>
      </c>
      <c r="AE20" s="150">
        <v>0</v>
      </c>
      <c r="AF20" s="150">
        <v>0</v>
      </c>
      <c r="AG20" s="150">
        <v>0</v>
      </c>
      <c r="AH20" s="150">
        <v>0</v>
      </c>
      <c r="AI20" s="150">
        <v>0</v>
      </c>
      <c r="AJ20" s="150">
        <v>0</v>
      </c>
      <c r="AK20" s="150">
        <v>0</v>
      </c>
      <c r="AL20" s="150">
        <v>0</v>
      </c>
      <c r="AM20" s="149">
        <f>$J$20/3</f>
        <v>0</v>
      </c>
      <c r="AN20" s="149">
        <f t="shared" ref="AN20:AO20" si="46">$J$20/3</f>
        <v>0</v>
      </c>
      <c r="AO20" s="149">
        <f t="shared" si="46"/>
        <v>0</v>
      </c>
      <c r="AP20" s="157">
        <f t="shared" si="42"/>
        <v>0</v>
      </c>
      <c r="AQ20" s="226"/>
      <c r="AR20" s="100">
        <v>2</v>
      </c>
      <c r="AS20" s="13"/>
      <c r="AT20" s="157">
        <f t="shared" si="35"/>
        <v>35333.333333333336</v>
      </c>
      <c r="AU20" s="226"/>
      <c r="AV20" s="160">
        <f>$AT$20/12</f>
        <v>2944.4444444444448</v>
      </c>
      <c r="AW20" s="160">
        <f t="shared" ref="AW20:BG20" si="47">$AT$20/12</f>
        <v>2944.4444444444448</v>
      </c>
      <c r="AX20" s="160">
        <f t="shared" si="47"/>
        <v>2944.4444444444448</v>
      </c>
      <c r="AY20" s="160">
        <f t="shared" si="47"/>
        <v>2944.4444444444448</v>
      </c>
      <c r="AZ20" s="160">
        <f t="shared" si="47"/>
        <v>2944.4444444444448</v>
      </c>
      <c r="BA20" s="160">
        <f t="shared" si="47"/>
        <v>2944.4444444444448</v>
      </c>
      <c r="BB20" s="160">
        <f t="shared" si="47"/>
        <v>2944.4444444444448</v>
      </c>
      <c r="BC20" s="160">
        <f t="shared" si="47"/>
        <v>2944.4444444444448</v>
      </c>
      <c r="BD20" s="160">
        <f t="shared" si="47"/>
        <v>2944.4444444444448</v>
      </c>
      <c r="BE20" s="160">
        <f t="shared" si="47"/>
        <v>2944.4444444444448</v>
      </c>
      <c r="BF20" s="160">
        <f t="shared" si="47"/>
        <v>2944.4444444444448</v>
      </c>
      <c r="BG20" s="160">
        <f t="shared" si="47"/>
        <v>2944.4444444444448</v>
      </c>
      <c r="BH20" s="157">
        <f t="shared" si="44"/>
        <v>8833.3333333333339</v>
      </c>
      <c r="BI20" s="226"/>
      <c r="BJ20" s="100">
        <v>0</v>
      </c>
      <c r="BK20" s="13"/>
      <c r="BL20" s="149">
        <f t="shared" si="37"/>
        <v>0</v>
      </c>
    </row>
    <row r="21" spans="1:64" ht="15.75" x14ac:dyDescent="0.25">
      <c r="A21" s="15" t="s">
        <v>32</v>
      </c>
      <c r="B21" s="7" t="s">
        <v>33</v>
      </c>
      <c r="C21" s="149">
        <f t="shared" ref="C21:C22" si="48">C20</f>
        <v>17666.666666666668</v>
      </c>
      <c r="D21" s="51">
        <v>1</v>
      </c>
      <c r="E21" s="9"/>
      <c r="F21" s="149">
        <f t="shared" si="31"/>
        <v>17666.666666666668</v>
      </c>
      <c r="G21" s="236"/>
      <c r="H21" s="51">
        <v>0</v>
      </c>
      <c r="I21" s="9"/>
      <c r="J21" s="149">
        <f t="shared" si="38"/>
        <v>0</v>
      </c>
      <c r="K21" s="226"/>
      <c r="L21" s="150">
        <v>0</v>
      </c>
      <c r="M21" s="150">
        <v>0</v>
      </c>
      <c r="N21" s="150">
        <v>0</v>
      </c>
      <c r="O21" s="150">
        <v>0</v>
      </c>
      <c r="P21" s="150">
        <v>0</v>
      </c>
      <c r="Q21" s="150">
        <v>0</v>
      </c>
      <c r="R21" s="150">
        <v>0</v>
      </c>
      <c r="S21" s="150">
        <v>0</v>
      </c>
      <c r="T21" s="150">
        <v>0</v>
      </c>
      <c r="U21" s="149">
        <f>$J$21/3</f>
        <v>0</v>
      </c>
      <c r="V21" s="149">
        <f t="shared" ref="V21:W21" si="49">$J$21/3</f>
        <v>0</v>
      </c>
      <c r="W21" s="149">
        <f t="shared" si="49"/>
        <v>0</v>
      </c>
      <c r="X21" s="149">
        <f t="shared" si="40"/>
        <v>0</v>
      </c>
      <c r="Y21" s="254"/>
      <c r="Z21" s="48">
        <v>0</v>
      </c>
      <c r="AA21" s="13"/>
      <c r="AB21" s="157">
        <f t="shared" si="33"/>
        <v>0</v>
      </c>
      <c r="AC21" s="226"/>
      <c r="AD21" s="163">
        <v>0</v>
      </c>
      <c r="AE21" s="150">
        <v>0</v>
      </c>
      <c r="AF21" s="150">
        <v>0</v>
      </c>
      <c r="AG21" s="150">
        <v>0</v>
      </c>
      <c r="AH21" s="150">
        <v>0</v>
      </c>
      <c r="AI21" s="150">
        <v>0</v>
      </c>
      <c r="AJ21" s="150">
        <v>0</v>
      </c>
      <c r="AK21" s="150">
        <v>0</v>
      </c>
      <c r="AL21" s="150">
        <v>0</v>
      </c>
      <c r="AM21" s="149">
        <f>$J$21/3</f>
        <v>0</v>
      </c>
      <c r="AN21" s="149">
        <f t="shared" ref="AN21:AO21" si="50">$J$21/3</f>
        <v>0</v>
      </c>
      <c r="AO21" s="149">
        <f t="shared" si="50"/>
        <v>0</v>
      </c>
      <c r="AP21" s="157">
        <f t="shared" si="42"/>
        <v>0</v>
      </c>
      <c r="AQ21" s="226"/>
      <c r="AR21" s="100">
        <v>1</v>
      </c>
      <c r="AS21" s="13"/>
      <c r="AT21" s="157">
        <f t="shared" si="35"/>
        <v>17666.666666666668</v>
      </c>
      <c r="AU21" s="226"/>
      <c r="AV21" s="160">
        <f>$AT$21/12</f>
        <v>1472.2222222222224</v>
      </c>
      <c r="AW21" s="160">
        <f t="shared" ref="AW21:BG21" si="51">$AT$21/12</f>
        <v>1472.2222222222224</v>
      </c>
      <c r="AX21" s="160">
        <f t="shared" si="51"/>
        <v>1472.2222222222224</v>
      </c>
      <c r="AY21" s="160">
        <f t="shared" si="51"/>
        <v>1472.2222222222224</v>
      </c>
      <c r="AZ21" s="160">
        <f t="shared" si="51"/>
        <v>1472.2222222222224</v>
      </c>
      <c r="BA21" s="160">
        <f t="shared" si="51"/>
        <v>1472.2222222222224</v>
      </c>
      <c r="BB21" s="160">
        <f t="shared" si="51"/>
        <v>1472.2222222222224</v>
      </c>
      <c r="BC21" s="160">
        <f t="shared" si="51"/>
        <v>1472.2222222222224</v>
      </c>
      <c r="BD21" s="160">
        <f t="shared" si="51"/>
        <v>1472.2222222222224</v>
      </c>
      <c r="BE21" s="160">
        <f t="shared" si="51"/>
        <v>1472.2222222222224</v>
      </c>
      <c r="BF21" s="160">
        <f t="shared" si="51"/>
        <v>1472.2222222222224</v>
      </c>
      <c r="BG21" s="160">
        <f t="shared" si="51"/>
        <v>1472.2222222222224</v>
      </c>
      <c r="BH21" s="157">
        <f t="shared" si="44"/>
        <v>4416.666666666667</v>
      </c>
      <c r="BI21" s="226"/>
      <c r="BJ21" s="100">
        <v>0</v>
      </c>
      <c r="BK21" s="13"/>
      <c r="BL21" s="149">
        <f t="shared" si="37"/>
        <v>0</v>
      </c>
    </row>
    <row r="22" spans="1:64" ht="15.75" x14ac:dyDescent="0.25">
      <c r="A22" s="15" t="s">
        <v>34</v>
      </c>
      <c r="B22" s="7" t="s">
        <v>35</v>
      </c>
      <c r="C22" s="149">
        <f t="shared" si="48"/>
        <v>17666.666666666668</v>
      </c>
      <c r="D22" s="51">
        <v>0</v>
      </c>
      <c r="E22" s="9"/>
      <c r="F22" s="149">
        <f t="shared" si="31"/>
        <v>0</v>
      </c>
      <c r="G22" s="236"/>
      <c r="H22" s="51">
        <v>0</v>
      </c>
      <c r="I22" s="9"/>
      <c r="J22" s="149">
        <f t="shared" si="38"/>
        <v>0</v>
      </c>
      <c r="K22" s="226"/>
      <c r="L22" s="150">
        <v>0</v>
      </c>
      <c r="M22" s="150">
        <v>0</v>
      </c>
      <c r="N22" s="150">
        <v>0</v>
      </c>
      <c r="O22" s="150">
        <v>0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49">
        <f>$J$22/3</f>
        <v>0</v>
      </c>
      <c r="V22" s="149">
        <f t="shared" ref="V22:W22" si="52">$J$22/3</f>
        <v>0</v>
      </c>
      <c r="W22" s="149">
        <f t="shared" si="52"/>
        <v>0</v>
      </c>
      <c r="X22" s="149">
        <f t="shared" si="40"/>
        <v>0</v>
      </c>
      <c r="Y22" s="254"/>
      <c r="Z22" s="48">
        <v>0</v>
      </c>
      <c r="AA22" s="13"/>
      <c r="AB22" s="157">
        <f t="shared" si="33"/>
        <v>0</v>
      </c>
      <c r="AC22" s="226"/>
      <c r="AD22" s="163">
        <v>0</v>
      </c>
      <c r="AE22" s="150">
        <v>0</v>
      </c>
      <c r="AF22" s="150">
        <v>0</v>
      </c>
      <c r="AG22" s="150">
        <v>0</v>
      </c>
      <c r="AH22" s="150">
        <v>0</v>
      </c>
      <c r="AI22" s="150">
        <v>0</v>
      </c>
      <c r="AJ22" s="150">
        <v>0</v>
      </c>
      <c r="AK22" s="150">
        <v>0</v>
      </c>
      <c r="AL22" s="150">
        <v>0</v>
      </c>
      <c r="AM22" s="149">
        <f>$J$22/3</f>
        <v>0</v>
      </c>
      <c r="AN22" s="149">
        <f t="shared" ref="AN22:AO22" si="53">$J$22/3</f>
        <v>0</v>
      </c>
      <c r="AO22" s="149">
        <f t="shared" si="53"/>
        <v>0</v>
      </c>
      <c r="AP22" s="157">
        <f t="shared" si="42"/>
        <v>0</v>
      </c>
      <c r="AQ22" s="226"/>
      <c r="AR22" s="100">
        <v>0</v>
      </c>
      <c r="AS22" s="13"/>
      <c r="AT22" s="157">
        <f t="shared" si="35"/>
        <v>0</v>
      </c>
      <c r="AU22" s="226"/>
      <c r="AV22" s="160">
        <f>$AT$22/12</f>
        <v>0</v>
      </c>
      <c r="AW22" s="149">
        <v>0</v>
      </c>
      <c r="AX22" s="149">
        <v>0</v>
      </c>
      <c r="AY22" s="149">
        <v>0</v>
      </c>
      <c r="AZ22" s="149">
        <v>0</v>
      </c>
      <c r="BA22" s="149">
        <v>0</v>
      </c>
      <c r="BB22" s="149">
        <v>0</v>
      </c>
      <c r="BC22" s="149">
        <v>0</v>
      </c>
      <c r="BD22" s="149">
        <v>0</v>
      </c>
      <c r="BE22" s="149">
        <f>$J$22/3</f>
        <v>0</v>
      </c>
      <c r="BF22" s="149">
        <f t="shared" ref="BF22:BG22" si="54">$J$22/3</f>
        <v>0</v>
      </c>
      <c r="BG22" s="149">
        <f t="shared" si="54"/>
        <v>0</v>
      </c>
      <c r="BH22" s="157">
        <f t="shared" si="44"/>
        <v>0</v>
      </c>
      <c r="BI22" s="226"/>
      <c r="BJ22" s="100">
        <v>0</v>
      </c>
      <c r="BK22" s="13"/>
      <c r="BL22" s="149">
        <f t="shared" si="37"/>
        <v>0</v>
      </c>
    </row>
    <row r="23" spans="1:64" ht="15.75" x14ac:dyDescent="0.25">
      <c r="A23" s="15" t="s">
        <v>36</v>
      </c>
      <c r="B23" s="7" t="s">
        <v>37</v>
      </c>
      <c r="C23" s="149">
        <f>(C24+C25)/2</f>
        <v>1350</v>
      </c>
      <c r="D23" s="51">
        <f>SUM(D18:D22)</f>
        <v>126</v>
      </c>
      <c r="E23" s="44"/>
      <c r="F23" s="149">
        <f t="shared" si="31"/>
        <v>170100</v>
      </c>
      <c r="G23" s="236"/>
      <c r="H23" s="51">
        <f>SUM(H18:H22)</f>
        <v>0</v>
      </c>
      <c r="I23" s="9"/>
      <c r="J23" s="149">
        <f t="shared" si="38"/>
        <v>0</v>
      </c>
      <c r="K23" s="226"/>
      <c r="L23" s="150">
        <v>0</v>
      </c>
      <c r="M23" s="150">
        <v>0</v>
      </c>
      <c r="N23" s="150">
        <v>0</v>
      </c>
      <c r="O23" s="150">
        <v>0</v>
      </c>
      <c r="P23" s="150">
        <v>0</v>
      </c>
      <c r="Q23" s="150">
        <v>0</v>
      </c>
      <c r="R23" s="150">
        <v>0</v>
      </c>
      <c r="S23" s="150">
        <v>0</v>
      </c>
      <c r="T23" s="150">
        <v>0</v>
      </c>
      <c r="U23" s="149">
        <f>$J$23/3</f>
        <v>0</v>
      </c>
      <c r="V23" s="149">
        <f t="shared" ref="V23:W23" si="55">$J$23/3</f>
        <v>0</v>
      </c>
      <c r="W23" s="149">
        <f t="shared" si="55"/>
        <v>0</v>
      </c>
      <c r="X23" s="149">
        <f t="shared" si="40"/>
        <v>0</v>
      </c>
      <c r="Y23" s="254"/>
      <c r="Z23" s="48">
        <f>SUM(Z18:Z22)</f>
        <v>1</v>
      </c>
      <c r="AA23" s="13"/>
      <c r="AB23" s="157">
        <f t="shared" si="33"/>
        <v>1350</v>
      </c>
      <c r="AC23" s="226"/>
      <c r="AD23" s="163">
        <v>0</v>
      </c>
      <c r="AE23" s="150">
        <v>0</v>
      </c>
      <c r="AF23" s="150">
        <v>0</v>
      </c>
      <c r="AG23" s="150">
        <v>0</v>
      </c>
      <c r="AH23" s="150">
        <v>0</v>
      </c>
      <c r="AI23" s="150">
        <v>0</v>
      </c>
      <c r="AJ23" s="150">
        <v>0</v>
      </c>
      <c r="AK23" s="150">
        <v>0</v>
      </c>
      <c r="AL23" s="150">
        <v>0</v>
      </c>
      <c r="AM23" s="149">
        <f>$AB$23/3</f>
        <v>450</v>
      </c>
      <c r="AN23" s="149">
        <f t="shared" ref="AN23:AO23" si="56">$AB$23/3</f>
        <v>450</v>
      </c>
      <c r="AO23" s="149">
        <f t="shared" si="56"/>
        <v>450</v>
      </c>
      <c r="AP23" s="157">
        <f t="shared" si="42"/>
        <v>1350</v>
      </c>
      <c r="AQ23" s="226"/>
      <c r="AR23" s="100">
        <f>SUM(AR18:AR22)</f>
        <v>75</v>
      </c>
      <c r="AS23" s="13"/>
      <c r="AT23" s="157">
        <f t="shared" si="35"/>
        <v>101250</v>
      </c>
      <c r="AU23" s="226"/>
      <c r="AV23" s="160">
        <f>$AT$23/12</f>
        <v>8437.5</v>
      </c>
      <c r="AW23" s="160">
        <f t="shared" ref="AW23:BG23" si="57">$AT$23/12</f>
        <v>8437.5</v>
      </c>
      <c r="AX23" s="160">
        <f t="shared" si="57"/>
        <v>8437.5</v>
      </c>
      <c r="AY23" s="160">
        <f t="shared" si="57"/>
        <v>8437.5</v>
      </c>
      <c r="AZ23" s="160">
        <f t="shared" si="57"/>
        <v>8437.5</v>
      </c>
      <c r="BA23" s="160">
        <f t="shared" si="57"/>
        <v>8437.5</v>
      </c>
      <c r="BB23" s="160">
        <f t="shared" si="57"/>
        <v>8437.5</v>
      </c>
      <c r="BC23" s="160">
        <f t="shared" si="57"/>
        <v>8437.5</v>
      </c>
      <c r="BD23" s="160">
        <f t="shared" si="57"/>
        <v>8437.5</v>
      </c>
      <c r="BE23" s="160">
        <f t="shared" si="57"/>
        <v>8437.5</v>
      </c>
      <c r="BF23" s="160">
        <f t="shared" si="57"/>
        <v>8437.5</v>
      </c>
      <c r="BG23" s="160">
        <f t="shared" si="57"/>
        <v>8437.5</v>
      </c>
      <c r="BH23" s="157">
        <f t="shared" si="44"/>
        <v>25312.5</v>
      </c>
      <c r="BI23" s="226"/>
      <c r="BJ23" s="100">
        <f>SUM(BJ18:BJ22)</f>
        <v>31</v>
      </c>
      <c r="BK23" s="13"/>
      <c r="BL23" s="149">
        <f t="shared" si="37"/>
        <v>41850</v>
      </c>
    </row>
    <row r="24" spans="1:64" ht="14.45" hidden="1" customHeight="1" x14ac:dyDescent="0.25">
      <c r="A24" s="15" t="s">
        <v>36</v>
      </c>
      <c r="B24" s="7" t="s">
        <v>38</v>
      </c>
      <c r="C24" s="41">
        <f>(700+1750)/2</f>
        <v>1225</v>
      </c>
      <c r="D24" s="40">
        <f>D23</f>
        <v>126</v>
      </c>
      <c r="E24" s="44"/>
      <c r="F24" s="84">
        <f t="shared" si="31"/>
        <v>154350</v>
      </c>
      <c r="G24" s="236"/>
      <c r="J24" s="91">
        <f t="shared" si="38"/>
        <v>0</v>
      </c>
      <c r="K24" s="226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54"/>
      <c r="Z24" s="12"/>
      <c r="AA24" s="12"/>
      <c r="AC24" s="226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226"/>
      <c r="AR24" s="12"/>
      <c r="AS24" s="12"/>
      <c r="AU24" s="226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226"/>
      <c r="BJ24" s="12"/>
      <c r="BK24" s="12"/>
      <c r="BL24" s="7"/>
    </row>
    <row r="25" spans="1:64" ht="14.45" hidden="1" customHeight="1" x14ac:dyDescent="0.25">
      <c r="A25" s="15" t="s">
        <v>39</v>
      </c>
      <c r="B25" s="7" t="s">
        <v>40</v>
      </c>
      <c r="C25" s="41">
        <f>(1050+1900)/2</f>
        <v>1475</v>
      </c>
      <c r="D25" s="40">
        <f>D23</f>
        <v>126</v>
      </c>
      <c r="E25" s="44"/>
      <c r="F25" s="84">
        <f t="shared" si="31"/>
        <v>185850</v>
      </c>
      <c r="G25" s="236"/>
      <c r="J25" s="91">
        <f t="shared" si="38"/>
        <v>0</v>
      </c>
      <c r="K25" s="226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254"/>
      <c r="Z25" s="12"/>
      <c r="AA25" s="12"/>
      <c r="AC25" s="226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226"/>
      <c r="AR25" s="12"/>
      <c r="AS25" s="12"/>
      <c r="AU25" s="226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226"/>
      <c r="BJ25" s="12"/>
      <c r="BK25" s="12"/>
      <c r="BL25" s="7"/>
    </row>
    <row r="26" spans="1:64" ht="18.600000000000001" customHeight="1" x14ac:dyDescent="0.25">
      <c r="A26" s="37" t="s">
        <v>41</v>
      </c>
      <c r="B26" s="243" t="s">
        <v>42</v>
      </c>
      <c r="C26" s="244"/>
      <c r="D26" s="244"/>
      <c r="E26" s="245"/>
      <c r="F26" s="85">
        <f>SUM(F27:F29)</f>
        <v>3118500</v>
      </c>
      <c r="G26" s="236"/>
      <c r="H26" s="221"/>
      <c r="I26" s="222"/>
      <c r="J26" s="83">
        <f>SUM(J27:J29)</f>
        <v>0</v>
      </c>
      <c r="K26" s="226"/>
      <c r="L26" s="26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2"/>
      <c r="X26" s="147">
        <f>SUM(X27:X29)</f>
        <v>0</v>
      </c>
      <c r="Y26" s="254"/>
      <c r="Z26" s="221"/>
      <c r="AA26" s="222"/>
      <c r="AB26" s="83">
        <f>SUM(AB27:AB29)</f>
        <v>11550</v>
      </c>
      <c r="AC26" s="226"/>
      <c r="AD26" s="221"/>
      <c r="AE26" s="221"/>
      <c r="AF26" s="221"/>
      <c r="AG26" s="221"/>
      <c r="AH26" s="221"/>
      <c r="AI26" s="221"/>
      <c r="AJ26" s="221"/>
      <c r="AK26" s="221"/>
      <c r="AL26" s="221"/>
      <c r="AM26" s="221"/>
      <c r="AN26" s="221"/>
      <c r="AO26" s="222"/>
      <c r="AP26" s="129">
        <f>SUM(AP27:AP29)</f>
        <v>11550</v>
      </c>
      <c r="AQ26" s="226"/>
      <c r="AR26" s="221"/>
      <c r="AS26" s="222"/>
      <c r="AT26" s="83">
        <f>SUM(AT27:AT29)</f>
        <v>1501500</v>
      </c>
      <c r="AU26" s="226"/>
      <c r="AV26" s="221"/>
      <c r="AW26" s="221"/>
      <c r="AX26" s="221"/>
      <c r="AY26" s="221"/>
      <c r="AZ26" s="221"/>
      <c r="BA26" s="221"/>
      <c r="BB26" s="221"/>
      <c r="BC26" s="221"/>
      <c r="BD26" s="221"/>
      <c r="BE26" s="221"/>
      <c r="BF26" s="221"/>
      <c r="BG26" s="222"/>
      <c r="BH26" s="129">
        <f>SUM(BH27:BH29)</f>
        <v>250791.66666666666</v>
      </c>
      <c r="BI26" s="226"/>
      <c r="BJ26" s="261"/>
      <c r="BK26" s="222"/>
      <c r="BL26" s="35">
        <f>SUM(BL27:BL29)</f>
        <v>1351350</v>
      </c>
    </row>
    <row r="27" spans="1:64" ht="15.75" x14ac:dyDescent="0.25">
      <c r="A27" s="15" t="s">
        <v>43</v>
      </c>
      <c r="B27" s="59" t="s">
        <v>44</v>
      </c>
      <c r="C27" s="149">
        <f>(250+900)/2</f>
        <v>575</v>
      </c>
      <c r="D27" s="67">
        <f>10*D14</f>
        <v>2700</v>
      </c>
      <c r="E27" s="44"/>
      <c r="F27" s="149">
        <f>C27*D27</f>
        <v>1552500</v>
      </c>
      <c r="G27" s="236"/>
      <c r="H27" s="51">
        <f>10*H14</f>
        <v>0</v>
      </c>
      <c r="I27" s="44"/>
      <c r="J27" s="149">
        <f>C27*H27</f>
        <v>0</v>
      </c>
      <c r="K27" s="226"/>
      <c r="L27" s="150">
        <f>10*L14</f>
        <v>0</v>
      </c>
      <c r="M27" s="150">
        <v>0</v>
      </c>
      <c r="N27" s="150">
        <v>0</v>
      </c>
      <c r="O27" s="150">
        <v>0</v>
      </c>
      <c r="P27" s="150">
        <v>0</v>
      </c>
      <c r="Q27" s="150">
        <v>0</v>
      </c>
      <c r="R27" s="150">
        <v>0</v>
      </c>
      <c r="S27" s="150">
        <v>0</v>
      </c>
      <c r="T27" s="150">
        <v>0</v>
      </c>
      <c r="U27" s="149">
        <f>$J$27/3</f>
        <v>0</v>
      </c>
      <c r="V27" s="149">
        <f t="shared" ref="V27:W27" si="58">$J$27/3</f>
        <v>0</v>
      </c>
      <c r="W27" s="149">
        <f t="shared" si="58"/>
        <v>0</v>
      </c>
      <c r="X27" s="149">
        <f>SUM(U27:W27)</f>
        <v>0</v>
      </c>
      <c r="Y27" s="254"/>
      <c r="Z27" s="48">
        <f>10*Z14</f>
        <v>10</v>
      </c>
      <c r="AA27" s="13"/>
      <c r="AB27" s="157">
        <f>C27*Z27</f>
        <v>5750</v>
      </c>
      <c r="AC27" s="226"/>
      <c r="AD27" s="160">
        <f>10*AD14</f>
        <v>0</v>
      </c>
      <c r="AE27" s="153">
        <v>0</v>
      </c>
      <c r="AF27" s="153">
        <v>0</v>
      </c>
      <c r="AG27" s="153">
        <v>0</v>
      </c>
      <c r="AH27" s="153">
        <v>0</v>
      </c>
      <c r="AI27" s="153">
        <v>0</v>
      </c>
      <c r="AJ27" s="153">
        <v>0</v>
      </c>
      <c r="AK27" s="153">
        <v>0</v>
      </c>
      <c r="AL27" s="153">
        <v>0</v>
      </c>
      <c r="AM27" s="153">
        <f>$AB$27/3</f>
        <v>1916.6666666666667</v>
      </c>
      <c r="AN27" s="153">
        <f t="shared" ref="AN27:AO27" si="59">$AB$27/3</f>
        <v>1916.6666666666667</v>
      </c>
      <c r="AO27" s="153">
        <f t="shared" si="59"/>
        <v>1916.6666666666667</v>
      </c>
      <c r="AP27" s="157">
        <f>SUM(AM27:AO27)</f>
        <v>5750</v>
      </c>
      <c r="AQ27" s="226"/>
      <c r="AR27" s="100">
        <f>10*AR14</f>
        <v>1300</v>
      </c>
      <c r="AS27" s="13"/>
      <c r="AT27" s="157">
        <f>C27*AR27</f>
        <v>747500</v>
      </c>
      <c r="AU27" s="226"/>
      <c r="AV27" s="160">
        <f>$AT$27/12</f>
        <v>62291.666666666664</v>
      </c>
      <c r="AW27" s="160">
        <f t="shared" ref="AW27:BH27" si="60">$AT$27/12</f>
        <v>62291.666666666664</v>
      </c>
      <c r="AX27" s="160">
        <f t="shared" si="60"/>
        <v>62291.666666666664</v>
      </c>
      <c r="AY27" s="160">
        <f t="shared" si="60"/>
        <v>62291.666666666664</v>
      </c>
      <c r="AZ27" s="160">
        <f t="shared" si="60"/>
        <v>62291.666666666664</v>
      </c>
      <c r="BA27" s="160">
        <f t="shared" si="60"/>
        <v>62291.666666666664</v>
      </c>
      <c r="BB27" s="160">
        <f t="shared" si="60"/>
        <v>62291.666666666664</v>
      </c>
      <c r="BC27" s="160">
        <f t="shared" si="60"/>
        <v>62291.666666666664</v>
      </c>
      <c r="BD27" s="160">
        <f t="shared" si="60"/>
        <v>62291.666666666664</v>
      </c>
      <c r="BE27" s="160">
        <f t="shared" si="60"/>
        <v>62291.666666666664</v>
      </c>
      <c r="BF27" s="160">
        <f t="shared" si="60"/>
        <v>62291.666666666664</v>
      </c>
      <c r="BG27" s="160">
        <f t="shared" si="60"/>
        <v>62291.666666666664</v>
      </c>
      <c r="BH27" s="160">
        <f t="shared" si="60"/>
        <v>62291.666666666664</v>
      </c>
      <c r="BI27" s="226"/>
      <c r="BJ27" s="100">
        <f>10*BJ14</f>
        <v>1170</v>
      </c>
      <c r="BK27" s="13"/>
      <c r="BL27" s="99">
        <f>C27*BJ27</f>
        <v>672750</v>
      </c>
    </row>
    <row r="28" spans="1:64" ht="15.75" x14ac:dyDescent="0.25">
      <c r="A28" s="15" t="s">
        <v>45</v>
      </c>
      <c r="B28" s="59" t="s">
        <v>46</v>
      </c>
      <c r="C28" s="149">
        <f>(600+800)/2</f>
        <v>700</v>
      </c>
      <c r="D28" s="67">
        <f>4*D14</f>
        <v>1080</v>
      </c>
      <c r="E28" s="44"/>
      <c r="F28" s="149">
        <f>C28*D28</f>
        <v>756000</v>
      </c>
      <c r="G28" s="236"/>
      <c r="H28" s="51">
        <f>4*H14</f>
        <v>0</v>
      </c>
      <c r="I28" s="44"/>
      <c r="J28" s="149">
        <f>C28*H28</f>
        <v>0</v>
      </c>
      <c r="K28" s="226"/>
      <c r="L28" s="150">
        <f t="shared" ref="L28:L29" si="61">10*L15</f>
        <v>0</v>
      </c>
      <c r="M28" s="150">
        <v>0</v>
      </c>
      <c r="N28" s="150">
        <v>0</v>
      </c>
      <c r="O28" s="150">
        <v>0</v>
      </c>
      <c r="P28" s="150">
        <v>0</v>
      </c>
      <c r="Q28" s="150">
        <v>0</v>
      </c>
      <c r="R28" s="150">
        <v>0</v>
      </c>
      <c r="S28" s="150">
        <v>0</v>
      </c>
      <c r="T28" s="150">
        <v>0</v>
      </c>
      <c r="U28" s="149">
        <f>$J$28/3</f>
        <v>0</v>
      </c>
      <c r="V28" s="149">
        <f t="shared" ref="V28:W28" si="62">$J$28/3</f>
        <v>0</v>
      </c>
      <c r="W28" s="149">
        <f t="shared" si="62"/>
        <v>0</v>
      </c>
      <c r="X28" s="149">
        <f>SUM(U28:W28)</f>
        <v>0</v>
      </c>
      <c r="Y28" s="254"/>
      <c r="Z28" s="48">
        <f>4*Z14</f>
        <v>4</v>
      </c>
      <c r="AA28" s="13"/>
      <c r="AB28" s="157">
        <f>C28*Z28</f>
        <v>2800</v>
      </c>
      <c r="AC28" s="226"/>
      <c r="AD28" s="159">
        <f t="shared" ref="AD28:AD29" si="63">10*AD15</f>
        <v>0</v>
      </c>
      <c r="AE28" s="149">
        <v>0</v>
      </c>
      <c r="AF28" s="149">
        <v>0</v>
      </c>
      <c r="AG28" s="149">
        <v>0</v>
      </c>
      <c r="AH28" s="149">
        <v>0</v>
      </c>
      <c r="AI28" s="149">
        <v>0</v>
      </c>
      <c r="AJ28" s="149">
        <v>0</v>
      </c>
      <c r="AK28" s="149">
        <v>0</v>
      </c>
      <c r="AL28" s="149">
        <v>0</v>
      </c>
      <c r="AM28" s="149">
        <f>$AB$28/3</f>
        <v>933.33333333333337</v>
      </c>
      <c r="AN28" s="149">
        <f t="shared" ref="AN28:AO28" si="64">$AB$28/3</f>
        <v>933.33333333333337</v>
      </c>
      <c r="AO28" s="149">
        <f t="shared" si="64"/>
        <v>933.33333333333337</v>
      </c>
      <c r="AP28" s="157">
        <f>SUM(AM28:AO28)</f>
        <v>2800</v>
      </c>
      <c r="AQ28" s="226"/>
      <c r="AR28" s="100">
        <f>4*AR14</f>
        <v>520</v>
      </c>
      <c r="AS28" s="13"/>
      <c r="AT28" s="157">
        <f>C28*AR28</f>
        <v>364000</v>
      </c>
      <c r="AU28" s="226"/>
      <c r="AV28" s="160">
        <f>$AT$28/12</f>
        <v>30333.333333333332</v>
      </c>
      <c r="AW28" s="160">
        <f t="shared" ref="AW28:BG28" si="65">$AT$28/12</f>
        <v>30333.333333333332</v>
      </c>
      <c r="AX28" s="160">
        <f t="shared" si="65"/>
        <v>30333.333333333332</v>
      </c>
      <c r="AY28" s="160">
        <f t="shared" si="65"/>
        <v>30333.333333333332</v>
      </c>
      <c r="AZ28" s="160">
        <f t="shared" si="65"/>
        <v>30333.333333333332</v>
      </c>
      <c r="BA28" s="160">
        <f t="shared" si="65"/>
        <v>30333.333333333332</v>
      </c>
      <c r="BB28" s="160">
        <f t="shared" si="65"/>
        <v>30333.333333333332</v>
      </c>
      <c r="BC28" s="160">
        <f t="shared" si="65"/>
        <v>30333.333333333332</v>
      </c>
      <c r="BD28" s="160">
        <f t="shared" si="65"/>
        <v>30333.333333333332</v>
      </c>
      <c r="BE28" s="160">
        <f t="shared" si="65"/>
        <v>30333.333333333332</v>
      </c>
      <c r="BF28" s="160">
        <f t="shared" si="65"/>
        <v>30333.333333333332</v>
      </c>
      <c r="BG28" s="160">
        <f t="shared" si="65"/>
        <v>30333.333333333332</v>
      </c>
      <c r="BH28" s="157">
        <f>SUM(BE28:BG28)</f>
        <v>91000</v>
      </c>
      <c r="BI28" s="226"/>
      <c r="BJ28" s="100">
        <f>4*BJ14</f>
        <v>468</v>
      </c>
      <c r="BK28" s="13"/>
      <c r="BL28" s="99">
        <f>C28*BJ28</f>
        <v>327600</v>
      </c>
    </row>
    <row r="29" spans="1:64" ht="15.75" x14ac:dyDescent="0.25">
      <c r="A29" s="15" t="s">
        <v>47</v>
      </c>
      <c r="B29" s="59" t="s">
        <v>48</v>
      </c>
      <c r="C29" s="149">
        <f>(800+1200)/2</f>
        <v>1000</v>
      </c>
      <c r="D29" s="67">
        <f>3*D14</f>
        <v>810</v>
      </c>
      <c r="E29" s="44"/>
      <c r="F29" s="149">
        <f>C29*D29</f>
        <v>810000</v>
      </c>
      <c r="G29" s="236"/>
      <c r="H29" s="51">
        <f>3*H14</f>
        <v>0</v>
      </c>
      <c r="I29" s="44"/>
      <c r="J29" s="149">
        <f>C29*H29</f>
        <v>0</v>
      </c>
      <c r="K29" s="226"/>
      <c r="L29" s="150">
        <f t="shared" si="61"/>
        <v>0</v>
      </c>
      <c r="M29" s="150">
        <v>0</v>
      </c>
      <c r="N29" s="150">
        <v>0</v>
      </c>
      <c r="O29" s="150">
        <v>0</v>
      </c>
      <c r="P29" s="150">
        <v>0</v>
      </c>
      <c r="Q29" s="150">
        <v>0</v>
      </c>
      <c r="R29" s="150">
        <v>0</v>
      </c>
      <c r="S29" s="150">
        <v>0</v>
      </c>
      <c r="T29" s="150">
        <v>0</v>
      </c>
      <c r="U29" s="149">
        <f>$J$29/3</f>
        <v>0</v>
      </c>
      <c r="V29" s="149">
        <f t="shared" ref="V29:W29" si="66">$J$29/3</f>
        <v>0</v>
      </c>
      <c r="W29" s="149">
        <f t="shared" si="66"/>
        <v>0</v>
      </c>
      <c r="X29" s="149">
        <f>SUM(U29:W29)</f>
        <v>0</v>
      </c>
      <c r="Y29" s="254"/>
      <c r="Z29" s="48">
        <f>3*Z14</f>
        <v>3</v>
      </c>
      <c r="AA29" s="13"/>
      <c r="AB29" s="157">
        <f>C29*Z29</f>
        <v>3000</v>
      </c>
      <c r="AC29" s="226"/>
      <c r="AD29" s="161">
        <f t="shared" si="63"/>
        <v>0</v>
      </c>
      <c r="AE29" s="154">
        <v>0</v>
      </c>
      <c r="AF29" s="154">
        <v>0</v>
      </c>
      <c r="AG29" s="154">
        <v>0</v>
      </c>
      <c r="AH29" s="154">
        <v>0</v>
      </c>
      <c r="AI29" s="154">
        <v>0</v>
      </c>
      <c r="AJ29" s="154">
        <v>0</v>
      </c>
      <c r="AK29" s="154">
        <v>0</v>
      </c>
      <c r="AL29" s="154">
        <v>0</v>
      </c>
      <c r="AM29" s="154">
        <f>$AB$29/3</f>
        <v>1000</v>
      </c>
      <c r="AN29" s="154">
        <f t="shared" ref="AN29:AO29" si="67">$AB$29/3</f>
        <v>1000</v>
      </c>
      <c r="AO29" s="154">
        <f t="shared" si="67"/>
        <v>1000</v>
      </c>
      <c r="AP29" s="157">
        <f>SUM(AM29:AO29)</f>
        <v>3000</v>
      </c>
      <c r="AQ29" s="226"/>
      <c r="AR29" s="100">
        <f>3*AR14</f>
        <v>390</v>
      </c>
      <c r="AS29" s="13"/>
      <c r="AT29" s="157">
        <f>C29*AR29</f>
        <v>390000</v>
      </c>
      <c r="AU29" s="226"/>
      <c r="AV29" s="160">
        <f>$AT$29/12</f>
        <v>32500</v>
      </c>
      <c r="AW29" s="160">
        <f t="shared" ref="AW29:BG29" si="68">$AT$29/12</f>
        <v>32500</v>
      </c>
      <c r="AX29" s="160">
        <f t="shared" si="68"/>
        <v>32500</v>
      </c>
      <c r="AY29" s="160">
        <f t="shared" si="68"/>
        <v>32500</v>
      </c>
      <c r="AZ29" s="160">
        <f t="shared" si="68"/>
        <v>32500</v>
      </c>
      <c r="BA29" s="160">
        <f t="shared" si="68"/>
        <v>32500</v>
      </c>
      <c r="BB29" s="160">
        <f t="shared" si="68"/>
        <v>32500</v>
      </c>
      <c r="BC29" s="160">
        <f t="shared" si="68"/>
        <v>32500</v>
      </c>
      <c r="BD29" s="160">
        <f t="shared" si="68"/>
        <v>32500</v>
      </c>
      <c r="BE29" s="160">
        <f t="shared" si="68"/>
        <v>32500</v>
      </c>
      <c r="BF29" s="160">
        <f t="shared" si="68"/>
        <v>32500</v>
      </c>
      <c r="BG29" s="160">
        <f t="shared" si="68"/>
        <v>32500</v>
      </c>
      <c r="BH29" s="157">
        <f>SUM(BE29:BG29)</f>
        <v>97500</v>
      </c>
      <c r="BI29" s="226"/>
      <c r="BJ29" s="100">
        <f>3*BJ14</f>
        <v>351</v>
      </c>
      <c r="BK29" s="13"/>
      <c r="BL29" s="99">
        <f>C29*BJ29</f>
        <v>351000</v>
      </c>
    </row>
    <row r="30" spans="1:64" ht="23.45" customHeight="1" x14ac:dyDescent="0.25">
      <c r="A30" s="37" t="s">
        <v>49</v>
      </c>
      <c r="B30" s="238" t="s">
        <v>50</v>
      </c>
      <c r="C30" s="239"/>
      <c r="D30" s="239"/>
      <c r="E30" s="240"/>
      <c r="F30" s="85">
        <f>SUM(F31:F31)</f>
        <v>59400</v>
      </c>
      <c r="G30" s="236"/>
      <c r="H30" s="221"/>
      <c r="I30" s="222"/>
      <c r="J30" s="83">
        <f>SUM(J31)</f>
        <v>0</v>
      </c>
      <c r="K30" s="226"/>
      <c r="L30" s="26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2"/>
      <c r="X30" s="147">
        <f>SUM(X31)</f>
        <v>0</v>
      </c>
      <c r="Y30" s="254"/>
      <c r="Z30" s="221"/>
      <c r="AA30" s="222"/>
      <c r="AB30" s="83">
        <f>SUM(AB31)</f>
        <v>300</v>
      </c>
      <c r="AC30" s="226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  <c r="AO30" s="222"/>
      <c r="AP30" s="129">
        <f>SUM(AP31)</f>
        <v>0</v>
      </c>
      <c r="AQ30" s="226"/>
      <c r="AR30" s="221"/>
      <c r="AS30" s="222"/>
      <c r="AT30" s="83">
        <f>SUM(AT31)</f>
        <v>30750</v>
      </c>
      <c r="AU30" s="226"/>
      <c r="AV30" s="221"/>
      <c r="AW30" s="221"/>
      <c r="AX30" s="221"/>
      <c r="AY30" s="221"/>
      <c r="AZ30" s="221"/>
      <c r="BA30" s="221"/>
      <c r="BB30" s="221"/>
      <c r="BC30" s="221"/>
      <c r="BD30" s="221"/>
      <c r="BE30" s="221"/>
      <c r="BF30" s="221"/>
      <c r="BG30" s="222"/>
      <c r="BH30" s="129">
        <f>SUM(BH31)</f>
        <v>7687.5</v>
      </c>
      <c r="BI30" s="226"/>
      <c r="BJ30" s="261"/>
      <c r="BK30" s="222"/>
      <c r="BL30" s="35">
        <f>SUM(BL31)</f>
        <v>22200</v>
      </c>
    </row>
    <row r="31" spans="1:64" ht="17.25" customHeight="1" x14ac:dyDescent="0.25">
      <c r="A31" s="15" t="s">
        <v>51</v>
      </c>
      <c r="B31" s="59" t="s">
        <v>52</v>
      </c>
      <c r="C31" s="149">
        <v>150</v>
      </c>
      <c r="D31" s="51">
        <v>396</v>
      </c>
      <c r="E31" s="39"/>
      <c r="F31" s="82">
        <f>C31*D31</f>
        <v>59400</v>
      </c>
      <c r="G31" s="236"/>
      <c r="H31" s="51">
        <f>H14+H23</f>
        <v>0</v>
      </c>
      <c r="I31" s="39"/>
      <c r="J31" s="149">
        <f>C31*H31</f>
        <v>0</v>
      </c>
      <c r="K31" s="226"/>
      <c r="L31" s="150">
        <v>0</v>
      </c>
      <c r="M31" s="150">
        <v>0</v>
      </c>
      <c r="N31" s="150">
        <v>0</v>
      </c>
      <c r="O31" s="150">
        <v>0</v>
      </c>
      <c r="P31" s="150">
        <v>0</v>
      </c>
      <c r="Q31" s="150">
        <v>0</v>
      </c>
      <c r="R31" s="150">
        <v>0</v>
      </c>
      <c r="S31" s="150">
        <v>0</v>
      </c>
      <c r="T31" s="150">
        <v>0</v>
      </c>
      <c r="U31" s="149">
        <f>$J$31/3</f>
        <v>0</v>
      </c>
      <c r="V31" s="149">
        <f t="shared" ref="V31:W31" si="69">$J$31/3</f>
        <v>0</v>
      </c>
      <c r="W31" s="149">
        <f t="shared" si="69"/>
        <v>0</v>
      </c>
      <c r="X31" s="149">
        <f>SUM(U31:W31)</f>
        <v>0</v>
      </c>
      <c r="Y31" s="254"/>
      <c r="Z31" s="51">
        <f>Z14+Z23</f>
        <v>2</v>
      </c>
      <c r="AA31" s="13"/>
      <c r="AB31" s="157">
        <f>C31*Z31</f>
        <v>300</v>
      </c>
      <c r="AC31" s="226"/>
      <c r="AD31" s="162">
        <v>0</v>
      </c>
      <c r="AE31" s="155">
        <v>0</v>
      </c>
      <c r="AF31" s="155">
        <v>0</v>
      </c>
      <c r="AG31" s="155">
        <v>0</v>
      </c>
      <c r="AH31" s="155">
        <v>0</v>
      </c>
      <c r="AI31" s="155">
        <v>0</v>
      </c>
      <c r="AJ31" s="155">
        <v>0</v>
      </c>
      <c r="AK31" s="155">
        <v>0</v>
      </c>
      <c r="AL31" s="155">
        <v>0</v>
      </c>
      <c r="AM31" s="155">
        <f>$J$31/3</f>
        <v>0</v>
      </c>
      <c r="AN31" s="155">
        <f t="shared" ref="AN31:AO31" si="70">$J$31/3</f>
        <v>0</v>
      </c>
      <c r="AO31" s="155">
        <f t="shared" si="70"/>
        <v>0</v>
      </c>
      <c r="AP31" s="157">
        <f>SUM(AM31:AO31)</f>
        <v>0</v>
      </c>
      <c r="AQ31" s="226"/>
      <c r="AR31" s="65">
        <f>AR14+AR23</f>
        <v>205</v>
      </c>
      <c r="AS31" s="13"/>
      <c r="AT31" s="157">
        <f>C31*AR31</f>
        <v>30750</v>
      </c>
      <c r="AU31" s="226"/>
      <c r="AV31" s="162">
        <f>$AT$31/12</f>
        <v>2562.5</v>
      </c>
      <c r="AW31" s="162">
        <f t="shared" ref="AW31:BG31" si="71">$AT$31/12</f>
        <v>2562.5</v>
      </c>
      <c r="AX31" s="162">
        <f t="shared" si="71"/>
        <v>2562.5</v>
      </c>
      <c r="AY31" s="162">
        <f t="shared" si="71"/>
        <v>2562.5</v>
      </c>
      <c r="AZ31" s="162">
        <f t="shared" si="71"/>
        <v>2562.5</v>
      </c>
      <c r="BA31" s="162">
        <f t="shared" si="71"/>
        <v>2562.5</v>
      </c>
      <c r="BB31" s="162">
        <f t="shared" si="71"/>
        <v>2562.5</v>
      </c>
      <c r="BC31" s="162">
        <f t="shared" si="71"/>
        <v>2562.5</v>
      </c>
      <c r="BD31" s="162">
        <f t="shared" si="71"/>
        <v>2562.5</v>
      </c>
      <c r="BE31" s="162">
        <f t="shared" si="71"/>
        <v>2562.5</v>
      </c>
      <c r="BF31" s="162">
        <f t="shared" si="71"/>
        <v>2562.5</v>
      </c>
      <c r="BG31" s="162">
        <f t="shared" si="71"/>
        <v>2562.5</v>
      </c>
      <c r="BH31" s="157">
        <f>SUM(BE31:BG31)</f>
        <v>7687.5</v>
      </c>
      <c r="BI31" s="226"/>
      <c r="BJ31" s="65">
        <f>BJ14+BJ23</f>
        <v>148</v>
      </c>
      <c r="BK31" s="13"/>
      <c r="BL31" s="24">
        <f>C31*BJ31</f>
        <v>22200</v>
      </c>
    </row>
    <row r="32" spans="1:64" ht="26.45" customHeight="1" x14ac:dyDescent="0.25">
      <c r="A32" s="37" t="s">
        <v>53</v>
      </c>
      <c r="B32" s="238" t="s">
        <v>54</v>
      </c>
      <c r="C32" s="239"/>
      <c r="D32" s="239"/>
      <c r="E32" s="240"/>
      <c r="F32" s="83">
        <f>SUM(F33:F33)</f>
        <v>714750</v>
      </c>
      <c r="G32" s="236"/>
      <c r="H32" s="221"/>
      <c r="I32" s="222"/>
      <c r="J32" s="83">
        <f>SUM(J33)</f>
        <v>35737.5</v>
      </c>
      <c r="K32" s="226"/>
      <c r="L32" s="26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2"/>
      <c r="X32" s="147">
        <f>SUM(X33)</f>
        <v>35737.5</v>
      </c>
      <c r="Y32" s="254"/>
      <c r="Z32" s="221"/>
      <c r="AA32" s="222"/>
      <c r="AB32" s="83">
        <f>SUM(AB33)</f>
        <v>571800</v>
      </c>
      <c r="AC32" s="226"/>
      <c r="AD32" s="221"/>
      <c r="AE32" s="221"/>
      <c r="AF32" s="221"/>
      <c r="AG32" s="221"/>
      <c r="AH32" s="221"/>
      <c r="AI32" s="221"/>
      <c r="AJ32" s="221"/>
      <c r="AK32" s="221"/>
      <c r="AL32" s="221"/>
      <c r="AM32" s="221"/>
      <c r="AN32" s="221"/>
      <c r="AO32" s="222"/>
      <c r="AP32" s="129">
        <f>SUM(AP33)</f>
        <v>571800</v>
      </c>
      <c r="AQ32" s="226"/>
      <c r="AR32" s="221"/>
      <c r="AS32" s="222"/>
      <c r="AT32" s="83">
        <f>SUM(AT33)</f>
        <v>35737.5</v>
      </c>
      <c r="AU32" s="226"/>
      <c r="AV32" s="221"/>
      <c r="AW32" s="221"/>
      <c r="AX32" s="221"/>
      <c r="AY32" s="221"/>
      <c r="AZ32" s="221"/>
      <c r="BA32" s="221"/>
      <c r="BB32" s="221"/>
      <c r="BC32" s="221"/>
      <c r="BD32" s="221"/>
      <c r="BE32" s="221"/>
      <c r="BF32" s="221"/>
      <c r="BG32" s="222"/>
      <c r="BH32" s="129">
        <f>SUM(BH33)</f>
        <v>571800</v>
      </c>
      <c r="BI32" s="226"/>
      <c r="BJ32" s="261"/>
      <c r="BK32" s="222"/>
      <c r="BL32" s="35">
        <f>SUM(BL33)</f>
        <v>35737.5</v>
      </c>
    </row>
    <row r="33" spans="1:68" ht="79.150000000000006" customHeight="1" thickBot="1" x14ac:dyDescent="0.3">
      <c r="A33" s="23" t="s">
        <v>55</v>
      </c>
      <c r="B33" s="7" t="s">
        <v>56</v>
      </c>
      <c r="C33" s="149">
        <f>(F8+F17+F30)*0.05</f>
        <v>714750</v>
      </c>
      <c r="D33" s="51">
        <v>1</v>
      </c>
      <c r="E33" s="9"/>
      <c r="F33" s="149">
        <f>C33*D33</f>
        <v>714750</v>
      </c>
      <c r="G33" s="237"/>
      <c r="H33" s="51">
        <v>1</v>
      </c>
      <c r="I33" s="39"/>
      <c r="J33" s="149">
        <f>C33*0.05</f>
        <v>35737.5</v>
      </c>
      <c r="K33" s="257"/>
      <c r="L33" s="150">
        <v>0</v>
      </c>
      <c r="M33" s="150">
        <v>0</v>
      </c>
      <c r="N33" s="150">
        <v>0</v>
      </c>
      <c r="O33" s="150">
        <v>0</v>
      </c>
      <c r="P33" s="150">
        <v>0</v>
      </c>
      <c r="Q33" s="150">
        <v>0</v>
      </c>
      <c r="R33" s="150">
        <v>0</v>
      </c>
      <c r="S33" s="150">
        <v>0</v>
      </c>
      <c r="T33" s="150">
        <v>0</v>
      </c>
      <c r="U33" s="149">
        <f>$J$33/3</f>
        <v>11912.5</v>
      </c>
      <c r="V33" s="149">
        <f t="shared" ref="V33:W33" si="72">$J$33/3</f>
        <v>11912.5</v>
      </c>
      <c r="W33" s="149">
        <f t="shared" si="72"/>
        <v>11912.5</v>
      </c>
      <c r="X33" s="149">
        <f>SUM(U33:W33)</f>
        <v>35737.5</v>
      </c>
      <c r="Y33" s="255"/>
      <c r="Z33" s="51">
        <v>1</v>
      </c>
      <c r="AA33" s="13"/>
      <c r="AB33" s="157">
        <f>C33*0.8</f>
        <v>571800</v>
      </c>
      <c r="AC33" s="227"/>
      <c r="AD33" s="160">
        <f t="shared" ref="AD33:AO33" si="73">$AB$33/12</f>
        <v>47650</v>
      </c>
      <c r="AE33" s="153">
        <f t="shared" si="73"/>
        <v>47650</v>
      </c>
      <c r="AF33" s="153">
        <f t="shared" si="73"/>
        <v>47650</v>
      </c>
      <c r="AG33" s="153">
        <f t="shared" si="73"/>
        <v>47650</v>
      </c>
      <c r="AH33" s="153">
        <f t="shared" si="73"/>
        <v>47650</v>
      </c>
      <c r="AI33" s="153">
        <f t="shared" si="73"/>
        <v>47650</v>
      </c>
      <c r="AJ33" s="153">
        <f t="shared" si="73"/>
        <v>47650</v>
      </c>
      <c r="AK33" s="153">
        <f t="shared" si="73"/>
        <v>47650</v>
      </c>
      <c r="AL33" s="153">
        <f t="shared" si="73"/>
        <v>47650</v>
      </c>
      <c r="AM33" s="153">
        <f>$AB$33/12</f>
        <v>47650</v>
      </c>
      <c r="AN33" s="153">
        <f t="shared" si="73"/>
        <v>47650</v>
      </c>
      <c r="AO33" s="153">
        <f t="shared" si="73"/>
        <v>47650</v>
      </c>
      <c r="AP33" s="157">
        <f>SUM(AD33:AO33)</f>
        <v>571800</v>
      </c>
      <c r="AQ33" s="227"/>
      <c r="AR33" s="65">
        <v>1</v>
      </c>
      <c r="AS33" s="13"/>
      <c r="AT33" s="157">
        <f>C33*0.05</f>
        <v>35737.5</v>
      </c>
      <c r="AU33" s="227"/>
      <c r="AV33" s="160">
        <f t="shared" ref="AV33:BG33" si="74">$AB$33/12</f>
        <v>47650</v>
      </c>
      <c r="AW33" s="153">
        <f t="shared" si="74"/>
        <v>47650</v>
      </c>
      <c r="AX33" s="153">
        <f t="shared" si="74"/>
        <v>47650</v>
      </c>
      <c r="AY33" s="153">
        <f t="shared" si="74"/>
        <v>47650</v>
      </c>
      <c r="AZ33" s="153">
        <f t="shared" si="74"/>
        <v>47650</v>
      </c>
      <c r="BA33" s="153">
        <f t="shared" si="74"/>
        <v>47650</v>
      </c>
      <c r="BB33" s="153">
        <f t="shared" si="74"/>
        <v>47650</v>
      </c>
      <c r="BC33" s="153">
        <f t="shared" si="74"/>
        <v>47650</v>
      </c>
      <c r="BD33" s="153">
        <f t="shared" si="74"/>
        <v>47650</v>
      </c>
      <c r="BE33" s="153">
        <f>$AB$33/12</f>
        <v>47650</v>
      </c>
      <c r="BF33" s="153">
        <f t="shared" si="74"/>
        <v>47650</v>
      </c>
      <c r="BG33" s="153">
        <f t="shared" si="74"/>
        <v>47650</v>
      </c>
      <c r="BH33" s="157">
        <f>SUM(AV33:BG33)</f>
        <v>571800</v>
      </c>
      <c r="BI33" s="227"/>
      <c r="BJ33" s="65">
        <v>1</v>
      </c>
      <c r="BK33" s="13"/>
      <c r="BL33" s="99">
        <f>C33*0.05</f>
        <v>35737.5</v>
      </c>
    </row>
    <row r="34" spans="1:68" ht="34.15" customHeight="1" x14ac:dyDescent="0.25">
      <c r="A34" s="92"/>
      <c r="B34" s="4"/>
      <c r="C34" s="158"/>
      <c r="F34" s="158"/>
      <c r="G34" s="25"/>
      <c r="H34" s="2"/>
      <c r="I34" s="93"/>
      <c r="J34" s="158"/>
      <c r="K34" s="93"/>
      <c r="L34" s="158"/>
      <c r="M34" s="158"/>
      <c r="N34" s="158"/>
      <c r="O34" s="158"/>
      <c r="P34" s="158"/>
      <c r="Q34" s="158"/>
      <c r="R34" s="158"/>
      <c r="S34" s="158"/>
      <c r="T34" s="158"/>
      <c r="U34" s="166">
        <f>SUM(U7:U33)</f>
        <v>358026</v>
      </c>
      <c r="V34" s="166">
        <f>SUM(V7:V33)</f>
        <v>358026</v>
      </c>
      <c r="W34" s="166">
        <f>SUM(W7:W33)</f>
        <v>358026</v>
      </c>
      <c r="X34" s="158"/>
      <c r="Y34" s="93"/>
      <c r="Z34" s="2"/>
      <c r="AA34" s="2"/>
      <c r="AB34" s="158"/>
      <c r="AC34" s="93"/>
      <c r="AD34" s="166">
        <f>SUM(AD7:AD33)</f>
        <v>18807.208333333332</v>
      </c>
      <c r="AE34" s="166">
        <f t="shared" ref="AE34:AO34" si="75">SUM(AE7:AE33)</f>
        <v>18807.208333333332</v>
      </c>
      <c r="AF34" s="166">
        <f t="shared" si="75"/>
        <v>18807.208333333332</v>
      </c>
      <c r="AG34" s="166">
        <f t="shared" si="75"/>
        <v>18807.208333333332</v>
      </c>
      <c r="AH34" s="166">
        <f t="shared" si="75"/>
        <v>18807.208333333332</v>
      </c>
      <c r="AI34" s="166">
        <f t="shared" si="75"/>
        <v>18807.208333333332</v>
      </c>
      <c r="AJ34" s="166">
        <f t="shared" si="75"/>
        <v>18807.208333333332</v>
      </c>
      <c r="AK34" s="166">
        <f t="shared" si="75"/>
        <v>18807.208333333332</v>
      </c>
      <c r="AL34" s="166">
        <f t="shared" si="75"/>
        <v>18807.208333333332</v>
      </c>
      <c r="AM34" s="166">
        <f t="shared" si="75"/>
        <v>43612.763888888891</v>
      </c>
      <c r="AN34" s="166">
        <f t="shared" si="75"/>
        <v>43612.763888888891</v>
      </c>
      <c r="AO34" s="166">
        <f t="shared" si="75"/>
        <v>43612.763888888891</v>
      </c>
      <c r="AP34" s="158"/>
      <c r="AQ34" s="93"/>
      <c r="AR34" s="2"/>
      <c r="AS34" s="2"/>
      <c r="AT34" s="94"/>
      <c r="AU34" s="93"/>
      <c r="AV34" s="166">
        <f>SUM(AV7:AV33)</f>
        <v>1597473.8750000002</v>
      </c>
      <c r="AW34" s="166">
        <f t="shared" ref="AW34" si="76">SUM(AW7:AW33)</f>
        <v>740390.54166666674</v>
      </c>
      <c r="AX34" s="166">
        <f t="shared" ref="AX34" si="77">SUM(AX7:AX33)</f>
        <v>740390.54166666674</v>
      </c>
      <c r="AY34" s="166">
        <f t="shared" ref="AY34" si="78">SUM(AY7:AY33)</f>
        <v>740390.54166666674</v>
      </c>
      <c r="AZ34" s="166">
        <f t="shared" ref="AZ34" si="79">SUM(AZ7:AZ33)</f>
        <v>740390.54166666674</v>
      </c>
      <c r="BA34" s="166">
        <f t="shared" ref="BA34" si="80">SUM(BA7:BA33)</f>
        <v>740390.54166666674</v>
      </c>
      <c r="BB34" s="166">
        <f t="shared" ref="BB34" si="81">SUM(BB7:BB33)</f>
        <v>740390.54166666674</v>
      </c>
      <c r="BC34" s="166">
        <f t="shared" ref="BC34" si="82">SUM(BC7:BC33)</f>
        <v>740390.54166666674</v>
      </c>
      <c r="BD34" s="166">
        <f t="shared" ref="BD34" si="83">SUM(BD7:BD33)</f>
        <v>740390.54166666674</v>
      </c>
      <c r="BE34" s="166">
        <f t="shared" ref="BE34" si="84">SUM(BE7:BE33)</f>
        <v>746279.43055555562</v>
      </c>
      <c r="BF34" s="166">
        <f t="shared" ref="BF34" si="85">SUM(BF7:BF33)</f>
        <v>746279.43055555562</v>
      </c>
      <c r="BG34" s="166">
        <f t="shared" ref="BG34" si="86">SUM(BG7:BG33)</f>
        <v>746279.43055555562</v>
      </c>
      <c r="BH34" s="158"/>
      <c r="BI34" s="158"/>
      <c r="BJ34" s="2"/>
      <c r="BK34" s="2"/>
      <c r="BL34" s="94"/>
    </row>
    <row r="35" spans="1:68" ht="40.9" customHeight="1" thickBot="1" x14ac:dyDescent="0.3">
      <c r="A35" s="92"/>
      <c r="B35" s="4"/>
      <c r="C35" s="66"/>
      <c r="F35" s="66"/>
      <c r="G35" s="25"/>
      <c r="H35" s="2"/>
      <c r="I35" s="93"/>
      <c r="J35" s="94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2"/>
      <c r="AA35" s="2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2"/>
      <c r="AS35" s="2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2"/>
      <c r="BK35" s="3"/>
    </row>
    <row r="36" spans="1:68" ht="36" customHeight="1" thickBot="1" x14ac:dyDescent="0.3">
      <c r="F36" s="18"/>
      <c r="G36" s="26"/>
      <c r="H36" s="231">
        <v>2025</v>
      </c>
      <c r="I36" s="223"/>
      <c r="J36" s="224"/>
      <c r="K36" s="225"/>
      <c r="L36" s="231">
        <v>2025</v>
      </c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4"/>
      <c r="Y36" s="131"/>
      <c r="Z36" s="223">
        <v>2026</v>
      </c>
      <c r="AA36" s="223"/>
      <c r="AB36" s="224"/>
      <c r="AC36" s="225"/>
      <c r="AD36" s="231">
        <v>2026</v>
      </c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23"/>
      <c r="AQ36" s="131"/>
      <c r="AR36" s="223">
        <v>2027</v>
      </c>
      <c r="AS36" s="223"/>
      <c r="AT36" s="224"/>
      <c r="AU36" s="225"/>
      <c r="AV36" s="231">
        <v>2026</v>
      </c>
      <c r="AW36" s="223"/>
      <c r="AX36" s="223"/>
      <c r="AY36" s="223"/>
      <c r="AZ36" s="223"/>
      <c r="BA36" s="223"/>
      <c r="BB36" s="223"/>
      <c r="BC36" s="223"/>
      <c r="BD36" s="223"/>
      <c r="BE36" s="223"/>
      <c r="BF36" s="223"/>
      <c r="BG36" s="223"/>
      <c r="BH36" s="223"/>
      <c r="BI36" s="135"/>
      <c r="BJ36" s="231">
        <v>2028</v>
      </c>
      <c r="BK36" s="223"/>
      <c r="BL36" s="224"/>
      <c r="BM36" s="225"/>
      <c r="BN36" s="231">
        <v>2029</v>
      </c>
      <c r="BO36" s="223"/>
      <c r="BP36" s="224"/>
    </row>
    <row r="37" spans="1:68" ht="47.45" customHeight="1" thickBot="1" x14ac:dyDescent="0.3">
      <c r="A37" s="124" t="e" vm="1">
        <v>#VALUE!</v>
      </c>
      <c r="B37" s="68" t="s">
        <v>58</v>
      </c>
      <c r="C37" s="33" t="s">
        <v>2</v>
      </c>
      <c r="D37" s="34" t="s">
        <v>3</v>
      </c>
      <c r="E37" s="34" t="s">
        <v>4</v>
      </c>
      <c r="F37" s="95" t="s">
        <v>5</v>
      </c>
      <c r="G37" s="235"/>
      <c r="H37" s="63" t="s">
        <v>3</v>
      </c>
      <c r="I37" s="34" t="s">
        <v>4</v>
      </c>
      <c r="J37" s="95" t="s">
        <v>5</v>
      </c>
      <c r="K37" s="226"/>
      <c r="L37" s="75" t="s">
        <v>82</v>
      </c>
      <c r="M37" s="75" t="s">
        <v>83</v>
      </c>
      <c r="N37" s="75" t="s">
        <v>84</v>
      </c>
      <c r="O37" s="75" t="s">
        <v>85</v>
      </c>
      <c r="P37" s="75" t="s">
        <v>86</v>
      </c>
      <c r="Q37" s="75" t="s">
        <v>87</v>
      </c>
      <c r="R37" s="75" t="s">
        <v>88</v>
      </c>
      <c r="S37" s="75" t="s">
        <v>89</v>
      </c>
      <c r="T37" s="75" t="s">
        <v>90</v>
      </c>
      <c r="U37" s="75" t="s">
        <v>91</v>
      </c>
      <c r="V37" s="75" t="s">
        <v>92</v>
      </c>
      <c r="W37" s="75" t="s">
        <v>93</v>
      </c>
      <c r="X37" s="152" t="s">
        <v>5</v>
      </c>
      <c r="Y37" s="132"/>
      <c r="Z37" s="63" t="s">
        <v>3</v>
      </c>
      <c r="AA37" s="34" t="s">
        <v>4</v>
      </c>
      <c r="AB37" s="95" t="s">
        <v>5</v>
      </c>
      <c r="AC37" s="226"/>
      <c r="AD37" s="75" t="s">
        <v>82</v>
      </c>
      <c r="AE37" s="75" t="s">
        <v>83</v>
      </c>
      <c r="AF37" s="75" t="s">
        <v>84</v>
      </c>
      <c r="AG37" s="75" t="s">
        <v>85</v>
      </c>
      <c r="AH37" s="75" t="s">
        <v>86</v>
      </c>
      <c r="AI37" s="75" t="s">
        <v>87</v>
      </c>
      <c r="AJ37" s="75" t="s">
        <v>88</v>
      </c>
      <c r="AK37" s="75" t="s">
        <v>89</v>
      </c>
      <c r="AL37" s="75" t="s">
        <v>90</v>
      </c>
      <c r="AM37" s="75" t="s">
        <v>91</v>
      </c>
      <c r="AN37" s="75" t="s">
        <v>92</v>
      </c>
      <c r="AO37" s="75" t="s">
        <v>93</v>
      </c>
      <c r="AP37" s="152" t="s">
        <v>5</v>
      </c>
      <c r="AQ37" s="132"/>
      <c r="AR37" s="63" t="s">
        <v>3</v>
      </c>
      <c r="AS37" s="34" t="s">
        <v>4</v>
      </c>
      <c r="AT37" s="95" t="s">
        <v>5</v>
      </c>
      <c r="AU37" s="226"/>
      <c r="AV37" s="75" t="s">
        <v>82</v>
      </c>
      <c r="AW37" s="75" t="s">
        <v>83</v>
      </c>
      <c r="AX37" s="75" t="s">
        <v>84</v>
      </c>
      <c r="AY37" s="75" t="s">
        <v>85</v>
      </c>
      <c r="AZ37" s="75" t="s">
        <v>86</v>
      </c>
      <c r="BA37" s="75" t="s">
        <v>87</v>
      </c>
      <c r="BB37" s="75" t="s">
        <v>88</v>
      </c>
      <c r="BC37" s="75" t="s">
        <v>89</v>
      </c>
      <c r="BD37" s="75" t="s">
        <v>90</v>
      </c>
      <c r="BE37" s="75" t="s">
        <v>91</v>
      </c>
      <c r="BF37" s="75" t="s">
        <v>92</v>
      </c>
      <c r="BG37" s="75" t="s">
        <v>93</v>
      </c>
      <c r="BH37" s="152" t="s">
        <v>5</v>
      </c>
      <c r="BI37" s="134"/>
      <c r="BJ37" s="75" t="s">
        <v>3</v>
      </c>
      <c r="BK37" s="74" t="s">
        <v>4</v>
      </c>
      <c r="BL37" s="73" t="s">
        <v>5</v>
      </c>
      <c r="BM37" s="226"/>
      <c r="BN37" s="75" t="s">
        <v>3</v>
      </c>
      <c r="BO37" s="74" t="s">
        <v>4</v>
      </c>
      <c r="BP37" s="73" t="s">
        <v>5</v>
      </c>
    </row>
    <row r="38" spans="1:68" s="6" customFormat="1" ht="30" customHeight="1" x14ac:dyDescent="0.25">
      <c r="A38" s="36"/>
      <c r="B38" s="251" t="s">
        <v>59</v>
      </c>
      <c r="C38" s="252"/>
      <c r="D38" s="252"/>
      <c r="E38" s="253"/>
      <c r="F38" s="90">
        <f>(F39+F41+F43)</f>
        <v>1319280</v>
      </c>
      <c r="G38" s="236"/>
      <c r="H38" s="232"/>
      <c r="I38" s="233"/>
      <c r="J38" s="90">
        <f>SUM(J39+J41+J43)</f>
        <v>15000</v>
      </c>
      <c r="K38" s="226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95">
        <f>X39+X41+X43</f>
        <v>15000</v>
      </c>
      <c r="Y38" s="132"/>
      <c r="Z38" s="232"/>
      <c r="AA38" s="233"/>
      <c r="AB38" s="90">
        <f>SUM(AB39+AB41+AB43)</f>
        <v>21360</v>
      </c>
      <c r="AC38" s="226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95">
        <f>AP39+AP41+AP43</f>
        <v>21360</v>
      </c>
      <c r="AQ38" s="132"/>
      <c r="AR38" s="232"/>
      <c r="AS38" s="233"/>
      <c r="AT38" s="90">
        <f>SUM(AT39+AT41+AT43)</f>
        <v>673260</v>
      </c>
      <c r="AU38" s="226"/>
      <c r="AV38" s="228"/>
      <c r="AW38" s="228"/>
      <c r="AX38" s="228"/>
      <c r="AY38" s="228"/>
      <c r="AZ38" s="228"/>
      <c r="BA38" s="228"/>
      <c r="BB38" s="228"/>
      <c r="BC38" s="228"/>
      <c r="BD38" s="228"/>
      <c r="BE38" s="228"/>
      <c r="BF38" s="228"/>
      <c r="BG38" s="228"/>
      <c r="BH38" s="95">
        <f>BH39+BH41+BH43</f>
        <v>21360</v>
      </c>
      <c r="BI38" s="134"/>
      <c r="BJ38" s="232"/>
      <c r="BK38" s="233"/>
      <c r="BL38" s="31">
        <f>SUM(BL39+BL41+BL43)</f>
        <v>1137540</v>
      </c>
      <c r="BM38" s="226"/>
      <c r="BN38" s="232"/>
      <c r="BO38" s="233"/>
      <c r="BP38" s="31">
        <f>SUM(BP39+BP41+BP43)</f>
        <v>470640</v>
      </c>
    </row>
    <row r="39" spans="1:68" ht="30" customHeight="1" x14ac:dyDescent="0.25">
      <c r="A39" s="37" t="s">
        <v>60</v>
      </c>
      <c r="B39" s="212" t="s">
        <v>61</v>
      </c>
      <c r="C39" s="213"/>
      <c r="D39" s="213"/>
      <c r="E39" s="214"/>
      <c r="F39" s="147">
        <f>SUM(F40:F40)</f>
        <v>858600</v>
      </c>
      <c r="G39" s="236"/>
      <c r="H39" s="230"/>
      <c r="I39" s="213"/>
      <c r="J39" s="77">
        <f>SUM(J40)</f>
        <v>0</v>
      </c>
      <c r="K39" s="226"/>
      <c r="L39" s="230"/>
      <c r="M39" s="213"/>
      <c r="N39" s="230"/>
      <c r="O39" s="213"/>
      <c r="P39" s="230"/>
      <c r="Q39" s="213"/>
      <c r="R39" s="230"/>
      <c r="S39" s="213"/>
      <c r="T39" s="230"/>
      <c r="U39" s="213"/>
      <c r="V39" s="230"/>
      <c r="W39" s="213"/>
      <c r="X39" s="147">
        <f>SUM(X40)</f>
        <v>0</v>
      </c>
      <c r="Y39" s="132"/>
      <c r="Z39" s="230"/>
      <c r="AA39" s="213"/>
      <c r="AB39" s="147">
        <f>SUM(AB40)</f>
        <v>3180</v>
      </c>
      <c r="AC39" s="226"/>
      <c r="AD39" s="230"/>
      <c r="AE39" s="213"/>
      <c r="AF39" s="230"/>
      <c r="AG39" s="213"/>
      <c r="AH39" s="230"/>
      <c r="AI39" s="213"/>
      <c r="AJ39" s="230"/>
      <c r="AK39" s="213"/>
      <c r="AL39" s="230"/>
      <c r="AM39" s="213"/>
      <c r="AN39" s="230"/>
      <c r="AO39" s="213"/>
      <c r="AP39" s="156">
        <f>SUM(AP40)</f>
        <v>3180</v>
      </c>
      <c r="AQ39" s="132"/>
      <c r="AR39" s="230"/>
      <c r="AS39" s="213"/>
      <c r="AT39" s="77">
        <f>SUM(AT40)</f>
        <v>416580</v>
      </c>
      <c r="AU39" s="226"/>
      <c r="AV39" s="230"/>
      <c r="AW39" s="213"/>
      <c r="AX39" s="230"/>
      <c r="AY39" s="213"/>
      <c r="AZ39" s="230"/>
      <c r="BA39" s="213"/>
      <c r="BB39" s="230"/>
      <c r="BC39" s="213"/>
      <c r="BD39" s="230"/>
      <c r="BE39" s="213"/>
      <c r="BF39" s="230"/>
      <c r="BG39" s="213"/>
      <c r="BH39" s="156">
        <f>SUM(BH40)</f>
        <v>3180</v>
      </c>
      <c r="BI39" s="134"/>
      <c r="BJ39" s="230"/>
      <c r="BK39" s="213"/>
      <c r="BL39" s="30">
        <f>SUM(BL40)</f>
        <v>785460</v>
      </c>
      <c r="BM39" s="226"/>
      <c r="BN39" s="230"/>
      <c r="BO39" s="213"/>
      <c r="BP39" s="30">
        <f>SUM(BP40)</f>
        <v>372060</v>
      </c>
    </row>
    <row r="40" spans="1:68" ht="40.9" customHeight="1" x14ac:dyDescent="0.25">
      <c r="A40" s="15" t="s">
        <v>62</v>
      </c>
      <c r="B40" s="16" t="s">
        <v>63</v>
      </c>
      <c r="C40" s="24">
        <f>(3360+3000)/2</f>
        <v>3180</v>
      </c>
      <c r="D40" s="56">
        <f>D14</f>
        <v>270</v>
      </c>
      <c r="E40" s="9"/>
      <c r="F40" s="149">
        <f>C40*D40</f>
        <v>858600</v>
      </c>
      <c r="G40" s="236"/>
      <c r="H40" s="56">
        <v>0</v>
      </c>
      <c r="I40" s="9"/>
      <c r="J40" s="91">
        <f>C40*H40</f>
        <v>0</v>
      </c>
      <c r="K40" s="256"/>
      <c r="L40" s="150">
        <v>0</v>
      </c>
      <c r="M40" s="150">
        <v>0</v>
      </c>
      <c r="N40" s="150">
        <v>0</v>
      </c>
      <c r="O40" s="150">
        <v>0</v>
      </c>
      <c r="P40" s="150">
        <v>0</v>
      </c>
      <c r="Q40" s="150">
        <v>0</v>
      </c>
      <c r="R40" s="150">
        <v>0</v>
      </c>
      <c r="S40" s="150">
        <v>0</v>
      </c>
      <c r="T40" s="150">
        <v>0</v>
      </c>
      <c r="U40" s="149">
        <f>$J$40/3</f>
        <v>0</v>
      </c>
      <c r="V40" s="149">
        <f t="shared" ref="V40:W40" si="87">$J$40/3</f>
        <v>0</v>
      </c>
      <c r="W40" s="149">
        <f t="shared" si="87"/>
        <v>0</v>
      </c>
      <c r="X40" s="149">
        <f>SUM(U40:W40)</f>
        <v>0</v>
      </c>
      <c r="Y40" s="141"/>
      <c r="Z40" s="151">
        <f>Z14+H23+H14</f>
        <v>1</v>
      </c>
      <c r="AA40" s="9"/>
      <c r="AB40" s="91">
        <f>C40*Z40</f>
        <v>3180</v>
      </c>
      <c r="AC40" s="226"/>
      <c r="AD40" s="150">
        <v>0</v>
      </c>
      <c r="AE40" s="150">
        <v>0</v>
      </c>
      <c r="AF40" s="150">
        <v>0</v>
      </c>
      <c r="AG40" s="150">
        <v>0</v>
      </c>
      <c r="AH40" s="150">
        <v>0</v>
      </c>
      <c r="AI40" s="150">
        <v>0</v>
      </c>
      <c r="AJ40" s="150">
        <v>0</v>
      </c>
      <c r="AK40" s="150">
        <v>0</v>
      </c>
      <c r="AL40" s="150">
        <v>0</v>
      </c>
      <c r="AM40" s="149">
        <f>$AB$40/3</f>
        <v>1060</v>
      </c>
      <c r="AN40" s="149">
        <f t="shared" ref="AN40:AO40" si="88">$AB$40/3</f>
        <v>1060</v>
      </c>
      <c r="AO40" s="149">
        <f t="shared" si="88"/>
        <v>1060</v>
      </c>
      <c r="AP40" s="157">
        <f>SUM(AM40:AO40)</f>
        <v>3180</v>
      </c>
      <c r="AQ40" s="132"/>
      <c r="AR40" s="151">
        <f>AR14+Z14</f>
        <v>131</v>
      </c>
      <c r="AS40" s="9"/>
      <c r="AT40" s="97">
        <f>C40*AR40</f>
        <v>416580</v>
      </c>
      <c r="AU40" s="226"/>
      <c r="AV40" s="150">
        <v>0</v>
      </c>
      <c r="AW40" s="150">
        <v>0</v>
      </c>
      <c r="AX40" s="150">
        <v>0</v>
      </c>
      <c r="AY40" s="150">
        <v>0</v>
      </c>
      <c r="AZ40" s="150">
        <v>0</v>
      </c>
      <c r="BA40" s="150">
        <v>0</v>
      </c>
      <c r="BB40" s="150">
        <v>0</v>
      </c>
      <c r="BC40" s="150">
        <v>0</v>
      </c>
      <c r="BD40" s="150">
        <v>0</v>
      </c>
      <c r="BE40" s="149">
        <f>$AB$40/3</f>
        <v>1060</v>
      </c>
      <c r="BF40" s="149">
        <f t="shared" ref="BF40:BG40" si="89">$AB$40/3</f>
        <v>1060</v>
      </c>
      <c r="BG40" s="149">
        <f t="shared" si="89"/>
        <v>1060</v>
      </c>
      <c r="BH40" s="157">
        <f>SUM(BE40:BG40)</f>
        <v>3180</v>
      </c>
      <c r="BI40" s="134"/>
      <c r="BJ40" s="56">
        <f>BJ14+AR14</f>
        <v>247</v>
      </c>
      <c r="BK40" s="9"/>
      <c r="BL40" s="99">
        <f>C40*BJ40</f>
        <v>785460</v>
      </c>
      <c r="BM40" s="226"/>
      <c r="BN40" s="56">
        <f>BJ14</f>
        <v>117</v>
      </c>
      <c r="BO40" s="9"/>
      <c r="BP40" s="99">
        <f>C40*BN40</f>
        <v>372060</v>
      </c>
    </row>
    <row r="41" spans="1:68" ht="29.25" customHeight="1" x14ac:dyDescent="0.25">
      <c r="A41" s="37" t="s">
        <v>64</v>
      </c>
      <c r="B41" s="212" t="s">
        <v>65</v>
      </c>
      <c r="C41" s="213"/>
      <c r="D41" s="213"/>
      <c r="E41" s="214"/>
      <c r="F41" s="147">
        <f>SUM(F42:F42)</f>
        <v>400680</v>
      </c>
      <c r="G41" s="236"/>
      <c r="H41" s="230"/>
      <c r="I41" s="213"/>
      <c r="J41" s="77">
        <f>SUM(J42)</f>
        <v>0</v>
      </c>
      <c r="K41" s="226"/>
      <c r="L41" s="230"/>
      <c r="M41" s="213"/>
      <c r="N41" s="230"/>
      <c r="O41" s="213"/>
      <c r="P41" s="230"/>
      <c r="Q41" s="213"/>
      <c r="R41" s="230"/>
      <c r="S41" s="213"/>
      <c r="T41" s="230"/>
      <c r="U41" s="213"/>
      <c r="V41" s="230"/>
      <c r="W41" s="213"/>
      <c r="X41" s="147">
        <f>SUM(X42)</f>
        <v>0</v>
      </c>
      <c r="Y41" s="132"/>
      <c r="Z41" s="230"/>
      <c r="AA41" s="213"/>
      <c r="AB41" s="147">
        <f>SUM(AB42)</f>
        <v>3180</v>
      </c>
      <c r="AC41" s="226"/>
      <c r="AD41" s="230"/>
      <c r="AE41" s="213"/>
      <c r="AF41" s="230"/>
      <c r="AG41" s="213"/>
      <c r="AH41" s="230"/>
      <c r="AI41" s="213"/>
      <c r="AJ41" s="230"/>
      <c r="AK41" s="213"/>
      <c r="AL41" s="230"/>
      <c r="AM41" s="213"/>
      <c r="AN41" s="230"/>
      <c r="AO41" s="213"/>
      <c r="AP41" s="156">
        <f>SUM(AP42)</f>
        <v>3180</v>
      </c>
      <c r="AQ41" s="132"/>
      <c r="AR41" s="230"/>
      <c r="AS41" s="213"/>
      <c r="AT41" s="77">
        <f>SUM(AT42)</f>
        <v>241680</v>
      </c>
      <c r="AU41" s="226"/>
      <c r="AV41" s="230"/>
      <c r="AW41" s="213"/>
      <c r="AX41" s="230"/>
      <c r="AY41" s="213"/>
      <c r="AZ41" s="230"/>
      <c r="BA41" s="213"/>
      <c r="BB41" s="230"/>
      <c r="BC41" s="213"/>
      <c r="BD41" s="230"/>
      <c r="BE41" s="213"/>
      <c r="BF41" s="230"/>
      <c r="BG41" s="213"/>
      <c r="BH41" s="156">
        <f>SUM(BH42)</f>
        <v>3180</v>
      </c>
      <c r="BI41" s="134"/>
      <c r="BJ41" s="230"/>
      <c r="BK41" s="213"/>
      <c r="BL41" s="30">
        <f>SUM(BL42)</f>
        <v>337080</v>
      </c>
      <c r="BM41" s="226"/>
      <c r="BN41" s="230"/>
      <c r="BO41" s="213"/>
      <c r="BP41" s="30">
        <f>SUM(BP42)</f>
        <v>98580</v>
      </c>
    </row>
    <row r="42" spans="1:68" ht="40.15" customHeight="1" x14ac:dyDescent="0.25">
      <c r="A42" s="15" t="s">
        <v>66</v>
      </c>
      <c r="B42" s="16" t="s">
        <v>67</v>
      </c>
      <c r="C42" s="62">
        <f>(3360+3000)/2</f>
        <v>3180</v>
      </c>
      <c r="D42" s="57">
        <f>D23</f>
        <v>126</v>
      </c>
      <c r="E42" s="9"/>
      <c r="F42" s="149">
        <f>C42*D42</f>
        <v>400680</v>
      </c>
      <c r="G42" s="246"/>
      <c r="H42" s="56">
        <v>0</v>
      </c>
      <c r="I42" s="9"/>
      <c r="J42" s="91">
        <f>C42*H42</f>
        <v>0</v>
      </c>
      <c r="K42" s="256"/>
      <c r="L42" s="150">
        <v>0</v>
      </c>
      <c r="M42" s="150">
        <v>0</v>
      </c>
      <c r="N42" s="150">
        <v>0</v>
      </c>
      <c r="O42" s="150">
        <v>0</v>
      </c>
      <c r="P42" s="150">
        <v>0</v>
      </c>
      <c r="Q42" s="150">
        <v>0</v>
      </c>
      <c r="R42" s="150">
        <v>0</v>
      </c>
      <c r="S42" s="150">
        <v>0</v>
      </c>
      <c r="T42" s="150">
        <v>0</v>
      </c>
      <c r="U42" s="149">
        <f>$J$42/3</f>
        <v>0</v>
      </c>
      <c r="V42" s="149">
        <f t="shared" ref="V42:W42" si="90">$J$42/3</f>
        <v>0</v>
      </c>
      <c r="W42" s="149">
        <f t="shared" si="90"/>
        <v>0</v>
      </c>
      <c r="X42" s="149">
        <f>SUM(U42:W42)</f>
        <v>0</v>
      </c>
      <c r="Y42" s="141"/>
      <c r="Z42" s="151">
        <f>Z23+H42+H23</f>
        <v>1</v>
      </c>
      <c r="AA42" s="9"/>
      <c r="AB42" s="91">
        <f>C42*Z42</f>
        <v>3180</v>
      </c>
      <c r="AC42" s="226"/>
      <c r="AD42" s="150">
        <v>0</v>
      </c>
      <c r="AE42" s="150">
        <v>0</v>
      </c>
      <c r="AF42" s="150">
        <v>0</v>
      </c>
      <c r="AG42" s="150">
        <v>0</v>
      </c>
      <c r="AH42" s="150">
        <v>0</v>
      </c>
      <c r="AI42" s="150">
        <v>0</v>
      </c>
      <c r="AJ42" s="150">
        <v>0</v>
      </c>
      <c r="AK42" s="150">
        <v>0</v>
      </c>
      <c r="AL42" s="150">
        <v>0</v>
      </c>
      <c r="AM42" s="149">
        <f>$AB$42/3</f>
        <v>1060</v>
      </c>
      <c r="AN42" s="149">
        <f t="shared" ref="AN42:AO42" si="91">$AB$42/3</f>
        <v>1060</v>
      </c>
      <c r="AO42" s="149">
        <f t="shared" si="91"/>
        <v>1060</v>
      </c>
      <c r="AP42" s="157">
        <f>SUM(AM42:AO42)</f>
        <v>3180</v>
      </c>
      <c r="AQ42" s="132"/>
      <c r="AR42" s="151">
        <f>AR23+Z23</f>
        <v>76</v>
      </c>
      <c r="AS42" s="9"/>
      <c r="AT42" s="91">
        <f>C42*AR42</f>
        <v>241680</v>
      </c>
      <c r="AU42" s="226"/>
      <c r="AV42" s="150">
        <v>0</v>
      </c>
      <c r="AW42" s="150">
        <v>0</v>
      </c>
      <c r="AX42" s="150">
        <v>0</v>
      </c>
      <c r="AY42" s="150">
        <v>0</v>
      </c>
      <c r="AZ42" s="150">
        <v>0</v>
      </c>
      <c r="BA42" s="150">
        <v>0</v>
      </c>
      <c r="BB42" s="150">
        <v>0</v>
      </c>
      <c r="BC42" s="150">
        <v>0</v>
      </c>
      <c r="BD42" s="150">
        <v>0</v>
      </c>
      <c r="BE42" s="149">
        <f>$AB$42/3</f>
        <v>1060</v>
      </c>
      <c r="BF42" s="149">
        <f t="shared" ref="BF42:BG42" si="92">$AB$42/3</f>
        <v>1060</v>
      </c>
      <c r="BG42" s="149">
        <f t="shared" si="92"/>
        <v>1060</v>
      </c>
      <c r="BH42" s="157">
        <f>SUM(BE42:BG42)</f>
        <v>3180</v>
      </c>
      <c r="BI42" s="134"/>
      <c r="BJ42" s="56">
        <f>BJ23+AR23</f>
        <v>106</v>
      </c>
      <c r="BK42" s="9"/>
      <c r="BL42" s="99">
        <f>C42*BJ42</f>
        <v>337080</v>
      </c>
      <c r="BM42" s="226"/>
      <c r="BN42" s="56">
        <f>BJ23</f>
        <v>31</v>
      </c>
      <c r="BO42" s="9"/>
      <c r="BP42" s="99">
        <f>C42*BN42</f>
        <v>98580</v>
      </c>
    </row>
    <row r="43" spans="1:68" ht="30" customHeight="1" x14ac:dyDescent="0.25">
      <c r="A43" s="37" t="s">
        <v>68</v>
      </c>
      <c r="B43" s="212" t="s">
        <v>69</v>
      </c>
      <c r="C43" s="213"/>
      <c r="D43" s="213"/>
      <c r="E43" s="214"/>
      <c r="F43" s="147">
        <f>SUM(F44)</f>
        <v>60000</v>
      </c>
      <c r="G43" s="236"/>
      <c r="H43" s="230"/>
      <c r="I43" s="213"/>
      <c r="J43" s="77">
        <f>SUM(J44)</f>
        <v>15000</v>
      </c>
      <c r="K43" s="226"/>
      <c r="L43" s="230"/>
      <c r="M43" s="213"/>
      <c r="N43" s="230"/>
      <c r="O43" s="213"/>
      <c r="P43" s="230"/>
      <c r="Q43" s="213"/>
      <c r="R43" s="230"/>
      <c r="S43" s="213"/>
      <c r="T43" s="230"/>
      <c r="U43" s="213"/>
      <c r="V43" s="230"/>
      <c r="W43" s="213"/>
      <c r="X43" s="147">
        <f>SUM(X44)</f>
        <v>15000</v>
      </c>
      <c r="Y43" s="132"/>
      <c r="Z43" s="230"/>
      <c r="AA43" s="213"/>
      <c r="AB43" s="147">
        <f>SUM(AB44)</f>
        <v>15000</v>
      </c>
      <c r="AC43" s="226"/>
      <c r="AD43" s="230"/>
      <c r="AE43" s="213"/>
      <c r="AF43" s="230"/>
      <c r="AG43" s="213"/>
      <c r="AH43" s="230"/>
      <c r="AI43" s="213"/>
      <c r="AJ43" s="230"/>
      <c r="AK43" s="213"/>
      <c r="AL43" s="230"/>
      <c r="AM43" s="213"/>
      <c r="AN43" s="230"/>
      <c r="AO43" s="213"/>
      <c r="AP43" s="156">
        <f>SUM(AP44)</f>
        <v>15000</v>
      </c>
      <c r="AQ43" s="132"/>
      <c r="AR43" s="230"/>
      <c r="AS43" s="213"/>
      <c r="AT43" s="77">
        <f>SUM(AT44)</f>
        <v>15000</v>
      </c>
      <c r="AU43" s="226"/>
      <c r="AV43" s="230"/>
      <c r="AW43" s="213"/>
      <c r="AX43" s="230"/>
      <c r="AY43" s="213"/>
      <c r="AZ43" s="230"/>
      <c r="BA43" s="213"/>
      <c r="BB43" s="230"/>
      <c r="BC43" s="213"/>
      <c r="BD43" s="230"/>
      <c r="BE43" s="213"/>
      <c r="BF43" s="230"/>
      <c r="BG43" s="213"/>
      <c r="BH43" s="156">
        <f>SUM(BH44)</f>
        <v>15000</v>
      </c>
      <c r="BI43" s="134"/>
      <c r="BJ43" s="230"/>
      <c r="BK43" s="213"/>
      <c r="BL43" s="30">
        <f>SUM(BL44)</f>
        <v>15000</v>
      </c>
      <c r="BM43" s="226"/>
      <c r="BN43" s="230"/>
      <c r="BO43" s="213"/>
      <c r="BP43" s="30">
        <f>SUM(BP44)</f>
        <v>0</v>
      </c>
    </row>
    <row r="44" spans="1:68" ht="36.6" customHeight="1" thickBot="1" x14ac:dyDescent="0.3">
      <c r="A44" s="15" t="s">
        <v>70</v>
      </c>
      <c r="B44" s="16" t="s">
        <v>71</v>
      </c>
      <c r="C44" s="21">
        <v>50</v>
      </c>
      <c r="D44" s="9"/>
      <c r="E44" s="42">
        <v>1200</v>
      </c>
      <c r="F44" s="149">
        <f>C44*E44</f>
        <v>60000</v>
      </c>
      <c r="G44" s="247"/>
      <c r="H44" s="9"/>
      <c r="I44" s="42">
        <f>E44*0.25</f>
        <v>300</v>
      </c>
      <c r="J44" s="91">
        <f>C44*I44</f>
        <v>15000</v>
      </c>
      <c r="K44" s="257"/>
      <c r="L44" s="150">
        <v>0</v>
      </c>
      <c r="M44" s="150">
        <v>0</v>
      </c>
      <c r="N44" s="150">
        <v>0</v>
      </c>
      <c r="O44" s="150">
        <v>0</v>
      </c>
      <c r="P44" s="150">
        <v>0</v>
      </c>
      <c r="Q44" s="150">
        <v>0</v>
      </c>
      <c r="R44" s="150">
        <v>0</v>
      </c>
      <c r="S44" s="150">
        <v>0</v>
      </c>
      <c r="T44" s="150">
        <v>0</v>
      </c>
      <c r="U44" s="149">
        <f>$J$44/3</f>
        <v>5000</v>
      </c>
      <c r="V44" s="149">
        <f t="shared" ref="V44:W44" si="93">$J$44/3</f>
        <v>5000</v>
      </c>
      <c r="W44" s="149">
        <f t="shared" si="93"/>
        <v>5000</v>
      </c>
      <c r="X44" s="149">
        <f>SUM(U44:W44)</f>
        <v>15000</v>
      </c>
      <c r="Y44" s="148"/>
      <c r="Z44" s="44"/>
      <c r="AA44" s="42">
        <f>E44*0.25</f>
        <v>300</v>
      </c>
      <c r="AB44" s="91">
        <f>C44*AA44</f>
        <v>15000</v>
      </c>
      <c r="AC44" s="227"/>
      <c r="AD44" s="150">
        <v>0</v>
      </c>
      <c r="AE44" s="150">
        <v>0</v>
      </c>
      <c r="AF44" s="150">
        <v>0</v>
      </c>
      <c r="AG44" s="150">
        <v>0</v>
      </c>
      <c r="AH44" s="150">
        <v>0</v>
      </c>
      <c r="AI44" s="150">
        <v>0</v>
      </c>
      <c r="AJ44" s="150">
        <v>0</v>
      </c>
      <c r="AK44" s="150">
        <v>0</v>
      </c>
      <c r="AL44" s="150">
        <v>0</v>
      </c>
      <c r="AM44" s="149">
        <f>$J$44/3</f>
        <v>5000</v>
      </c>
      <c r="AN44" s="149">
        <f t="shared" ref="AN44:AO44" si="94">$J$44/3</f>
        <v>5000</v>
      </c>
      <c r="AO44" s="149">
        <f t="shared" si="94"/>
        <v>5000</v>
      </c>
      <c r="AP44" s="157">
        <f>SUM(AM44:AO44)</f>
        <v>15000</v>
      </c>
      <c r="AQ44" s="133"/>
      <c r="AR44" s="44"/>
      <c r="AS44" s="42">
        <f>E44*0.25</f>
        <v>300</v>
      </c>
      <c r="AT44" s="91">
        <f>C44*AS44</f>
        <v>15000</v>
      </c>
      <c r="AU44" s="227"/>
      <c r="AV44" s="150">
        <v>0</v>
      </c>
      <c r="AW44" s="150">
        <v>0</v>
      </c>
      <c r="AX44" s="150">
        <v>0</v>
      </c>
      <c r="AY44" s="150">
        <v>0</v>
      </c>
      <c r="AZ44" s="150">
        <v>0</v>
      </c>
      <c r="BA44" s="150">
        <v>0</v>
      </c>
      <c r="BB44" s="150">
        <v>0</v>
      </c>
      <c r="BC44" s="150">
        <v>0</v>
      </c>
      <c r="BD44" s="150">
        <v>0</v>
      </c>
      <c r="BE44" s="149">
        <f>$J$44/3</f>
        <v>5000</v>
      </c>
      <c r="BF44" s="149">
        <f t="shared" ref="BF44:BG44" si="95">$J$44/3</f>
        <v>5000</v>
      </c>
      <c r="BG44" s="149">
        <f t="shared" si="95"/>
        <v>5000</v>
      </c>
      <c r="BH44" s="157">
        <f>SUM(BE44:BG44)</f>
        <v>15000</v>
      </c>
      <c r="BI44" s="134"/>
      <c r="BJ44" s="9"/>
      <c r="BK44" s="42">
        <f>E44*0.25</f>
        <v>300</v>
      </c>
      <c r="BL44" s="99">
        <f>C44*BK44</f>
        <v>15000</v>
      </c>
      <c r="BM44" s="227"/>
      <c r="BN44" s="9"/>
      <c r="BO44" s="42">
        <v>0</v>
      </c>
      <c r="BP44" s="99">
        <f>G44*BO44</f>
        <v>0</v>
      </c>
    </row>
    <row r="45" spans="1:68" ht="30.6" customHeight="1" x14ac:dyDescent="0.25">
      <c r="B45" s="10"/>
      <c r="F45" s="22"/>
      <c r="G45" s="27"/>
      <c r="H45" s="11"/>
      <c r="I45" s="11"/>
      <c r="J45" s="4" t="s">
        <v>57</v>
      </c>
      <c r="U45" s="166">
        <f>SUM(U40:U44)</f>
        <v>5000</v>
      </c>
      <c r="V45" s="166">
        <f>SUM(V40:V44)</f>
        <v>5000</v>
      </c>
      <c r="W45" s="166">
        <f>SUM(W40:W44)</f>
        <v>5000</v>
      </c>
      <c r="AM45" s="166">
        <f>SUM(AM40:AM44)</f>
        <v>7120</v>
      </c>
      <c r="AN45" s="166">
        <f>SUM(AN40:AN44)</f>
        <v>7120</v>
      </c>
      <c r="AO45" s="166">
        <f>SUM(AO40:AO44)</f>
        <v>7120</v>
      </c>
      <c r="BE45" s="166">
        <f>SUM(BE40:BE44)</f>
        <v>7120</v>
      </c>
      <c r="BF45" s="166">
        <f>SUM(BF40:BF44)</f>
        <v>7120</v>
      </c>
      <c r="BG45" s="166">
        <f>SUM(BG40:BG44)</f>
        <v>7120</v>
      </c>
    </row>
    <row r="46" spans="1:68" ht="21.6" customHeight="1" x14ac:dyDescent="0.25">
      <c r="A46" s="126"/>
      <c r="B46" s="217" t="s">
        <v>72</v>
      </c>
      <c r="C46" s="218"/>
      <c r="D46" s="119">
        <f>SUM(D47:D48)</f>
        <v>20766810</v>
      </c>
      <c r="E46" s="53"/>
      <c r="H46" s="3"/>
      <c r="I46" s="3"/>
    </row>
    <row r="47" spans="1:68" x14ac:dyDescent="0.25">
      <c r="A47" s="215" t="s">
        <v>73</v>
      </c>
      <c r="B47" s="219" t="s">
        <v>74</v>
      </c>
      <c r="C47" s="220"/>
      <c r="D47" s="99">
        <f>F5</f>
        <v>18128250</v>
      </c>
      <c r="E47" s="54"/>
      <c r="G47" s="25"/>
      <c r="H47" s="3"/>
      <c r="I47" s="3"/>
    </row>
    <row r="48" spans="1:68" x14ac:dyDescent="0.25">
      <c r="A48" s="216"/>
      <c r="B48" s="219" t="s">
        <v>75</v>
      </c>
      <c r="C48" s="220"/>
      <c r="D48" s="99">
        <f>F38*2</f>
        <v>2638560</v>
      </c>
      <c r="E48" s="54"/>
      <c r="G48" s="29"/>
      <c r="H48" s="3"/>
      <c r="I48" s="3"/>
    </row>
    <row r="49" spans="1:9" x14ac:dyDescent="0.25">
      <c r="C49" s="55"/>
      <c r="D49" s="5"/>
      <c r="E49" s="55"/>
      <c r="G49" s="25"/>
      <c r="H49" s="3"/>
      <c r="I49" s="3"/>
    </row>
    <row r="50" spans="1:9" ht="22.15" customHeight="1" x14ac:dyDescent="0.25">
      <c r="A50" s="126"/>
      <c r="B50" s="234" t="s">
        <v>76</v>
      </c>
      <c r="C50" s="218"/>
      <c r="D50" s="119">
        <f>SUM(D51:D52)</f>
        <v>1089078</v>
      </c>
      <c r="E50" s="4"/>
      <c r="F50" s="18"/>
      <c r="G50" s="25"/>
      <c r="H50" s="3"/>
      <c r="I50" s="3"/>
    </row>
    <row r="51" spans="1:9" x14ac:dyDescent="0.25">
      <c r="A51" s="215" t="s">
        <v>73</v>
      </c>
      <c r="B51" s="219" t="s">
        <v>74</v>
      </c>
      <c r="C51" s="220"/>
      <c r="D51" s="99">
        <f>J5</f>
        <v>1074078</v>
      </c>
      <c r="E51" s="4"/>
      <c r="F51" s="18"/>
      <c r="G51" s="25"/>
      <c r="H51" s="3"/>
      <c r="I51" s="3"/>
    </row>
    <row r="52" spans="1:9" x14ac:dyDescent="0.25">
      <c r="A52" s="216"/>
      <c r="B52" s="219" t="s">
        <v>77</v>
      </c>
      <c r="C52" s="220"/>
      <c r="D52" s="99">
        <f>J38</f>
        <v>15000</v>
      </c>
      <c r="E52" s="4"/>
      <c r="F52" s="18"/>
      <c r="G52" s="25"/>
      <c r="H52" s="3"/>
      <c r="I52" s="3"/>
    </row>
    <row r="53" spans="1:9" x14ac:dyDescent="0.25">
      <c r="A53" s="4"/>
      <c r="B53" s="4"/>
      <c r="C53" s="4"/>
      <c r="D53" s="4"/>
      <c r="E53" s="4"/>
      <c r="F53" s="18"/>
      <c r="G53" s="25"/>
      <c r="H53" s="3"/>
      <c r="I53" s="3"/>
    </row>
    <row r="54" spans="1:9" ht="21.6" customHeight="1" x14ac:dyDescent="0.25">
      <c r="A54" s="126"/>
      <c r="B54" s="234" t="s">
        <v>78</v>
      </c>
      <c r="C54" s="218"/>
      <c r="D54" s="119">
        <f>SUM(D55:D56)</f>
        <v>557083.16666666674</v>
      </c>
      <c r="E54" s="4"/>
      <c r="F54" s="18"/>
      <c r="G54" s="25"/>
      <c r="H54" s="3"/>
      <c r="I54" s="3"/>
    </row>
    <row r="55" spans="1:9" x14ac:dyDescent="0.25">
      <c r="A55" s="215" t="s">
        <v>73</v>
      </c>
      <c r="B55" s="219" t="s">
        <v>74</v>
      </c>
      <c r="C55" s="220"/>
      <c r="D55" s="99">
        <f>AB5</f>
        <v>300403.16666666669</v>
      </c>
      <c r="E55" s="4"/>
      <c r="F55" s="18"/>
      <c r="G55" s="25"/>
      <c r="H55" s="3"/>
      <c r="I55" s="3"/>
    </row>
    <row r="56" spans="1:9" x14ac:dyDescent="0.25">
      <c r="A56" s="216"/>
      <c r="B56" s="219" t="s">
        <v>77</v>
      </c>
      <c r="C56" s="220"/>
      <c r="D56" s="99">
        <f>AB38+(BP38*0.5)</f>
        <v>256680</v>
      </c>
      <c r="E56" s="4"/>
      <c r="F56" s="18"/>
      <c r="G56" s="25"/>
      <c r="H56" s="3"/>
      <c r="I56" s="3"/>
    </row>
    <row r="57" spans="1:9" x14ac:dyDescent="0.25">
      <c r="A57" s="4"/>
      <c r="B57" s="4"/>
      <c r="C57" s="4"/>
      <c r="D57" s="4"/>
      <c r="E57" s="4"/>
      <c r="F57" s="18"/>
      <c r="G57" s="25"/>
      <c r="H57" s="3"/>
      <c r="I57" s="3"/>
    </row>
    <row r="58" spans="1:9" ht="21.6" customHeight="1" x14ac:dyDescent="0.25">
      <c r="A58" s="126"/>
      <c r="B58" s="234" t="s">
        <v>79</v>
      </c>
      <c r="C58" s="218"/>
      <c r="D58" s="119">
        <f>SUM(D59:D60)</f>
        <v>9257204</v>
      </c>
      <c r="E58" s="4"/>
      <c r="F58" s="18"/>
      <c r="G58" s="25"/>
      <c r="H58" s="3"/>
      <c r="I58" s="3"/>
    </row>
    <row r="59" spans="1:9" x14ac:dyDescent="0.25">
      <c r="A59" s="215" t="s">
        <v>73</v>
      </c>
      <c r="B59" s="219" t="s">
        <v>74</v>
      </c>
      <c r="C59" s="220"/>
      <c r="D59" s="99">
        <f>AT5</f>
        <v>8348624</v>
      </c>
      <c r="E59" s="4"/>
      <c r="F59" s="18"/>
      <c r="G59" s="25"/>
      <c r="H59" s="3"/>
      <c r="I59" s="3"/>
    </row>
    <row r="60" spans="1:9" x14ac:dyDescent="0.25">
      <c r="A60" s="216"/>
      <c r="B60" s="219" t="s">
        <v>77</v>
      </c>
      <c r="C60" s="220"/>
      <c r="D60" s="99">
        <f>AT38+(BP38*0.5)</f>
        <v>908580</v>
      </c>
      <c r="E60" s="4"/>
      <c r="F60" s="18"/>
      <c r="G60" s="25"/>
      <c r="H60" s="3"/>
      <c r="I60" s="3"/>
    </row>
    <row r="62" spans="1:9" ht="15.75" x14ac:dyDescent="0.25">
      <c r="B62" s="234" t="s">
        <v>80</v>
      </c>
      <c r="C62" s="218"/>
      <c r="D62" s="119">
        <f>SUM(D63:D64)</f>
        <v>8266794.166666667</v>
      </c>
    </row>
    <row r="63" spans="1:9" x14ac:dyDescent="0.25">
      <c r="A63" s="215" t="s">
        <v>73</v>
      </c>
      <c r="B63" s="219" t="s">
        <v>74</v>
      </c>
      <c r="C63" s="220"/>
      <c r="D63" s="99">
        <f>BL5</f>
        <v>7129254.166666667</v>
      </c>
      <c r="E63" s="4"/>
      <c r="H63" s="4"/>
      <c r="I63" s="4"/>
    </row>
    <row r="64" spans="1:9" x14ac:dyDescent="0.25">
      <c r="A64" s="216"/>
      <c r="B64" s="219" t="s">
        <v>77</v>
      </c>
      <c r="C64" s="220"/>
      <c r="D64" s="99">
        <f>BL38</f>
        <v>1137540</v>
      </c>
    </row>
  </sheetData>
  <mergeCells count="217">
    <mergeCell ref="BJ3:BL3"/>
    <mergeCell ref="A5:E5"/>
    <mergeCell ref="H5:I5"/>
    <mergeCell ref="L5:W5"/>
    <mergeCell ref="Z5:AA5"/>
    <mergeCell ref="AD5:AO5"/>
    <mergeCell ref="AR5:AS5"/>
    <mergeCell ref="BJ5:BK5"/>
    <mergeCell ref="BI3:BI33"/>
    <mergeCell ref="Z3:AB3"/>
    <mergeCell ref="AC3:AC33"/>
    <mergeCell ref="AD3:AP3"/>
    <mergeCell ref="AQ3:AQ33"/>
    <mergeCell ref="AR3:AT3"/>
    <mergeCell ref="AU3:AU33"/>
    <mergeCell ref="Z8:AA8"/>
    <mergeCell ref="AD8:AO8"/>
    <mergeCell ref="AR8:AS8"/>
    <mergeCell ref="AN17:AO17"/>
    <mergeCell ref="C3:F3"/>
    <mergeCell ref="G3:G33"/>
    <mergeCell ref="H3:J3"/>
    <mergeCell ref="K3:K33"/>
    <mergeCell ref="L3:X3"/>
    <mergeCell ref="BJ8:BK8"/>
    <mergeCell ref="B17:E17"/>
    <mergeCell ref="H17:I17"/>
    <mergeCell ref="L17:W17"/>
    <mergeCell ref="Z17:AA17"/>
    <mergeCell ref="AD17:AE17"/>
    <mergeCell ref="AF17:AG17"/>
    <mergeCell ref="AH17:AI17"/>
    <mergeCell ref="AJ17:AK17"/>
    <mergeCell ref="AL17:AM17"/>
    <mergeCell ref="Y3:Y33"/>
    <mergeCell ref="B8:E8"/>
    <mergeCell ref="H8:I8"/>
    <mergeCell ref="L8:W8"/>
    <mergeCell ref="B32:E32"/>
    <mergeCell ref="AR17:AS17"/>
    <mergeCell ref="BJ17:BK17"/>
    <mergeCell ref="B26:E26"/>
    <mergeCell ref="H26:I26"/>
    <mergeCell ref="L26:W26"/>
    <mergeCell ref="Z26:AA26"/>
    <mergeCell ref="AD26:AE26"/>
    <mergeCell ref="AF26:AG26"/>
    <mergeCell ref="AH26:AI26"/>
    <mergeCell ref="AJ26:AK26"/>
    <mergeCell ref="AL26:AM26"/>
    <mergeCell ref="AN26:AO26"/>
    <mergeCell ref="AR26:AS26"/>
    <mergeCell ref="BJ26:BK26"/>
    <mergeCell ref="B30:E30"/>
    <mergeCell ref="H30:I30"/>
    <mergeCell ref="L30:W30"/>
    <mergeCell ref="Z30:AA30"/>
    <mergeCell ref="AD30:AE30"/>
    <mergeCell ref="AF30:AG30"/>
    <mergeCell ref="AH30:AI30"/>
    <mergeCell ref="AJ30:AK30"/>
    <mergeCell ref="AL30:AM30"/>
    <mergeCell ref="AN30:AO30"/>
    <mergeCell ref="AR30:AS30"/>
    <mergeCell ref="BJ30:BK30"/>
    <mergeCell ref="AV30:AW30"/>
    <mergeCell ref="AX30:AY30"/>
    <mergeCell ref="AZ30:BA30"/>
    <mergeCell ref="BB30:BC30"/>
    <mergeCell ref="BD30:BE30"/>
    <mergeCell ref="BF30:BG30"/>
    <mergeCell ref="AV26:AW26"/>
    <mergeCell ref="AF32:AG32"/>
    <mergeCell ref="AH32:AI32"/>
    <mergeCell ref="AR36:AT36"/>
    <mergeCell ref="AU36:AU44"/>
    <mergeCell ref="BJ36:BL36"/>
    <mergeCell ref="AV32:AW32"/>
    <mergeCell ref="AX32:AY32"/>
    <mergeCell ref="AZ32:BA32"/>
    <mergeCell ref="BB32:BC32"/>
    <mergeCell ref="BD32:BE32"/>
    <mergeCell ref="AZ41:BA41"/>
    <mergeCell ref="BB41:BC41"/>
    <mergeCell ref="BD41:BE41"/>
    <mergeCell ref="BF41:BG41"/>
    <mergeCell ref="AV36:BH36"/>
    <mergeCell ref="AV38:BG38"/>
    <mergeCell ref="AV39:AW39"/>
    <mergeCell ref="AX39:AY39"/>
    <mergeCell ref="AJ32:AK32"/>
    <mergeCell ref="AL32:AM32"/>
    <mergeCell ref="AN32:AO32"/>
    <mergeCell ref="AR32:AS32"/>
    <mergeCell ref="BF32:BG32"/>
    <mergeCell ref="BJ32:BK32"/>
    <mergeCell ref="H36:J36"/>
    <mergeCell ref="K36:K44"/>
    <mergeCell ref="L36:X36"/>
    <mergeCell ref="Z36:AB36"/>
    <mergeCell ref="AC36:AC44"/>
    <mergeCell ref="H32:I32"/>
    <mergeCell ref="L32:W32"/>
    <mergeCell ref="Z32:AA32"/>
    <mergeCell ref="AD32:AE32"/>
    <mergeCell ref="AD39:AE39"/>
    <mergeCell ref="AD36:AP36"/>
    <mergeCell ref="AH39:AI39"/>
    <mergeCell ref="AJ39:AK39"/>
    <mergeCell ref="AL39:AM39"/>
    <mergeCell ref="AN39:AO39"/>
    <mergeCell ref="P39:Q39"/>
    <mergeCell ref="R39:S39"/>
    <mergeCell ref="T39:U39"/>
    <mergeCell ref="AJ43:AK43"/>
    <mergeCell ref="AD43:AE43"/>
    <mergeCell ref="AH41:AI41"/>
    <mergeCell ref="AJ41:AK41"/>
    <mergeCell ref="AL41:AM41"/>
    <mergeCell ref="AN41:AO41"/>
    <mergeCell ref="BN38:BO38"/>
    <mergeCell ref="BN39:BO39"/>
    <mergeCell ref="AR39:AS39"/>
    <mergeCell ref="BJ39:BK39"/>
    <mergeCell ref="BM36:BM44"/>
    <mergeCell ref="BN36:BP36"/>
    <mergeCell ref="AR38:AS38"/>
    <mergeCell ref="BJ38:BK38"/>
    <mergeCell ref="BJ41:BK41"/>
    <mergeCell ref="BN41:BO41"/>
    <mergeCell ref="BB39:BC39"/>
    <mergeCell ref="BD39:BE39"/>
    <mergeCell ref="BF39:BG39"/>
    <mergeCell ref="BJ43:BK43"/>
    <mergeCell ref="BN43:BO43"/>
    <mergeCell ref="BD43:BE43"/>
    <mergeCell ref="BF43:BG43"/>
    <mergeCell ref="AV41:AW41"/>
    <mergeCell ref="AX41:AY41"/>
    <mergeCell ref="AZ39:BA39"/>
    <mergeCell ref="AR41:AS41"/>
    <mergeCell ref="B41:E41"/>
    <mergeCell ref="H41:I41"/>
    <mergeCell ref="L41:M41"/>
    <mergeCell ref="N41:O41"/>
    <mergeCell ref="P41:Q41"/>
    <mergeCell ref="R41:S41"/>
    <mergeCell ref="T41:U41"/>
    <mergeCell ref="V41:W41"/>
    <mergeCell ref="Z41:AA41"/>
    <mergeCell ref="G37:G44"/>
    <mergeCell ref="B38:E38"/>
    <mergeCell ref="B39:E39"/>
    <mergeCell ref="H39:I39"/>
    <mergeCell ref="L39:M39"/>
    <mergeCell ref="N39:O39"/>
    <mergeCell ref="AV3:BH3"/>
    <mergeCell ref="AV5:BG5"/>
    <mergeCell ref="AV8:BG8"/>
    <mergeCell ref="AV17:AW17"/>
    <mergeCell ref="AX17:AY17"/>
    <mergeCell ref="B54:C54"/>
    <mergeCell ref="A55:A56"/>
    <mergeCell ref="B55:C55"/>
    <mergeCell ref="B56:C56"/>
    <mergeCell ref="A47:A48"/>
    <mergeCell ref="B47:C47"/>
    <mergeCell ref="B48:C48"/>
    <mergeCell ref="B50:C50"/>
    <mergeCell ref="A51:A52"/>
    <mergeCell ref="B51:C51"/>
    <mergeCell ref="B52:C52"/>
    <mergeCell ref="B46:C46"/>
    <mergeCell ref="AV43:AW43"/>
    <mergeCell ref="AX43:AY43"/>
    <mergeCell ref="AZ43:BA43"/>
    <mergeCell ref="BB43:BC43"/>
    <mergeCell ref="V43:W43"/>
    <mergeCell ref="Z43:AA43"/>
    <mergeCell ref="AH43:AI43"/>
    <mergeCell ref="AL43:AM43"/>
    <mergeCell ref="AN43:AO43"/>
    <mergeCell ref="AR43:AS43"/>
    <mergeCell ref="AF39:AG39"/>
    <mergeCell ref="H38:I38"/>
    <mergeCell ref="L38:W38"/>
    <mergeCell ref="Z38:AA38"/>
    <mergeCell ref="AD38:AO38"/>
    <mergeCell ref="V39:W39"/>
    <mergeCell ref="Z39:AA39"/>
    <mergeCell ref="H43:I43"/>
    <mergeCell ref="L43:M43"/>
    <mergeCell ref="N43:O43"/>
    <mergeCell ref="P43:Q43"/>
    <mergeCell ref="R43:S43"/>
    <mergeCell ref="T43:U43"/>
    <mergeCell ref="AD41:AE41"/>
    <mergeCell ref="AF41:AG41"/>
    <mergeCell ref="B62:C62"/>
    <mergeCell ref="A63:A64"/>
    <mergeCell ref="B63:C63"/>
    <mergeCell ref="B64:C64"/>
    <mergeCell ref="B58:C58"/>
    <mergeCell ref="A59:A60"/>
    <mergeCell ref="B59:C59"/>
    <mergeCell ref="B60:C60"/>
    <mergeCell ref="AF43:AG43"/>
    <mergeCell ref="B43:E43"/>
    <mergeCell ref="AZ17:BA17"/>
    <mergeCell ref="BB17:BC17"/>
    <mergeCell ref="BD17:BE17"/>
    <mergeCell ref="BF17:BG17"/>
    <mergeCell ref="AX26:AY26"/>
    <mergeCell ref="AZ26:BA26"/>
    <mergeCell ref="BB26:BC26"/>
    <mergeCell ref="BD26:BE26"/>
    <mergeCell ref="BF26:BG26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7C983-AF15-4387-B299-2C49D7783746}">
  <dimension ref="A2:CD82"/>
  <sheetViews>
    <sheetView showGridLines="0" topLeftCell="A46" zoomScale="70" zoomScaleNormal="70" workbookViewId="0">
      <pane xSplit="2" topLeftCell="C1" activePane="topRight" state="frozen"/>
      <selection pane="topRight" activeCell="C25" sqref="C25"/>
    </sheetView>
  </sheetViews>
  <sheetFormatPr baseColWidth="10" defaultColWidth="11.5703125" defaultRowHeight="15" x14ac:dyDescent="0.25"/>
  <cols>
    <col min="1" max="1" width="12.7109375" style="14" customWidth="1"/>
    <col min="2" max="2" width="50.85546875" style="1" customWidth="1"/>
    <col min="3" max="3" width="26.42578125" style="20" customWidth="1"/>
    <col min="4" max="4" width="16.85546875" style="2" customWidth="1"/>
    <col min="5" max="5" width="11.7109375" style="2" customWidth="1"/>
    <col min="6" max="6" width="16.28515625" style="20" customWidth="1"/>
    <col min="7" max="7" width="1.7109375" style="28" customWidth="1"/>
    <col min="8" max="8" width="9.7109375" style="12" customWidth="1"/>
    <col min="9" max="9" width="7.42578125" style="12" customWidth="1"/>
    <col min="10" max="10" width="14.85546875" style="4" customWidth="1"/>
    <col min="11" max="11" width="2" style="4" customWidth="1"/>
    <col min="12" max="12" width="14.28515625" style="4" customWidth="1"/>
    <col min="13" max="13" width="11.5703125" style="4" customWidth="1"/>
    <col min="14" max="14" width="10.5703125" style="4" customWidth="1"/>
    <col min="15" max="16" width="9.85546875" style="4" customWidth="1"/>
    <col min="17" max="17" width="10.28515625" style="4" customWidth="1"/>
    <col min="18" max="18" width="10.7109375" style="4" customWidth="1"/>
    <col min="19" max="19" width="12.140625" style="4" customWidth="1"/>
    <col min="20" max="20" width="13.5703125" style="4" customWidth="1"/>
    <col min="21" max="21" width="15" style="4" customWidth="1"/>
    <col min="22" max="22" width="12.28515625" style="4" customWidth="1"/>
    <col min="23" max="23" width="14.7109375" style="4" customWidth="1"/>
    <col min="24" max="24" width="16.5703125" style="4" customWidth="1"/>
    <col min="25" max="25" width="2.140625" style="4" customWidth="1"/>
    <col min="26" max="26" width="10" style="4" customWidth="1"/>
    <col min="27" max="27" width="9.140625" style="4" customWidth="1"/>
    <col min="28" max="28" width="13.7109375" style="4" customWidth="1"/>
    <col min="29" max="29" width="2.28515625" style="4" customWidth="1"/>
    <col min="30" max="30" width="13.85546875" style="4" customWidth="1"/>
    <col min="31" max="31" width="17" style="4" customWidth="1"/>
    <col min="32" max="32" width="17.7109375" style="4" customWidth="1"/>
    <col min="33" max="34" width="12.5703125" style="4" customWidth="1"/>
    <col min="35" max="35" width="12" style="4" customWidth="1"/>
    <col min="36" max="36" width="15.7109375" style="4" customWidth="1"/>
    <col min="37" max="37" width="14.85546875" style="4" customWidth="1"/>
    <col min="38" max="38" width="14" style="4" customWidth="1"/>
    <col min="39" max="39" width="15.28515625" style="4" customWidth="1"/>
    <col min="40" max="40" width="13.140625" style="4" customWidth="1"/>
    <col min="41" max="41" width="11.140625" style="4" customWidth="1"/>
    <col min="42" max="42" width="13.7109375" style="4" customWidth="1"/>
    <col min="43" max="43" width="1.85546875" style="4" customWidth="1"/>
    <col min="44" max="44" width="9.7109375" style="4" customWidth="1"/>
    <col min="45" max="45" width="9.28515625" style="4" customWidth="1"/>
    <col min="46" max="46" width="14.7109375" style="4" customWidth="1"/>
    <col min="47" max="47" width="1.85546875" style="4" customWidth="1"/>
    <col min="48" max="48" width="14" style="4" customWidth="1"/>
    <col min="49" max="49" width="16.28515625" style="4" customWidth="1"/>
    <col min="50" max="50" width="14.5703125" style="4" customWidth="1"/>
    <col min="51" max="51" width="11.7109375" style="4" customWidth="1"/>
    <col min="52" max="52" width="19.5703125" style="4" customWidth="1"/>
    <col min="53" max="53" width="18.42578125" style="4" customWidth="1"/>
    <col min="54" max="54" width="19.7109375" style="4" customWidth="1"/>
    <col min="55" max="55" width="19.140625" style="4" customWidth="1"/>
    <col min="56" max="56" width="16.28515625" style="4" customWidth="1"/>
    <col min="57" max="57" width="20.28515625" style="4" customWidth="1"/>
    <col min="58" max="58" width="19.42578125" style="4" customWidth="1"/>
    <col min="59" max="59" width="13.140625" style="4" customWidth="1"/>
    <col min="60" max="60" width="16" style="4" customWidth="1"/>
    <col min="61" max="61" width="2.7109375" style="4" customWidth="1"/>
    <col min="62" max="62" width="7.5703125" style="4" customWidth="1"/>
    <col min="63" max="63" width="10" style="4" customWidth="1"/>
    <col min="64" max="64" width="14.28515625" style="4" customWidth="1"/>
    <col min="65" max="65" width="3.140625" style="4" customWidth="1"/>
    <col min="66" max="66" width="13.7109375" style="4" customWidth="1"/>
    <col min="67" max="67" width="14.85546875" style="4" customWidth="1"/>
    <col min="68" max="68" width="14.7109375" style="4" customWidth="1"/>
    <col min="69" max="73" width="11.5703125" style="4"/>
    <col min="74" max="74" width="13" style="4" customWidth="1"/>
    <col min="75" max="77" width="11.5703125" style="4"/>
    <col min="78" max="78" width="15.5703125" style="4" customWidth="1"/>
    <col min="79" max="79" width="2.7109375" style="4" customWidth="1"/>
    <col min="80" max="80" width="11.5703125" style="4"/>
    <col min="81" max="81" width="13.5703125" style="4" customWidth="1"/>
    <col min="82" max="82" width="19.7109375" style="4" customWidth="1"/>
    <col min="83" max="16384" width="11.5703125" style="4"/>
  </cols>
  <sheetData>
    <row r="2" spans="1:78" ht="15.75" thickBot="1" x14ac:dyDescent="0.3"/>
    <row r="3" spans="1:78" ht="28.9" customHeight="1" thickBot="1" x14ac:dyDescent="0.3">
      <c r="C3" s="270" t="s">
        <v>0</v>
      </c>
      <c r="D3" s="265"/>
      <c r="E3" s="265"/>
      <c r="F3" s="266"/>
      <c r="G3" s="235"/>
      <c r="H3" s="265">
        <v>2025</v>
      </c>
      <c r="I3" s="265"/>
      <c r="J3" s="265"/>
      <c r="K3" s="225"/>
      <c r="L3" s="265">
        <v>2025</v>
      </c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25" t="s">
        <v>81</v>
      </c>
      <c r="Z3" s="265">
        <v>2026</v>
      </c>
      <c r="AA3" s="265"/>
      <c r="AB3" s="265"/>
      <c r="AC3" s="225"/>
      <c r="AD3" s="265">
        <v>2026</v>
      </c>
      <c r="AE3" s="265"/>
      <c r="AF3" s="265"/>
      <c r="AG3" s="265"/>
      <c r="AH3" s="265"/>
      <c r="AI3" s="265"/>
      <c r="AJ3" s="265"/>
      <c r="AK3" s="265"/>
      <c r="AL3" s="265"/>
      <c r="AM3" s="265"/>
      <c r="AN3" s="265"/>
      <c r="AO3" s="265"/>
      <c r="AP3" s="266"/>
      <c r="AQ3" s="225"/>
      <c r="AR3" s="265">
        <v>2027</v>
      </c>
      <c r="AS3" s="265"/>
      <c r="AT3" s="265"/>
      <c r="AU3" s="225"/>
      <c r="AV3" s="265">
        <v>2027</v>
      </c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6"/>
      <c r="BI3" s="225"/>
      <c r="BJ3" s="265">
        <v>2028</v>
      </c>
      <c r="BK3" s="265"/>
      <c r="BL3" s="265"/>
      <c r="BM3" s="225"/>
      <c r="BN3" s="265">
        <v>2028</v>
      </c>
      <c r="BO3" s="265"/>
      <c r="BP3" s="265"/>
      <c r="BQ3" s="265"/>
      <c r="BR3" s="265"/>
      <c r="BS3" s="265"/>
      <c r="BT3" s="265"/>
      <c r="BU3" s="265"/>
      <c r="BV3" s="265"/>
      <c r="BW3" s="265"/>
      <c r="BX3" s="265"/>
      <c r="BY3" s="265"/>
      <c r="BZ3" s="266"/>
    </row>
    <row r="4" spans="1:78" ht="48" customHeight="1" thickBot="1" x14ac:dyDescent="0.3">
      <c r="A4" s="124" t="e" vm="1">
        <v>#VALUE!</v>
      </c>
      <c r="B4" s="123" t="s">
        <v>1</v>
      </c>
      <c r="C4" s="73" t="s">
        <v>2</v>
      </c>
      <c r="D4" s="74" t="s">
        <v>3</v>
      </c>
      <c r="E4" s="74" t="s">
        <v>98</v>
      </c>
      <c r="F4" s="78" t="s">
        <v>5</v>
      </c>
      <c r="G4" s="236"/>
      <c r="H4" s="75" t="s">
        <v>3</v>
      </c>
      <c r="I4" s="74" t="s">
        <v>4</v>
      </c>
      <c r="J4" s="89" t="s">
        <v>5</v>
      </c>
      <c r="K4" s="226"/>
      <c r="L4" s="75" t="s">
        <v>82</v>
      </c>
      <c r="M4" s="75" t="s">
        <v>83</v>
      </c>
      <c r="N4" s="75" t="s">
        <v>84</v>
      </c>
      <c r="O4" s="75" t="s">
        <v>85</v>
      </c>
      <c r="P4" s="75" t="s">
        <v>86</v>
      </c>
      <c r="Q4" s="75" t="s">
        <v>87</v>
      </c>
      <c r="R4" s="75" t="s">
        <v>88</v>
      </c>
      <c r="S4" s="75" t="s">
        <v>89</v>
      </c>
      <c r="T4" s="75" t="s">
        <v>90</v>
      </c>
      <c r="U4" s="75" t="s">
        <v>91</v>
      </c>
      <c r="V4" s="75" t="s">
        <v>92</v>
      </c>
      <c r="W4" s="75" t="s">
        <v>93</v>
      </c>
      <c r="X4" s="152" t="s">
        <v>5</v>
      </c>
      <c r="Y4" s="226"/>
      <c r="Z4" s="75" t="s">
        <v>3</v>
      </c>
      <c r="AA4" s="74" t="s">
        <v>4</v>
      </c>
      <c r="AB4" s="89" t="s">
        <v>5</v>
      </c>
      <c r="AC4" s="226"/>
      <c r="AD4" s="75" t="s">
        <v>82</v>
      </c>
      <c r="AE4" s="75" t="s">
        <v>83</v>
      </c>
      <c r="AF4" s="75" t="s">
        <v>84</v>
      </c>
      <c r="AG4" s="75" t="s">
        <v>85</v>
      </c>
      <c r="AH4" s="75" t="s">
        <v>86</v>
      </c>
      <c r="AI4" s="75" t="s">
        <v>87</v>
      </c>
      <c r="AJ4" s="75" t="s">
        <v>88</v>
      </c>
      <c r="AK4" s="75" t="s">
        <v>89</v>
      </c>
      <c r="AL4" s="75" t="s">
        <v>90</v>
      </c>
      <c r="AM4" s="75" t="s">
        <v>91</v>
      </c>
      <c r="AN4" s="75" t="s">
        <v>92</v>
      </c>
      <c r="AO4" s="75" t="s">
        <v>93</v>
      </c>
      <c r="AP4" s="152" t="s">
        <v>5</v>
      </c>
      <c r="AQ4" s="226"/>
      <c r="AR4" s="75" t="s">
        <v>3</v>
      </c>
      <c r="AS4" s="74" t="s">
        <v>4</v>
      </c>
      <c r="AT4" s="89" t="s">
        <v>5</v>
      </c>
      <c r="AU4" s="226"/>
      <c r="AV4" s="75" t="s">
        <v>82</v>
      </c>
      <c r="AW4" s="75" t="s">
        <v>83</v>
      </c>
      <c r="AX4" s="75" t="s">
        <v>84</v>
      </c>
      <c r="AY4" s="75" t="s">
        <v>85</v>
      </c>
      <c r="AZ4" s="75" t="s">
        <v>86</v>
      </c>
      <c r="BA4" s="75" t="s">
        <v>87</v>
      </c>
      <c r="BB4" s="75" t="s">
        <v>88</v>
      </c>
      <c r="BC4" s="75" t="s">
        <v>89</v>
      </c>
      <c r="BD4" s="75" t="s">
        <v>90</v>
      </c>
      <c r="BE4" s="75" t="s">
        <v>91</v>
      </c>
      <c r="BF4" s="75" t="s">
        <v>92</v>
      </c>
      <c r="BG4" s="75" t="s">
        <v>93</v>
      </c>
      <c r="BH4" s="152" t="s">
        <v>5</v>
      </c>
      <c r="BI4" s="226"/>
      <c r="BJ4" s="75" t="s">
        <v>3</v>
      </c>
      <c r="BK4" s="74" t="s">
        <v>4</v>
      </c>
      <c r="BL4" s="170" t="s">
        <v>5</v>
      </c>
      <c r="BM4" s="226"/>
      <c r="BN4" s="75" t="s">
        <v>82</v>
      </c>
      <c r="BO4" s="75" t="s">
        <v>83</v>
      </c>
      <c r="BP4" s="75" t="s">
        <v>84</v>
      </c>
      <c r="BQ4" s="75" t="s">
        <v>85</v>
      </c>
      <c r="BR4" s="75" t="s">
        <v>86</v>
      </c>
      <c r="BS4" s="75" t="s">
        <v>87</v>
      </c>
      <c r="BT4" s="75" t="s">
        <v>88</v>
      </c>
      <c r="BU4" s="75" t="s">
        <v>89</v>
      </c>
      <c r="BV4" s="75" t="s">
        <v>90</v>
      </c>
      <c r="BW4" s="75" t="s">
        <v>91</v>
      </c>
      <c r="BX4" s="75" t="s">
        <v>92</v>
      </c>
      <c r="BY4" s="75" t="s">
        <v>93</v>
      </c>
      <c r="BZ4" s="152" t="s">
        <v>5</v>
      </c>
    </row>
    <row r="5" spans="1:78" s="6" customFormat="1" ht="40.9" customHeight="1" x14ac:dyDescent="0.25">
      <c r="A5" s="258" t="s">
        <v>6</v>
      </c>
      <c r="B5" s="273"/>
      <c r="C5" s="273"/>
      <c r="D5" s="273"/>
      <c r="E5" s="274"/>
      <c r="F5" s="79">
        <f>F15+F24+F33+F39+F37+F3</f>
        <v>17069400</v>
      </c>
      <c r="G5" s="236"/>
      <c r="H5" s="228"/>
      <c r="I5" s="229"/>
      <c r="J5" s="90">
        <f>J6+J15+J24+J33+J37+J39</f>
        <v>1021555.5</v>
      </c>
      <c r="K5" s="226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9"/>
      <c r="X5" s="95">
        <f>X6+X15+X24+X33+X37+X39</f>
        <v>1021555.5</v>
      </c>
      <c r="Y5" s="226"/>
      <c r="Z5" s="228"/>
      <c r="AA5" s="229"/>
      <c r="AB5" s="90">
        <f>AB6+AB15+AB24+AB33+AB37+AB39</f>
        <v>321529</v>
      </c>
      <c r="AC5" s="226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95">
        <f>AP6+AP15+AP24+AP33+AP37+AP39</f>
        <v>321229</v>
      </c>
      <c r="AQ5" s="226"/>
      <c r="AR5" s="228"/>
      <c r="AS5" s="229"/>
      <c r="AT5" s="90">
        <f>AT6+AT15+AT24+AT33+AT37+AT39</f>
        <v>7828066.5</v>
      </c>
      <c r="AU5" s="226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95">
        <f>BH6+BH15+BH24+BH33+BH37+BH39</f>
        <v>7828066.5</v>
      </c>
      <c r="BI5" s="226"/>
      <c r="BJ5" s="228"/>
      <c r="BK5" s="229"/>
      <c r="BL5" s="90">
        <f>BL6+BL15+BL24+BL33+BL37+BL39</f>
        <v>8345534</v>
      </c>
      <c r="BM5" s="226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95">
        <f>BZ6+BZ15+BZ24+BZ33+BZ37+BZ39</f>
        <v>8345533.9999999991</v>
      </c>
    </row>
    <row r="6" spans="1:78" ht="31.15" customHeight="1" x14ac:dyDescent="0.25">
      <c r="A6" s="45" t="s">
        <v>99</v>
      </c>
      <c r="B6" s="127" t="s">
        <v>100</v>
      </c>
      <c r="C6" s="128"/>
      <c r="D6" s="128"/>
      <c r="E6" s="128"/>
      <c r="F6" s="136">
        <f>SUM(F7)</f>
        <v>985398</v>
      </c>
      <c r="G6" s="236"/>
      <c r="H6" s="129"/>
      <c r="I6" s="130"/>
      <c r="J6" s="83">
        <f>SUM(J7)</f>
        <v>985398</v>
      </c>
      <c r="K6" s="226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56">
        <f>SUM(X7:Y7)</f>
        <v>985398</v>
      </c>
      <c r="Y6" s="226"/>
      <c r="Z6" s="129"/>
      <c r="AA6" s="129"/>
      <c r="AB6" s="156">
        <f>SUM(AB7)</f>
        <v>-328466</v>
      </c>
      <c r="AC6" s="226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56">
        <f>SUM(AP7:AQ7)</f>
        <v>-328466</v>
      </c>
      <c r="AQ6" s="226"/>
      <c r="AR6" s="129"/>
      <c r="AS6" s="129"/>
      <c r="AT6" s="156">
        <f>SUM(AT7)</f>
        <v>-328466</v>
      </c>
      <c r="AU6" s="226"/>
      <c r="AV6" s="26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2"/>
      <c r="BH6" s="156">
        <f>SUM(BH7:BJ7)</f>
        <v>-328466</v>
      </c>
      <c r="BI6" s="226"/>
      <c r="BJ6" s="129"/>
      <c r="BK6" s="129"/>
      <c r="BL6" s="156">
        <f>SUM(BL7)</f>
        <v>-328466</v>
      </c>
      <c r="BM6" s="226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47">
        <f>SUM(BZ7:CB7)</f>
        <v>-328466</v>
      </c>
    </row>
    <row r="7" spans="1:78" ht="21.6" customHeight="1" x14ac:dyDescent="0.25">
      <c r="A7" s="192" t="s">
        <v>101</v>
      </c>
      <c r="B7" s="191" t="s">
        <v>102</v>
      </c>
      <c r="C7" s="149">
        <f>D58*E7</f>
        <v>985398</v>
      </c>
      <c r="D7" s="137">
        <v>1</v>
      </c>
      <c r="E7" s="189">
        <v>0.05</v>
      </c>
      <c r="F7" s="144">
        <f t="shared" ref="F7:F14" si="0">C7</f>
        <v>985398</v>
      </c>
      <c r="G7" s="236"/>
      <c r="H7" s="50">
        <v>1</v>
      </c>
      <c r="I7" s="13"/>
      <c r="J7" s="173">
        <f>C7*H7</f>
        <v>985398</v>
      </c>
      <c r="K7" s="226"/>
      <c r="L7" s="159">
        <v>0</v>
      </c>
      <c r="M7" s="149">
        <v>0</v>
      </c>
      <c r="N7" s="149">
        <v>0</v>
      </c>
      <c r="O7" s="149">
        <v>0</v>
      </c>
      <c r="P7" s="149">
        <v>0</v>
      </c>
      <c r="Q7" s="149">
        <v>0</v>
      </c>
      <c r="R7" s="149">
        <v>0</v>
      </c>
      <c r="S7" s="149">
        <v>0</v>
      </c>
      <c r="T7" s="149">
        <v>0</v>
      </c>
      <c r="U7" s="190">
        <f>F7</f>
        <v>985398</v>
      </c>
      <c r="V7" s="149">
        <v>0</v>
      </c>
      <c r="W7" s="149">
        <v>0</v>
      </c>
      <c r="X7" s="149">
        <f>SUM(L7:W7)</f>
        <v>985398</v>
      </c>
      <c r="Y7" s="263"/>
      <c r="Z7" s="142"/>
      <c r="AA7" s="142"/>
      <c r="AB7" s="144">
        <f>-(J7/3)</f>
        <v>-328466</v>
      </c>
      <c r="AC7" s="226"/>
      <c r="AD7" s="159">
        <f>-(($X$7/3)/12)</f>
        <v>-27372.166666666668</v>
      </c>
      <c r="AE7" s="149">
        <f t="shared" ref="AE7:AO7" si="1">-(($X$7/3)/12)</f>
        <v>-27372.166666666668</v>
      </c>
      <c r="AF7" s="149">
        <f t="shared" si="1"/>
        <v>-27372.166666666668</v>
      </c>
      <c r="AG7" s="149">
        <f t="shared" si="1"/>
        <v>-27372.166666666668</v>
      </c>
      <c r="AH7" s="149">
        <f t="shared" si="1"/>
        <v>-27372.166666666668</v>
      </c>
      <c r="AI7" s="149">
        <f t="shared" si="1"/>
        <v>-27372.166666666668</v>
      </c>
      <c r="AJ7" s="149">
        <f t="shared" si="1"/>
        <v>-27372.166666666668</v>
      </c>
      <c r="AK7" s="149">
        <f t="shared" si="1"/>
        <v>-27372.166666666668</v>
      </c>
      <c r="AL7" s="149">
        <f t="shared" si="1"/>
        <v>-27372.166666666668</v>
      </c>
      <c r="AM7" s="149">
        <f t="shared" si="1"/>
        <v>-27372.166666666668</v>
      </c>
      <c r="AN7" s="149">
        <f t="shared" si="1"/>
        <v>-27372.166666666668</v>
      </c>
      <c r="AO7" s="149">
        <f t="shared" si="1"/>
        <v>-27372.166666666668</v>
      </c>
      <c r="AP7" s="146">
        <f>SUM(AD7:AO7)</f>
        <v>-328466</v>
      </c>
      <c r="AQ7" s="256"/>
      <c r="AR7" s="142"/>
      <c r="AS7" s="169"/>
      <c r="AT7" s="144">
        <f>-(J7/3)</f>
        <v>-328466</v>
      </c>
      <c r="AU7" s="226"/>
      <c r="AV7" s="159">
        <f>-(($X$7/3)/12)</f>
        <v>-27372.166666666668</v>
      </c>
      <c r="AW7" s="149">
        <f t="shared" ref="AW7:BG7" si="2">-(($X$7/3)/12)</f>
        <v>-27372.166666666668</v>
      </c>
      <c r="AX7" s="149">
        <f t="shared" si="2"/>
        <v>-27372.166666666668</v>
      </c>
      <c r="AY7" s="149">
        <f t="shared" si="2"/>
        <v>-27372.166666666668</v>
      </c>
      <c r="AZ7" s="149">
        <f t="shared" si="2"/>
        <v>-27372.166666666668</v>
      </c>
      <c r="BA7" s="149">
        <f t="shared" si="2"/>
        <v>-27372.166666666668</v>
      </c>
      <c r="BB7" s="149">
        <f t="shared" si="2"/>
        <v>-27372.166666666668</v>
      </c>
      <c r="BC7" s="149">
        <f t="shared" si="2"/>
        <v>-27372.166666666668</v>
      </c>
      <c r="BD7" s="149">
        <f t="shared" si="2"/>
        <v>-27372.166666666668</v>
      </c>
      <c r="BE7" s="149">
        <f t="shared" si="2"/>
        <v>-27372.166666666668</v>
      </c>
      <c r="BF7" s="149">
        <f t="shared" si="2"/>
        <v>-27372.166666666668</v>
      </c>
      <c r="BG7" s="149">
        <f t="shared" si="2"/>
        <v>-27372.166666666668</v>
      </c>
      <c r="BH7" s="146">
        <f>SUM(AV7:BG7)</f>
        <v>-328466</v>
      </c>
      <c r="BI7" s="226"/>
      <c r="BJ7" s="140"/>
      <c r="BK7" s="169"/>
      <c r="BL7" s="144">
        <f>-(J7/3)</f>
        <v>-328466</v>
      </c>
      <c r="BM7" s="226"/>
      <c r="BN7" s="159">
        <f>-(($X$7/3)/12)</f>
        <v>-27372.166666666668</v>
      </c>
      <c r="BO7" s="149">
        <f t="shared" ref="BO7:BY7" si="3">-(($X$7/3)/12)</f>
        <v>-27372.166666666668</v>
      </c>
      <c r="BP7" s="149">
        <f t="shared" si="3"/>
        <v>-27372.166666666668</v>
      </c>
      <c r="BQ7" s="149">
        <f t="shared" si="3"/>
        <v>-27372.166666666668</v>
      </c>
      <c r="BR7" s="149">
        <f t="shared" si="3"/>
        <v>-27372.166666666668</v>
      </c>
      <c r="BS7" s="149">
        <f t="shared" si="3"/>
        <v>-27372.166666666668</v>
      </c>
      <c r="BT7" s="149">
        <f t="shared" si="3"/>
        <v>-27372.166666666668</v>
      </c>
      <c r="BU7" s="149">
        <f t="shared" si="3"/>
        <v>-27372.166666666668</v>
      </c>
      <c r="BV7" s="149">
        <f t="shared" si="3"/>
        <v>-27372.166666666668</v>
      </c>
      <c r="BW7" s="149">
        <f t="shared" si="3"/>
        <v>-27372.166666666668</v>
      </c>
      <c r="BX7" s="149">
        <f t="shared" si="3"/>
        <v>-27372.166666666668</v>
      </c>
      <c r="BY7" s="157">
        <f t="shared" si="3"/>
        <v>-27372.166666666668</v>
      </c>
      <c r="BZ7" s="142">
        <f>SUM(BN7:BY7)</f>
        <v>-328466</v>
      </c>
    </row>
    <row r="8" spans="1:78" ht="21.6" customHeight="1" x14ac:dyDescent="0.25">
      <c r="A8" s="203" t="s">
        <v>103</v>
      </c>
      <c r="B8" s="204" t="s">
        <v>104</v>
      </c>
      <c r="C8" s="149">
        <f>D58*E8</f>
        <v>1970796</v>
      </c>
      <c r="D8" s="137"/>
      <c r="E8" s="189">
        <v>0.1</v>
      </c>
      <c r="F8" s="144">
        <f t="shared" si="0"/>
        <v>1970796</v>
      </c>
      <c r="G8" s="236"/>
      <c r="H8" s="50"/>
      <c r="I8" s="13"/>
      <c r="J8" s="173"/>
      <c r="K8" s="226"/>
      <c r="L8" s="15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256"/>
      <c r="Z8" s="142"/>
      <c r="AA8" s="142"/>
      <c r="AB8" s="144"/>
      <c r="AC8" s="226"/>
      <c r="AD8" s="159"/>
      <c r="AE8" s="206">
        <f>F8</f>
        <v>1970796</v>
      </c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256"/>
      <c r="AR8" s="142"/>
      <c r="AS8" s="169"/>
      <c r="AT8" s="144"/>
      <c r="AU8" s="226"/>
      <c r="AV8" s="15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256"/>
      <c r="BJ8" s="142"/>
      <c r="BK8" s="169"/>
      <c r="BL8" s="144"/>
      <c r="BM8" s="226"/>
      <c r="BN8" s="15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2"/>
    </row>
    <row r="9" spans="1:78" ht="21.6" customHeight="1" x14ac:dyDescent="0.25">
      <c r="A9" s="201" t="s">
        <v>105</v>
      </c>
      <c r="B9" s="202" t="s">
        <v>106</v>
      </c>
      <c r="C9" s="149">
        <f>D58*E9</f>
        <v>1970796</v>
      </c>
      <c r="D9" s="137"/>
      <c r="E9" s="189">
        <v>0.1</v>
      </c>
      <c r="F9" s="144">
        <f t="shared" si="0"/>
        <v>1970796</v>
      </c>
      <c r="G9" s="236"/>
      <c r="H9" s="50"/>
      <c r="I9" s="13"/>
      <c r="J9" s="173"/>
      <c r="K9" s="226"/>
      <c r="L9" s="15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256"/>
      <c r="Z9" s="142"/>
      <c r="AA9" s="142"/>
      <c r="AB9" s="144"/>
      <c r="AC9" s="226"/>
      <c r="AD9" s="159"/>
      <c r="AE9" s="149"/>
      <c r="AF9" s="149"/>
      <c r="AG9" s="149"/>
      <c r="AH9" s="149"/>
      <c r="AI9" s="149"/>
      <c r="AJ9" s="207">
        <f>F9</f>
        <v>1970796</v>
      </c>
      <c r="AK9" s="149"/>
      <c r="AL9" s="149"/>
      <c r="AM9" s="149"/>
      <c r="AN9" s="149"/>
      <c r="AO9" s="149"/>
      <c r="AP9" s="149"/>
      <c r="AQ9" s="256"/>
      <c r="AR9" s="142"/>
      <c r="AS9" s="169"/>
      <c r="AT9" s="144"/>
      <c r="AU9" s="226"/>
      <c r="AV9" s="15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256"/>
      <c r="BJ9" s="142"/>
      <c r="BK9" s="169"/>
      <c r="BL9" s="144"/>
      <c r="BM9" s="226"/>
      <c r="BN9" s="15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2"/>
    </row>
    <row r="10" spans="1:78" ht="21.6" customHeight="1" x14ac:dyDescent="0.25">
      <c r="A10" s="199" t="s">
        <v>107</v>
      </c>
      <c r="B10" s="200" t="s">
        <v>108</v>
      </c>
      <c r="C10" s="149">
        <f>D58*E10</f>
        <v>1970796</v>
      </c>
      <c r="D10" s="137"/>
      <c r="E10" s="189">
        <v>0.1</v>
      </c>
      <c r="F10" s="144">
        <f t="shared" si="0"/>
        <v>1970796</v>
      </c>
      <c r="G10" s="236"/>
      <c r="H10" s="50"/>
      <c r="I10" s="13"/>
      <c r="J10" s="173"/>
      <c r="K10" s="226"/>
      <c r="L10" s="15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256"/>
      <c r="Z10" s="142"/>
      <c r="AA10" s="142"/>
      <c r="AB10" s="144"/>
      <c r="AC10" s="226"/>
      <c r="AD10" s="159"/>
      <c r="AE10" s="149"/>
      <c r="AF10" s="149"/>
      <c r="AG10" s="149"/>
      <c r="AH10" s="149"/>
      <c r="AI10" s="149"/>
      <c r="AJ10" s="149"/>
      <c r="AK10" s="149"/>
      <c r="AL10" s="149"/>
      <c r="AM10" s="208">
        <f>F10</f>
        <v>1970796</v>
      </c>
      <c r="AN10" s="149"/>
      <c r="AO10" s="149"/>
      <c r="AP10" s="149"/>
      <c r="AQ10" s="256"/>
      <c r="AR10" s="142"/>
      <c r="AS10" s="169"/>
      <c r="AT10" s="144"/>
      <c r="AU10" s="226"/>
      <c r="AV10" s="15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256"/>
      <c r="BJ10" s="142"/>
      <c r="BK10" s="169"/>
      <c r="BL10" s="144"/>
      <c r="BM10" s="226"/>
      <c r="BN10" s="15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2"/>
    </row>
    <row r="11" spans="1:78" ht="21.6" customHeight="1" x14ac:dyDescent="0.25">
      <c r="A11" s="197" t="s">
        <v>109</v>
      </c>
      <c r="B11" s="198" t="s">
        <v>110</v>
      </c>
      <c r="C11" s="149">
        <f>D58*E11</f>
        <v>2956194</v>
      </c>
      <c r="D11" s="137"/>
      <c r="E11" s="189">
        <v>0.15</v>
      </c>
      <c r="F11" s="144">
        <f t="shared" si="0"/>
        <v>2956194</v>
      </c>
      <c r="G11" s="236"/>
      <c r="H11" s="50"/>
      <c r="I11" s="13"/>
      <c r="J11" s="173"/>
      <c r="K11" s="226"/>
      <c r="L11" s="15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256"/>
      <c r="Z11" s="142"/>
      <c r="AA11" s="142"/>
      <c r="AB11" s="144"/>
      <c r="AC11" s="226"/>
      <c r="AD11" s="15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256"/>
      <c r="AR11" s="142"/>
      <c r="AS11" s="169"/>
      <c r="AT11" s="144"/>
      <c r="AU11" s="226"/>
      <c r="AV11" s="15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205">
        <f>F11</f>
        <v>2956194</v>
      </c>
      <c r="BH11" s="149"/>
      <c r="BI11" s="256"/>
      <c r="BJ11" s="142"/>
      <c r="BK11" s="169"/>
      <c r="BL11" s="144"/>
      <c r="BM11" s="226"/>
      <c r="BN11" s="15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2"/>
    </row>
    <row r="12" spans="1:78" ht="21.6" customHeight="1" x14ac:dyDescent="0.25">
      <c r="A12" s="195" t="s">
        <v>111</v>
      </c>
      <c r="B12" s="196" t="s">
        <v>112</v>
      </c>
      <c r="C12" s="149">
        <f>D58*E12</f>
        <v>3941592</v>
      </c>
      <c r="D12" s="137"/>
      <c r="E12" s="189">
        <v>0.2</v>
      </c>
      <c r="F12" s="144">
        <f t="shared" si="0"/>
        <v>3941592</v>
      </c>
      <c r="G12" s="236"/>
      <c r="H12" s="50"/>
      <c r="I12" s="13"/>
      <c r="J12" s="173"/>
      <c r="K12" s="226"/>
      <c r="L12" s="15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256"/>
      <c r="Z12" s="142"/>
      <c r="AA12" s="142"/>
      <c r="AB12" s="144"/>
      <c r="AC12" s="226"/>
      <c r="AD12" s="15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256"/>
      <c r="AR12" s="142"/>
      <c r="AS12" s="169"/>
      <c r="AT12" s="144"/>
      <c r="AU12" s="226"/>
      <c r="AV12" s="15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256"/>
      <c r="BJ12" s="142"/>
      <c r="BK12" s="169"/>
      <c r="BL12" s="144"/>
      <c r="BM12" s="226"/>
      <c r="BN12" s="15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42"/>
    </row>
    <row r="13" spans="1:78" ht="21.6" customHeight="1" x14ac:dyDescent="0.25">
      <c r="A13" s="209" t="s">
        <v>113</v>
      </c>
      <c r="B13" s="210" t="s">
        <v>114</v>
      </c>
      <c r="C13" s="149">
        <f>D58*E13</f>
        <v>3941592</v>
      </c>
      <c r="D13" s="137"/>
      <c r="E13" s="189">
        <v>0.2</v>
      </c>
      <c r="F13" s="144">
        <f t="shared" si="0"/>
        <v>3941592</v>
      </c>
      <c r="G13" s="236"/>
      <c r="H13" s="50"/>
      <c r="I13" s="13"/>
      <c r="J13" s="173"/>
      <c r="K13" s="226"/>
      <c r="L13" s="15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256"/>
      <c r="Z13" s="142"/>
      <c r="AA13" s="142"/>
      <c r="AB13" s="144"/>
      <c r="AC13" s="226"/>
      <c r="AD13" s="15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256"/>
      <c r="AR13" s="142"/>
      <c r="AS13" s="169"/>
      <c r="AT13" s="144"/>
      <c r="AU13" s="226"/>
      <c r="AV13" s="15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256"/>
      <c r="BJ13" s="142"/>
      <c r="BK13" s="169"/>
      <c r="BL13" s="144"/>
      <c r="BM13" s="226"/>
      <c r="BN13" s="15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2"/>
    </row>
    <row r="14" spans="1:78" ht="21.6" customHeight="1" x14ac:dyDescent="0.25">
      <c r="A14" s="193" t="s">
        <v>115</v>
      </c>
      <c r="B14" s="194" t="s">
        <v>116</v>
      </c>
      <c r="C14" s="149">
        <f>D58*E14</f>
        <v>985398</v>
      </c>
      <c r="D14" s="137"/>
      <c r="E14" s="189">
        <v>0.05</v>
      </c>
      <c r="F14" s="144">
        <f t="shared" si="0"/>
        <v>985398</v>
      </c>
      <c r="G14" s="236"/>
      <c r="H14" s="50"/>
      <c r="I14" s="13"/>
      <c r="J14" s="173"/>
      <c r="K14" s="226"/>
      <c r="L14" s="15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256"/>
      <c r="Z14" s="142"/>
      <c r="AA14" s="142"/>
      <c r="AB14" s="144"/>
      <c r="AC14" s="226"/>
      <c r="AD14" s="15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256"/>
      <c r="AR14" s="142"/>
      <c r="AS14" s="169"/>
      <c r="AT14" s="144"/>
      <c r="AU14" s="226"/>
      <c r="AV14" s="15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256"/>
      <c r="BJ14" s="142"/>
      <c r="BK14" s="169"/>
      <c r="BL14" s="144"/>
      <c r="BM14" s="226"/>
      <c r="BN14" s="159"/>
      <c r="BO14" s="149"/>
      <c r="BP14" s="149"/>
      <c r="BQ14" s="149"/>
      <c r="BR14" s="149"/>
      <c r="BS14" s="149"/>
      <c r="BT14" s="149"/>
      <c r="BU14" s="149"/>
      <c r="BV14" s="149"/>
      <c r="BW14" s="149"/>
      <c r="BX14" s="149"/>
      <c r="BY14" s="149"/>
      <c r="BZ14" s="142"/>
    </row>
    <row r="15" spans="1:78" ht="28.9" customHeight="1" x14ac:dyDescent="0.25">
      <c r="A15" s="45" t="s">
        <v>7</v>
      </c>
      <c r="B15" s="238" t="s">
        <v>8</v>
      </c>
      <c r="C15" s="271"/>
      <c r="D15" s="271"/>
      <c r="E15" s="272"/>
      <c r="F15" s="80">
        <f>SUM(F16:F21)</f>
        <v>11839500</v>
      </c>
      <c r="G15" s="236"/>
      <c r="H15" s="221"/>
      <c r="I15" s="222"/>
      <c r="J15" s="83">
        <f>SUM(J16:J21)</f>
        <v>0</v>
      </c>
      <c r="K15" s="226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2"/>
      <c r="X15" s="83">
        <f>SUM(X16:X23)</f>
        <v>0</v>
      </c>
      <c r="Y15" s="226"/>
      <c r="Z15" s="221"/>
      <c r="AA15" s="222"/>
      <c r="AB15" s="83">
        <f>SUM(AB16:AB21)</f>
        <v>43850</v>
      </c>
      <c r="AC15" s="226"/>
      <c r="AD15" s="221"/>
      <c r="AE15" s="221"/>
      <c r="AF15" s="221"/>
      <c r="AG15" s="221"/>
      <c r="AH15" s="221"/>
      <c r="AI15" s="221"/>
      <c r="AJ15" s="221"/>
      <c r="AK15" s="221"/>
      <c r="AL15" s="221"/>
      <c r="AM15" s="221"/>
      <c r="AN15" s="221"/>
      <c r="AO15" s="221"/>
      <c r="AP15" s="83">
        <f>SUM(AP16:AP23)</f>
        <v>43850</v>
      </c>
      <c r="AQ15" s="226"/>
      <c r="AR15" s="221"/>
      <c r="AS15" s="222"/>
      <c r="AT15" s="83">
        <f>SUM(AT16:AT21)</f>
        <v>5656650</v>
      </c>
      <c r="AU15" s="226"/>
      <c r="AV15" s="221"/>
      <c r="AW15" s="221"/>
      <c r="AX15" s="221"/>
      <c r="AY15" s="221"/>
      <c r="AZ15" s="221"/>
      <c r="BA15" s="221"/>
      <c r="BB15" s="221"/>
      <c r="BC15" s="221"/>
      <c r="BD15" s="221"/>
      <c r="BE15" s="221"/>
      <c r="BF15" s="221"/>
      <c r="BG15" s="221"/>
      <c r="BH15" s="83">
        <f>SUM(BH16:BH21)</f>
        <v>5656650</v>
      </c>
      <c r="BI15" s="226"/>
      <c r="BJ15" s="221"/>
      <c r="BK15" s="222"/>
      <c r="BL15" s="83">
        <f>SUM(BL16:BL21)</f>
        <v>6139000</v>
      </c>
      <c r="BM15" s="226"/>
      <c r="BN15" s="221"/>
      <c r="BO15" s="221"/>
      <c r="BP15" s="221"/>
      <c r="BQ15" s="221"/>
      <c r="BR15" s="221"/>
      <c r="BS15" s="221"/>
      <c r="BT15" s="221"/>
      <c r="BU15" s="221"/>
      <c r="BV15" s="221"/>
      <c r="BW15" s="221"/>
      <c r="BX15" s="221"/>
      <c r="BY15" s="221"/>
      <c r="BZ15" s="35">
        <f>SUM(BZ16:BZ23)</f>
        <v>6138999.9999999991</v>
      </c>
    </row>
    <row r="16" spans="1:78" ht="15.75" x14ac:dyDescent="0.25">
      <c r="A16" s="46" t="s">
        <v>9</v>
      </c>
      <c r="B16" s="8" t="s">
        <v>10</v>
      </c>
      <c r="C16" s="149">
        <f>(33500+58000+36000)/3</f>
        <v>42500</v>
      </c>
      <c r="D16" s="48">
        <f>270-D17-D18-D19-D20</f>
        <v>260</v>
      </c>
      <c r="E16" s="13"/>
      <c r="F16" s="149">
        <f t="shared" ref="F16:F23" si="4">C16*D16</f>
        <v>11050000</v>
      </c>
      <c r="G16" s="236"/>
      <c r="H16" s="100">
        <v>0</v>
      </c>
      <c r="I16" s="13"/>
      <c r="J16" s="157">
        <f>C16*H16</f>
        <v>0</v>
      </c>
      <c r="K16" s="226"/>
      <c r="L16" s="163">
        <v>0</v>
      </c>
      <c r="M16" s="150">
        <v>0</v>
      </c>
      <c r="N16" s="150">
        <v>0</v>
      </c>
      <c r="O16" s="150">
        <v>0</v>
      </c>
      <c r="P16" s="150">
        <v>0</v>
      </c>
      <c r="Q16" s="150">
        <v>0</v>
      </c>
      <c r="R16" s="150">
        <v>0</v>
      </c>
      <c r="S16" s="150">
        <v>0</v>
      </c>
      <c r="T16" s="150">
        <v>0</v>
      </c>
      <c r="U16" s="150">
        <f>$J$16/3</f>
        <v>0</v>
      </c>
      <c r="V16" s="150">
        <f t="shared" ref="V16:W16" si="5">$J$16/3</f>
        <v>0</v>
      </c>
      <c r="W16" s="150">
        <f t="shared" si="5"/>
        <v>0</v>
      </c>
      <c r="X16" s="179">
        <f>SUM(U16:W16)</f>
        <v>0</v>
      </c>
      <c r="Y16" s="226"/>
      <c r="Z16" s="48">
        <v>0</v>
      </c>
      <c r="AA16" s="13"/>
      <c r="AB16" s="157">
        <f t="shared" ref="AB16:AB21" si="6">C16*Z16</f>
        <v>0</v>
      </c>
      <c r="AC16" s="226"/>
      <c r="AD16" s="163">
        <f>$AB$16/12</f>
        <v>0</v>
      </c>
      <c r="AE16" s="150">
        <f t="shared" ref="AE16:AO16" si="7">$AB$16/12</f>
        <v>0</v>
      </c>
      <c r="AF16" s="150">
        <f t="shared" si="7"/>
        <v>0</v>
      </c>
      <c r="AG16" s="150">
        <f t="shared" si="7"/>
        <v>0</v>
      </c>
      <c r="AH16" s="150">
        <f t="shared" si="7"/>
        <v>0</v>
      </c>
      <c r="AI16" s="150">
        <f t="shared" si="7"/>
        <v>0</v>
      </c>
      <c r="AJ16" s="150">
        <f t="shared" si="7"/>
        <v>0</v>
      </c>
      <c r="AK16" s="150">
        <f t="shared" si="7"/>
        <v>0</v>
      </c>
      <c r="AL16" s="150">
        <f t="shared" si="7"/>
        <v>0</v>
      </c>
      <c r="AM16" s="149">
        <f t="shared" si="7"/>
        <v>0</v>
      </c>
      <c r="AN16" s="149">
        <f t="shared" si="7"/>
        <v>0</v>
      </c>
      <c r="AO16" s="149">
        <f t="shared" si="7"/>
        <v>0</v>
      </c>
      <c r="AP16" s="157">
        <f>SUM(AM16:AO16)</f>
        <v>0</v>
      </c>
      <c r="AQ16" s="226"/>
      <c r="AR16" s="100">
        <f>130-AR17-AR18-AR19-AR20-Z21</f>
        <v>120</v>
      </c>
      <c r="AS16" s="13"/>
      <c r="AT16" s="157">
        <f t="shared" ref="AT16:AT23" si="8">C16*AR16</f>
        <v>5100000</v>
      </c>
      <c r="AU16" s="226"/>
      <c r="AV16" s="159">
        <f>$AT$16/12</f>
        <v>425000</v>
      </c>
      <c r="AW16" s="159">
        <f t="shared" ref="AW16:BG16" si="9">$AT$16/12</f>
        <v>425000</v>
      </c>
      <c r="AX16" s="159">
        <f t="shared" si="9"/>
        <v>425000</v>
      </c>
      <c r="AY16" s="159">
        <f t="shared" si="9"/>
        <v>425000</v>
      </c>
      <c r="AZ16" s="159">
        <f t="shared" si="9"/>
        <v>425000</v>
      </c>
      <c r="BA16" s="159">
        <f t="shared" si="9"/>
        <v>425000</v>
      </c>
      <c r="BB16" s="159">
        <f t="shared" si="9"/>
        <v>425000</v>
      </c>
      <c r="BC16" s="159">
        <f t="shared" si="9"/>
        <v>425000</v>
      </c>
      <c r="BD16" s="159">
        <f t="shared" si="9"/>
        <v>425000</v>
      </c>
      <c r="BE16" s="159">
        <f t="shared" si="9"/>
        <v>425000</v>
      </c>
      <c r="BF16" s="159">
        <f t="shared" si="9"/>
        <v>425000</v>
      </c>
      <c r="BG16" s="159">
        <f t="shared" si="9"/>
        <v>425000</v>
      </c>
      <c r="BH16" s="157">
        <f t="shared" ref="BH16:BH21" si="10">SUM(AV16:BG16)</f>
        <v>5100000</v>
      </c>
      <c r="BI16" s="226"/>
      <c r="BJ16" s="100">
        <f>140-BJ17-BJ18-BJ19-BJ20</f>
        <v>140</v>
      </c>
      <c r="BK16" s="13"/>
      <c r="BL16" s="157">
        <f t="shared" ref="BL16:BL21" si="11">C16*BJ16</f>
        <v>5950000</v>
      </c>
      <c r="BM16" s="226"/>
      <c r="BN16" s="159">
        <f>$BL$16/12</f>
        <v>495833.33333333331</v>
      </c>
      <c r="BO16" s="159">
        <f t="shared" ref="BO16:BY16" si="12">$BL$16/12</f>
        <v>495833.33333333331</v>
      </c>
      <c r="BP16" s="159">
        <f t="shared" si="12"/>
        <v>495833.33333333331</v>
      </c>
      <c r="BQ16" s="159">
        <f t="shared" si="12"/>
        <v>495833.33333333331</v>
      </c>
      <c r="BR16" s="159">
        <f t="shared" si="12"/>
        <v>495833.33333333331</v>
      </c>
      <c r="BS16" s="159">
        <f t="shared" si="12"/>
        <v>495833.33333333331</v>
      </c>
      <c r="BT16" s="159">
        <f t="shared" si="12"/>
        <v>495833.33333333331</v>
      </c>
      <c r="BU16" s="159">
        <f t="shared" si="12"/>
        <v>495833.33333333331</v>
      </c>
      <c r="BV16" s="159">
        <f t="shared" si="12"/>
        <v>495833.33333333331</v>
      </c>
      <c r="BW16" s="159">
        <f t="shared" si="12"/>
        <v>495833.33333333331</v>
      </c>
      <c r="BX16" s="159">
        <f t="shared" si="12"/>
        <v>495833.33333333331</v>
      </c>
      <c r="BY16" s="159">
        <f t="shared" si="12"/>
        <v>495833.33333333331</v>
      </c>
      <c r="BZ16" s="149">
        <f t="shared" ref="BZ16:BZ21" si="13">SUM(BN16:BY16)</f>
        <v>5949999.9999999991</v>
      </c>
    </row>
    <row r="17" spans="1:78" ht="15.75" x14ac:dyDescent="0.25">
      <c r="A17" s="46" t="s">
        <v>11</v>
      </c>
      <c r="B17" s="8" t="s">
        <v>12</v>
      </c>
      <c r="C17" s="149">
        <f>(33500+58000+36000)/3</f>
        <v>42500</v>
      </c>
      <c r="D17" s="48">
        <v>1</v>
      </c>
      <c r="E17" s="13"/>
      <c r="F17" s="149">
        <f>C17*D17</f>
        <v>42500</v>
      </c>
      <c r="G17" s="236"/>
      <c r="H17" s="100">
        <v>0</v>
      </c>
      <c r="I17" s="13"/>
      <c r="J17" s="157">
        <f>C17*H17</f>
        <v>0</v>
      </c>
      <c r="K17" s="226"/>
      <c r="L17" s="163">
        <v>0</v>
      </c>
      <c r="M17" s="150">
        <v>0</v>
      </c>
      <c r="N17" s="150">
        <v>0</v>
      </c>
      <c r="O17" s="150">
        <v>0</v>
      </c>
      <c r="P17" s="150">
        <v>0</v>
      </c>
      <c r="Q17" s="150">
        <v>0</v>
      </c>
      <c r="R17" s="150">
        <v>0</v>
      </c>
      <c r="S17" s="150">
        <v>0</v>
      </c>
      <c r="T17" s="150">
        <v>0</v>
      </c>
      <c r="U17" s="150">
        <f>$J$17/3</f>
        <v>0</v>
      </c>
      <c r="V17" s="150">
        <f t="shared" ref="V17:W17" si="14">$J$17/3</f>
        <v>0</v>
      </c>
      <c r="W17" s="150">
        <f t="shared" si="14"/>
        <v>0</v>
      </c>
      <c r="X17" s="179">
        <f>SUM(U17:W17)</f>
        <v>0</v>
      </c>
      <c r="Y17" s="226"/>
      <c r="Z17" s="48">
        <v>1</v>
      </c>
      <c r="AA17" s="13"/>
      <c r="AB17" s="157">
        <f t="shared" si="6"/>
        <v>42500</v>
      </c>
      <c r="AC17" s="226"/>
      <c r="AD17" s="163">
        <v>0</v>
      </c>
      <c r="AE17" s="150">
        <v>0</v>
      </c>
      <c r="AF17" s="150">
        <v>0</v>
      </c>
      <c r="AG17" s="150">
        <v>0</v>
      </c>
      <c r="AH17" s="150">
        <v>0</v>
      </c>
      <c r="AI17" s="150">
        <v>0</v>
      </c>
      <c r="AJ17" s="150">
        <v>0</v>
      </c>
      <c r="AK17" s="150">
        <v>0</v>
      </c>
      <c r="AL17" s="150">
        <v>0</v>
      </c>
      <c r="AM17" s="149">
        <f t="shared" ref="AM17:AO17" si="15">$AB$17/3</f>
        <v>14166.666666666666</v>
      </c>
      <c r="AN17" s="149">
        <f t="shared" si="15"/>
        <v>14166.666666666666</v>
      </c>
      <c r="AO17" s="149">
        <f t="shared" si="15"/>
        <v>14166.666666666666</v>
      </c>
      <c r="AP17" s="157">
        <f>SUM(AM17:AO17)</f>
        <v>42500</v>
      </c>
      <c r="AQ17" s="226"/>
      <c r="AR17" s="100">
        <v>0</v>
      </c>
      <c r="AS17" s="13"/>
      <c r="AT17" s="157">
        <f t="shared" si="8"/>
        <v>0</v>
      </c>
      <c r="AU17" s="226"/>
      <c r="AV17" s="163">
        <f>$AT$17/12</f>
        <v>0</v>
      </c>
      <c r="AW17" s="163">
        <f t="shared" ref="AW17:BG17" si="16">$AT$17/12</f>
        <v>0</v>
      </c>
      <c r="AX17" s="163">
        <f t="shared" si="16"/>
        <v>0</v>
      </c>
      <c r="AY17" s="163">
        <f t="shared" si="16"/>
        <v>0</v>
      </c>
      <c r="AZ17" s="163">
        <f t="shared" si="16"/>
        <v>0</v>
      </c>
      <c r="BA17" s="163">
        <f t="shared" si="16"/>
        <v>0</v>
      </c>
      <c r="BB17" s="163">
        <f t="shared" si="16"/>
        <v>0</v>
      </c>
      <c r="BC17" s="163">
        <f t="shared" si="16"/>
        <v>0</v>
      </c>
      <c r="BD17" s="163">
        <f t="shared" si="16"/>
        <v>0</v>
      </c>
      <c r="BE17" s="163">
        <f t="shared" si="16"/>
        <v>0</v>
      </c>
      <c r="BF17" s="163">
        <f t="shared" si="16"/>
        <v>0</v>
      </c>
      <c r="BG17" s="163">
        <f t="shared" si="16"/>
        <v>0</v>
      </c>
      <c r="BH17" s="179">
        <f t="shared" si="10"/>
        <v>0</v>
      </c>
      <c r="BI17" s="226"/>
      <c r="BJ17" s="100">
        <v>0</v>
      </c>
      <c r="BK17" s="13"/>
      <c r="BL17" s="157">
        <f t="shared" si="11"/>
        <v>0</v>
      </c>
      <c r="BM17" s="226"/>
      <c r="BN17" s="163">
        <f>$BL$17/12</f>
        <v>0</v>
      </c>
      <c r="BO17" s="163">
        <f t="shared" ref="BO17:BY17" si="17">$BL$17/12</f>
        <v>0</v>
      </c>
      <c r="BP17" s="163">
        <f t="shared" si="17"/>
        <v>0</v>
      </c>
      <c r="BQ17" s="163">
        <f t="shared" si="17"/>
        <v>0</v>
      </c>
      <c r="BR17" s="163">
        <f t="shared" si="17"/>
        <v>0</v>
      </c>
      <c r="BS17" s="163">
        <f t="shared" si="17"/>
        <v>0</v>
      </c>
      <c r="BT17" s="163">
        <f t="shared" si="17"/>
        <v>0</v>
      </c>
      <c r="BU17" s="163">
        <f t="shared" si="17"/>
        <v>0</v>
      </c>
      <c r="BV17" s="163">
        <f t="shared" si="17"/>
        <v>0</v>
      </c>
      <c r="BW17" s="163">
        <f t="shared" si="17"/>
        <v>0</v>
      </c>
      <c r="BX17" s="163">
        <f t="shared" si="17"/>
        <v>0</v>
      </c>
      <c r="BY17" s="163">
        <f t="shared" si="17"/>
        <v>0</v>
      </c>
      <c r="BZ17" s="150">
        <f t="shared" si="13"/>
        <v>0</v>
      </c>
    </row>
    <row r="18" spans="1:78" ht="15.75" x14ac:dyDescent="0.25">
      <c r="A18" s="46" t="s">
        <v>13</v>
      </c>
      <c r="B18" s="8" t="s">
        <v>14</v>
      </c>
      <c r="C18" s="149">
        <f>C16</f>
        <v>42500</v>
      </c>
      <c r="D18" s="48">
        <v>3</v>
      </c>
      <c r="E18" s="13"/>
      <c r="F18" s="149">
        <f t="shared" si="4"/>
        <v>127500</v>
      </c>
      <c r="G18" s="236"/>
      <c r="H18" s="100">
        <v>0</v>
      </c>
      <c r="I18" s="13"/>
      <c r="J18" s="157">
        <f t="shared" ref="J18:J20" si="18">C18*H18</f>
        <v>0</v>
      </c>
      <c r="K18" s="226"/>
      <c r="L18" s="163">
        <v>0</v>
      </c>
      <c r="M18" s="150">
        <v>0</v>
      </c>
      <c r="N18" s="150">
        <v>0</v>
      </c>
      <c r="O18" s="150">
        <v>0</v>
      </c>
      <c r="P18" s="150">
        <v>0</v>
      </c>
      <c r="Q18" s="150">
        <v>0</v>
      </c>
      <c r="R18" s="150">
        <v>0</v>
      </c>
      <c r="S18" s="150">
        <v>0</v>
      </c>
      <c r="T18" s="150">
        <v>0</v>
      </c>
      <c r="U18" s="150">
        <f>$J$18/3</f>
        <v>0</v>
      </c>
      <c r="V18" s="150">
        <f t="shared" ref="V18:W18" si="19">$J$18/3</f>
        <v>0</v>
      </c>
      <c r="W18" s="150">
        <f t="shared" si="19"/>
        <v>0</v>
      </c>
      <c r="X18" s="179">
        <f>SUM(U18:W18)</f>
        <v>0</v>
      </c>
      <c r="Y18" s="226"/>
      <c r="Z18" s="48">
        <v>0</v>
      </c>
      <c r="AA18" s="13"/>
      <c r="AB18" s="157">
        <f t="shared" si="6"/>
        <v>0</v>
      </c>
      <c r="AC18" s="226"/>
      <c r="AD18" s="163">
        <f>$AB$18/3</f>
        <v>0</v>
      </c>
      <c r="AE18" s="150">
        <v>0</v>
      </c>
      <c r="AF18" s="150">
        <v>0</v>
      </c>
      <c r="AG18" s="150">
        <v>0</v>
      </c>
      <c r="AH18" s="150">
        <v>0</v>
      </c>
      <c r="AI18" s="150">
        <v>0</v>
      </c>
      <c r="AJ18" s="150">
        <v>0</v>
      </c>
      <c r="AK18" s="150">
        <v>0</v>
      </c>
      <c r="AL18" s="150">
        <v>0</v>
      </c>
      <c r="AM18" s="149">
        <f>$J$18/3</f>
        <v>0</v>
      </c>
      <c r="AN18" s="149">
        <f t="shared" ref="AN18:AO18" si="20">$J$18/3</f>
        <v>0</v>
      </c>
      <c r="AO18" s="149">
        <f t="shared" si="20"/>
        <v>0</v>
      </c>
      <c r="AP18" s="157">
        <f>SUM(AM18:AO18)</f>
        <v>0</v>
      </c>
      <c r="AQ18" s="226"/>
      <c r="AR18" s="100">
        <v>3</v>
      </c>
      <c r="AS18" s="13"/>
      <c r="AT18" s="157">
        <f t="shared" si="8"/>
        <v>127500</v>
      </c>
      <c r="AU18" s="226"/>
      <c r="AV18" s="159">
        <f>$AT$18/12</f>
        <v>10625</v>
      </c>
      <c r="AW18" s="159">
        <f t="shared" ref="AW18:BG18" si="21">$AT$18/12</f>
        <v>10625</v>
      </c>
      <c r="AX18" s="159">
        <f t="shared" si="21"/>
        <v>10625</v>
      </c>
      <c r="AY18" s="159">
        <f t="shared" si="21"/>
        <v>10625</v>
      </c>
      <c r="AZ18" s="159">
        <f t="shared" si="21"/>
        <v>10625</v>
      </c>
      <c r="BA18" s="159">
        <f t="shared" si="21"/>
        <v>10625</v>
      </c>
      <c r="BB18" s="159">
        <f t="shared" si="21"/>
        <v>10625</v>
      </c>
      <c r="BC18" s="159">
        <f t="shared" si="21"/>
        <v>10625</v>
      </c>
      <c r="BD18" s="159">
        <f t="shared" si="21"/>
        <v>10625</v>
      </c>
      <c r="BE18" s="159">
        <f t="shared" si="21"/>
        <v>10625</v>
      </c>
      <c r="BF18" s="159">
        <f t="shared" si="21"/>
        <v>10625</v>
      </c>
      <c r="BG18" s="159">
        <f t="shared" si="21"/>
        <v>10625</v>
      </c>
      <c r="BH18" s="157">
        <f t="shared" si="10"/>
        <v>127500</v>
      </c>
      <c r="BI18" s="226"/>
      <c r="BJ18" s="100">
        <v>0</v>
      </c>
      <c r="BK18" s="13"/>
      <c r="BL18" s="157">
        <f t="shared" si="11"/>
        <v>0</v>
      </c>
      <c r="BM18" s="226"/>
      <c r="BN18" s="163">
        <f>$BL$18/12</f>
        <v>0</v>
      </c>
      <c r="BO18" s="163">
        <f t="shared" ref="BO18:BY18" si="22">$BL$18/12</f>
        <v>0</v>
      </c>
      <c r="BP18" s="163">
        <f t="shared" si="22"/>
        <v>0</v>
      </c>
      <c r="BQ18" s="163">
        <f t="shared" si="22"/>
        <v>0</v>
      </c>
      <c r="BR18" s="163">
        <f t="shared" si="22"/>
        <v>0</v>
      </c>
      <c r="BS18" s="163">
        <f t="shared" si="22"/>
        <v>0</v>
      </c>
      <c r="BT18" s="163">
        <f t="shared" si="22"/>
        <v>0</v>
      </c>
      <c r="BU18" s="163">
        <f t="shared" si="22"/>
        <v>0</v>
      </c>
      <c r="BV18" s="163">
        <f t="shared" si="22"/>
        <v>0</v>
      </c>
      <c r="BW18" s="163">
        <f t="shared" si="22"/>
        <v>0</v>
      </c>
      <c r="BX18" s="163">
        <f t="shared" si="22"/>
        <v>0</v>
      </c>
      <c r="BY18" s="163">
        <f t="shared" si="22"/>
        <v>0</v>
      </c>
      <c r="BZ18" s="150">
        <f t="shared" si="13"/>
        <v>0</v>
      </c>
    </row>
    <row r="19" spans="1:78" ht="15.75" x14ac:dyDescent="0.25">
      <c r="A19" s="46" t="s">
        <v>15</v>
      </c>
      <c r="B19" s="8" t="s">
        <v>16</v>
      </c>
      <c r="C19" s="149">
        <f t="shared" ref="C19" si="23">C18</f>
        <v>42500</v>
      </c>
      <c r="D19" s="48">
        <v>1</v>
      </c>
      <c r="E19" s="13"/>
      <c r="F19" s="149">
        <f t="shared" si="4"/>
        <v>42500</v>
      </c>
      <c r="G19" s="236"/>
      <c r="H19" s="100">
        <v>0</v>
      </c>
      <c r="I19" s="13"/>
      <c r="J19" s="157">
        <f t="shared" si="18"/>
        <v>0</v>
      </c>
      <c r="K19" s="226"/>
      <c r="L19" s="163">
        <v>0</v>
      </c>
      <c r="M19" s="150">
        <v>0</v>
      </c>
      <c r="N19" s="150">
        <v>0</v>
      </c>
      <c r="O19" s="150">
        <v>0</v>
      </c>
      <c r="P19" s="150">
        <v>0</v>
      </c>
      <c r="Q19" s="150">
        <v>0</v>
      </c>
      <c r="R19" s="150">
        <v>0</v>
      </c>
      <c r="S19" s="150">
        <v>0</v>
      </c>
      <c r="T19" s="150">
        <v>0</v>
      </c>
      <c r="U19" s="150">
        <f>$J$19/3</f>
        <v>0</v>
      </c>
      <c r="V19" s="150">
        <f t="shared" ref="V19:W19" si="24">$J$19/3</f>
        <v>0</v>
      </c>
      <c r="W19" s="150">
        <f t="shared" si="24"/>
        <v>0</v>
      </c>
      <c r="X19" s="179">
        <f t="shared" ref="X19:X23" si="25">SUM(U19:W19)</f>
        <v>0</v>
      </c>
      <c r="Y19" s="226"/>
      <c r="Z19" s="48">
        <v>0</v>
      </c>
      <c r="AA19" s="13"/>
      <c r="AB19" s="157">
        <f t="shared" si="6"/>
        <v>0</v>
      </c>
      <c r="AC19" s="226"/>
      <c r="AD19" s="163">
        <f>$AB$19/12</f>
        <v>0</v>
      </c>
      <c r="AE19" s="150">
        <v>0</v>
      </c>
      <c r="AF19" s="150">
        <v>0</v>
      </c>
      <c r="AG19" s="150">
        <v>0</v>
      </c>
      <c r="AH19" s="150">
        <v>0</v>
      </c>
      <c r="AI19" s="150">
        <v>0</v>
      </c>
      <c r="AJ19" s="150">
        <v>0</v>
      </c>
      <c r="AK19" s="150">
        <v>0</v>
      </c>
      <c r="AL19" s="150">
        <v>0</v>
      </c>
      <c r="AM19" s="149">
        <f>$J$19/3</f>
        <v>0</v>
      </c>
      <c r="AN19" s="149">
        <f t="shared" ref="AN19:AO19" si="26">$J$19/3</f>
        <v>0</v>
      </c>
      <c r="AO19" s="149">
        <f t="shared" si="26"/>
        <v>0</v>
      </c>
      <c r="AP19" s="157">
        <f t="shared" ref="AP19:AP23" si="27">SUM(AM19:AO19)</f>
        <v>0</v>
      </c>
      <c r="AQ19" s="226"/>
      <c r="AR19" s="100">
        <v>1</v>
      </c>
      <c r="AS19" s="13"/>
      <c r="AT19" s="157">
        <f t="shared" si="8"/>
        <v>42500</v>
      </c>
      <c r="AU19" s="226"/>
      <c r="AV19" s="159">
        <f>$AT$19/12</f>
        <v>3541.6666666666665</v>
      </c>
      <c r="AW19" s="159">
        <f t="shared" ref="AW19:BG19" si="28">$AT$19/12</f>
        <v>3541.6666666666665</v>
      </c>
      <c r="AX19" s="159">
        <f t="shared" si="28"/>
        <v>3541.6666666666665</v>
      </c>
      <c r="AY19" s="159">
        <f t="shared" si="28"/>
        <v>3541.6666666666665</v>
      </c>
      <c r="AZ19" s="159">
        <f t="shared" si="28"/>
        <v>3541.6666666666665</v>
      </c>
      <c r="BA19" s="159">
        <f t="shared" si="28"/>
        <v>3541.6666666666665</v>
      </c>
      <c r="BB19" s="159">
        <f t="shared" si="28"/>
        <v>3541.6666666666665</v>
      </c>
      <c r="BC19" s="159">
        <f t="shared" si="28"/>
        <v>3541.6666666666665</v>
      </c>
      <c r="BD19" s="159">
        <f t="shared" si="28"/>
        <v>3541.6666666666665</v>
      </c>
      <c r="BE19" s="159">
        <f t="shared" si="28"/>
        <v>3541.6666666666665</v>
      </c>
      <c r="BF19" s="159">
        <f t="shared" si="28"/>
        <v>3541.6666666666665</v>
      </c>
      <c r="BG19" s="159">
        <f t="shared" si="28"/>
        <v>3541.6666666666665</v>
      </c>
      <c r="BH19" s="157">
        <f t="shared" si="10"/>
        <v>42500</v>
      </c>
      <c r="BI19" s="226"/>
      <c r="BJ19" s="100">
        <v>0</v>
      </c>
      <c r="BK19" s="13"/>
      <c r="BL19" s="157">
        <f t="shared" si="11"/>
        <v>0</v>
      </c>
      <c r="BM19" s="226"/>
      <c r="BN19" s="163">
        <f>$BL$19/12</f>
        <v>0</v>
      </c>
      <c r="BO19" s="163">
        <f t="shared" ref="BO19:BY19" si="29">$BL$19/12</f>
        <v>0</v>
      </c>
      <c r="BP19" s="163">
        <f t="shared" si="29"/>
        <v>0</v>
      </c>
      <c r="BQ19" s="163">
        <f t="shared" si="29"/>
        <v>0</v>
      </c>
      <c r="BR19" s="163">
        <f t="shared" si="29"/>
        <v>0</v>
      </c>
      <c r="BS19" s="163">
        <f t="shared" si="29"/>
        <v>0</v>
      </c>
      <c r="BT19" s="163">
        <f t="shared" si="29"/>
        <v>0</v>
      </c>
      <c r="BU19" s="163">
        <f t="shared" si="29"/>
        <v>0</v>
      </c>
      <c r="BV19" s="163">
        <f t="shared" si="29"/>
        <v>0</v>
      </c>
      <c r="BW19" s="163">
        <f t="shared" si="29"/>
        <v>0</v>
      </c>
      <c r="BX19" s="163">
        <f t="shared" si="29"/>
        <v>0</v>
      </c>
      <c r="BY19" s="163">
        <f t="shared" si="29"/>
        <v>0</v>
      </c>
      <c r="BZ19" s="150">
        <f t="shared" si="13"/>
        <v>0</v>
      </c>
    </row>
    <row r="20" spans="1:78" ht="15.75" x14ac:dyDescent="0.25">
      <c r="A20" s="46" t="s">
        <v>17</v>
      </c>
      <c r="B20" s="8" t="s">
        <v>18</v>
      </c>
      <c r="C20" s="149">
        <f>C19</f>
        <v>42500</v>
      </c>
      <c r="D20" s="49">
        <v>5</v>
      </c>
      <c r="E20" s="13"/>
      <c r="F20" s="149">
        <f t="shared" si="4"/>
        <v>212500</v>
      </c>
      <c r="G20" s="236"/>
      <c r="H20" s="100">
        <v>0</v>
      </c>
      <c r="I20" s="13"/>
      <c r="J20" s="157">
        <f t="shared" si="18"/>
        <v>0</v>
      </c>
      <c r="K20" s="226"/>
      <c r="L20" s="163">
        <v>0</v>
      </c>
      <c r="M20" s="150">
        <v>0</v>
      </c>
      <c r="N20" s="150">
        <v>0</v>
      </c>
      <c r="O20" s="150">
        <v>0</v>
      </c>
      <c r="P20" s="150">
        <v>0</v>
      </c>
      <c r="Q20" s="150">
        <v>0</v>
      </c>
      <c r="R20" s="150">
        <v>0</v>
      </c>
      <c r="S20" s="150">
        <v>0</v>
      </c>
      <c r="T20" s="150">
        <v>0</v>
      </c>
      <c r="U20" s="150">
        <f t="shared" ref="U20:W20" si="30">$J$16/3</f>
        <v>0</v>
      </c>
      <c r="V20" s="150">
        <f t="shared" si="30"/>
        <v>0</v>
      </c>
      <c r="W20" s="150">
        <f t="shared" si="30"/>
        <v>0</v>
      </c>
      <c r="X20" s="179">
        <f t="shared" si="25"/>
        <v>0</v>
      </c>
      <c r="Y20" s="226"/>
      <c r="Z20" s="48">
        <v>0</v>
      </c>
      <c r="AA20" s="13"/>
      <c r="AB20" s="157">
        <f t="shared" si="6"/>
        <v>0</v>
      </c>
      <c r="AC20" s="226"/>
      <c r="AD20" s="163">
        <f>$AB$20/12</f>
        <v>0</v>
      </c>
      <c r="AE20" s="150">
        <v>0</v>
      </c>
      <c r="AF20" s="150">
        <v>0</v>
      </c>
      <c r="AG20" s="150">
        <v>0</v>
      </c>
      <c r="AH20" s="150">
        <v>0</v>
      </c>
      <c r="AI20" s="150">
        <v>0</v>
      </c>
      <c r="AJ20" s="150">
        <v>0</v>
      </c>
      <c r="AK20" s="150">
        <v>0</v>
      </c>
      <c r="AL20" s="150">
        <v>0</v>
      </c>
      <c r="AM20" s="149">
        <f t="shared" ref="AM20:AO20" si="31">$J$16/3</f>
        <v>0</v>
      </c>
      <c r="AN20" s="149">
        <f t="shared" si="31"/>
        <v>0</v>
      </c>
      <c r="AO20" s="149">
        <f t="shared" si="31"/>
        <v>0</v>
      </c>
      <c r="AP20" s="157">
        <f t="shared" si="27"/>
        <v>0</v>
      </c>
      <c r="AQ20" s="226"/>
      <c r="AR20" s="100">
        <v>5</v>
      </c>
      <c r="AS20" s="13"/>
      <c r="AT20" s="157">
        <f t="shared" si="8"/>
        <v>212500</v>
      </c>
      <c r="AU20" s="226"/>
      <c r="AV20" s="159">
        <f>$AT$20/12</f>
        <v>17708.333333333332</v>
      </c>
      <c r="AW20" s="159">
        <f t="shared" ref="AW20:BG20" si="32">$AT$20/12</f>
        <v>17708.333333333332</v>
      </c>
      <c r="AX20" s="159">
        <f t="shared" si="32"/>
        <v>17708.333333333332</v>
      </c>
      <c r="AY20" s="159">
        <f t="shared" si="32"/>
        <v>17708.333333333332</v>
      </c>
      <c r="AZ20" s="159">
        <f t="shared" si="32"/>
        <v>17708.333333333332</v>
      </c>
      <c r="BA20" s="159">
        <f t="shared" si="32"/>
        <v>17708.333333333332</v>
      </c>
      <c r="BB20" s="159">
        <f t="shared" si="32"/>
        <v>17708.333333333332</v>
      </c>
      <c r="BC20" s="159">
        <f t="shared" si="32"/>
        <v>17708.333333333332</v>
      </c>
      <c r="BD20" s="159">
        <f t="shared" si="32"/>
        <v>17708.333333333332</v>
      </c>
      <c r="BE20" s="159">
        <f t="shared" si="32"/>
        <v>17708.333333333332</v>
      </c>
      <c r="BF20" s="159">
        <f t="shared" si="32"/>
        <v>17708.333333333332</v>
      </c>
      <c r="BG20" s="159">
        <f t="shared" si="32"/>
        <v>17708.333333333332</v>
      </c>
      <c r="BH20" s="157">
        <f t="shared" si="10"/>
        <v>212500.00000000003</v>
      </c>
      <c r="BI20" s="226"/>
      <c r="BJ20" s="100">
        <v>0</v>
      </c>
      <c r="BK20" s="13"/>
      <c r="BL20" s="157">
        <f t="shared" si="11"/>
        <v>0</v>
      </c>
      <c r="BM20" s="226"/>
      <c r="BN20" s="163">
        <f>$BL$20/12</f>
        <v>0</v>
      </c>
      <c r="BO20" s="163">
        <f t="shared" ref="BO20:BY20" si="33">$BL$20/12</f>
        <v>0</v>
      </c>
      <c r="BP20" s="163">
        <f t="shared" si="33"/>
        <v>0</v>
      </c>
      <c r="BQ20" s="163">
        <f t="shared" si="33"/>
        <v>0</v>
      </c>
      <c r="BR20" s="163">
        <f t="shared" si="33"/>
        <v>0</v>
      </c>
      <c r="BS20" s="163">
        <f t="shared" si="33"/>
        <v>0</v>
      </c>
      <c r="BT20" s="163">
        <f t="shared" si="33"/>
        <v>0</v>
      </c>
      <c r="BU20" s="163">
        <f t="shared" si="33"/>
        <v>0</v>
      </c>
      <c r="BV20" s="163">
        <f t="shared" si="33"/>
        <v>0</v>
      </c>
      <c r="BW20" s="163">
        <f t="shared" si="33"/>
        <v>0</v>
      </c>
      <c r="BX20" s="163">
        <f t="shared" si="33"/>
        <v>0</v>
      </c>
      <c r="BY20" s="163">
        <f t="shared" si="33"/>
        <v>0</v>
      </c>
      <c r="BZ20" s="150">
        <f t="shared" si="13"/>
        <v>0</v>
      </c>
    </row>
    <row r="21" spans="1:78" ht="15.75" x14ac:dyDescent="0.25">
      <c r="A21" s="46" t="s">
        <v>19</v>
      </c>
      <c r="B21" s="8" t="s">
        <v>20</v>
      </c>
      <c r="C21" s="149">
        <f>(C22+C23)/2</f>
        <v>1350</v>
      </c>
      <c r="D21" s="50">
        <f>SUM(D16:D20)</f>
        <v>270</v>
      </c>
      <c r="E21" s="13"/>
      <c r="F21" s="149">
        <f t="shared" si="4"/>
        <v>364500</v>
      </c>
      <c r="G21" s="236"/>
      <c r="H21" s="100">
        <f>SUM(H16:H20)</f>
        <v>0</v>
      </c>
      <c r="I21" s="13"/>
      <c r="J21" s="157">
        <f>C21*H21</f>
        <v>0</v>
      </c>
      <c r="K21" s="226"/>
      <c r="L21" s="163">
        <v>0</v>
      </c>
      <c r="M21" s="150">
        <v>0</v>
      </c>
      <c r="N21" s="150">
        <v>0</v>
      </c>
      <c r="O21" s="150">
        <v>0</v>
      </c>
      <c r="P21" s="150">
        <v>0</v>
      </c>
      <c r="Q21" s="150">
        <v>0</v>
      </c>
      <c r="R21" s="150">
        <v>0</v>
      </c>
      <c r="S21" s="150">
        <v>0</v>
      </c>
      <c r="T21" s="150">
        <v>0</v>
      </c>
      <c r="U21" s="150">
        <f>$J$20/3</f>
        <v>0</v>
      </c>
      <c r="V21" s="150">
        <f t="shared" ref="V21:W21" si="34">$J$20/3</f>
        <v>0</v>
      </c>
      <c r="W21" s="150">
        <f t="shared" si="34"/>
        <v>0</v>
      </c>
      <c r="X21" s="179">
        <f t="shared" si="25"/>
        <v>0</v>
      </c>
      <c r="Y21" s="226"/>
      <c r="Z21" s="48">
        <f>SUM(Z16:Z20)</f>
        <v>1</v>
      </c>
      <c r="AA21" s="13"/>
      <c r="AB21" s="157">
        <f t="shared" si="6"/>
        <v>1350</v>
      </c>
      <c r="AC21" s="226"/>
      <c r="AD21" s="163">
        <v>0</v>
      </c>
      <c r="AE21" s="150">
        <v>0</v>
      </c>
      <c r="AF21" s="150">
        <v>0</v>
      </c>
      <c r="AG21" s="150">
        <v>0</v>
      </c>
      <c r="AH21" s="150">
        <v>0</v>
      </c>
      <c r="AI21" s="150">
        <v>0</v>
      </c>
      <c r="AJ21" s="150">
        <v>0</v>
      </c>
      <c r="AK21" s="150">
        <v>0</v>
      </c>
      <c r="AL21" s="150">
        <v>0</v>
      </c>
      <c r="AM21" s="149">
        <f>$AB$21/3</f>
        <v>450</v>
      </c>
      <c r="AN21" s="149">
        <f t="shared" ref="AN21:AO21" si="35">$AB$21/3</f>
        <v>450</v>
      </c>
      <c r="AO21" s="149">
        <f t="shared" si="35"/>
        <v>450</v>
      </c>
      <c r="AP21" s="157">
        <f t="shared" si="27"/>
        <v>1350</v>
      </c>
      <c r="AQ21" s="226"/>
      <c r="AR21" s="100">
        <f>SUM(AR16:AR20)</f>
        <v>129</v>
      </c>
      <c r="AS21" s="13"/>
      <c r="AT21" s="157">
        <f t="shared" si="8"/>
        <v>174150</v>
      </c>
      <c r="AU21" s="226"/>
      <c r="AV21" s="159">
        <f>$AT$21/12</f>
        <v>14512.5</v>
      </c>
      <c r="AW21" s="159">
        <f t="shared" ref="AW21:BG21" si="36">$AT$21/12</f>
        <v>14512.5</v>
      </c>
      <c r="AX21" s="159">
        <f t="shared" si="36"/>
        <v>14512.5</v>
      </c>
      <c r="AY21" s="159">
        <f t="shared" si="36"/>
        <v>14512.5</v>
      </c>
      <c r="AZ21" s="159">
        <f t="shared" si="36"/>
        <v>14512.5</v>
      </c>
      <c r="BA21" s="159">
        <f t="shared" si="36"/>
        <v>14512.5</v>
      </c>
      <c r="BB21" s="159">
        <f t="shared" si="36"/>
        <v>14512.5</v>
      </c>
      <c r="BC21" s="159">
        <f t="shared" si="36"/>
        <v>14512.5</v>
      </c>
      <c r="BD21" s="159">
        <f t="shared" si="36"/>
        <v>14512.5</v>
      </c>
      <c r="BE21" s="159">
        <f t="shared" si="36"/>
        <v>14512.5</v>
      </c>
      <c r="BF21" s="159">
        <f t="shared" si="36"/>
        <v>14512.5</v>
      </c>
      <c r="BG21" s="159">
        <f t="shared" si="36"/>
        <v>14512.5</v>
      </c>
      <c r="BH21" s="157">
        <f t="shared" si="10"/>
        <v>174150</v>
      </c>
      <c r="BI21" s="226"/>
      <c r="BJ21" s="100">
        <f>SUM(BJ16:BJ20)</f>
        <v>140</v>
      </c>
      <c r="BK21" s="13"/>
      <c r="BL21" s="157">
        <f t="shared" si="11"/>
        <v>189000</v>
      </c>
      <c r="BM21" s="226"/>
      <c r="BN21" s="159">
        <f>$BL$21/12</f>
        <v>15750</v>
      </c>
      <c r="BO21" s="159">
        <f t="shared" ref="BO21:BY21" si="37">$BL$21/12</f>
        <v>15750</v>
      </c>
      <c r="BP21" s="159">
        <f t="shared" si="37"/>
        <v>15750</v>
      </c>
      <c r="BQ21" s="159">
        <f t="shared" si="37"/>
        <v>15750</v>
      </c>
      <c r="BR21" s="159">
        <f t="shared" si="37"/>
        <v>15750</v>
      </c>
      <c r="BS21" s="159">
        <f t="shared" si="37"/>
        <v>15750</v>
      </c>
      <c r="BT21" s="159">
        <f t="shared" si="37"/>
        <v>15750</v>
      </c>
      <c r="BU21" s="159">
        <f t="shared" si="37"/>
        <v>15750</v>
      </c>
      <c r="BV21" s="159">
        <f t="shared" si="37"/>
        <v>15750</v>
      </c>
      <c r="BW21" s="159">
        <f t="shared" si="37"/>
        <v>15750</v>
      </c>
      <c r="BX21" s="159">
        <f t="shared" si="37"/>
        <v>15750</v>
      </c>
      <c r="BY21" s="159">
        <f t="shared" si="37"/>
        <v>15750</v>
      </c>
      <c r="BZ21" s="149">
        <f t="shared" si="13"/>
        <v>189000</v>
      </c>
    </row>
    <row r="22" spans="1:78" ht="14.45" hidden="1" customHeight="1" x14ac:dyDescent="0.25">
      <c r="A22" s="46" t="s">
        <v>19</v>
      </c>
      <c r="B22" s="8" t="s">
        <v>21</v>
      </c>
      <c r="C22" s="41">
        <f>(700+1750)/2</f>
        <v>1225</v>
      </c>
      <c r="D22" s="47">
        <f>D21</f>
        <v>270</v>
      </c>
      <c r="E22" s="13"/>
      <c r="F22" s="52">
        <f t="shared" si="4"/>
        <v>330750</v>
      </c>
      <c r="G22" s="236"/>
      <c r="K22" s="226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57">
        <f t="shared" si="25"/>
        <v>0</v>
      </c>
      <c r="Y22" s="226"/>
      <c r="Z22" s="12"/>
      <c r="AA22" s="12"/>
      <c r="AC22" s="226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57">
        <f t="shared" si="27"/>
        <v>0</v>
      </c>
      <c r="AQ22" s="226"/>
      <c r="AR22" s="12"/>
      <c r="AS22" s="12"/>
      <c r="AT22" s="98">
        <f t="shared" si="8"/>
        <v>0</v>
      </c>
      <c r="AU22" s="226"/>
      <c r="AV22" s="159">
        <f t="shared" ref="AV22:AV23" si="38">$AT$16/12</f>
        <v>425000</v>
      </c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57">
        <f t="shared" ref="BH22:BH23" si="39">SUM(BE22:BG22)</f>
        <v>0</v>
      </c>
      <c r="BI22" s="226"/>
      <c r="BJ22" s="12"/>
      <c r="BK22" s="12"/>
      <c r="BL22" s="59"/>
      <c r="BM22" s="226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49">
        <f t="shared" ref="BZ22:BZ23" si="40">SUM(BW22:BY22)</f>
        <v>0</v>
      </c>
    </row>
    <row r="23" spans="1:78" ht="14.45" hidden="1" customHeight="1" x14ac:dyDescent="0.25">
      <c r="A23" s="46" t="s">
        <v>22</v>
      </c>
      <c r="B23" s="8" t="s">
        <v>23</v>
      </c>
      <c r="C23" s="41">
        <f>(1900+1050)/2</f>
        <v>1475</v>
      </c>
      <c r="D23" s="43">
        <f>D21</f>
        <v>270</v>
      </c>
      <c r="E23" s="13"/>
      <c r="F23" s="52">
        <f t="shared" si="4"/>
        <v>398250</v>
      </c>
      <c r="G23" s="236"/>
      <c r="K23" s="226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57">
        <f t="shared" si="25"/>
        <v>0</v>
      </c>
      <c r="Y23" s="226"/>
      <c r="Z23" s="12"/>
      <c r="AA23" s="12"/>
      <c r="AC23" s="226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57">
        <f t="shared" si="27"/>
        <v>0</v>
      </c>
      <c r="AQ23" s="226"/>
      <c r="AR23" s="12"/>
      <c r="AS23" s="12"/>
      <c r="AT23" s="98">
        <f t="shared" si="8"/>
        <v>0</v>
      </c>
      <c r="AU23" s="226"/>
      <c r="AV23" s="159">
        <f t="shared" si="38"/>
        <v>425000</v>
      </c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57">
        <f t="shared" si="39"/>
        <v>0</v>
      </c>
      <c r="BI23" s="226"/>
      <c r="BJ23" s="12"/>
      <c r="BK23" s="12"/>
      <c r="BL23" s="59"/>
      <c r="BM23" s="226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49">
        <f t="shared" si="40"/>
        <v>0</v>
      </c>
    </row>
    <row r="24" spans="1:78" ht="23.45" customHeight="1" x14ac:dyDescent="0.25">
      <c r="A24" s="37" t="s">
        <v>24</v>
      </c>
      <c r="B24" s="238" t="s">
        <v>25</v>
      </c>
      <c r="C24" s="271"/>
      <c r="D24" s="271"/>
      <c r="E24" s="272"/>
      <c r="F24" s="83">
        <f>SUM(F25:F30)</f>
        <v>2564100</v>
      </c>
      <c r="G24" s="236"/>
      <c r="H24" s="221"/>
      <c r="I24" s="222"/>
      <c r="J24" s="83">
        <f>SUM(J25:J32)</f>
        <v>0</v>
      </c>
      <c r="K24" s="226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2"/>
      <c r="X24" s="156">
        <f>SUM(X25:X30)</f>
        <v>0</v>
      </c>
      <c r="Y24" s="226"/>
      <c r="Z24" s="221"/>
      <c r="AA24" s="222"/>
      <c r="AB24" s="83">
        <f>SUM(AB25:AB30)</f>
        <v>20350</v>
      </c>
      <c r="AC24" s="226"/>
      <c r="AD24" s="221"/>
      <c r="AE24" s="221"/>
      <c r="AF24" s="221"/>
      <c r="AG24" s="221"/>
      <c r="AH24" s="221"/>
      <c r="AI24" s="221"/>
      <c r="AJ24" s="221"/>
      <c r="AK24" s="221"/>
      <c r="AL24" s="221"/>
      <c r="AM24" s="221"/>
      <c r="AN24" s="221"/>
      <c r="AO24" s="222"/>
      <c r="AP24" s="129">
        <f>SUM(AP25:AP30)</f>
        <v>20350</v>
      </c>
      <c r="AQ24" s="226"/>
      <c r="AR24" s="221"/>
      <c r="AS24" s="222"/>
      <c r="AT24" s="83">
        <f>SUM(AT25:AT32)</f>
        <v>1505900</v>
      </c>
      <c r="AU24" s="226"/>
      <c r="AV24" s="261"/>
      <c r="AW24" s="221"/>
      <c r="AX24" s="221"/>
      <c r="AY24" s="221"/>
      <c r="AZ24" s="221"/>
      <c r="BA24" s="221"/>
      <c r="BB24" s="221"/>
      <c r="BC24" s="221"/>
      <c r="BD24" s="221"/>
      <c r="BE24" s="221"/>
      <c r="BF24" s="221"/>
      <c r="BG24" s="222"/>
      <c r="BH24" s="129">
        <f>SUM(BH25:BH30)</f>
        <v>1505900</v>
      </c>
      <c r="BI24" s="226"/>
      <c r="BJ24" s="221"/>
      <c r="BK24" s="222"/>
      <c r="BL24" s="83">
        <f>SUM(BL25:BL30)</f>
        <v>1526250</v>
      </c>
      <c r="BM24" s="226"/>
      <c r="BN24" s="221"/>
      <c r="BO24" s="221"/>
      <c r="BP24" s="221"/>
      <c r="BQ24" s="221"/>
      <c r="BR24" s="221"/>
      <c r="BS24" s="221"/>
      <c r="BT24" s="221"/>
      <c r="BU24" s="221"/>
      <c r="BV24" s="221"/>
      <c r="BW24" s="221"/>
      <c r="BX24" s="221"/>
      <c r="BY24" s="221"/>
      <c r="BZ24" s="147">
        <f>SUM(BZ25:BZ30)</f>
        <v>1526250</v>
      </c>
    </row>
    <row r="25" spans="1:78" ht="15.75" x14ac:dyDescent="0.25">
      <c r="A25" s="15" t="s">
        <v>26</v>
      </c>
      <c r="B25" s="7" t="s">
        <v>27</v>
      </c>
      <c r="C25" s="149">
        <f>(20000+18000)/2</f>
        <v>19000</v>
      </c>
      <c r="D25" s="51">
        <f>126-D26-D27-D28-D29</f>
        <v>122</v>
      </c>
      <c r="E25" s="9"/>
      <c r="F25" s="149">
        <f t="shared" ref="F25:F32" si="41">C25*D25</f>
        <v>2318000</v>
      </c>
      <c r="G25" s="236"/>
      <c r="H25" s="65">
        <v>0</v>
      </c>
      <c r="I25" s="9"/>
      <c r="J25" s="157">
        <f>C25*H25</f>
        <v>0</v>
      </c>
      <c r="K25" s="226"/>
      <c r="L25" s="163">
        <v>0</v>
      </c>
      <c r="M25" s="150">
        <v>0</v>
      </c>
      <c r="N25" s="150">
        <v>0</v>
      </c>
      <c r="O25" s="150">
        <v>0</v>
      </c>
      <c r="P25" s="150">
        <v>0</v>
      </c>
      <c r="Q25" s="150">
        <v>0</v>
      </c>
      <c r="R25" s="150">
        <v>0</v>
      </c>
      <c r="S25" s="150">
        <v>0</v>
      </c>
      <c r="T25" s="150">
        <v>0</v>
      </c>
      <c r="U25" s="150">
        <f>$J$25/3</f>
        <v>0</v>
      </c>
      <c r="V25" s="150">
        <f t="shared" ref="V25:W25" si="42">$J$25/3</f>
        <v>0</v>
      </c>
      <c r="W25" s="150">
        <f t="shared" si="42"/>
        <v>0</v>
      </c>
      <c r="X25" s="179">
        <f>SUM(U25:W25)</f>
        <v>0</v>
      </c>
      <c r="Y25" s="226"/>
      <c r="Z25" s="48">
        <v>0</v>
      </c>
      <c r="AA25" s="13"/>
      <c r="AB25" s="157">
        <f t="shared" ref="AB25:AB30" si="43">C25*Z25</f>
        <v>0</v>
      </c>
      <c r="AC25" s="226"/>
      <c r="AD25" s="164">
        <v>0</v>
      </c>
      <c r="AE25" s="165">
        <v>0</v>
      </c>
      <c r="AF25" s="165">
        <v>0</v>
      </c>
      <c r="AG25" s="165">
        <v>0</v>
      </c>
      <c r="AH25" s="165">
        <v>0</v>
      </c>
      <c r="AI25" s="165">
        <v>0</v>
      </c>
      <c r="AJ25" s="165">
        <v>0</v>
      </c>
      <c r="AK25" s="165">
        <v>0</v>
      </c>
      <c r="AL25" s="165">
        <v>0</v>
      </c>
      <c r="AM25" s="153">
        <f>$J$25/3</f>
        <v>0</v>
      </c>
      <c r="AN25" s="153">
        <f t="shared" ref="AN25:AO25" si="44">$J$25/3</f>
        <v>0</v>
      </c>
      <c r="AO25" s="153">
        <f t="shared" si="44"/>
        <v>0</v>
      </c>
      <c r="AP25" s="157">
        <f>SUM(AM25:AO25)</f>
        <v>0</v>
      </c>
      <c r="AQ25" s="226"/>
      <c r="AR25" s="100">
        <f>75-AR26-AR27-AR28-AR29-Z30</f>
        <v>71</v>
      </c>
      <c r="AS25" s="13"/>
      <c r="AT25" s="157">
        <f t="shared" ref="AT25:AT30" si="45">C25*AR25</f>
        <v>1349000</v>
      </c>
      <c r="AU25" s="226"/>
      <c r="AV25" s="160">
        <f>$AT$25/12</f>
        <v>112416.66666666667</v>
      </c>
      <c r="AW25" s="160">
        <f t="shared" ref="AW25:BG25" si="46">$AT$25/12</f>
        <v>112416.66666666667</v>
      </c>
      <c r="AX25" s="160">
        <f t="shared" si="46"/>
        <v>112416.66666666667</v>
      </c>
      <c r="AY25" s="160">
        <f t="shared" si="46"/>
        <v>112416.66666666667</v>
      </c>
      <c r="AZ25" s="160">
        <f t="shared" si="46"/>
        <v>112416.66666666667</v>
      </c>
      <c r="BA25" s="160">
        <f t="shared" si="46"/>
        <v>112416.66666666667</v>
      </c>
      <c r="BB25" s="160">
        <f t="shared" si="46"/>
        <v>112416.66666666667</v>
      </c>
      <c r="BC25" s="160">
        <f t="shared" si="46"/>
        <v>112416.66666666667</v>
      </c>
      <c r="BD25" s="160">
        <f t="shared" si="46"/>
        <v>112416.66666666667</v>
      </c>
      <c r="BE25" s="160">
        <f t="shared" si="46"/>
        <v>112416.66666666667</v>
      </c>
      <c r="BF25" s="160">
        <f t="shared" si="46"/>
        <v>112416.66666666667</v>
      </c>
      <c r="BG25" s="160">
        <f t="shared" si="46"/>
        <v>112416.66666666667</v>
      </c>
      <c r="BH25" s="157">
        <f t="shared" ref="BH25:BH30" si="47">SUM(AV25:BG25)</f>
        <v>1349000</v>
      </c>
      <c r="BI25" s="226"/>
      <c r="BJ25" s="100">
        <f>75-BJ26-BJ27-BJ28-BJ29</f>
        <v>75</v>
      </c>
      <c r="BK25" s="13"/>
      <c r="BL25" s="157">
        <f t="shared" ref="BL25:BL30" si="48">C25*BJ25</f>
        <v>1425000</v>
      </c>
      <c r="BM25" s="226"/>
      <c r="BN25" s="160">
        <f>$BL$25/12</f>
        <v>118750</v>
      </c>
      <c r="BO25" s="160">
        <f t="shared" ref="BO25:BY25" si="49">$BL$25/12</f>
        <v>118750</v>
      </c>
      <c r="BP25" s="160">
        <f t="shared" si="49"/>
        <v>118750</v>
      </c>
      <c r="BQ25" s="160">
        <f t="shared" si="49"/>
        <v>118750</v>
      </c>
      <c r="BR25" s="160">
        <f t="shared" si="49"/>
        <v>118750</v>
      </c>
      <c r="BS25" s="160">
        <f t="shared" si="49"/>
        <v>118750</v>
      </c>
      <c r="BT25" s="160">
        <f t="shared" si="49"/>
        <v>118750</v>
      </c>
      <c r="BU25" s="160">
        <f t="shared" si="49"/>
        <v>118750</v>
      </c>
      <c r="BV25" s="160">
        <f t="shared" si="49"/>
        <v>118750</v>
      </c>
      <c r="BW25" s="160">
        <f t="shared" si="49"/>
        <v>118750</v>
      </c>
      <c r="BX25" s="160">
        <f t="shared" si="49"/>
        <v>118750</v>
      </c>
      <c r="BY25" s="160">
        <f t="shared" si="49"/>
        <v>118750</v>
      </c>
      <c r="BZ25" s="149">
        <f>SUM(BN25:BY25)</f>
        <v>1425000</v>
      </c>
    </row>
    <row r="26" spans="1:78" ht="15.75" x14ac:dyDescent="0.25">
      <c r="A26" s="15" t="s">
        <v>28</v>
      </c>
      <c r="B26" s="7" t="s">
        <v>29</v>
      </c>
      <c r="C26" s="149">
        <f>(20000+18000)/2</f>
        <v>19000</v>
      </c>
      <c r="D26" s="51">
        <v>1</v>
      </c>
      <c r="E26" s="9"/>
      <c r="F26" s="149">
        <f t="shared" si="41"/>
        <v>19000</v>
      </c>
      <c r="G26" s="236"/>
      <c r="H26" s="65">
        <v>0</v>
      </c>
      <c r="I26" s="9"/>
      <c r="J26" s="157">
        <f t="shared" ref="J26:J32" si="50">C26*H26</f>
        <v>0</v>
      </c>
      <c r="K26" s="226"/>
      <c r="L26" s="163">
        <v>0</v>
      </c>
      <c r="M26" s="150">
        <v>0</v>
      </c>
      <c r="N26" s="150">
        <v>0</v>
      </c>
      <c r="O26" s="150">
        <v>0</v>
      </c>
      <c r="P26" s="150">
        <v>0</v>
      </c>
      <c r="Q26" s="150">
        <v>0</v>
      </c>
      <c r="R26" s="150">
        <v>0</v>
      </c>
      <c r="S26" s="150">
        <v>0</v>
      </c>
      <c r="T26" s="150">
        <v>0</v>
      </c>
      <c r="U26" s="150">
        <f>$J$26/3</f>
        <v>0</v>
      </c>
      <c r="V26" s="150">
        <f t="shared" ref="V26:W26" si="51">$J$26/3</f>
        <v>0</v>
      </c>
      <c r="W26" s="150">
        <f t="shared" si="51"/>
        <v>0</v>
      </c>
      <c r="X26" s="179">
        <f t="shared" ref="X26:X30" si="52">SUM(U26:W26)</f>
        <v>0</v>
      </c>
      <c r="Y26" s="226"/>
      <c r="Z26" s="48">
        <v>1</v>
      </c>
      <c r="AA26" s="13"/>
      <c r="AB26" s="157">
        <f t="shared" si="43"/>
        <v>19000</v>
      </c>
      <c r="AC26" s="226"/>
      <c r="AD26" s="163">
        <v>0</v>
      </c>
      <c r="AE26" s="150">
        <v>0</v>
      </c>
      <c r="AF26" s="150">
        <v>0</v>
      </c>
      <c r="AG26" s="150">
        <v>0</v>
      </c>
      <c r="AH26" s="150">
        <v>0</v>
      </c>
      <c r="AI26" s="150">
        <v>0</v>
      </c>
      <c r="AJ26" s="150">
        <v>0</v>
      </c>
      <c r="AK26" s="150">
        <v>0</v>
      </c>
      <c r="AL26" s="150">
        <v>0</v>
      </c>
      <c r="AM26" s="149">
        <f>$AB$26/3</f>
        <v>6333.333333333333</v>
      </c>
      <c r="AN26" s="149">
        <f t="shared" ref="AN26:AO26" si="53">$AB$26/3</f>
        <v>6333.333333333333</v>
      </c>
      <c r="AO26" s="149">
        <f t="shared" si="53"/>
        <v>6333.333333333333</v>
      </c>
      <c r="AP26" s="157">
        <f t="shared" ref="AP26:AP30" si="54">SUM(AM26:AO26)</f>
        <v>19000</v>
      </c>
      <c r="AQ26" s="226"/>
      <c r="AR26" s="100">
        <v>0</v>
      </c>
      <c r="AS26" s="13"/>
      <c r="AT26" s="157">
        <f t="shared" si="45"/>
        <v>0</v>
      </c>
      <c r="AU26" s="226"/>
      <c r="AV26" s="164">
        <f>$AT$26/12</f>
        <v>0</v>
      </c>
      <c r="AW26" s="150">
        <v>0</v>
      </c>
      <c r="AX26" s="150">
        <v>0</v>
      </c>
      <c r="AY26" s="150">
        <v>0</v>
      </c>
      <c r="AZ26" s="150">
        <v>0</v>
      </c>
      <c r="BA26" s="150">
        <v>0</v>
      </c>
      <c r="BB26" s="150">
        <v>0</v>
      </c>
      <c r="BC26" s="150">
        <v>0</v>
      </c>
      <c r="BD26" s="150">
        <v>0</v>
      </c>
      <c r="BE26" s="150">
        <v>0</v>
      </c>
      <c r="BF26" s="150">
        <v>0</v>
      </c>
      <c r="BG26" s="150">
        <v>0</v>
      </c>
      <c r="BH26" s="179">
        <f t="shared" si="47"/>
        <v>0</v>
      </c>
      <c r="BI26" s="226"/>
      <c r="BJ26" s="100">
        <v>0</v>
      </c>
      <c r="BK26" s="13"/>
      <c r="BL26" s="157">
        <f t="shared" si="48"/>
        <v>0</v>
      </c>
      <c r="BM26" s="226"/>
      <c r="BN26" s="164">
        <f>$BL$26/12</f>
        <v>0</v>
      </c>
      <c r="BO26" s="164">
        <f t="shared" ref="BO26:BY26" si="55">$BL$26/12</f>
        <v>0</v>
      </c>
      <c r="BP26" s="164">
        <f t="shared" si="55"/>
        <v>0</v>
      </c>
      <c r="BQ26" s="164">
        <f t="shared" si="55"/>
        <v>0</v>
      </c>
      <c r="BR26" s="164">
        <f t="shared" si="55"/>
        <v>0</v>
      </c>
      <c r="BS26" s="164">
        <f t="shared" si="55"/>
        <v>0</v>
      </c>
      <c r="BT26" s="164">
        <f t="shared" si="55"/>
        <v>0</v>
      </c>
      <c r="BU26" s="164">
        <f t="shared" si="55"/>
        <v>0</v>
      </c>
      <c r="BV26" s="164">
        <f t="shared" si="55"/>
        <v>0</v>
      </c>
      <c r="BW26" s="164">
        <f t="shared" si="55"/>
        <v>0</v>
      </c>
      <c r="BX26" s="164">
        <f t="shared" si="55"/>
        <v>0</v>
      </c>
      <c r="BY26" s="164">
        <f t="shared" si="55"/>
        <v>0</v>
      </c>
      <c r="BZ26" s="150">
        <f>SUM(BN26:BY26)</f>
        <v>0</v>
      </c>
    </row>
    <row r="27" spans="1:78" ht="15.75" x14ac:dyDescent="0.25">
      <c r="A27" s="15" t="s">
        <v>30</v>
      </c>
      <c r="B27" s="7" t="s">
        <v>31</v>
      </c>
      <c r="C27" s="149">
        <f>C25</f>
        <v>19000</v>
      </c>
      <c r="D27" s="51">
        <v>2</v>
      </c>
      <c r="E27" s="9"/>
      <c r="F27" s="149">
        <f t="shared" si="41"/>
        <v>38000</v>
      </c>
      <c r="G27" s="236"/>
      <c r="H27" s="65">
        <v>0</v>
      </c>
      <c r="I27" s="9"/>
      <c r="J27" s="157">
        <f t="shared" si="50"/>
        <v>0</v>
      </c>
      <c r="K27" s="226"/>
      <c r="L27" s="163">
        <v>0</v>
      </c>
      <c r="M27" s="150">
        <v>0</v>
      </c>
      <c r="N27" s="150">
        <v>0</v>
      </c>
      <c r="O27" s="150">
        <v>0</v>
      </c>
      <c r="P27" s="150">
        <v>0</v>
      </c>
      <c r="Q27" s="150">
        <v>0</v>
      </c>
      <c r="R27" s="150">
        <v>0</v>
      </c>
      <c r="S27" s="150">
        <v>0</v>
      </c>
      <c r="T27" s="150">
        <v>0</v>
      </c>
      <c r="U27" s="150">
        <f>$J$27/3</f>
        <v>0</v>
      </c>
      <c r="V27" s="150">
        <f t="shared" ref="V27:W27" si="56">$J$27/3</f>
        <v>0</v>
      </c>
      <c r="W27" s="150">
        <f t="shared" si="56"/>
        <v>0</v>
      </c>
      <c r="X27" s="179">
        <f t="shared" si="52"/>
        <v>0</v>
      </c>
      <c r="Y27" s="226"/>
      <c r="Z27" s="48">
        <v>0</v>
      </c>
      <c r="AA27" s="13"/>
      <c r="AB27" s="157">
        <f t="shared" si="43"/>
        <v>0</v>
      </c>
      <c r="AC27" s="226"/>
      <c r="AD27" s="163">
        <v>0</v>
      </c>
      <c r="AE27" s="150">
        <v>0</v>
      </c>
      <c r="AF27" s="150">
        <v>0</v>
      </c>
      <c r="AG27" s="150">
        <v>0</v>
      </c>
      <c r="AH27" s="150">
        <v>0</v>
      </c>
      <c r="AI27" s="150">
        <v>0</v>
      </c>
      <c r="AJ27" s="150">
        <v>0</v>
      </c>
      <c r="AK27" s="150">
        <v>0</v>
      </c>
      <c r="AL27" s="150">
        <v>0</v>
      </c>
      <c r="AM27" s="149">
        <f>$J$27/3</f>
        <v>0</v>
      </c>
      <c r="AN27" s="149">
        <f t="shared" ref="AN27:AO27" si="57">$J$27/3</f>
        <v>0</v>
      </c>
      <c r="AO27" s="149">
        <f t="shared" si="57"/>
        <v>0</v>
      </c>
      <c r="AP27" s="157">
        <f t="shared" si="54"/>
        <v>0</v>
      </c>
      <c r="AQ27" s="226"/>
      <c r="AR27" s="100">
        <v>2</v>
      </c>
      <c r="AS27" s="13"/>
      <c r="AT27" s="157">
        <f t="shared" si="45"/>
        <v>38000</v>
      </c>
      <c r="AU27" s="226"/>
      <c r="AV27" s="160">
        <f>$AT$27/12</f>
        <v>3166.6666666666665</v>
      </c>
      <c r="AW27" s="160">
        <f t="shared" ref="AW27:BG27" si="58">$AT$27/12</f>
        <v>3166.6666666666665</v>
      </c>
      <c r="AX27" s="160">
        <f t="shared" si="58"/>
        <v>3166.6666666666665</v>
      </c>
      <c r="AY27" s="160">
        <f t="shared" si="58"/>
        <v>3166.6666666666665</v>
      </c>
      <c r="AZ27" s="160">
        <f t="shared" si="58"/>
        <v>3166.6666666666665</v>
      </c>
      <c r="BA27" s="160">
        <f t="shared" si="58"/>
        <v>3166.6666666666665</v>
      </c>
      <c r="BB27" s="160">
        <f t="shared" si="58"/>
        <v>3166.6666666666665</v>
      </c>
      <c r="BC27" s="160">
        <f t="shared" si="58"/>
        <v>3166.6666666666665</v>
      </c>
      <c r="BD27" s="160">
        <f t="shared" si="58"/>
        <v>3166.6666666666665</v>
      </c>
      <c r="BE27" s="160">
        <f t="shared" si="58"/>
        <v>3166.6666666666665</v>
      </c>
      <c r="BF27" s="160">
        <f t="shared" si="58"/>
        <v>3166.6666666666665</v>
      </c>
      <c r="BG27" s="160">
        <f t="shared" si="58"/>
        <v>3166.6666666666665</v>
      </c>
      <c r="BH27" s="157">
        <f t="shared" si="47"/>
        <v>38000</v>
      </c>
      <c r="BI27" s="226"/>
      <c r="BJ27" s="100">
        <v>0</v>
      </c>
      <c r="BK27" s="13"/>
      <c r="BL27" s="157">
        <f t="shared" si="48"/>
        <v>0</v>
      </c>
      <c r="BM27" s="226"/>
      <c r="BN27" s="164">
        <f>$BL$27/12</f>
        <v>0</v>
      </c>
      <c r="BO27" s="164">
        <f t="shared" ref="BO27:BY27" si="59">$BL$27/12</f>
        <v>0</v>
      </c>
      <c r="BP27" s="164">
        <f t="shared" si="59"/>
        <v>0</v>
      </c>
      <c r="BQ27" s="164">
        <f t="shared" si="59"/>
        <v>0</v>
      </c>
      <c r="BR27" s="164">
        <f t="shared" si="59"/>
        <v>0</v>
      </c>
      <c r="BS27" s="164">
        <f t="shared" si="59"/>
        <v>0</v>
      </c>
      <c r="BT27" s="164">
        <f t="shared" si="59"/>
        <v>0</v>
      </c>
      <c r="BU27" s="164">
        <f t="shared" si="59"/>
        <v>0</v>
      </c>
      <c r="BV27" s="164">
        <f t="shared" si="59"/>
        <v>0</v>
      </c>
      <c r="BW27" s="164">
        <f t="shared" si="59"/>
        <v>0</v>
      </c>
      <c r="BX27" s="164">
        <f t="shared" si="59"/>
        <v>0</v>
      </c>
      <c r="BY27" s="164">
        <f t="shared" si="59"/>
        <v>0</v>
      </c>
      <c r="BZ27" s="150">
        <f>SUM(BN27:BY27)</f>
        <v>0</v>
      </c>
    </row>
    <row r="28" spans="1:78" ht="15.75" x14ac:dyDescent="0.25">
      <c r="A28" s="15" t="s">
        <v>32</v>
      </c>
      <c r="B28" s="7" t="s">
        <v>33</v>
      </c>
      <c r="C28" s="149">
        <f t="shared" ref="C28:C29" si="60">C27</f>
        <v>19000</v>
      </c>
      <c r="D28" s="51">
        <v>1</v>
      </c>
      <c r="E28" s="9"/>
      <c r="F28" s="149">
        <f t="shared" si="41"/>
        <v>19000</v>
      </c>
      <c r="G28" s="236"/>
      <c r="H28" s="65">
        <v>0</v>
      </c>
      <c r="I28" s="9"/>
      <c r="J28" s="157">
        <f t="shared" si="50"/>
        <v>0</v>
      </c>
      <c r="K28" s="226"/>
      <c r="L28" s="163">
        <v>0</v>
      </c>
      <c r="M28" s="150">
        <v>0</v>
      </c>
      <c r="N28" s="150">
        <v>0</v>
      </c>
      <c r="O28" s="150">
        <v>0</v>
      </c>
      <c r="P28" s="150">
        <v>0</v>
      </c>
      <c r="Q28" s="150">
        <v>0</v>
      </c>
      <c r="R28" s="150">
        <v>0</v>
      </c>
      <c r="S28" s="150">
        <v>0</v>
      </c>
      <c r="T28" s="150">
        <v>0</v>
      </c>
      <c r="U28" s="150">
        <f>$J$28/3</f>
        <v>0</v>
      </c>
      <c r="V28" s="150">
        <f t="shared" ref="V28:W28" si="61">$J$28/3</f>
        <v>0</v>
      </c>
      <c r="W28" s="150">
        <f t="shared" si="61"/>
        <v>0</v>
      </c>
      <c r="X28" s="179">
        <f t="shared" si="52"/>
        <v>0</v>
      </c>
      <c r="Y28" s="226"/>
      <c r="Z28" s="48">
        <v>0</v>
      </c>
      <c r="AA28" s="13"/>
      <c r="AB28" s="157">
        <f t="shared" si="43"/>
        <v>0</v>
      </c>
      <c r="AC28" s="226"/>
      <c r="AD28" s="163">
        <v>0</v>
      </c>
      <c r="AE28" s="150">
        <v>0</v>
      </c>
      <c r="AF28" s="150">
        <v>0</v>
      </c>
      <c r="AG28" s="150">
        <v>0</v>
      </c>
      <c r="AH28" s="150">
        <v>0</v>
      </c>
      <c r="AI28" s="150">
        <v>0</v>
      </c>
      <c r="AJ28" s="150">
        <v>0</v>
      </c>
      <c r="AK28" s="150">
        <v>0</v>
      </c>
      <c r="AL28" s="150">
        <v>0</v>
      </c>
      <c r="AM28" s="149">
        <f>$J$28/3</f>
        <v>0</v>
      </c>
      <c r="AN28" s="149">
        <f t="shared" ref="AN28:AO28" si="62">$J$28/3</f>
        <v>0</v>
      </c>
      <c r="AO28" s="149">
        <f t="shared" si="62"/>
        <v>0</v>
      </c>
      <c r="AP28" s="157">
        <f t="shared" si="54"/>
        <v>0</v>
      </c>
      <c r="AQ28" s="226"/>
      <c r="AR28" s="100">
        <v>1</v>
      </c>
      <c r="AS28" s="13"/>
      <c r="AT28" s="157">
        <f t="shared" si="45"/>
        <v>19000</v>
      </c>
      <c r="AU28" s="226"/>
      <c r="AV28" s="160">
        <f>$AT$28/12</f>
        <v>1583.3333333333333</v>
      </c>
      <c r="AW28" s="160">
        <f t="shared" ref="AW28:BG28" si="63">$AT$28/12</f>
        <v>1583.3333333333333</v>
      </c>
      <c r="AX28" s="160">
        <f t="shared" si="63"/>
        <v>1583.3333333333333</v>
      </c>
      <c r="AY28" s="160">
        <f t="shared" si="63"/>
        <v>1583.3333333333333</v>
      </c>
      <c r="AZ28" s="160">
        <f t="shared" si="63"/>
        <v>1583.3333333333333</v>
      </c>
      <c r="BA28" s="160">
        <f t="shared" si="63"/>
        <v>1583.3333333333333</v>
      </c>
      <c r="BB28" s="160">
        <f t="shared" si="63"/>
        <v>1583.3333333333333</v>
      </c>
      <c r="BC28" s="160">
        <f t="shared" si="63"/>
        <v>1583.3333333333333</v>
      </c>
      <c r="BD28" s="160">
        <f t="shared" si="63"/>
        <v>1583.3333333333333</v>
      </c>
      <c r="BE28" s="160">
        <f t="shared" si="63"/>
        <v>1583.3333333333333</v>
      </c>
      <c r="BF28" s="160">
        <f t="shared" si="63"/>
        <v>1583.3333333333333</v>
      </c>
      <c r="BG28" s="160">
        <f t="shared" si="63"/>
        <v>1583.3333333333333</v>
      </c>
      <c r="BH28" s="157">
        <f t="shared" si="47"/>
        <v>19000</v>
      </c>
      <c r="BI28" s="226"/>
      <c r="BJ28" s="100">
        <v>0</v>
      </c>
      <c r="BK28" s="13"/>
      <c r="BL28" s="157">
        <f t="shared" si="48"/>
        <v>0</v>
      </c>
      <c r="BM28" s="226"/>
      <c r="BN28" s="164">
        <f>$BL$28/12</f>
        <v>0</v>
      </c>
      <c r="BO28" s="164">
        <f t="shared" ref="BO28:BY28" si="64">$BL$28/12</f>
        <v>0</v>
      </c>
      <c r="BP28" s="164">
        <f t="shared" si="64"/>
        <v>0</v>
      </c>
      <c r="BQ28" s="164">
        <f t="shared" si="64"/>
        <v>0</v>
      </c>
      <c r="BR28" s="164">
        <f t="shared" si="64"/>
        <v>0</v>
      </c>
      <c r="BS28" s="164">
        <f t="shared" si="64"/>
        <v>0</v>
      </c>
      <c r="BT28" s="164">
        <f t="shared" si="64"/>
        <v>0</v>
      </c>
      <c r="BU28" s="164">
        <f t="shared" si="64"/>
        <v>0</v>
      </c>
      <c r="BV28" s="164">
        <f t="shared" si="64"/>
        <v>0</v>
      </c>
      <c r="BW28" s="164">
        <f t="shared" si="64"/>
        <v>0</v>
      </c>
      <c r="BX28" s="164">
        <f t="shared" si="64"/>
        <v>0</v>
      </c>
      <c r="BY28" s="164">
        <f t="shared" si="64"/>
        <v>0</v>
      </c>
      <c r="BZ28" s="150">
        <f t="shared" ref="BZ28" si="65">SUM(BW28:BY28)</f>
        <v>0</v>
      </c>
    </row>
    <row r="29" spans="1:78" ht="15.75" x14ac:dyDescent="0.25">
      <c r="A29" s="15" t="s">
        <v>34</v>
      </c>
      <c r="B29" s="7" t="s">
        <v>35</v>
      </c>
      <c r="C29" s="149">
        <f t="shared" si="60"/>
        <v>19000</v>
      </c>
      <c r="D29" s="51">
        <v>0</v>
      </c>
      <c r="E29" s="9"/>
      <c r="F29" s="149">
        <f t="shared" si="41"/>
        <v>0</v>
      </c>
      <c r="G29" s="236"/>
      <c r="H29" s="65">
        <v>0</v>
      </c>
      <c r="I29" s="9"/>
      <c r="J29" s="157">
        <f t="shared" si="50"/>
        <v>0</v>
      </c>
      <c r="K29" s="226"/>
      <c r="L29" s="163">
        <v>0</v>
      </c>
      <c r="M29" s="150">
        <v>0</v>
      </c>
      <c r="N29" s="150">
        <v>0</v>
      </c>
      <c r="O29" s="150">
        <v>0</v>
      </c>
      <c r="P29" s="150">
        <v>0</v>
      </c>
      <c r="Q29" s="150">
        <v>0</v>
      </c>
      <c r="R29" s="150">
        <v>0</v>
      </c>
      <c r="S29" s="150">
        <v>0</v>
      </c>
      <c r="T29" s="150">
        <v>0</v>
      </c>
      <c r="U29" s="150">
        <f>$J$29/3</f>
        <v>0</v>
      </c>
      <c r="V29" s="150">
        <f t="shared" ref="V29:W29" si="66">$J$29/3</f>
        <v>0</v>
      </c>
      <c r="W29" s="150">
        <f t="shared" si="66"/>
        <v>0</v>
      </c>
      <c r="X29" s="179">
        <f t="shared" si="52"/>
        <v>0</v>
      </c>
      <c r="Y29" s="226"/>
      <c r="Z29" s="48">
        <v>0</v>
      </c>
      <c r="AA29" s="13"/>
      <c r="AB29" s="157">
        <f t="shared" si="43"/>
        <v>0</v>
      </c>
      <c r="AC29" s="226"/>
      <c r="AD29" s="163">
        <v>0</v>
      </c>
      <c r="AE29" s="150">
        <v>0</v>
      </c>
      <c r="AF29" s="150">
        <v>0</v>
      </c>
      <c r="AG29" s="150">
        <v>0</v>
      </c>
      <c r="AH29" s="150">
        <v>0</v>
      </c>
      <c r="AI29" s="150">
        <v>0</v>
      </c>
      <c r="AJ29" s="150">
        <v>0</v>
      </c>
      <c r="AK29" s="150">
        <v>0</v>
      </c>
      <c r="AL29" s="150">
        <v>0</v>
      </c>
      <c r="AM29" s="149">
        <f>$J$29/3</f>
        <v>0</v>
      </c>
      <c r="AN29" s="149">
        <f t="shared" ref="AN29:AO29" si="67">$J$29/3</f>
        <v>0</v>
      </c>
      <c r="AO29" s="149">
        <f t="shared" si="67"/>
        <v>0</v>
      </c>
      <c r="AP29" s="157">
        <f t="shared" si="54"/>
        <v>0</v>
      </c>
      <c r="AQ29" s="226"/>
      <c r="AR29" s="100">
        <v>0</v>
      </c>
      <c r="AS29" s="13"/>
      <c r="AT29" s="157">
        <f t="shared" si="45"/>
        <v>0</v>
      </c>
      <c r="AU29" s="226"/>
      <c r="AV29" s="164">
        <f>$AT$29/12</f>
        <v>0</v>
      </c>
      <c r="AW29" s="150">
        <v>0</v>
      </c>
      <c r="AX29" s="150">
        <v>0</v>
      </c>
      <c r="AY29" s="150">
        <v>0</v>
      </c>
      <c r="AZ29" s="150">
        <v>0</v>
      </c>
      <c r="BA29" s="150">
        <v>0</v>
      </c>
      <c r="BB29" s="150">
        <v>0</v>
      </c>
      <c r="BC29" s="150">
        <v>0</v>
      </c>
      <c r="BD29" s="150">
        <v>0</v>
      </c>
      <c r="BE29" s="150">
        <f>$J$29/3</f>
        <v>0</v>
      </c>
      <c r="BF29" s="150">
        <f t="shared" ref="BF29:BG29" si="68">$J$29/3</f>
        <v>0</v>
      </c>
      <c r="BG29" s="150">
        <f t="shared" si="68"/>
        <v>0</v>
      </c>
      <c r="BH29" s="179">
        <f t="shared" si="47"/>
        <v>0</v>
      </c>
      <c r="BI29" s="226"/>
      <c r="BJ29" s="100">
        <v>0</v>
      </c>
      <c r="BK29" s="13"/>
      <c r="BL29" s="157">
        <f t="shared" si="48"/>
        <v>0</v>
      </c>
      <c r="BM29" s="226"/>
      <c r="BN29" s="164">
        <f>$BL$29/12</f>
        <v>0</v>
      </c>
      <c r="BO29" s="164">
        <f t="shared" ref="BO29:BY29" si="69">$BL$29/12</f>
        <v>0</v>
      </c>
      <c r="BP29" s="164">
        <f t="shared" si="69"/>
        <v>0</v>
      </c>
      <c r="BQ29" s="164">
        <f t="shared" si="69"/>
        <v>0</v>
      </c>
      <c r="BR29" s="164">
        <f t="shared" si="69"/>
        <v>0</v>
      </c>
      <c r="BS29" s="164">
        <f t="shared" si="69"/>
        <v>0</v>
      </c>
      <c r="BT29" s="164">
        <f t="shared" si="69"/>
        <v>0</v>
      </c>
      <c r="BU29" s="164">
        <f t="shared" si="69"/>
        <v>0</v>
      </c>
      <c r="BV29" s="164">
        <f t="shared" si="69"/>
        <v>0</v>
      </c>
      <c r="BW29" s="164">
        <f t="shared" si="69"/>
        <v>0</v>
      </c>
      <c r="BX29" s="164">
        <f t="shared" si="69"/>
        <v>0</v>
      </c>
      <c r="BY29" s="164">
        <f t="shared" si="69"/>
        <v>0</v>
      </c>
      <c r="BZ29" s="150">
        <f>SUM(BN29:BY29)</f>
        <v>0</v>
      </c>
    </row>
    <row r="30" spans="1:78" ht="15.75" x14ac:dyDescent="0.25">
      <c r="A30" s="15" t="s">
        <v>36</v>
      </c>
      <c r="B30" s="7" t="s">
        <v>37</v>
      </c>
      <c r="C30" s="149">
        <f>(C31+C32)/2</f>
        <v>1350</v>
      </c>
      <c r="D30" s="51">
        <f>SUM(D25:D29)</f>
        <v>126</v>
      </c>
      <c r="E30" s="44"/>
      <c r="F30" s="149">
        <f t="shared" si="41"/>
        <v>170100</v>
      </c>
      <c r="G30" s="236"/>
      <c r="H30" s="65">
        <f>SUM(H25:H29)</f>
        <v>0</v>
      </c>
      <c r="I30" s="9"/>
      <c r="J30" s="157">
        <f t="shared" si="50"/>
        <v>0</v>
      </c>
      <c r="K30" s="226"/>
      <c r="L30" s="163">
        <v>0</v>
      </c>
      <c r="M30" s="150">
        <v>0</v>
      </c>
      <c r="N30" s="150">
        <v>0</v>
      </c>
      <c r="O30" s="150">
        <v>0</v>
      </c>
      <c r="P30" s="150">
        <v>0</v>
      </c>
      <c r="Q30" s="150">
        <v>0</v>
      </c>
      <c r="R30" s="150">
        <v>0</v>
      </c>
      <c r="S30" s="150">
        <v>0</v>
      </c>
      <c r="T30" s="150">
        <v>0</v>
      </c>
      <c r="U30" s="150">
        <f>$J$30/3</f>
        <v>0</v>
      </c>
      <c r="V30" s="150">
        <f t="shared" ref="V30:W30" si="70">$J$30/3</f>
        <v>0</v>
      </c>
      <c r="W30" s="150">
        <f t="shared" si="70"/>
        <v>0</v>
      </c>
      <c r="X30" s="179">
        <f t="shared" si="52"/>
        <v>0</v>
      </c>
      <c r="Y30" s="226"/>
      <c r="Z30" s="48">
        <f>SUM(Z25:Z29)</f>
        <v>1</v>
      </c>
      <c r="AA30" s="13"/>
      <c r="AB30" s="157">
        <f t="shared" si="43"/>
        <v>1350</v>
      </c>
      <c r="AC30" s="226"/>
      <c r="AD30" s="163">
        <v>0</v>
      </c>
      <c r="AE30" s="150">
        <v>0</v>
      </c>
      <c r="AF30" s="150">
        <v>0</v>
      </c>
      <c r="AG30" s="150">
        <v>0</v>
      </c>
      <c r="AH30" s="150">
        <v>0</v>
      </c>
      <c r="AI30" s="150">
        <v>0</v>
      </c>
      <c r="AJ30" s="150">
        <v>0</v>
      </c>
      <c r="AK30" s="150">
        <v>0</v>
      </c>
      <c r="AL30" s="150">
        <v>0</v>
      </c>
      <c r="AM30" s="149">
        <f>$AB$30/3</f>
        <v>450</v>
      </c>
      <c r="AN30" s="149">
        <f t="shared" ref="AN30:AO30" si="71">$AB$30/3</f>
        <v>450</v>
      </c>
      <c r="AO30" s="149">
        <f t="shared" si="71"/>
        <v>450</v>
      </c>
      <c r="AP30" s="157">
        <f t="shared" si="54"/>
        <v>1350</v>
      </c>
      <c r="AQ30" s="226"/>
      <c r="AR30" s="100">
        <f>SUM(AR25:AR29)</f>
        <v>74</v>
      </c>
      <c r="AS30" s="13"/>
      <c r="AT30" s="157">
        <f t="shared" si="45"/>
        <v>99900</v>
      </c>
      <c r="AU30" s="226"/>
      <c r="AV30" s="160">
        <f>$AT$30/12</f>
        <v>8325</v>
      </c>
      <c r="AW30" s="160">
        <f t="shared" ref="AW30:BG30" si="72">$AT$30/12</f>
        <v>8325</v>
      </c>
      <c r="AX30" s="160">
        <f t="shared" si="72"/>
        <v>8325</v>
      </c>
      <c r="AY30" s="160">
        <f t="shared" si="72"/>
        <v>8325</v>
      </c>
      <c r="AZ30" s="160">
        <f t="shared" si="72"/>
        <v>8325</v>
      </c>
      <c r="BA30" s="160">
        <f t="shared" si="72"/>
        <v>8325</v>
      </c>
      <c r="BB30" s="160">
        <f t="shared" si="72"/>
        <v>8325</v>
      </c>
      <c r="BC30" s="160">
        <f t="shared" si="72"/>
        <v>8325</v>
      </c>
      <c r="BD30" s="160">
        <f t="shared" si="72"/>
        <v>8325</v>
      </c>
      <c r="BE30" s="160">
        <f t="shared" si="72"/>
        <v>8325</v>
      </c>
      <c r="BF30" s="160">
        <f t="shared" si="72"/>
        <v>8325</v>
      </c>
      <c r="BG30" s="160">
        <f t="shared" si="72"/>
        <v>8325</v>
      </c>
      <c r="BH30" s="157">
        <f t="shared" si="47"/>
        <v>99900</v>
      </c>
      <c r="BI30" s="226"/>
      <c r="BJ30" s="100">
        <f>SUM(BJ25:BJ29)</f>
        <v>75</v>
      </c>
      <c r="BK30" s="13"/>
      <c r="BL30" s="157">
        <f t="shared" si="48"/>
        <v>101250</v>
      </c>
      <c r="BM30" s="226"/>
      <c r="BN30" s="160">
        <f>$BL$30/12</f>
        <v>8437.5</v>
      </c>
      <c r="BO30" s="160">
        <f t="shared" ref="BO30:BY30" si="73">$BL$30/12</f>
        <v>8437.5</v>
      </c>
      <c r="BP30" s="160">
        <f t="shared" si="73"/>
        <v>8437.5</v>
      </c>
      <c r="BQ30" s="160">
        <f t="shared" si="73"/>
        <v>8437.5</v>
      </c>
      <c r="BR30" s="160">
        <f t="shared" si="73"/>
        <v>8437.5</v>
      </c>
      <c r="BS30" s="160">
        <f t="shared" si="73"/>
        <v>8437.5</v>
      </c>
      <c r="BT30" s="160">
        <f t="shared" si="73"/>
        <v>8437.5</v>
      </c>
      <c r="BU30" s="160">
        <f t="shared" si="73"/>
        <v>8437.5</v>
      </c>
      <c r="BV30" s="160">
        <f t="shared" si="73"/>
        <v>8437.5</v>
      </c>
      <c r="BW30" s="160">
        <f t="shared" si="73"/>
        <v>8437.5</v>
      </c>
      <c r="BX30" s="160">
        <f t="shared" si="73"/>
        <v>8437.5</v>
      </c>
      <c r="BY30" s="160">
        <f t="shared" si="73"/>
        <v>8437.5</v>
      </c>
      <c r="BZ30" s="149">
        <f>SUM(BN30:BY30)</f>
        <v>101250</v>
      </c>
    </row>
    <row r="31" spans="1:78" ht="14.45" hidden="1" customHeight="1" x14ac:dyDescent="0.25">
      <c r="A31" s="15" t="s">
        <v>36</v>
      </c>
      <c r="B31" s="7" t="s">
        <v>38</v>
      </c>
      <c r="C31" s="41">
        <f>(700+1750)/2</f>
        <v>1225</v>
      </c>
      <c r="D31" s="40">
        <f>D30</f>
        <v>126</v>
      </c>
      <c r="E31" s="44"/>
      <c r="F31" s="84">
        <f t="shared" si="41"/>
        <v>154350</v>
      </c>
      <c r="G31" s="236"/>
      <c r="J31" s="91">
        <f t="shared" si="50"/>
        <v>0</v>
      </c>
      <c r="K31" s="226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26"/>
      <c r="Z31" s="12"/>
      <c r="AA31" s="12"/>
      <c r="AC31" s="226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226"/>
      <c r="AR31" s="12"/>
      <c r="AS31" s="12"/>
      <c r="AU31" s="226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226"/>
      <c r="BJ31" s="12"/>
      <c r="BK31" s="12"/>
      <c r="BL31" s="59"/>
      <c r="BM31" s="226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72"/>
    </row>
    <row r="32" spans="1:78" ht="14.45" hidden="1" customHeight="1" x14ac:dyDescent="0.25">
      <c r="A32" s="15" t="s">
        <v>39</v>
      </c>
      <c r="B32" s="7" t="s">
        <v>40</v>
      </c>
      <c r="C32" s="41">
        <f>(1050+1900)/2</f>
        <v>1475</v>
      </c>
      <c r="D32" s="40">
        <f>D30</f>
        <v>126</v>
      </c>
      <c r="E32" s="44"/>
      <c r="F32" s="84">
        <f t="shared" si="41"/>
        <v>185850</v>
      </c>
      <c r="G32" s="236"/>
      <c r="J32" s="91">
        <f t="shared" si="50"/>
        <v>0</v>
      </c>
      <c r="K32" s="226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26"/>
      <c r="Z32" s="12"/>
      <c r="AA32" s="12"/>
      <c r="AC32" s="226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226"/>
      <c r="AR32" s="12"/>
      <c r="AS32" s="12"/>
      <c r="AU32" s="226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226"/>
      <c r="BJ32" s="12"/>
      <c r="BK32" s="12"/>
      <c r="BL32" s="59"/>
      <c r="BM32" s="226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72"/>
    </row>
    <row r="33" spans="1:82" ht="18.600000000000001" customHeight="1" x14ac:dyDescent="0.25">
      <c r="A33" s="37" t="s">
        <v>41</v>
      </c>
      <c r="B33" s="243" t="s">
        <v>42</v>
      </c>
      <c r="C33" s="244"/>
      <c r="D33" s="244"/>
      <c r="E33" s="245"/>
      <c r="F33" s="185">
        <f>(SUM(F34:F36))</f>
        <v>1883250</v>
      </c>
      <c r="G33" s="236"/>
      <c r="H33" s="221"/>
      <c r="I33" s="222"/>
      <c r="J33" s="83">
        <f>SUM(J34:J36)</f>
        <v>0</v>
      </c>
      <c r="K33" s="226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2"/>
      <c r="X33" s="156">
        <f>SUM(X34:X36)</f>
        <v>0</v>
      </c>
      <c r="Y33" s="226"/>
      <c r="Z33" s="221"/>
      <c r="AA33" s="222"/>
      <c r="AB33" s="184">
        <f>(SUM(AB34:AB36))</f>
        <v>6975</v>
      </c>
      <c r="AC33" s="226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2"/>
      <c r="AP33" s="129">
        <f>SUM(AP34:AP36)</f>
        <v>6975</v>
      </c>
      <c r="AQ33" s="226"/>
      <c r="AR33" s="221"/>
      <c r="AS33" s="222"/>
      <c r="AT33" s="184">
        <f>(SUM(AT34:AT36))</f>
        <v>899775</v>
      </c>
      <c r="AU33" s="226"/>
      <c r="AV33" s="261"/>
      <c r="AW33" s="221"/>
      <c r="AX33" s="221"/>
      <c r="AY33" s="221"/>
      <c r="AZ33" s="221"/>
      <c r="BA33" s="221"/>
      <c r="BB33" s="221"/>
      <c r="BC33" s="221"/>
      <c r="BD33" s="221"/>
      <c r="BE33" s="221"/>
      <c r="BF33" s="221"/>
      <c r="BG33" s="222"/>
      <c r="BH33" s="129">
        <f>SUM(BH34:BH36)</f>
        <v>899775</v>
      </c>
      <c r="BI33" s="226"/>
      <c r="BJ33" s="221"/>
      <c r="BK33" s="222"/>
      <c r="BL33" s="184">
        <f>(SUM(BL34:BL36))</f>
        <v>976500</v>
      </c>
      <c r="BM33" s="226"/>
      <c r="BN33" s="221"/>
      <c r="BO33" s="221"/>
      <c r="BP33" s="221"/>
      <c r="BQ33" s="221"/>
      <c r="BR33" s="221"/>
      <c r="BS33" s="221"/>
      <c r="BT33" s="221"/>
      <c r="BU33" s="221"/>
      <c r="BV33" s="221"/>
      <c r="BW33" s="221"/>
      <c r="BX33" s="221"/>
      <c r="BY33" s="221"/>
      <c r="BZ33" s="147">
        <f>SUM(BZ34:BZ36)</f>
        <v>976500</v>
      </c>
    </row>
    <row r="34" spans="1:82" ht="15.75" x14ac:dyDescent="0.25">
      <c r="A34" s="15" t="s">
        <v>43</v>
      </c>
      <c r="B34" s="59" t="s">
        <v>44</v>
      </c>
      <c r="C34" s="149">
        <f>(250+900)/2</f>
        <v>575</v>
      </c>
      <c r="D34" s="67">
        <f>B80*D21</f>
        <v>1350</v>
      </c>
      <c r="E34" s="44"/>
      <c r="F34" s="176">
        <f>C34*D34</f>
        <v>776250</v>
      </c>
      <c r="G34" s="236"/>
      <c r="H34" s="65">
        <f>10*H21</f>
        <v>0</v>
      </c>
      <c r="I34" s="44"/>
      <c r="J34" s="157">
        <f>C34*H34</f>
        <v>0</v>
      </c>
      <c r="K34" s="226"/>
      <c r="L34" s="163">
        <f>10*L21</f>
        <v>0</v>
      </c>
      <c r="M34" s="150">
        <v>0</v>
      </c>
      <c r="N34" s="150">
        <v>0</v>
      </c>
      <c r="O34" s="150">
        <v>0</v>
      </c>
      <c r="P34" s="150">
        <v>0</v>
      </c>
      <c r="Q34" s="150">
        <v>0</v>
      </c>
      <c r="R34" s="150">
        <v>0</v>
      </c>
      <c r="S34" s="150">
        <v>0</v>
      </c>
      <c r="T34" s="150">
        <v>0</v>
      </c>
      <c r="U34" s="150">
        <f>$J$34/3</f>
        <v>0</v>
      </c>
      <c r="V34" s="150">
        <f t="shared" ref="V34:W34" si="74">$J$34/3</f>
        <v>0</v>
      </c>
      <c r="W34" s="150">
        <f t="shared" si="74"/>
        <v>0</v>
      </c>
      <c r="X34" s="179">
        <f>SUM(U34:W34)</f>
        <v>0</v>
      </c>
      <c r="Y34" s="226"/>
      <c r="Z34" s="48">
        <f>B80*Z21</f>
        <v>5</v>
      </c>
      <c r="AA34" s="13"/>
      <c r="AB34" s="183">
        <f>C34*Z34</f>
        <v>2875</v>
      </c>
      <c r="AC34" s="226"/>
      <c r="AD34" s="164">
        <f>10*AD21</f>
        <v>0</v>
      </c>
      <c r="AE34" s="165">
        <v>0</v>
      </c>
      <c r="AF34" s="165">
        <v>0</v>
      </c>
      <c r="AG34" s="165">
        <v>0</v>
      </c>
      <c r="AH34" s="165">
        <v>0</v>
      </c>
      <c r="AI34" s="165">
        <v>0</v>
      </c>
      <c r="AJ34" s="165">
        <v>0</v>
      </c>
      <c r="AK34" s="165">
        <v>0</v>
      </c>
      <c r="AL34" s="165">
        <v>0</v>
      </c>
      <c r="AM34" s="153">
        <f>$AB$34/3</f>
        <v>958.33333333333337</v>
      </c>
      <c r="AN34" s="153">
        <f t="shared" ref="AN34:AO34" si="75">$AB$34/3</f>
        <v>958.33333333333337</v>
      </c>
      <c r="AO34" s="153">
        <f t="shared" si="75"/>
        <v>958.33333333333337</v>
      </c>
      <c r="AP34" s="157">
        <f>SUM(AM34:AO34)</f>
        <v>2875</v>
      </c>
      <c r="AQ34" s="226"/>
      <c r="AR34" s="100">
        <f>B80*AR21</f>
        <v>645</v>
      </c>
      <c r="AS34" s="13"/>
      <c r="AT34" s="183">
        <f>C34*AR34</f>
        <v>370875</v>
      </c>
      <c r="AU34" s="226"/>
      <c r="AV34" s="160">
        <f>$AT$34/12</f>
        <v>30906.25</v>
      </c>
      <c r="AW34" s="160">
        <f t="shared" ref="AW34:BG34" si="76">$AT$34/12</f>
        <v>30906.25</v>
      </c>
      <c r="AX34" s="160">
        <f t="shared" si="76"/>
        <v>30906.25</v>
      </c>
      <c r="AY34" s="160">
        <f t="shared" si="76"/>
        <v>30906.25</v>
      </c>
      <c r="AZ34" s="160">
        <f t="shared" si="76"/>
        <v>30906.25</v>
      </c>
      <c r="BA34" s="160">
        <f t="shared" si="76"/>
        <v>30906.25</v>
      </c>
      <c r="BB34" s="160">
        <f t="shared" si="76"/>
        <v>30906.25</v>
      </c>
      <c r="BC34" s="160">
        <f t="shared" si="76"/>
        <v>30906.25</v>
      </c>
      <c r="BD34" s="160">
        <f t="shared" si="76"/>
        <v>30906.25</v>
      </c>
      <c r="BE34" s="160">
        <f t="shared" si="76"/>
        <v>30906.25</v>
      </c>
      <c r="BF34" s="160">
        <f t="shared" si="76"/>
        <v>30906.25</v>
      </c>
      <c r="BG34" s="160">
        <f t="shared" si="76"/>
        <v>30906.25</v>
      </c>
      <c r="BH34" s="160">
        <f>SUM(AV34:BG34)</f>
        <v>370875</v>
      </c>
      <c r="BI34" s="226"/>
      <c r="BJ34" s="100">
        <f>B80*BJ21</f>
        <v>700</v>
      </c>
      <c r="BK34" s="13"/>
      <c r="BL34" s="183">
        <f>C34*BJ34</f>
        <v>402500</v>
      </c>
      <c r="BM34" s="226"/>
      <c r="BN34" s="160">
        <f>$BL$34/12</f>
        <v>33541.666666666664</v>
      </c>
      <c r="BO34" s="160">
        <f t="shared" ref="BO34:BY34" si="77">$BL$34/12</f>
        <v>33541.666666666664</v>
      </c>
      <c r="BP34" s="160">
        <f t="shared" si="77"/>
        <v>33541.666666666664</v>
      </c>
      <c r="BQ34" s="160">
        <f t="shared" si="77"/>
        <v>33541.666666666664</v>
      </c>
      <c r="BR34" s="160">
        <f t="shared" si="77"/>
        <v>33541.666666666664</v>
      </c>
      <c r="BS34" s="160">
        <f t="shared" si="77"/>
        <v>33541.666666666664</v>
      </c>
      <c r="BT34" s="160">
        <f t="shared" si="77"/>
        <v>33541.666666666664</v>
      </c>
      <c r="BU34" s="160">
        <f t="shared" si="77"/>
        <v>33541.666666666664</v>
      </c>
      <c r="BV34" s="160">
        <f t="shared" si="77"/>
        <v>33541.666666666664</v>
      </c>
      <c r="BW34" s="160">
        <f t="shared" si="77"/>
        <v>33541.666666666664</v>
      </c>
      <c r="BX34" s="160">
        <f t="shared" si="77"/>
        <v>33541.666666666664</v>
      </c>
      <c r="BY34" s="160">
        <f t="shared" si="77"/>
        <v>33541.666666666664</v>
      </c>
      <c r="BZ34" s="149">
        <f>SUM(BN34:BY34)</f>
        <v>402500.00000000006</v>
      </c>
    </row>
    <row r="35" spans="1:82" ht="15.75" x14ac:dyDescent="0.25">
      <c r="A35" s="15" t="s">
        <v>45</v>
      </c>
      <c r="B35" s="59" t="s">
        <v>46</v>
      </c>
      <c r="C35" s="149">
        <f>(600+800)/2</f>
        <v>700</v>
      </c>
      <c r="D35" s="67">
        <f>B81*D21</f>
        <v>810</v>
      </c>
      <c r="E35" s="44"/>
      <c r="F35" s="176">
        <f>C35*D35</f>
        <v>567000</v>
      </c>
      <c r="G35" s="236"/>
      <c r="H35" s="65">
        <f>4*H21</f>
        <v>0</v>
      </c>
      <c r="I35" s="44"/>
      <c r="J35" s="157">
        <f>C35*H35</f>
        <v>0</v>
      </c>
      <c r="K35" s="226"/>
      <c r="L35" s="163">
        <f t="shared" ref="L35:L36" si="78">10*L22</f>
        <v>0</v>
      </c>
      <c r="M35" s="150">
        <v>0</v>
      </c>
      <c r="N35" s="150">
        <v>0</v>
      </c>
      <c r="O35" s="150">
        <v>0</v>
      </c>
      <c r="P35" s="150">
        <v>0</v>
      </c>
      <c r="Q35" s="150">
        <v>0</v>
      </c>
      <c r="R35" s="150">
        <v>0</v>
      </c>
      <c r="S35" s="150">
        <v>0</v>
      </c>
      <c r="T35" s="150">
        <v>0</v>
      </c>
      <c r="U35" s="150">
        <f>$J$35/3</f>
        <v>0</v>
      </c>
      <c r="V35" s="150">
        <f t="shared" ref="V35:W35" si="79">$J$35/3</f>
        <v>0</v>
      </c>
      <c r="W35" s="150">
        <f t="shared" si="79"/>
        <v>0</v>
      </c>
      <c r="X35" s="179">
        <f>SUM(U35:W35)</f>
        <v>0</v>
      </c>
      <c r="Y35" s="226"/>
      <c r="Z35" s="48">
        <f>B81*Z21</f>
        <v>3</v>
      </c>
      <c r="AA35" s="13"/>
      <c r="AB35" s="183">
        <f>C35*Z35</f>
        <v>2100</v>
      </c>
      <c r="AC35" s="226"/>
      <c r="AD35" s="163">
        <f t="shared" ref="AD35:AD36" si="80">10*AD22</f>
        <v>0</v>
      </c>
      <c r="AE35" s="150">
        <v>0</v>
      </c>
      <c r="AF35" s="150">
        <v>0</v>
      </c>
      <c r="AG35" s="150">
        <v>0</v>
      </c>
      <c r="AH35" s="150">
        <v>0</v>
      </c>
      <c r="AI35" s="150">
        <v>0</v>
      </c>
      <c r="AJ35" s="150">
        <v>0</v>
      </c>
      <c r="AK35" s="150">
        <v>0</v>
      </c>
      <c r="AL35" s="150">
        <v>0</v>
      </c>
      <c r="AM35" s="149">
        <f>$AB$35/3</f>
        <v>700</v>
      </c>
      <c r="AN35" s="149">
        <f t="shared" ref="AN35:AO35" si="81">$AB$35/3</f>
        <v>700</v>
      </c>
      <c r="AO35" s="149">
        <f t="shared" si="81"/>
        <v>700</v>
      </c>
      <c r="AP35" s="157">
        <f>SUM(AM35:AO35)</f>
        <v>2100</v>
      </c>
      <c r="AQ35" s="226"/>
      <c r="AR35" s="100">
        <f>B81*AR21</f>
        <v>387</v>
      </c>
      <c r="AS35" s="13"/>
      <c r="AT35" s="183">
        <f>C35*AR35</f>
        <v>270900</v>
      </c>
      <c r="AU35" s="226"/>
      <c r="AV35" s="160">
        <f>$AT$35/12</f>
        <v>22575</v>
      </c>
      <c r="AW35" s="160">
        <f t="shared" ref="AW35:BG35" si="82">$AT$35/12</f>
        <v>22575</v>
      </c>
      <c r="AX35" s="160">
        <f t="shared" si="82"/>
        <v>22575</v>
      </c>
      <c r="AY35" s="160">
        <f t="shared" si="82"/>
        <v>22575</v>
      </c>
      <c r="AZ35" s="160">
        <f t="shared" si="82"/>
        <v>22575</v>
      </c>
      <c r="BA35" s="160">
        <f t="shared" si="82"/>
        <v>22575</v>
      </c>
      <c r="BB35" s="160">
        <f t="shared" si="82"/>
        <v>22575</v>
      </c>
      <c r="BC35" s="160">
        <f t="shared" si="82"/>
        <v>22575</v>
      </c>
      <c r="BD35" s="160">
        <f t="shared" si="82"/>
        <v>22575</v>
      </c>
      <c r="BE35" s="160">
        <f t="shared" si="82"/>
        <v>22575</v>
      </c>
      <c r="BF35" s="160">
        <f t="shared" si="82"/>
        <v>22575</v>
      </c>
      <c r="BG35" s="160">
        <f t="shared" si="82"/>
        <v>22575</v>
      </c>
      <c r="BH35" s="157">
        <f>SUM(AV35:BG35)</f>
        <v>270900</v>
      </c>
      <c r="BI35" s="226"/>
      <c r="BJ35" s="100">
        <f>B81*BJ21</f>
        <v>420</v>
      </c>
      <c r="BK35" s="13"/>
      <c r="BL35" s="183">
        <f>C35*BJ35</f>
        <v>294000</v>
      </c>
      <c r="BM35" s="226"/>
      <c r="BN35" s="160">
        <f>$BL$35/12</f>
        <v>24500</v>
      </c>
      <c r="BO35" s="160">
        <f t="shared" ref="BO35:BY35" si="83">$BL$35/12</f>
        <v>24500</v>
      </c>
      <c r="BP35" s="160">
        <f t="shared" si="83"/>
        <v>24500</v>
      </c>
      <c r="BQ35" s="160">
        <f t="shared" si="83"/>
        <v>24500</v>
      </c>
      <c r="BR35" s="160">
        <f t="shared" si="83"/>
        <v>24500</v>
      </c>
      <c r="BS35" s="160">
        <f t="shared" si="83"/>
        <v>24500</v>
      </c>
      <c r="BT35" s="160">
        <f t="shared" si="83"/>
        <v>24500</v>
      </c>
      <c r="BU35" s="160">
        <f t="shared" si="83"/>
        <v>24500</v>
      </c>
      <c r="BV35" s="160">
        <f t="shared" si="83"/>
        <v>24500</v>
      </c>
      <c r="BW35" s="160">
        <f t="shared" si="83"/>
        <v>24500</v>
      </c>
      <c r="BX35" s="160">
        <f t="shared" si="83"/>
        <v>24500</v>
      </c>
      <c r="BY35" s="160">
        <f t="shared" si="83"/>
        <v>24500</v>
      </c>
      <c r="BZ35" s="149">
        <f>SUM(BN35:BY35)</f>
        <v>294000</v>
      </c>
    </row>
    <row r="36" spans="1:82" ht="15.75" x14ac:dyDescent="0.25">
      <c r="A36" s="15" t="s">
        <v>47</v>
      </c>
      <c r="B36" s="59" t="s">
        <v>48</v>
      </c>
      <c r="C36" s="149">
        <f>(800+1200)/2</f>
        <v>1000</v>
      </c>
      <c r="D36" s="67">
        <f>B82*D21</f>
        <v>540</v>
      </c>
      <c r="E36" s="44"/>
      <c r="F36" s="176">
        <f>C36*D36</f>
        <v>540000</v>
      </c>
      <c r="G36" s="236"/>
      <c r="H36" s="65">
        <f>3*H21</f>
        <v>0</v>
      </c>
      <c r="I36" s="44"/>
      <c r="J36" s="157">
        <f>C36*H36</f>
        <v>0</v>
      </c>
      <c r="K36" s="226"/>
      <c r="L36" s="163">
        <f t="shared" si="78"/>
        <v>0</v>
      </c>
      <c r="M36" s="150">
        <v>0</v>
      </c>
      <c r="N36" s="150">
        <v>0</v>
      </c>
      <c r="O36" s="150">
        <v>0</v>
      </c>
      <c r="P36" s="150">
        <v>0</v>
      </c>
      <c r="Q36" s="150">
        <v>0</v>
      </c>
      <c r="R36" s="150">
        <v>0</v>
      </c>
      <c r="S36" s="150">
        <v>0</v>
      </c>
      <c r="T36" s="150">
        <v>0</v>
      </c>
      <c r="U36" s="150">
        <f>$J$36/3</f>
        <v>0</v>
      </c>
      <c r="V36" s="150">
        <f t="shared" ref="V36:W36" si="84">$J$36/3</f>
        <v>0</v>
      </c>
      <c r="W36" s="150">
        <f t="shared" si="84"/>
        <v>0</v>
      </c>
      <c r="X36" s="179">
        <f>SUM(U36:W36)</f>
        <v>0</v>
      </c>
      <c r="Y36" s="226"/>
      <c r="Z36" s="48">
        <f>B82*Z21</f>
        <v>2</v>
      </c>
      <c r="AA36" s="13"/>
      <c r="AB36" s="183">
        <f>C36*Z36</f>
        <v>2000</v>
      </c>
      <c r="AC36" s="226"/>
      <c r="AD36" s="180">
        <f t="shared" si="80"/>
        <v>0</v>
      </c>
      <c r="AE36" s="168">
        <v>0</v>
      </c>
      <c r="AF36" s="168">
        <v>0</v>
      </c>
      <c r="AG36" s="168">
        <v>0</v>
      </c>
      <c r="AH36" s="168">
        <v>0</v>
      </c>
      <c r="AI36" s="168">
        <v>0</v>
      </c>
      <c r="AJ36" s="168">
        <v>0</v>
      </c>
      <c r="AK36" s="168">
        <v>0</v>
      </c>
      <c r="AL36" s="168">
        <v>0</v>
      </c>
      <c r="AM36" s="154">
        <f>$AB$36/3</f>
        <v>666.66666666666663</v>
      </c>
      <c r="AN36" s="154">
        <f t="shared" ref="AN36:AO36" si="85">$AB$36/3</f>
        <v>666.66666666666663</v>
      </c>
      <c r="AO36" s="154">
        <f t="shared" si="85"/>
        <v>666.66666666666663</v>
      </c>
      <c r="AP36" s="157">
        <f>SUM(AM36:AO36)</f>
        <v>2000</v>
      </c>
      <c r="AQ36" s="226"/>
      <c r="AR36" s="100">
        <f>B82*AR21</f>
        <v>258</v>
      </c>
      <c r="AS36" s="13"/>
      <c r="AT36" s="183">
        <f>C36*AR36</f>
        <v>258000</v>
      </c>
      <c r="AU36" s="226"/>
      <c r="AV36" s="160">
        <f>$AT$36/12</f>
        <v>21500</v>
      </c>
      <c r="AW36" s="160">
        <f t="shared" ref="AW36:BG36" si="86">$AT$36/12</f>
        <v>21500</v>
      </c>
      <c r="AX36" s="160">
        <f t="shared" si="86"/>
        <v>21500</v>
      </c>
      <c r="AY36" s="160">
        <f t="shared" si="86"/>
        <v>21500</v>
      </c>
      <c r="AZ36" s="160">
        <f t="shared" si="86"/>
        <v>21500</v>
      </c>
      <c r="BA36" s="160">
        <f t="shared" si="86"/>
        <v>21500</v>
      </c>
      <c r="BB36" s="160">
        <f t="shared" si="86"/>
        <v>21500</v>
      </c>
      <c r="BC36" s="160">
        <f t="shared" si="86"/>
        <v>21500</v>
      </c>
      <c r="BD36" s="160">
        <f t="shared" si="86"/>
        <v>21500</v>
      </c>
      <c r="BE36" s="160">
        <f t="shared" si="86"/>
        <v>21500</v>
      </c>
      <c r="BF36" s="160">
        <f t="shared" si="86"/>
        <v>21500</v>
      </c>
      <c r="BG36" s="160">
        <f t="shared" si="86"/>
        <v>21500</v>
      </c>
      <c r="BH36" s="157">
        <f>SUM(AV36:BG36)</f>
        <v>258000</v>
      </c>
      <c r="BI36" s="226"/>
      <c r="BJ36" s="100">
        <f>B82*BJ21</f>
        <v>280</v>
      </c>
      <c r="BK36" s="13"/>
      <c r="BL36" s="183">
        <f>C36*BJ36</f>
        <v>280000</v>
      </c>
      <c r="BM36" s="226"/>
      <c r="BN36" s="160">
        <f>$BL$36/12</f>
        <v>23333.333333333332</v>
      </c>
      <c r="BO36" s="160">
        <f t="shared" ref="BO36:BY36" si="87">$BL$36/12</f>
        <v>23333.333333333332</v>
      </c>
      <c r="BP36" s="160">
        <f t="shared" si="87"/>
        <v>23333.333333333332</v>
      </c>
      <c r="BQ36" s="160">
        <f t="shared" si="87"/>
        <v>23333.333333333332</v>
      </c>
      <c r="BR36" s="160">
        <f t="shared" si="87"/>
        <v>23333.333333333332</v>
      </c>
      <c r="BS36" s="160">
        <f t="shared" si="87"/>
        <v>23333.333333333332</v>
      </c>
      <c r="BT36" s="160">
        <f t="shared" si="87"/>
        <v>23333.333333333332</v>
      </c>
      <c r="BU36" s="160">
        <f t="shared" si="87"/>
        <v>23333.333333333332</v>
      </c>
      <c r="BV36" s="160">
        <f t="shared" si="87"/>
        <v>23333.333333333332</v>
      </c>
      <c r="BW36" s="160">
        <f t="shared" si="87"/>
        <v>23333.333333333332</v>
      </c>
      <c r="BX36" s="160">
        <f t="shared" si="87"/>
        <v>23333.333333333332</v>
      </c>
      <c r="BY36" s="160">
        <f t="shared" si="87"/>
        <v>23333.333333333332</v>
      </c>
      <c r="BZ36" s="149">
        <f>SUM(BN36:BY36)</f>
        <v>280000.00000000006</v>
      </c>
    </row>
    <row r="37" spans="1:82" ht="23.45" customHeight="1" x14ac:dyDescent="0.25">
      <c r="A37" s="37" t="s">
        <v>49</v>
      </c>
      <c r="B37" s="238" t="s">
        <v>50</v>
      </c>
      <c r="C37" s="271"/>
      <c r="D37" s="271"/>
      <c r="E37" s="272"/>
      <c r="F37" s="85">
        <f>SUM(F38:F38)</f>
        <v>59400</v>
      </c>
      <c r="G37" s="236"/>
      <c r="H37" s="221"/>
      <c r="I37" s="222"/>
      <c r="J37" s="83">
        <f>SUM(J38)</f>
        <v>0</v>
      </c>
      <c r="K37" s="226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2"/>
      <c r="X37" s="156">
        <f>SUM(X38)</f>
        <v>0</v>
      </c>
      <c r="Y37" s="226"/>
      <c r="Z37" s="221"/>
      <c r="AA37" s="222"/>
      <c r="AB37" s="83">
        <f>SUM(AB38)</f>
        <v>300</v>
      </c>
      <c r="AC37" s="226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  <c r="AO37" s="222"/>
      <c r="AP37" s="129">
        <f>SUM(AP38)</f>
        <v>0</v>
      </c>
      <c r="AQ37" s="226"/>
      <c r="AR37" s="221"/>
      <c r="AS37" s="222"/>
      <c r="AT37" s="83">
        <f>SUM(AT38)</f>
        <v>58050</v>
      </c>
      <c r="AU37" s="226"/>
      <c r="AV37" s="261"/>
      <c r="AW37" s="221"/>
      <c r="AX37" s="221"/>
      <c r="AY37" s="221"/>
      <c r="AZ37" s="221"/>
      <c r="BA37" s="221"/>
      <c r="BB37" s="221"/>
      <c r="BC37" s="221"/>
      <c r="BD37" s="221"/>
      <c r="BE37" s="221"/>
      <c r="BF37" s="221"/>
      <c r="BG37" s="222"/>
      <c r="BH37" s="129">
        <f>SUM(BH38)</f>
        <v>58050</v>
      </c>
      <c r="BI37" s="226"/>
      <c r="BJ37" s="221"/>
      <c r="BK37" s="222"/>
      <c r="BL37" s="83">
        <f>SUM(BL38)</f>
        <v>32250</v>
      </c>
      <c r="BM37" s="226"/>
      <c r="BN37" s="221"/>
      <c r="BO37" s="221"/>
      <c r="BP37" s="221"/>
      <c r="BQ37" s="221"/>
      <c r="BR37" s="221"/>
      <c r="BS37" s="221"/>
      <c r="BT37" s="221"/>
      <c r="BU37" s="221"/>
      <c r="BV37" s="221"/>
      <c r="BW37" s="221"/>
      <c r="BX37" s="221"/>
      <c r="BY37" s="221"/>
      <c r="BZ37" s="147">
        <f>SUM(BZ38)</f>
        <v>32250</v>
      </c>
    </row>
    <row r="38" spans="1:82" ht="17.25" customHeight="1" x14ac:dyDescent="0.25">
      <c r="A38" s="15" t="s">
        <v>51</v>
      </c>
      <c r="B38" s="59" t="s">
        <v>52</v>
      </c>
      <c r="C38" s="149">
        <v>150</v>
      </c>
      <c r="D38" s="51">
        <v>396</v>
      </c>
      <c r="E38" s="39"/>
      <c r="F38" s="82">
        <f>C38*D38</f>
        <v>59400</v>
      </c>
      <c r="G38" s="236"/>
      <c r="H38" s="65">
        <f>H21+H30</f>
        <v>0</v>
      </c>
      <c r="I38" s="39"/>
      <c r="J38" s="157">
        <f>C38*H38</f>
        <v>0</v>
      </c>
      <c r="K38" s="226"/>
      <c r="L38" s="163">
        <v>0</v>
      </c>
      <c r="M38" s="150">
        <v>0</v>
      </c>
      <c r="N38" s="150">
        <v>0</v>
      </c>
      <c r="O38" s="150">
        <v>0</v>
      </c>
      <c r="P38" s="150">
        <v>0</v>
      </c>
      <c r="Q38" s="150">
        <v>0</v>
      </c>
      <c r="R38" s="150">
        <v>0</v>
      </c>
      <c r="S38" s="150">
        <v>0</v>
      </c>
      <c r="T38" s="150">
        <v>0</v>
      </c>
      <c r="U38" s="150">
        <f>$J$38/3</f>
        <v>0</v>
      </c>
      <c r="V38" s="150">
        <f t="shared" ref="V38:W38" si="88">$J$38/3</f>
        <v>0</v>
      </c>
      <c r="W38" s="150">
        <f t="shared" si="88"/>
        <v>0</v>
      </c>
      <c r="X38" s="179">
        <f>SUM(U38:W38)</f>
        <v>0</v>
      </c>
      <c r="Y38" s="226"/>
      <c r="Z38" s="51">
        <f>Z21+Z30</f>
        <v>2</v>
      </c>
      <c r="AA38" s="13"/>
      <c r="AB38" s="157">
        <f>C38*Z38</f>
        <v>300</v>
      </c>
      <c r="AC38" s="226"/>
      <c r="AD38" s="181">
        <v>0</v>
      </c>
      <c r="AE38" s="182">
        <v>0</v>
      </c>
      <c r="AF38" s="182">
        <v>0</v>
      </c>
      <c r="AG38" s="182">
        <v>0</v>
      </c>
      <c r="AH38" s="182">
        <v>0</v>
      </c>
      <c r="AI38" s="182">
        <v>0</v>
      </c>
      <c r="AJ38" s="182">
        <v>0</v>
      </c>
      <c r="AK38" s="182">
        <v>0</v>
      </c>
      <c r="AL38" s="182">
        <v>0</v>
      </c>
      <c r="AM38" s="182">
        <f>$J$38/3</f>
        <v>0</v>
      </c>
      <c r="AN38" s="182">
        <f t="shared" ref="AN38:AO38" si="89">$J$38/3</f>
        <v>0</v>
      </c>
      <c r="AO38" s="182">
        <f t="shared" si="89"/>
        <v>0</v>
      </c>
      <c r="AP38" s="179">
        <f>SUM(AM38:AO38)</f>
        <v>0</v>
      </c>
      <c r="AQ38" s="226"/>
      <c r="AR38" s="65">
        <f>AR21+AR36</f>
        <v>387</v>
      </c>
      <c r="AS38" s="13"/>
      <c r="AT38" s="157">
        <f>C38*AR38</f>
        <v>58050</v>
      </c>
      <c r="AU38" s="226"/>
      <c r="AV38" s="162">
        <f>$AT$38/12</f>
        <v>4837.5</v>
      </c>
      <c r="AW38" s="162">
        <f t="shared" ref="AW38:BG38" si="90">$AT$38/12</f>
        <v>4837.5</v>
      </c>
      <c r="AX38" s="162">
        <f t="shared" si="90"/>
        <v>4837.5</v>
      </c>
      <c r="AY38" s="162">
        <f t="shared" si="90"/>
        <v>4837.5</v>
      </c>
      <c r="AZ38" s="162">
        <f t="shared" si="90"/>
        <v>4837.5</v>
      </c>
      <c r="BA38" s="162">
        <f t="shared" si="90"/>
        <v>4837.5</v>
      </c>
      <c r="BB38" s="162">
        <f t="shared" si="90"/>
        <v>4837.5</v>
      </c>
      <c r="BC38" s="162">
        <f t="shared" si="90"/>
        <v>4837.5</v>
      </c>
      <c r="BD38" s="162">
        <f t="shared" si="90"/>
        <v>4837.5</v>
      </c>
      <c r="BE38" s="162">
        <f t="shared" si="90"/>
        <v>4837.5</v>
      </c>
      <c r="BF38" s="162">
        <f t="shared" si="90"/>
        <v>4837.5</v>
      </c>
      <c r="BG38" s="162">
        <f t="shared" si="90"/>
        <v>4837.5</v>
      </c>
      <c r="BH38" s="157">
        <f>SUM(AV38:BG38)</f>
        <v>58050</v>
      </c>
      <c r="BI38" s="226"/>
      <c r="BJ38" s="65">
        <f>BJ21+BJ30</f>
        <v>215</v>
      </c>
      <c r="BK38" s="13"/>
      <c r="BL38" s="157">
        <f>C38*BJ38</f>
        <v>32250</v>
      </c>
      <c r="BM38" s="226"/>
      <c r="BN38" s="162">
        <f>$BL$38/12</f>
        <v>2687.5</v>
      </c>
      <c r="BO38" s="162">
        <f t="shared" ref="BO38:BY38" si="91">$BL$38/12</f>
        <v>2687.5</v>
      </c>
      <c r="BP38" s="162">
        <f t="shared" si="91"/>
        <v>2687.5</v>
      </c>
      <c r="BQ38" s="162">
        <f t="shared" si="91"/>
        <v>2687.5</v>
      </c>
      <c r="BR38" s="162">
        <f t="shared" si="91"/>
        <v>2687.5</v>
      </c>
      <c r="BS38" s="162">
        <f t="shared" si="91"/>
        <v>2687.5</v>
      </c>
      <c r="BT38" s="162">
        <f t="shared" si="91"/>
        <v>2687.5</v>
      </c>
      <c r="BU38" s="162">
        <f t="shared" si="91"/>
        <v>2687.5</v>
      </c>
      <c r="BV38" s="162">
        <f t="shared" si="91"/>
        <v>2687.5</v>
      </c>
      <c r="BW38" s="162">
        <f t="shared" si="91"/>
        <v>2687.5</v>
      </c>
      <c r="BX38" s="162">
        <f t="shared" si="91"/>
        <v>2687.5</v>
      </c>
      <c r="BY38" s="162">
        <f t="shared" si="91"/>
        <v>2687.5</v>
      </c>
      <c r="BZ38" s="149">
        <f>SUM(BN38:BY38)</f>
        <v>32250</v>
      </c>
    </row>
    <row r="39" spans="1:82" ht="26.45" customHeight="1" x14ac:dyDescent="0.25">
      <c r="A39" s="37" t="s">
        <v>53</v>
      </c>
      <c r="B39" s="238" t="s">
        <v>54</v>
      </c>
      <c r="C39" s="271"/>
      <c r="D39" s="271"/>
      <c r="E39" s="272"/>
      <c r="F39" s="83">
        <f>SUM(F40:F40)</f>
        <v>723150</v>
      </c>
      <c r="G39" s="236"/>
      <c r="H39" s="221"/>
      <c r="I39" s="222"/>
      <c r="J39" s="83">
        <f>SUM(J40)</f>
        <v>36157.5</v>
      </c>
      <c r="K39" s="226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2"/>
      <c r="X39" s="156">
        <f>SUM(X40)</f>
        <v>36157.5</v>
      </c>
      <c r="Y39" s="226"/>
      <c r="Z39" s="221"/>
      <c r="AA39" s="222"/>
      <c r="AB39" s="83">
        <f>SUM(AB40)</f>
        <v>578520</v>
      </c>
      <c r="AC39" s="226"/>
      <c r="AD39" s="221"/>
      <c r="AE39" s="221"/>
      <c r="AF39" s="221"/>
      <c r="AG39" s="221"/>
      <c r="AH39" s="221"/>
      <c r="AI39" s="221"/>
      <c r="AJ39" s="221"/>
      <c r="AK39" s="221"/>
      <c r="AL39" s="221"/>
      <c r="AM39" s="221"/>
      <c r="AN39" s="221"/>
      <c r="AO39" s="222"/>
      <c r="AP39" s="129">
        <f>SUM(AP40)</f>
        <v>578520</v>
      </c>
      <c r="AQ39" s="226"/>
      <c r="AR39" s="221"/>
      <c r="AS39" s="222"/>
      <c r="AT39" s="83">
        <f>SUM(AT40)</f>
        <v>36157.5</v>
      </c>
      <c r="AU39" s="226"/>
      <c r="AV39" s="261"/>
      <c r="AW39" s="221"/>
      <c r="AX39" s="221"/>
      <c r="AY39" s="221"/>
      <c r="AZ39" s="221"/>
      <c r="BA39" s="221"/>
      <c r="BB39" s="221"/>
      <c r="BC39" s="221"/>
      <c r="BD39" s="221"/>
      <c r="BE39" s="221"/>
      <c r="BF39" s="221"/>
      <c r="BG39" s="222"/>
      <c r="BH39" s="129">
        <f>SUM(BH40)</f>
        <v>36157.5</v>
      </c>
      <c r="BI39" s="226"/>
      <c r="BJ39" s="221"/>
      <c r="BK39" s="222"/>
      <c r="BL39" s="83">
        <f>SUM(BL40)</f>
        <v>0</v>
      </c>
      <c r="BM39" s="226"/>
      <c r="BN39" s="221"/>
      <c r="BO39" s="221"/>
      <c r="BP39" s="221"/>
      <c r="BQ39" s="221"/>
      <c r="BR39" s="221"/>
      <c r="BS39" s="221"/>
      <c r="BT39" s="221"/>
      <c r="BU39" s="221"/>
      <c r="BV39" s="221"/>
      <c r="BW39" s="221"/>
      <c r="BX39" s="221"/>
      <c r="BY39" s="221"/>
      <c r="BZ39" s="147">
        <f>SUM(BZ40)</f>
        <v>0</v>
      </c>
    </row>
    <row r="40" spans="1:82" ht="79.150000000000006" customHeight="1" thickBot="1" x14ac:dyDescent="0.3">
      <c r="A40" s="23" t="s">
        <v>55</v>
      </c>
      <c r="B40" s="7" t="s">
        <v>56</v>
      </c>
      <c r="C40" s="149">
        <f>(F15+F24+F37)*0.05</f>
        <v>723150</v>
      </c>
      <c r="D40" s="51">
        <v>1</v>
      </c>
      <c r="E40" s="9"/>
      <c r="F40" s="149">
        <f>C40*D40</f>
        <v>723150</v>
      </c>
      <c r="G40" s="237"/>
      <c r="H40" s="65">
        <v>1</v>
      </c>
      <c r="I40" s="39"/>
      <c r="J40" s="157">
        <f>C40*0.05</f>
        <v>36157.5</v>
      </c>
      <c r="K40" s="227"/>
      <c r="L40" s="163">
        <v>0</v>
      </c>
      <c r="M40" s="150">
        <v>0</v>
      </c>
      <c r="N40" s="150">
        <v>0</v>
      </c>
      <c r="O40" s="150">
        <v>0</v>
      </c>
      <c r="P40" s="150">
        <v>0</v>
      </c>
      <c r="Q40" s="150">
        <v>0</v>
      </c>
      <c r="R40" s="150">
        <v>0</v>
      </c>
      <c r="S40" s="150">
        <v>0</v>
      </c>
      <c r="T40" s="150">
        <v>0</v>
      </c>
      <c r="U40" s="149">
        <f>$J$40/3</f>
        <v>12052.5</v>
      </c>
      <c r="V40" s="149">
        <f t="shared" ref="V40:W40" si="92">$J$40/3</f>
        <v>12052.5</v>
      </c>
      <c r="W40" s="149">
        <f t="shared" si="92"/>
        <v>12052.5</v>
      </c>
      <c r="X40" s="171">
        <f>SUM(U40:W40)</f>
        <v>36157.5</v>
      </c>
      <c r="Y40" s="227"/>
      <c r="Z40" s="51">
        <v>1</v>
      </c>
      <c r="AA40" s="13"/>
      <c r="AB40" s="157">
        <f>C40*0.8</f>
        <v>578520</v>
      </c>
      <c r="AC40" s="227"/>
      <c r="AD40" s="160">
        <f t="shared" ref="AD40:AO40" si="93">$AB$40/12</f>
        <v>48210</v>
      </c>
      <c r="AE40" s="153">
        <f t="shared" si="93"/>
        <v>48210</v>
      </c>
      <c r="AF40" s="153">
        <f t="shared" si="93"/>
        <v>48210</v>
      </c>
      <c r="AG40" s="153">
        <f t="shared" si="93"/>
        <v>48210</v>
      </c>
      <c r="AH40" s="153">
        <f t="shared" si="93"/>
        <v>48210</v>
      </c>
      <c r="AI40" s="153">
        <f t="shared" si="93"/>
        <v>48210</v>
      </c>
      <c r="AJ40" s="153">
        <f t="shared" si="93"/>
        <v>48210</v>
      </c>
      <c r="AK40" s="153">
        <f t="shared" si="93"/>
        <v>48210</v>
      </c>
      <c r="AL40" s="153">
        <f t="shared" si="93"/>
        <v>48210</v>
      </c>
      <c r="AM40" s="153">
        <f>$AB$40/12</f>
        <v>48210</v>
      </c>
      <c r="AN40" s="153">
        <f t="shared" si="93"/>
        <v>48210</v>
      </c>
      <c r="AO40" s="153">
        <f t="shared" si="93"/>
        <v>48210</v>
      </c>
      <c r="AP40" s="171">
        <f>SUM(AD40:AO40)</f>
        <v>578520</v>
      </c>
      <c r="AQ40" s="227"/>
      <c r="AR40" s="65">
        <v>1</v>
      </c>
      <c r="AS40" s="13"/>
      <c r="AT40" s="157">
        <f>C40*0.05</f>
        <v>36157.5</v>
      </c>
      <c r="AU40" s="227"/>
      <c r="AV40" s="160">
        <f>$AT$40/12</f>
        <v>3013.125</v>
      </c>
      <c r="AW40" s="160">
        <f t="shared" ref="AW40:BG40" si="94">$AT$40/12</f>
        <v>3013.125</v>
      </c>
      <c r="AX40" s="160">
        <f t="shared" si="94"/>
        <v>3013.125</v>
      </c>
      <c r="AY40" s="160">
        <f t="shared" si="94"/>
        <v>3013.125</v>
      </c>
      <c r="AZ40" s="160">
        <f t="shared" si="94"/>
        <v>3013.125</v>
      </c>
      <c r="BA40" s="160">
        <f t="shared" si="94"/>
        <v>3013.125</v>
      </c>
      <c r="BB40" s="160">
        <f t="shared" si="94"/>
        <v>3013.125</v>
      </c>
      <c r="BC40" s="160">
        <f t="shared" si="94"/>
        <v>3013.125</v>
      </c>
      <c r="BD40" s="160">
        <f t="shared" si="94"/>
        <v>3013.125</v>
      </c>
      <c r="BE40" s="160">
        <f t="shared" si="94"/>
        <v>3013.125</v>
      </c>
      <c r="BF40" s="160">
        <f t="shared" si="94"/>
        <v>3013.125</v>
      </c>
      <c r="BG40" s="160">
        <f t="shared" si="94"/>
        <v>3013.125</v>
      </c>
      <c r="BH40" s="171">
        <f>SUM(AV40:BG40)</f>
        <v>36157.5</v>
      </c>
      <c r="BI40" s="227"/>
      <c r="BJ40" s="65">
        <v>1</v>
      </c>
      <c r="BK40" s="13"/>
      <c r="BL40" s="157">
        <f>C40*0</f>
        <v>0</v>
      </c>
      <c r="BM40" s="227"/>
      <c r="BN40" s="164">
        <f>$BL$40/12</f>
        <v>0</v>
      </c>
      <c r="BO40" s="164">
        <f t="shared" ref="BO40:BY40" si="95">$BL$40/12</f>
        <v>0</v>
      </c>
      <c r="BP40" s="164">
        <f t="shared" si="95"/>
        <v>0</v>
      </c>
      <c r="BQ40" s="164">
        <f t="shared" si="95"/>
        <v>0</v>
      </c>
      <c r="BR40" s="164">
        <f t="shared" si="95"/>
        <v>0</v>
      </c>
      <c r="BS40" s="164">
        <f t="shared" si="95"/>
        <v>0</v>
      </c>
      <c r="BT40" s="164">
        <f t="shared" si="95"/>
        <v>0</v>
      </c>
      <c r="BU40" s="164">
        <f t="shared" si="95"/>
        <v>0</v>
      </c>
      <c r="BV40" s="164">
        <f t="shared" si="95"/>
        <v>0</v>
      </c>
      <c r="BW40" s="164">
        <f t="shared" si="95"/>
        <v>0</v>
      </c>
      <c r="BX40" s="164">
        <f t="shared" si="95"/>
        <v>0</v>
      </c>
      <c r="BY40" s="164">
        <f t="shared" si="95"/>
        <v>0</v>
      </c>
      <c r="BZ40" s="168">
        <f>SUM(BN40:BY40)</f>
        <v>0</v>
      </c>
    </row>
    <row r="41" spans="1:82" ht="34.15" customHeight="1" thickBot="1" x14ac:dyDescent="0.3">
      <c r="A41" s="92"/>
      <c r="B41" s="4"/>
      <c r="C41" s="158"/>
      <c r="F41" s="158"/>
      <c r="G41" s="25"/>
      <c r="H41" s="2"/>
      <c r="I41" s="93"/>
      <c r="J41" s="158"/>
      <c r="K41" s="93"/>
      <c r="L41" s="166">
        <f t="shared" ref="L41:W41" si="96">SUM(L7:L40)</f>
        <v>0</v>
      </c>
      <c r="M41" s="166">
        <f t="shared" si="96"/>
        <v>0</v>
      </c>
      <c r="N41" s="166">
        <f t="shared" si="96"/>
        <v>0</v>
      </c>
      <c r="O41" s="166">
        <f t="shared" si="96"/>
        <v>0</v>
      </c>
      <c r="P41" s="166">
        <f t="shared" si="96"/>
        <v>0</v>
      </c>
      <c r="Q41" s="166">
        <f t="shared" si="96"/>
        <v>0</v>
      </c>
      <c r="R41" s="166">
        <f t="shared" si="96"/>
        <v>0</v>
      </c>
      <c r="S41" s="166">
        <f t="shared" si="96"/>
        <v>0</v>
      </c>
      <c r="T41" s="166">
        <f t="shared" si="96"/>
        <v>0</v>
      </c>
      <c r="U41" s="166">
        <f t="shared" si="96"/>
        <v>997450.5</v>
      </c>
      <c r="V41" s="166">
        <f t="shared" si="96"/>
        <v>12052.5</v>
      </c>
      <c r="W41" s="167">
        <f t="shared" si="96"/>
        <v>12052.5</v>
      </c>
      <c r="X41" s="174">
        <f>X5</f>
        <v>1021555.5</v>
      </c>
      <c r="Y41" s="93"/>
      <c r="Z41" s="2"/>
      <c r="AA41" s="2"/>
      <c r="AB41" s="158"/>
      <c r="AC41" s="93"/>
      <c r="AD41" s="166">
        <f t="shared" ref="AD41:AO41" si="97">SUM(AD7:AD40)</f>
        <v>20837.833333333332</v>
      </c>
      <c r="AE41" s="166">
        <f t="shared" si="97"/>
        <v>1991633.8333333333</v>
      </c>
      <c r="AF41" s="166">
        <f t="shared" si="97"/>
        <v>20837.833333333332</v>
      </c>
      <c r="AG41" s="166">
        <f t="shared" si="97"/>
        <v>20837.833333333332</v>
      </c>
      <c r="AH41" s="166">
        <f t="shared" si="97"/>
        <v>20837.833333333332</v>
      </c>
      <c r="AI41" s="166">
        <f t="shared" si="97"/>
        <v>20837.833333333332</v>
      </c>
      <c r="AJ41" s="166">
        <f t="shared" si="97"/>
        <v>1991633.8333333333</v>
      </c>
      <c r="AK41" s="166">
        <f t="shared" si="97"/>
        <v>20837.833333333332</v>
      </c>
      <c r="AL41" s="166">
        <f t="shared" si="97"/>
        <v>20837.833333333332</v>
      </c>
      <c r="AM41" s="166">
        <f t="shared" si="97"/>
        <v>2015358.8333333333</v>
      </c>
      <c r="AN41" s="166">
        <f t="shared" si="97"/>
        <v>44562.833333333328</v>
      </c>
      <c r="AO41" s="167">
        <f t="shared" si="97"/>
        <v>44562.833333333328</v>
      </c>
      <c r="AP41" s="175">
        <f>AP5</f>
        <v>321229</v>
      </c>
      <c r="AQ41" s="93"/>
      <c r="AR41" s="2"/>
      <c r="AS41" s="2"/>
      <c r="AT41" s="94"/>
      <c r="AU41" s="93"/>
      <c r="AV41" s="166">
        <f t="shared" ref="AV41:BG41" si="98">SUM(AV7:AV40)</f>
        <v>1502338.875</v>
      </c>
      <c r="AW41" s="166">
        <f t="shared" si="98"/>
        <v>652338.875</v>
      </c>
      <c r="AX41" s="166">
        <f t="shared" si="98"/>
        <v>652338.875</v>
      </c>
      <c r="AY41" s="166">
        <f t="shared" si="98"/>
        <v>652338.875</v>
      </c>
      <c r="AZ41" s="166">
        <f t="shared" si="98"/>
        <v>652338.875</v>
      </c>
      <c r="BA41" s="166">
        <f t="shared" si="98"/>
        <v>652338.875</v>
      </c>
      <c r="BB41" s="166">
        <f t="shared" si="98"/>
        <v>652338.875</v>
      </c>
      <c r="BC41" s="166">
        <f t="shared" si="98"/>
        <v>652338.875</v>
      </c>
      <c r="BD41" s="166">
        <f t="shared" si="98"/>
        <v>652338.875</v>
      </c>
      <c r="BE41" s="166">
        <f t="shared" si="98"/>
        <v>652338.875</v>
      </c>
      <c r="BF41" s="166">
        <f t="shared" si="98"/>
        <v>652338.875</v>
      </c>
      <c r="BG41" s="167">
        <f t="shared" si="98"/>
        <v>3608532.875</v>
      </c>
      <c r="BH41" s="174">
        <f>BH5</f>
        <v>7828066.5</v>
      </c>
      <c r="BI41" s="158"/>
      <c r="BJ41" s="2"/>
      <c r="BK41" s="2"/>
      <c r="BL41" s="94"/>
      <c r="BN41" s="166">
        <f t="shared" ref="BN41:BY41" si="99">SUM(BN7:BN40)</f>
        <v>695461.16666666663</v>
      </c>
      <c r="BO41" s="166">
        <f t="shared" si="99"/>
        <v>695461.16666666663</v>
      </c>
      <c r="BP41" s="166">
        <f t="shared" si="99"/>
        <v>695461.16666666663</v>
      </c>
      <c r="BQ41" s="166">
        <f t="shared" si="99"/>
        <v>695461.16666666663</v>
      </c>
      <c r="BR41" s="166">
        <f t="shared" si="99"/>
        <v>695461.16666666663</v>
      </c>
      <c r="BS41" s="166">
        <f t="shared" si="99"/>
        <v>695461.16666666663</v>
      </c>
      <c r="BT41" s="166">
        <f t="shared" si="99"/>
        <v>695461.16666666663</v>
      </c>
      <c r="BU41" s="166">
        <f t="shared" si="99"/>
        <v>695461.16666666663</v>
      </c>
      <c r="BV41" s="166">
        <f t="shared" si="99"/>
        <v>695461.16666666663</v>
      </c>
      <c r="BW41" s="166">
        <f t="shared" si="99"/>
        <v>695461.16666666663</v>
      </c>
      <c r="BX41" s="166">
        <f t="shared" si="99"/>
        <v>695461.16666666663</v>
      </c>
      <c r="BY41" s="167">
        <f t="shared" si="99"/>
        <v>695461.16666666663</v>
      </c>
      <c r="BZ41" s="174">
        <f>BZ5</f>
        <v>8345533.9999999991</v>
      </c>
    </row>
    <row r="42" spans="1:82" ht="40.9" customHeight="1" thickBot="1" x14ac:dyDescent="0.3">
      <c r="A42" s="92"/>
      <c r="B42" s="4"/>
      <c r="C42" s="66"/>
      <c r="F42" s="66"/>
      <c r="G42" s="25"/>
      <c r="H42" s="2"/>
      <c r="I42" s="93"/>
      <c r="J42" s="94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2"/>
      <c r="AA42" s="2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2"/>
      <c r="AS42" s="2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2"/>
      <c r="BK42" s="3"/>
    </row>
    <row r="43" spans="1:82" ht="36" customHeight="1" thickBot="1" x14ac:dyDescent="0.3">
      <c r="F43" s="18"/>
      <c r="G43" s="26"/>
      <c r="H43" s="231">
        <v>2025</v>
      </c>
      <c r="I43" s="223"/>
      <c r="J43" s="223"/>
      <c r="K43" s="267"/>
      <c r="L43" s="223">
        <v>2025</v>
      </c>
      <c r="M43" s="223"/>
      <c r="N43" s="223"/>
      <c r="O43" s="223"/>
      <c r="P43" s="223"/>
      <c r="Q43" s="223"/>
      <c r="R43" s="223"/>
      <c r="S43" s="223"/>
      <c r="T43" s="223"/>
      <c r="U43" s="223"/>
      <c r="V43" s="223"/>
      <c r="W43" s="223"/>
      <c r="X43" s="224"/>
      <c r="Y43" s="131"/>
      <c r="Z43" s="223">
        <v>2026</v>
      </c>
      <c r="AA43" s="223"/>
      <c r="AB43" s="224"/>
      <c r="AC43" s="225"/>
      <c r="AD43" s="231">
        <v>2026</v>
      </c>
      <c r="AE43" s="223"/>
      <c r="AF43" s="223"/>
      <c r="AG43" s="223"/>
      <c r="AH43" s="223"/>
      <c r="AI43" s="223"/>
      <c r="AJ43" s="223"/>
      <c r="AK43" s="223"/>
      <c r="AL43" s="223"/>
      <c r="AM43" s="223"/>
      <c r="AN43" s="223"/>
      <c r="AO43" s="223"/>
      <c r="AP43" s="223"/>
      <c r="AQ43" s="131"/>
      <c r="AR43" s="223">
        <v>2027</v>
      </c>
      <c r="AS43" s="223"/>
      <c r="AT43" s="224"/>
      <c r="AU43" s="225"/>
      <c r="AV43" s="231">
        <v>2026</v>
      </c>
      <c r="AW43" s="223"/>
      <c r="AX43" s="223"/>
      <c r="AY43" s="223"/>
      <c r="AZ43" s="223"/>
      <c r="BA43" s="223"/>
      <c r="BB43" s="223"/>
      <c r="BC43" s="223"/>
      <c r="BD43" s="223"/>
      <c r="BE43" s="223"/>
      <c r="BF43" s="223"/>
      <c r="BG43" s="223"/>
      <c r="BH43" s="223"/>
      <c r="BI43" s="131"/>
      <c r="BJ43" s="223">
        <v>2028</v>
      </c>
      <c r="BK43" s="223"/>
      <c r="BL43" s="224"/>
      <c r="BM43" s="225"/>
      <c r="BN43" s="231">
        <v>2028</v>
      </c>
      <c r="BO43" s="223"/>
      <c r="BP43" s="223"/>
      <c r="BQ43" s="223"/>
      <c r="BR43" s="223"/>
      <c r="BS43" s="223"/>
      <c r="BT43" s="223"/>
      <c r="BU43" s="223"/>
      <c r="BV43" s="223"/>
      <c r="BW43" s="223"/>
      <c r="BX43" s="223"/>
      <c r="BY43" s="223"/>
      <c r="BZ43" s="224"/>
      <c r="CA43" s="225"/>
      <c r="CB43" s="231">
        <v>2029</v>
      </c>
      <c r="CC43" s="223"/>
      <c r="CD43" s="224"/>
    </row>
    <row r="44" spans="1:82" ht="47.45" customHeight="1" thickBot="1" x14ac:dyDescent="0.3">
      <c r="A44" s="124" t="e" vm="1">
        <v>#VALUE!</v>
      </c>
      <c r="B44" s="68" t="s">
        <v>58</v>
      </c>
      <c r="C44" s="33" t="s">
        <v>2</v>
      </c>
      <c r="D44" s="34" t="s">
        <v>3</v>
      </c>
      <c r="E44" s="34" t="s">
        <v>4</v>
      </c>
      <c r="F44" s="95" t="s">
        <v>5</v>
      </c>
      <c r="G44" s="235"/>
      <c r="H44" s="63" t="s">
        <v>3</v>
      </c>
      <c r="I44" s="34" t="s">
        <v>4</v>
      </c>
      <c r="J44" s="95" t="s">
        <v>5</v>
      </c>
      <c r="K44" s="268"/>
      <c r="L44" s="75" t="s">
        <v>82</v>
      </c>
      <c r="M44" s="75" t="s">
        <v>83</v>
      </c>
      <c r="N44" s="75" t="s">
        <v>84</v>
      </c>
      <c r="O44" s="75" t="s">
        <v>85</v>
      </c>
      <c r="P44" s="75" t="s">
        <v>86</v>
      </c>
      <c r="Q44" s="75" t="s">
        <v>87</v>
      </c>
      <c r="R44" s="75" t="s">
        <v>88</v>
      </c>
      <c r="S44" s="75" t="s">
        <v>89</v>
      </c>
      <c r="T44" s="75" t="s">
        <v>90</v>
      </c>
      <c r="U44" s="75" t="s">
        <v>91</v>
      </c>
      <c r="V44" s="75" t="s">
        <v>92</v>
      </c>
      <c r="W44" s="75" t="s">
        <v>93</v>
      </c>
      <c r="X44" s="152" t="s">
        <v>5</v>
      </c>
      <c r="Y44" s="132"/>
      <c r="Z44" s="63" t="s">
        <v>3</v>
      </c>
      <c r="AA44" s="34" t="s">
        <v>4</v>
      </c>
      <c r="AB44" s="95" t="s">
        <v>5</v>
      </c>
      <c r="AC44" s="226"/>
      <c r="AD44" s="75" t="s">
        <v>82</v>
      </c>
      <c r="AE44" s="75" t="s">
        <v>83</v>
      </c>
      <c r="AF44" s="75" t="s">
        <v>84</v>
      </c>
      <c r="AG44" s="75" t="s">
        <v>85</v>
      </c>
      <c r="AH44" s="75" t="s">
        <v>86</v>
      </c>
      <c r="AI44" s="75" t="s">
        <v>87</v>
      </c>
      <c r="AJ44" s="75" t="s">
        <v>88</v>
      </c>
      <c r="AK44" s="75" t="s">
        <v>89</v>
      </c>
      <c r="AL44" s="75" t="s">
        <v>90</v>
      </c>
      <c r="AM44" s="75" t="s">
        <v>91</v>
      </c>
      <c r="AN44" s="75" t="s">
        <v>92</v>
      </c>
      <c r="AO44" s="75" t="s">
        <v>93</v>
      </c>
      <c r="AP44" s="152" t="s">
        <v>5</v>
      </c>
      <c r="AQ44" s="132"/>
      <c r="AR44" s="63" t="s">
        <v>3</v>
      </c>
      <c r="AS44" s="34" t="s">
        <v>4</v>
      </c>
      <c r="AT44" s="95" t="s">
        <v>5</v>
      </c>
      <c r="AU44" s="226"/>
      <c r="AV44" s="75" t="s">
        <v>82</v>
      </c>
      <c r="AW44" s="75" t="s">
        <v>83</v>
      </c>
      <c r="AX44" s="75" t="s">
        <v>84</v>
      </c>
      <c r="AY44" s="75" t="s">
        <v>85</v>
      </c>
      <c r="AZ44" s="75" t="s">
        <v>86</v>
      </c>
      <c r="BA44" s="75" t="s">
        <v>87</v>
      </c>
      <c r="BB44" s="75" t="s">
        <v>88</v>
      </c>
      <c r="BC44" s="75" t="s">
        <v>89</v>
      </c>
      <c r="BD44" s="75" t="s">
        <v>90</v>
      </c>
      <c r="BE44" s="75" t="s">
        <v>91</v>
      </c>
      <c r="BF44" s="75" t="s">
        <v>92</v>
      </c>
      <c r="BG44" s="75" t="s">
        <v>93</v>
      </c>
      <c r="BH44" s="152" t="s">
        <v>5</v>
      </c>
      <c r="BI44" s="132"/>
      <c r="BJ44" s="75" t="s">
        <v>3</v>
      </c>
      <c r="BK44" s="74" t="s">
        <v>4</v>
      </c>
      <c r="BL44" s="73" t="s">
        <v>5</v>
      </c>
      <c r="BM44" s="226"/>
      <c r="BN44" s="75" t="s">
        <v>82</v>
      </c>
      <c r="BO44" s="75" t="s">
        <v>83</v>
      </c>
      <c r="BP44" s="75" t="s">
        <v>84</v>
      </c>
      <c r="BQ44" s="75" t="s">
        <v>85</v>
      </c>
      <c r="BR44" s="75" t="s">
        <v>86</v>
      </c>
      <c r="BS44" s="75" t="s">
        <v>87</v>
      </c>
      <c r="BT44" s="75" t="s">
        <v>88</v>
      </c>
      <c r="BU44" s="75" t="s">
        <v>89</v>
      </c>
      <c r="BV44" s="75" t="s">
        <v>90</v>
      </c>
      <c r="BW44" s="75" t="s">
        <v>91</v>
      </c>
      <c r="BX44" s="75" t="s">
        <v>92</v>
      </c>
      <c r="BY44" s="75" t="s">
        <v>93</v>
      </c>
      <c r="BZ44" s="74" t="s">
        <v>5</v>
      </c>
      <c r="CA44" s="226"/>
      <c r="CB44" s="75" t="s">
        <v>3</v>
      </c>
      <c r="CC44" s="74" t="s">
        <v>4</v>
      </c>
      <c r="CD44" s="73" t="s">
        <v>5</v>
      </c>
    </row>
    <row r="45" spans="1:82" s="6" customFormat="1" ht="30" customHeight="1" x14ac:dyDescent="0.25">
      <c r="A45" s="36"/>
      <c r="B45" s="251" t="s">
        <v>59</v>
      </c>
      <c r="C45" s="252"/>
      <c r="D45" s="252"/>
      <c r="E45" s="253"/>
      <c r="F45" s="90">
        <f>(F46+F48+F50)</f>
        <v>1319280</v>
      </c>
      <c r="G45" s="236"/>
      <c r="H45" s="232"/>
      <c r="I45" s="233"/>
      <c r="J45" s="90">
        <f>SUM(J46+J48+J50)</f>
        <v>0</v>
      </c>
      <c r="K45" s="26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95">
        <f>X46+X48+X50</f>
        <v>0</v>
      </c>
      <c r="Y45" s="132"/>
      <c r="Z45" s="232"/>
      <c r="AA45" s="233"/>
      <c r="AB45" s="90">
        <f>SUM(AB46+AB48+AB50)</f>
        <v>26360</v>
      </c>
      <c r="AC45" s="226"/>
      <c r="AD45" s="228"/>
      <c r="AE45" s="228"/>
      <c r="AF45" s="228"/>
      <c r="AG45" s="228"/>
      <c r="AH45" s="228"/>
      <c r="AI45" s="228"/>
      <c r="AJ45" s="228"/>
      <c r="AK45" s="228"/>
      <c r="AL45" s="228"/>
      <c r="AM45" s="228"/>
      <c r="AN45" s="228"/>
      <c r="AO45" s="228"/>
      <c r="AP45" s="95">
        <f>AP46+AP48+AP50</f>
        <v>26360</v>
      </c>
      <c r="AQ45" s="132"/>
      <c r="AR45" s="232"/>
      <c r="AS45" s="233"/>
      <c r="AT45" s="90">
        <f>SUM(AT46+AT48+AT50)</f>
        <v>671900</v>
      </c>
      <c r="AU45" s="226"/>
      <c r="AV45" s="228"/>
      <c r="AW45" s="228"/>
      <c r="AX45" s="228"/>
      <c r="AY45" s="228"/>
      <c r="AZ45" s="228"/>
      <c r="BA45" s="228"/>
      <c r="BB45" s="228"/>
      <c r="BC45" s="228"/>
      <c r="BD45" s="228"/>
      <c r="BE45" s="228"/>
      <c r="BF45" s="228"/>
      <c r="BG45" s="228"/>
      <c r="BH45" s="95">
        <f>BH46+BH48+BH50</f>
        <v>671900</v>
      </c>
      <c r="BI45" s="132"/>
      <c r="BJ45" s="232"/>
      <c r="BK45" s="233"/>
      <c r="BL45" s="31">
        <f>SUM(BL46+BL48+BL50)</f>
        <v>1349240</v>
      </c>
      <c r="BM45" s="226"/>
      <c r="BN45" s="228"/>
      <c r="BO45" s="228"/>
      <c r="BP45" s="228"/>
      <c r="BQ45" s="228"/>
      <c r="BR45" s="228"/>
      <c r="BS45" s="228"/>
      <c r="BT45" s="228"/>
      <c r="BU45" s="228"/>
      <c r="BV45" s="228"/>
      <c r="BW45" s="228"/>
      <c r="BX45" s="228"/>
      <c r="BY45" s="228"/>
      <c r="BZ45" s="33">
        <f>BZ46+BZ48+BZ50</f>
        <v>1349240</v>
      </c>
      <c r="CA45" s="226"/>
      <c r="CB45" s="232"/>
      <c r="CC45" s="233"/>
      <c r="CD45" s="31">
        <f>SUM(CD46+CD48+CD50)</f>
        <v>683700</v>
      </c>
    </row>
    <row r="46" spans="1:82" ht="30" customHeight="1" x14ac:dyDescent="0.25">
      <c r="A46" s="37" t="s">
        <v>60</v>
      </c>
      <c r="B46" s="212" t="s">
        <v>61</v>
      </c>
      <c r="C46" s="213"/>
      <c r="D46" s="213"/>
      <c r="E46" s="214"/>
      <c r="F46" s="147">
        <f>SUM(F47:F47)</f>
        <v>858600</v>
      </c>
      <c r="G46" s="236"/>
      <c r="H46" s="230"/>
      <c r="I46" s="213"/>
      <c r="J46" s="156">
        <f>SUM(J47)</f>
        <v>0</v>
      </c>
      <c r="K46" s="268"/>
      <c r="L46" s="230"/>
      <c r="M46" s="213"/>
      <c r="N46" s="230"/>
      <c r="O46" s="213"/>
      <c r="P46" s="230"/>
      <c r="Q46" s="213"/>
      <c r="R46" s="230"/>
      <c r="S46" s="213"/>
      <c r="T46" s="230"/>
      <c r="U46" s="213"/>
      <c r="V46" s="230"/>
      <c r="W46" s="213"/>
      <c r="X46" s="147">
        <f>SUM(X47)</f>
        <v>0</v>
      </c>
      <c r="Y46" s="132"/>
      <c r="Z46" s="230"/>
      <c r="AA46" s="213"/>
      <c r="AB46" s="147">
        <f>SUM(AB47)</f>
        <v>3180</v>
      </c>
      <c r="AC46" s="226"/>
      <c r="AD46" s="230"/>
      <c r="AE46" s="213"/>
      <c r="AF46" s="230"/>
      <c r="AG46" s="213"/>
      <c r="AH46" s="230"/>
      <c r="AI46" s="213"/>
      <c r="AJ46" s="230"/>
      <c r="AK46" s="213"/>
      <c r="AL46" s="230"/>
      <c r="AM46" s="213"/>
      <c r="AN46" s="230"/>
      <c r="AO46" s="213"/>
      <c r="AP46" s="156">
        <f>SUM(AP47)</f>
        <v>3180</v>
      </c>
      <c r="AQ46" s="132"/>
      <c r="AR46" s="230"/>
      <c r="AS46" s="213"/>
      <c r="AT46" s="156">
        <f>SUM(AT47)</f>
        <v>413400</v>
      </c>
      <c r="AU46" s="226"/>
      <c r="AV46" s="230"/>
      <c r="AW46" s="213"/>
      <c r="AX46" s="230"/>
      <c r="AY46" s="213"/>
      <c r="AZ46" s="230"/>
      <c r="BA46" s="213"/>
      <c r="BB46" s="230"/>
      <c r="BC46" s="213"/>
      <c r="BD46" s="230"/>
      <c r="BE46" s="213"/>
      <c r="BF46" s="230"/>
      <c r="BG46" s="213"/>
      <c r="BH46" s="156">
        <f>SUM(BH47)</f>
        <v>413400</v>
      </c>
      <c r="BI46" s="132"/>
      <c r="BJ46" s="230"/>
      <c r="BK46" s="213"/>
      <c r="BL46" s="156">
        <f>SUM(BL47)</f>
        <v>855420</v>
      </c>
      <c r="BM46" s="226"/>
      <c r="BN46" s="230"/>
      <c r="BO46" s="213"/>
      <c r="BP46" s="230"/>
      <c r="BQ46" s="213"/>
      <c r="BR46" s="230"/>
      <c r="BS46" s="213"/>
      <c r="BT46" s="230"/>
      <c r="BU46" s="213"/>
      <c r="BV46" s="230"/>
      <c r="BW46" s="213"/>
      <c r="BX46" s="230"/>
      <c r="BY46" s="213"/>
      <c r="BZ46" s="147">
        <f>SUM(BZ47)</f>
        <v>855420</v>
      </c>
      <c r="CA46" s="226"/>
      <c r="CB46" s="230"/>
      <c r="CC46" s="213"/>
      <c r="CD46" s="147">
        <f>SUM(CD47)</f>
        <v>445200</v>
      </c>
    </row>
    <row r="47" spans="1:82" ht="40.9" customHeight="1" x14ac:dyDescent="0.25">
      <c r="A47" s="15" t="s">
        <v>62</v>
      </c>
      <c r="B47" s="16" t="s">
        <v>63</v>
      </c>
      <c r="C47" s="149">
        <f>(3360+3000)/2</f>
        <v>3180</v>
      </c>
      <c r="D47" s="56">
        <f>D21</f>
        <v>270</v>
      </c>
      <c r="E47" s="9"/>
      <c r="F47" s="149">
        <f>C47*D47</f>
        <v>858600</v>
      </c>
      <c r="G47" s="236"/>
      <c r="H47" s="151">
        <v>0</v>
      </c>
      <c r="I47" s="9"/>
      <c r="J47" s="157">
        <f>C47*H47</f>
        <v>0</v>
      </c>
      <c r="K47" s="268"/>
      <c r="L47" s="163">
        <v>0</v>
      </c>
      <c r="M47" s="150">
        <v>0</v>
      </c>
      <c r="N47" s="150">
        <v>0</v>
      </c>
      <c r="O47" s="150">
        <v>0</v>
      </c>
      <c r="P47" s="150">
        <v>0</v>
      </c>
      <c r="Q47" s="150">
        <v>0</v>
      </c>
      <c r="R47" s="150">
        <v>0</v>
      </c>
      <c r="S47" s="150">
        <v>0</v>
      </c>
      <c r="T47" s="150">
        <v>0</v>
      </c>
      <c r="U47" s="150">
        <f>$J$47/3</f>
        <v>0</v>
      </c>
      <c r="V47" s="150">
        <f t="shared" ref="V47:W47" si="100">$J$47/3</f>
        <v>0</v>
      </c>
      <c r="W47" s="150">
        <f t="shared" si="100"/>
        <v>0</v>
      </c>
      <c r="X47" s="150">
        <f>SUM(U47:W47)</f>
        <v>0</v>
      </c>
      <c r="Y47" s="141"/>
      <c r="Z47" s="151">
        <f>Z21+H30+H21</f>
        <v>1</v>
      </c>
      <c r="AA47" s="9"/>
      <c r="AB47" s="157">
        <f>C47*Z47</f>
        <v>3180</v>
      </c>
      <c r="AC47" s="226"/>
      <c r="AD47" s="150">
        <v>0</v>
      </c>
      <c r="AE47" s="150">
        <v>0</v>
      </c>
      <c r="AF47" s="150">
        <v>0</v>
      </c>
      <c r="AG47" s="150">
        <v>0</v>
      </c>
      <c r="AH47" s="150">
        <v>0</v>
      </c>
      <c r="AI47" s="150">
        <v>0</v>
      </c>
      <c r="AJ47" s="150">
        <v>0</v>
      </c>
      <c r="AK47" s="150">
        <v>0</v>
      </c>
      <c r="AL47" s="150">
        <v>0</v>
      </c>
      <c r="AM47" s="149">
        <f>$AB$47/3</f>
        <v>1060</v>
      </c>
      <c r="AN47" s="149">
        <f t="shared" ref="AN47:AO47" si="101">$AB$47/3</f>
        <v>1060</v>
      </c>
      <c r="AO47" s="149">
        <f t="shared" si="101"/>
        <v>1060</v>
      </c>
      <c r="AP47" s="157">
        <f>SUM(AM47:AO47)</f>
        <v>3180</v>
      </c>
      <c r="AQ47" s="132"/>
      <c r="AR47" s="151">
        <f>AR21+Z21</f>
        <v>130</v>
      </c>
      <c r="AS47" s="9"/>
      <c r="AT47" s="157">
        <f>C47*AR47</f>
        <v>413400</v>
      </c>
      <c r="AU47" s="226"/>
      <c r="AV47" s="149">
        <f>$AT$47/12</f>
        <v>34450</v>
      </c>
      <c r="AW47" s="149">
        <f t="shared" ref="AW47:BG47" si="102">$AT$47/12</f>
        <v>34450</v>
      </c>
      <c r="AX47" s="149">
        <f t="shared" si="102"/>
        <v>34450</v>
      </c>
      <c r="AY47" s="149">
        <f t="shared" si="102"/>
        <v>34450</v>
      </c>
      <c r="AZ47" s="149">
        <f t="shared" si="102"/>
        <v>34450</v>
      </c>
      <c r="BA47" s="149">
        <f t="shared" si="102"/>
        <v>34450</v>
      </c>
      <c r="BB47" s="149">
        <f t="shared" si="102"/>
        <v>34450</v>
      </c>
      <c r="BC47" s="149">
        <f t="shared" si="102"/>
        <v>34450</v>
      </c>
      <c r="BD47" s="149">
        <f t="shared" si="102"/>
        <v>34450</v>
      </c>
      <c r="BE47" s="149">
        <f t="shared" si="102"/>
        <v>34450</v>
      </c>
      <c r="BF47" s="149">
        <f t="shared" si="102"/>
        <v>34450</v>
      </c>
      <c r="BG47" s="149">
        <f t="shared" si="102"/>
        <v>34450</v>
      </c>
      <c r="BH47" s="157">
        <f>SUM(AV47:BG47)</f>
        <v>413400</v>
      </c>
      <c r="BI47" s="132"/>
      <c r="BJ47" s="151">
        <f>BJ21+AR21</f>
        <v>269</v>
      </c>
      <c r="BK47" s="9"/>
      <c r="BL47" s="157">
        <f>C47*BJ47</f>
        <v>855420</v>
      </c>
      <c r="BM47" s="226"/>
      <c r="BN47" s="149">
        <f>$BL$47/12</f>
        <v>71285</v>
      </c>
      <c r="BO47" s="149">
        <f t="shared" ref="BO47:BY47" si="103">$BL$47/12</f>
        <v>71285</v>
      </c>
      <c r="BP47" s="149">
        <f t="shared" si="103"/>
        <v>71285</v>
      </c>
      <c r="BQ47" s="149">
        <f t="shared" si="103"/>
        <v>71285</v>
      </c>
      <c r="BR47" s="149">
        <f t="shared" si="103"/>
        <v>71285</v>
      </c>
      <c r="BS47" s="149">
        <f t="shared" si="103"/>
        <v>71285</v>
      </c>
      <c r="BT47" s="149">
        <f t="shared" si="103"/>
        <v>71285</v>
      </c>
      <c r="BU47" s="149">
        <f t="shared" si="103"/>
        <v>71285</v>
      </c>
      <c r="BV47" s="149">
        <f t="shared" si="103"/>
        <v>71285</v>
      </c>
      <c r="BW47" s="149">
        <f t="shared" si="103"/>
        <v>71285</v>
      </c>
      <c r="BX47" s="149">
        <f t="shared" si="103"/>
        <v>71285</v>
      </c>
      <c r="BY47" s="149">
        <f t="shared" si="103"/>
        <v>71285</v>
      </c>
      <c r="BZ47" s="149">
        <f>SUM(BN47:BY47)</f>
        <v>855420</v>
      </c>
      <c r="CA47" s="226"/>
      <c r="CB47" s="56">
        <f>BJ21</f>
        <v>140</v>
      </c>
      <c r="CC47" s="9"/>
      <c r="CD47" s="149">
        <f>C47*CB47</f>
        <v>445200</v>
      </c>
    </row>
    <row r="48" spans="1:82" ht="29.25" customHeight="1" x14ac:dyDescent="0.25">
      <c r="A48" s="37" t="s">
        <v>64</v>
      </c>
      <c r="B48" s="212" t="s">
        <v>65</v>
      </c>
      <c r="C48" s="213"/>
      <c r="D48" s="213"/>
      <c r="E48" s="214"/>
      <c r="F48" s="147">
        <f>SUM(F49:F49)</f>
        <v>400680</v>
      </c>
      <c r="G48" s="236"/>
      <c r="H48" s="230"/>
      <c r="I48" s="213"/>
      <c r="J48" s="156">
        <f>SUM(J49)</f>
        <v>0</v>
      </c>
      <c r="K48" s="268"/>
      <c r="L48" s="230"/>
      <c r="M48" s="213"/>
      <c r="N48" s="230"/>
      <c r="O48" s="213"/>
      <c r="P48" s="230"/>
      <c r="Q48" s="213"/>
      <c r="R48" s="230"/>
      <c r="S48" s="213"/>
      <c r="T48" s="230"/>
      <c r="U48" s="213"/>
      <c r="V48" s="230"/>
      <c r="W48" s="213"/>
      <c r="X48" s="147">
        <f>SUM(X49)</f>
        <v>0</v>
      </c>
      <c r="Y48" s="132"/>
      <c r="Z48" s="230"/>
      <c r="AA48" s="213"/>
      <c r="AB48" s="147">
        <f>SUM(AB49)</f>
        <v>3180</v>
      </c>
      <c r="AC48" s="226"/>
      <c r="AD48" s="230"/>
      <c r="AE48" s="213"/>
      <c r="AF48" s="230"/>
      <c r="AG48" s="213"/>
      <c r="AH48" s="230"/>
      <c r="AI48" s="213"/>
      <c r="AJ48" s="230"/>
      <c r="AK48" s="213"/>
      <c r="AL48" s="230"/>
      <c r="AM48" s="213"/>
      <c r="AN48" s="230"/>
      <c r="AO48" s="213"/>
      <c r="AP48" s="156">
        <f>SUM(AP49)</f>
        <v>3180</v>
      </c>
      <c r="AQ48" s="132"/>
      <c r="AR48" s="230"/>
      <c r="AS48" s="213"/>
      <c r="AT48" s="156">
        <f>SUM(AT49)</f>
        <v>238500</v>
      </c>
      <c r="AU48" s="226"/>
      <c r="AV48" s="230"/>
      <c r="AW48" s="213"/>
      <c r="AX48" s="230"/>
      <c r="AY48" s="213"/>
      <c r="AZ48" s="230"/>
      <c r="BA48" s="213"/>
      <c r="BB48" s="230"/>
      <c r="BC48" s="213"/>
      <c r="BD48" s="230"/>
      <c r="BE48" s="213"/>
      <c r="BF48" s="230"/>
      <c r="BG48" s="213"/>
      <c r="BH48" s="156">
        <f>SUM(BH49)</f>
        <v>238500</v>
      </c>
      <c r="BI48" s="132"/>
      <c r="BJ48" s="230"/>
      <c r="BK48" s="213"/>
      <c r="BL48" s="156">
        <f>SUM(BL49)</f>
        <v>473820</v>
      </c>
      <c r="BM48" s="226"/>
      <c r="BN48" s="230"/>
      <c r="BO48" s="213"/>
      <c r="BP48" s="230"/>
      <c r="BQ48" s="213"/>
      <c r="BR48" s="230"/>
      <c r="BS48" s="213"/>
      <c r="BT48" s="230"/>
      <c r="BU48" s="213"/>
      <c r="BV48" s="230"/>
      <c r="BW48" s="213"/>
      <c r="BX48" s="230"/>
      <c r="BY48" s="213"/>
      <c r="BZ48" s="147">
        <f>SUM(BZ49)</f>
        <v>473820</v>
      </c>
      <c r="CA48" s="226"/>
      <c r="CB48" s="230"/>
      <c r="CC48" s="213"/>
      <c r="CD48" s="147">
        <f>SUM(CD49)</f>
        <v>238500</v>
      </c>
    </row>
    <row r="49" spans="1:82" ht="40.15" customHeight="1" x14ac:dyDescent="0.25">
      <c r="A49" s="15" t="s">
        <v>66</v>
      </c>
      <c r="B49" s="16" t="s">
        <v>67</v>
      </c>
      <c r="C49" s="176">
        <f>(3360+3000)/2</f>
        <v>3180</v>
      </c>
      <c r="D49" s="57">
        <f>D30</f>
        <v>126</v>
      </c>
      <c r="E49" s="9"/>
      <c r="F49" s="149">
        <f>C49*D49</f>
        <v>400680</v>
      </c>
      <c r="G49" s="236"/>
      <c r="H49" s="151">
        <v>0</v>
      </c>
      <c r="I49" s="9"/>
      <c r="J49" s="157">
        <f>C49*H49</f>
        <v>0</v>
      </c>
      <c r="K49" s="268"/>
      <c r="L49" s="163">
        <v>0</v>
      </c>
      <c r="M49" s="150">
        <v>0</v>
      </c>
      <c r="N49" s="150">
        <v>0</v>
      </c>
      <c r="O49" s="150">
        <v>0</v>
      </c>
      <c r="P49" s="150">
        <v>0</v>
      </c>
      <c r="Q49" s="150">
        <v>0</v>
      </c>
      <c r="R49" s="150">
        <v>0</v>
      </c>
      <c r="S49" s="150">
        <v>0</v>
      </c>
      <c r="T49" s="150">
        <v>0</v>
      </c>
      <c r="U49" s="150">
        <f>$J$49/3</f>
        <v>0</v>
      </c>
      <c r="V49" s="150">
        <f t="shared" ref="V49:W49" si="104">$J$49/3</f>
        <v>0</v>
      </c>
      <c r="W49" s="150">
        <f t="shared" si="104"/>
        <v>0</v>
      </c>
      <c r="X49" s="150">
        <f>SUM(U49:W49)</f>
        <v>0</v>
      </c>
      <c r="Y49" s="141"/>
      <c r="Z49" s="151">
        <f>Z30+H49+H30</f>
        <v>1</v>
      </c>
      <c r="AA49" s="9"/>
      <c r="AB49" s="157">
        <f>C49*Z49</f>
        <v>3180</v>
      </c>
      <c r="AC49" s="226"/>
      <c r="AD49" s="150">
        <v>0</v>
      </c>
      <c r="AE49" s="150">
        <v>0</v>
      </c>
      <c r="AF49" s="150">
        <v>0</v>
      </c>
      <c r="AG49" s="150">
        <v>0</v>
      </c>
      <c r="AH49" s="150">
        <v>0</v>
      </c>
      <c r="AI49" s="150">
        <v>0</v>
      </c>
      <c r="AJ49" s="150">
        <v>0</v>
      </c>
      <c r="AK49" s="150">
        <v>0</v>
      </c>
      <c r="AL49" s="150">
        <v>0</v>
      </c>
      <c r="AM49" s="149">
        <f>$AB$49/3</f>
        <v>1060</v>
      </c>
      <c r="AN49" s="149">
        <f t="shared" ref="AN49:AO49" si="105">$AB$49/3</f>
        <v>1060</v>
      </c>
      <c r="AO49" s="149">
        <f t="shared" si="105"/>
        <v>1060</v>
      </c>
      <c r="AP49" s="157">
        <f>SUM(AM49:AO49)</f>
        <v>3180</v>
      </c>
      <c r="AQ49" s="132"/>
      <c r="AR49" s="151">
        <f>AR30+Z30</f>
        <v>75</v>
      </c>
      <c r="AS49" s="9"/>
      <c r="AT49" s="157">
        <f>C49*AR49</f>
        <v>238500</v>
      </c>
      <c r="AU49" s="226"/>
      <c r="AV49" s="149">
        <f>$AT$49/12</f>
        <v>19875</v>
      </c>
      <c r="AW49" s="149">
        <f t="shared" ref="AW49:BG49" si="106">$AT$49/12</f>
        <v>19875</v>
      </c>
      <c r="AX49" s="149">
        <f t="shared" si="106"/>
        <v>19875</v>
      </c>
      <c r="AY49" s="149">
        <f t="shared" si="106"/>
        <v>19875</v>
      </c>
      <c r="AZ49" s="149">
        <f t="shared" si="106"/>
        <v>19875</v>
      </c>
      <c r="BA49" s="149">
        <f t="shared" si="106"/>
        <v>19875</v>
      </c>
      <c r="BB49" s="149">
        <f t="shared" si="106"/>
        <v>19875</v>
      </c>
      <c r="BC49" s="149">
        <f t="shared" si="106"/>
        <v>19875</v>
      </c>
      <c r="BD49" s="149">
        <f t="shared" si="106"/>
        <v>19875</v>
      </c>
      <c r="BE49" s="149">
        <f t="shared" si="106"/>
        <v>19875</v>
      </c>
      <c r="BF49" s="149">
        <f t="shared" si="106"/>
        <v>19875</v>
      </c>
      <c r="BG49" s="149">
        <f t="shared" si="106"/>
        <v>19875</v>
      </c>
      <c r="BH49" s="157">
        <f>SUM(AV49:BG49)</f>
        <v>238500</v>
      </c>
      <c r="BI49" s="132"/>
      <c r="BJ49" s="151">
        <f>BJ30+AR30</f>
        <v>149</v>
      </c>
      <c r="BK49" s="9"/>
      <c r="BL49" s="157">
        <f>C49*BJ49</f>
        <v>473820</v>
      </c>
      <c r="BM49" s="226"/>
      <c r="BN49" s="149">
        <f>$BL$49/12</f>
        <v>39485</v>
      </c>
      <c r="BO49" s="149">
        <f t="shared" ref="BO49:BY49" si="107">$BL$49/12</f>
        <v>39485</v>
      </c>
      <c r="BP49" s="149">
        <f t="shared" si="107"/>
        <v>39485</v>
      </c>
      <c r="BQ49" s="149">
        <f t="shared" si="107"/>
        <v>39485</v>
      </c>
      <c r="BR49" s="149">
        <f t="shared" si="107"/>
        <v>39485</v>
      </c>
      <c r="BS49" s="149">
        <f t="shared" si="107"/>
        <v>39485</v>
      </c>
      <c r="BT49" s="149">
        <f t="shared" si="107"/>
        <v>39485</v>
      </c>
      <c r="BU49" s="149">
        <f t="shared" si="107"/>
        <v>39485</v>
      </c>
      <c r="BV49" s="149">
        <f t="shared" si="107"/>
        <v>39485</v>
      </c>
      <c r="BW49" s="149">
        <f t="shared" si="107"/>
        <v>39485</v>
      </c>
      <c r="BX49" s="149">
        <f t="shared" si="107"/>
        <v>39485</v>
      </c>
      <c r="BY49" s="149">
        <f t="shared" si="107"/>
        <v>39485</v>
      </c>
      <c r="BZ49" s="149">
        <f>SUM(BN49:BY49)</f>
        <v>473820</v>
      </c>
      <c r="CA49" s="226"/>
      <c r="CB49" s="56">
        <f>BJ30</f>
        <v>75</v>
      </c>
      <c r="CC49" s="9"/>
      <c r="CD49" s="149">
        <f>C49*CB49</f>
        <v>238500</v>
      </c>
    </row>
    <row r="50" spans="1:82" ht="30" customHeight="1" x14ac:dyDescent="0.25">
      <c r="A50" s="37" t="s">
        <v>68</v>
      </c>
      <c r="B50" s="212" t="s">
        <v>69</v>
      </c>
      <c r="C50" s="213"/>
      <c r="D50" s="213"/>
      <c r="E50" s="214"/>
      <c r="F50" s="147">
        <f>SUM(F51)</f>
        <v>60000</v>
      </c>
      <c r="G50" s="236"/>
      <c r="H50" s="230"/>
      <c r="I50" s="213"/>
      <c r="J50" s="156">
        <f>SUM(J51)</f>
        <v>0</v>
      </c>
      <c r="K50" s="268"/>
      <c r="L50" s="230"/>
      <c r="M50" s="213"/>
      <c r="N50" s="230"/>
      <c r="O50" s="213"/>
      <c r="P50" s="230"/>
      <c r="Q50" s="213"/>
      <c r="R50" s="230"/>
      <c r="S50" s="213"/>
      <c r="T50" s="230"/>
      <c r="U50" s="213"/>
      <c r="V50" s="230"/>
      <c r="W50" s="213"/>
      <c r="X50" s="147">
        <f>SUM(X51)</f>
        <v>0</v>
      </c>
      <c r="Y50" s="132"/>
      <c r="Z50" s="230"/>
      <c r="AA50" s="213"/>
      <c r="AB50" s="147">
        <f>SUM(AB51)</f>
        <v>20000</v>
      </c>
      <c r="AC50" s="226"/>
      <c r="AD50" s="230"/>
      <c r="AE50" s="213"/>
      <c r="AF50" s="230"/>
      <c r="AG50" s="213"/>
      <c r="AH50" s="230"/>
      <c r="AI50" s="213"/>
      <c r="AJ50" s="230"/>
      <c r="AK50" s="213"/>
      <c r="AL50" s="230"/>
      <c r="AM50" s="213"/>
      <c r="AN50" s="230"/>
      <c r="AO50" s="213"/>
      <c r="AP50" s="156">
        <f>SUM(AP51)</f>
        <v>20000</v>
      </c>
      <c r="AQ50" s="132"/>
      <c r="AR50" s="230"/>
      <c r="AS50" s="213"/>
      <c r="AT50" s="156">
        <f>SUM(AT51)</f>
        <v>20000</v>
      </c>
      <c r="AU50" s="226"/>
      <c r="AV50" s="230"/>
      <c r="AW50" s="213"/>
      <c r="AX50" s="230"/>
      <c r="AY50" s="213"/>
      <c r="AZ50" s="230"/>
      <c r="BA50" s="213"/>
      <c r="BB50" s="230"/>
      <c r="BC50" s="213"/>
      <c r="BD50" s="230"/>
      <c r="BE50" s="213"/>
      <c r="BF50" s="230"/>
      <c r="BG50" s="213"/>
      <c r="BH50" s="156">
        <f>SUM(BH51)</f>
        <v>20000</v>
      </c>
      <c r="BI50" s="132"/>
      <c r="BJ50" s="230"/>
      <c r="BK50" s="213"/>
      <c r="BL50" s="156">
        <f>SUM(BL51)</f>
        <v>20000</v>
      </c>
      <c r="BM50" s="226"/>
      <c r="BN50" s="230"/>
      <c r="BO50" s="213"/>
      <c r="BP50" s="230"/>
      <c r="BQ50" s="213"/>
      <c r="BR50" s="230"/>
      <c r="BS50" s="213"/>
      <c r="BT50" s="230"/>
      <c r="BU50" s="213"/>
      <c r="BV50" s="230"/>
      <c r="BW50" s="213"/>
      <c r="BX50" s="230"/>
      <c r="BY50" s="213"/>
      <c r="BZ50" s="147">
        <f>SUM(BZ51)</f>
        <v>20000</v>
      </c>
      <c r="CA50" s="226"/>
      <c r="CB50" s="230"/>
      <c r="CC50" s="213"/>
      <c r="CD50" s="147">
        <f>SUM(CD51)</f>
        <v>0</v>
      </c>
    </row>
    <row r="51" spans="1:82" ht="36.6" customHeight="1" thickBot="1" x14ac:dyDescent="0.3">
      <c r="A51" s="15" t="s">
        <v>70</v>
      </c>
      <c r="B51" s="16" t="s">
        <v>71</v>
      </c>
      <c r="C51" s="149">
        <v>50</v>
      </c>
      <c r="D51" s="9"/>
      <c r="E51" s="42">
        <v>1200</v>
      </c>
      <c r="F51" s="149">
        <f>C51*E51</f>
        <v>60000</v>
      </c>
      <c r="G51" s="237"/>
      <c r="H51" s="44"/>
      <c r="I51" s="42">
        <v>0</v>
      </c>
      <c r="J51" s="157">
        <f>C51*I51</f>
        <v>0</v>
      </c>
      <c r="K51" s="269"/>
      <c r="L51" s="163">
        <v>0</v>
      </c>
      <c r="M51" s="150">
        <v>0</v>
      </c>
      <c r="N51" s="150">
        <v>0</v>
      </c>
      <c r="O51" s="150">
        <v>0</v>
      </c>
      <c r="P51" s="150">
        <v>0</v>
      </c>
      <c r="Q51" s="150">
        <v>0</v>
      </c>
      <c r="R51" s="150">
        <v>0</v>
      </c>
      <c r="S51" s="150">
        <v>0</v>
      </c>
      <c r="T51" s="150">
        <v>0</v>
      </c>
      <c r="U51" s="150">
        <f>$J$51/3</f>
        <v>0</v>
      </c>
      <c r="V51" s="150">
        <f t="shared" ref="V51:W51" si="108">$J$51/3</f>
        <v>0</v>
      </c>
      <c r="W51" s="150">
        <f t="shared" si="108"/>
        <v>0</v>
      </c>
      <c r="X51" s="168">
        <f>SUM(U51:W51)</f>
        <v>0</v>
      </c>
      <c r="Y51" s="148"/>
      <c r="Z51" s="44"/>
      <c r="AA51" s="42">
        <f>$E$51/3</f>
        <v>400</v>
      </c>
      <c r="AB51" s="157">
        <f>C51*AA51</f>
        <v>20000</v>
      </c>
      <c r="AC51" s="227"/>
      <c r="AD51" s="150">
        <v>0</v>
      </c>
      <c r="AE51" s="150">
        <v>0</v>
      </c>
      <c r="AF51" s="150">
        <v>0</v>
      </c>
      <c r="AG51" s="150">
        <v>0</v>
      </c>
      <c r="AH51" s="150">
        <v>0</v>
      </c>
      <c r="AI51" s="150">
        <v>0</v>
      </c>
      <c r="AJ51" s="150">
        <v>0</v>
      </c>
      <c r="AK51" s="150">
        <v>0</v>
      </c>
      <c r="AL51" s="150">
        <v>0</v>
      </c>
      <c r="AM51" s="149">
        <f>$AB$51/3</f>
        <v>6666.666666666667</v>
      </c>
      <c r="AN51" s="149">
        <f t="shared" ref="AN51:AO51" si="109">$AB$51/3</f>
        <v>6666.666666666667</v>
      </c>
      <c r="AO51" s="149">
        <f t="shared" si="109"/>
        <v>6666.666666666667</v>
      </c>
      <c r="AP51" s="171">
        <f>SUM(AM51:AO51)</f>
        <v>20000</v>
      </c>
      <c r="AQ51" s="133"/>
      <c r="AR51" s="44"/>
      <c r="AS51" s="42">
        <f>$E$51/3</f>
        <v>400</v>
      </c>
      <c r="AT51" s="157">
        <f>C51*AS51</f>
        <v>20000</v>
      </c>
      <c r="AU51" s="227"/>
      <c r="AV51" s="149">
        <f>$AT$51/12</f>
        <v>1666.6666666666667</v>
      </c>
      <c r="AW51" s="149">
        <f t="shared" ref="AW51:BG51" si="110">$AT$51/12</f>
        <v>1666.6666666666667</v>
      </c>
      <c r="AX51" s="149">
        <f t="shared" si="110"/>
        <v>1666.6666666666667</v>
      </c>
      <c r="AY51" s="149">
        <f t="shared" si="110"/>
        <v>1666.6666666666667</v>
      </c>
      <c r="AZ51" s="149">
        <f t="shared" si="110"/>
        <v>1666.6666666666667</v>
      </c>
      <c r="BA51" s="149">
        <f t="shared" si="110"/>
        <v>1666.6666666666667</v>
      </c>
      <c r="BB51" s="149">
        <f t="shared" si="110"/>
        <v>1666.6666666666667</v>
      </c>
      <c r="BC51" s="149">
        <f t="shared" si="110"/>
        <v>1666.6666666666667</v>
      </c>
      <c r="BD51" s="149">
        <f t="shared" si="110"/>
        <v>1666.6666666666667</v>
      </c>
      <c r="BE51" s="149">
        <f t="shared" si="110"/>
        <v>1666.6666666666667</v>
      </c>
      <c r="BF51" s="149">
        <f t="shared" si="110"/>
        <v>1666.6666666666667</v>
      </c>
      <c r="BG51" s="149">
        <f t="shared" si="110"/>
        <v>1666.6666666666667</v>
      </c>
      <c r="BH51" s="171">
        <f>SUM(AV51:BG51)</f>
        <v>20000</v>
      </c>
      <c r="BI51" s="133"/>
      <c r="BJ51" s="44"/>
      <c r="BK51" s="42">
        <f>$E$51/3</f>
        <v>400</v>
      </c>
      <c r="BL51" s="157">
        <f>C51*BK51</f>
        <v>20000</v>
      </c>
      <c r="BM51" s="227"/>
      <c r="BN51" s="149">
        <f>$BL$51/12</f>
        <v>1666.6666666666667</v>
      </c>
      <c r="BO51" s="149">
        <f t="shared" ref="BO51:BY51" si="111">$BL$51/12</f>
        <v>1666.6666666666667</v>
      </c>
      <c r="BP51" s="149">
        <f t="shared" si="111"/>
        <v>1666.6666666666667</v>
      </c>
      <c r="BQ51" s="149">
        <f t="shared" si="111"/>
        <v>1666.6666666666667</v>
      </c>
      <c r="BR51" s="149">
        <f t="shared" si="111"/>
        <v>1666.6666666666667</v>
      </c>
      <c r="BS51" s="149">
        <f t="shared" si="111"/>
        <v>1666.6666666666667</v>
      </c>
      <c r="BT51" s="149">
        <f t="shared" si="111"/>
        <v>1666.6666666666667</v>
      </c>
      <c r="BU51" s="149">
        <f t="shared" si="111"/>
        <v>1666.6666666666667</v>
      </c>
      <c r="BV51" s="149">
        <f t="shared" si="111"/>
        <v>1666.6666666666667</v>
      </c>
      <c r="BW51" s="149">
        <f t="shared" si="111"/>
        <v>1666.6666666666667</v>
      </c>
      <c r="BX51" s="149">
        <f t="shared" si="111"/>
        <v>1666.6666666666667</v>
      </c>
      <c r="BY51" s="149">
        <f t="shared" si="111"/>
        <v>1666.6666666666667</v>
      </c>
      <c r="BZ51" s="154">
        <f>SUM(BN51:BY51)</f>
        <v>20000</v>
      </c>
      <c r="CA51" s="227"/>
      <c r="CB51" s="9"/>
      <c r="CC51" s="42">
        <v>0</v>
      </c>
      <c r="CD51" s="149">
        <f>G51*CC51</f>
        <v>0</v>
      </c>
    </row>
    <row r="52" spans="1:82" ht="30.6" customHeight="1" thickBot="1" x14ac:dyDescent="0.3">
      <c r="B52" s="10"/>
      <c r="F52" s="22"/>
      <c r="G52" s="27"/>
      <c r="H52" s="11"/>
      <c r="I52" s="11"/>
      <c r="J52" s="4" t="s">
        <v>57</v>
      </c>
      <c r="L52" s="166">
        <f>SUM(L47:L51)</f>
        <v>0</v>
      </c>
      <c r="M52" s="166">
        <f t="shared" ref="M52:T52" si="112">SUM(M47:M51)</f>
        <v>0</v>
      </c>
      <c r="N52" s="166">
        <f t="shared" si="112"/>
        <v>0</v>
      </c>
      <c r="O52" s="166">
        <f t="shared" si="112"/>
        <v>0</v>
      </c>
      <c r="P52" s="166">
        <f t="shared" si="112"/>
        <v>0</v>
      </c>
      <c r="Q52" s="166">
        <f t="shared" si="112"/>
        <v>0</v>
      </c>
      <c r="R52" s="166">
        <f t="shared" si="112"/>
        <v>0</v>
      </c>
      <c r="S52" s="166">
        <f t="shared" si="112"/>
        <v>0</v>
      </c>
      <c r="T52" s="166">
        <f t="shared" si="112"/>
        <v>0</v>
      </c>
      <c r="U52" s="166">
        <f>SUM(U47:U51)</f>
        <v>0</v>
      </c>
      <c r="V52" s="166">
        <f>SUM(V47:V51)</f>
        <v>0</v>
      </c>
      <c r="W52" s="167">
        <f>SUM(W47:W51)</f>
        <v>0</v>
      </c>
      <c r="X52" s="178">
        <f>X45</f>
        <v>0</v>
      </c>
      <c r="AD52" s="166">
        <f>SUM(AD47:AD51)</f>
        <v>0</v>
      </c>
      <c r="AE52" s="166">
        <f t="shared" ref="AE52:AL52" si="113">SUM(AE47:AE51)</f>
        <v>0</v>
      </c>
      <c r="AF52" s="166">
        <f t="shared" si="113"/>
        <v>0</v>
      </c>
      <c r="AG52" s="166">
        <f t="shared" si="113"/>
        <v>0</v>
      </c>
      <c r="AH52" s="166">
        <f t="shared" si="113"/>
        <v>0</v>
      </c>
      <c r="AI52" s="166">
        <f t="shared" si="113"/>
        <v>0</v>
      </c>
      <c r="AJ52" s="166">
        <f t="shared" si="113"/>
        <v>0</v>
      </c>
      <c r="AK52" s="166">
        <f t="shared" si="113"/>
        <v>0</v>
      </c>
      <c r="AL52" s="166">
        <f t="shared" si="113"/>
        <v>0</v>
      </c>
      <c r="AM52" s="166">
        <f>SUM(AM47:AM51)</f>
        <v>8786.6666666666679</v>
      </c>
      <c r="AN52" s="166">
        <f>SUM(AN47:AN51)</f>
        <v>8786.6666666666679</v>
      </c>
      <c r="AO52" s="167">
        <f>SUM(AO47:AO51)</f>
        <v>8786.6666666666679</v>
      </c>
      <c r="AP52" s="103">
        <f>AP45</f>
        <v>26360</v>
      </c>
      <c r="AV52" s="166">
        <f>SUM(AV47:AV51)</f>
        <v>55991.666666666664</v>
      </c>
      <c r="AW52" s="166">
        <f t="shared" ref="AW52:BD52" si="114">SUM(AW47:AW51)</f>
        <v>55991.666666666664</v>
      </c>
      <c r="AX52" s="166">
        <f t="shared" si="114"/>
        <v>55991.666666666664</v>
      </c>
      <c r="AY52" s="166">
        <f t="shared" si="114"/>
        <v>55991.666666666664</v>
      </c>
      <c r="AZ52" s="166">
        <f t="shared" si="114"/>
        <v>55991.666666666664</v>
      </c>
      <c r="BA52" s="166">
        <f t="shared" si="114"/>
        <v>55991.666666666664</v>
      </c>
      <c r="BB52" s="166">
        <f t="shared" si="114"/>
        <v>55991.666666666664</v>
      </c>
      <c r="BC52" s="166">
        <f t="shared" si="114"/>
        <v>55991.666666666664</v>
      </c>
      <c r="BD52" s="166">
        <f t="shared" si="114"/>
        <v>55991.666666666664</v>
      </c>
      <c r="BE52" s="166">
        <f>SUM(BE47:BE51)</f>
        <v>55991.666666666664</v>
      </c>
      <c r="BF52" s="166">
        <f>SUM(BF47:BF51)</f>
        <v>55991.666666666664</v>
      </c>
      <c r="BG52" s="167">
        <f>SUM(BG47:BG51)</f>
        <v>55991.666666666664</v>
      </c>
      <c r="BH52" s="174">
        <f>BH45</f>
        <v>671900</v>
      </c>
      <c r="BN52" s="166">
        <f>SUM(BN47:BN51)</f>
        <v>112436.66666666667</v>
      </c>
      <c r="BO52" s="166">
        <f>SUM(BO47:BO51)</f>
        <v>112436.66666666667</v>
      </c>
      <c r="BP52" s="166">
        <f>SUM(BP47:BP51)</f>
        <v>112436.66666666667</v>
      </c>
      <c r="BQ52" s="166">
        <f t="shared" ref="BQ52:BV52" si="115">SUM(BQ47:BQ51)</f>
        <v>112436.66666666667</v>
      </c>
      <c r="BR52" s="166">
        <f t="shared" si="115"/>
        <v>112436.66666666667</v>
      </c>
      <c r="BS52" s="166">
        <f t="shared" si="115"/>
        <v>112436.66666666667</v>
      </c>
      <c r="BT52" s="166">
        <f t="shared" si="115"/>
        <v>112436.66666666667</v>
      </c>
      <c r="BU52" s="166">
        <f t="shared" si="115"/>
        <v>112436.66666666667</v>
      </c>
      <c r="BV52" s="166">
        <f t="shared" si="115"/>
        <v>112436.66666666667</v>
      </c>
      <c r="BW52" s="166">
        <f>SUM(BW47:BW51)</f>
        <v>112436.66666666667</v>
      </c>
      <c r="BX52" s="166">
        <f>SUM(BX47:BX51)</f>
        <v>112436.66666666667</v>
      </c>
      <c r="BY52" s="167">
        <f>SUM(BY47:BY51)</f>
        <v>112436.66666666667</v>
      </c>
      <c r="BZ52" s="177">
        <f>BZ45</f>
        <v>1349240</v>
      </c>
    </row>
    <row r="53" spans="1:82" ht="30.6" customHeight="1" x14ac:dyDescent="0.25">
      <c r="B53" s="10"/>
      <c r="F53" s="22"/>
      <c r="G53" s="27"/>
      <c r="H53" s="11"/>
      <c r="I53" s="11"/>
      <c r="U53" s="146"/>
      <c r="V53" s="146"/>
      <c r="W53" s="146"/>
      <c r="AM53" s="146"/>
      <c r="AN53" s="146"/>
      <c r="AO53" s="146"/>
      <c r="BE53" s="146"/>
      <c r="BF53" s="146"/>
      <c r="BG53" s="146"/>
    </row>
    <row r="54" spans="1:82" ht="30.6" customHeight="1" x14ac:dyDescent="0.25">
      <c r="B54" s="10"/>
      <c r="F54" s="22"/>
      <c r="G54" s="27"/>
      <c r="H54" s="11"/>
      <c r="I54" s="11"/>
      <c r="U54" s="146"/>
      <c r="V54" s="146"/>
      <c r="W54" s="146"/>
      <c r="AM54" s="146"/>
      <c r="AN54" s="146"/>
      <c r="AO54" s="146"/>
      <c r="BE54" s="146"/>
      <c r="BF54" s="146"/>
      <c r="BG54" s="146"/>
    </row>
    <row r="55" spans="1:82" ht="30.6" customHeight="1" x14ac:dyDescent="0.25">
      <c r="B55" s="10"/>
      <c r="F55" s="22"/>
      <c r="G55" s="27"/>
      <c r="H55" s="11"/>
      <c r="I55" s="11"/>
      <c r="U55" s="146"/>
      <c r="V55" s="146"/>
      <c r="W55" s="146"/>
      <c r="AM55" s="146"/>
      <c r="AN55" s="146"/>
      <c r="AO55" s="146"/>
      <c r="BE55" s="146"/>
      <c r="BF55" s="146"/>
      <c r="BG55" s="146"/>
    </row>
    <row r="56" spans="1:82" ht="30.6" customHeight="1" x14ac:dyDescent="0.25">
      <c r="B56" s="10"/>
      <c r="F56" s="22"/>
      <c r="G56" s="27"/>
      <c r="H56" s="11"/>
      <c r="I56" s="11"/>
      <c r="U56" s="146"/>
      <c r="V56" s="146"/>
      <c r="W56" s="146"/>
      <c r="AM56" s="146"/>
      <c r="AN56" s="146"/>
      <c r="AO56" s="146"/>
      <c r="BE56" s="146"/>
      <c r="BF56" s="146"/>
      <c r="BG56" s="146"/>
    </row>
    <row r="57" spans="1:82" ht="30.6" customHeight="1" x14ac:dyDescent="0.25">
      <c r="B57" s="10"/>
      <c r="F57" s="22"/>
      <c r="G57" s="27"/>
      <c r="H57" s="11"/>
      <c r="I57" s="11"/>
      <c r="U57" s="146"/>
      <c r="V57" s="146"/>
      <c r="W57" s="146"/>
      <c r="AM57" s="146"/>
      <c r="AN57" s="146"/>
      <c r="AO57" s="146"/>
      <c r="BE57" s="146"/>
      <c r="BF57" s="146"/>
      <c r="BG57" s="146"/>
    </row>
    <row r="58" spans="1:82" ht="21.6" customHeight="1" x14ac:dyDescent="0.25">
      <c r="A58" s="126"/>
      <c r="B58" s="217" t="s">
        <v>72</v>
      </c>
      <c r="C58" s="218"/>
      <c r="D58" s="119">
        <f>SUM(D59:D60)</f>
        <v>19707960</v>
      </c>
      <c r="E58" s="53"/>
      <c r="H58" s="3"/>
      <c r="I58" s="3"/>
    </row>
    <row r="59" spans="1:82" x14ac:dyDescent="0.25">
      <c r="A59" s="215" t="s">
        <v>73</v>
      </c>
      <c r="B59" s="219" t="s">
        <v>74</v>
      </c>
      <c r="C59" s="220"/>
      <c r="D59" s="99">
        <f>F5</f>
        <v>17069400</v>
      </c>
      <c r="E59" s="54"/>
      <c r="G59" s="25"/>
      <c r="H59" s="3"/>
      <c r="I59" s="3"/>
    </row>
    <row r="60" spans="1:82" x14ac:dyDescent="0.25">
      <c r="A60" s="216"/>
      <c r="B60" s="219" t="s">
        <v>75</v>
      </c>
      <c r="C60" s="220"/>
      <c r="D60" s="99">
        <f>F45*2</f>
        <v>2638560</v>
      </c>
      <c r="E60" s="54"/>
      <c r="G60" s="29"/>
      <c r="H60" s="3"/>
      <c r="I60" s="3"/>
    </row>
    <row r="61" spans="1:82" x14ac:dyDescent="0.25">
      <c r="C61" s="55"/>
      <c r="D61" s="5"/>
      <c r="E61" s="55"/>
      <c r="G61" s="25"/>
      <c r="H61" s="3"/>
      <c r="I61" s="3"/>
    </row>
    <row r="62" spans="1:82" ht="22.15" customHeight="1" x14ac:dyDescent="0.25">
      <c r="A62" s="126"/>
      <c r="B62" s="234" t="s">
        <v>76</v>
      </c>
      <c r="C62" s="218"/>
      <c r="D62" s="119">
        <f>SUM(D63:D64)</f>
        <v>1021555.5</v>
      </c>
      <c r="E62" s="4"/>
      <c r="F62" s="18"/>
      <c r="G62" s="25"/>
      <c r="H62" s="3"/>
      <c r="I62" s="3"/>
    </row>
    <row r="63" spans="1:82" ht="15.75" x14ac:dyDescent="0.25">
      <c r="A63" s="215" t="s">
        <v>73</v>
      </c>
      <c r="B63" s="219" t="s">
        <v>74</v>
      </c>
      <c r="C63" s="220"/>
      <c r="D63" s="149">
        <f>J5</f>
        <v>1021555.5</v>
      </c>
      <c r="E63" s="4"/>
      <c r="F63" s="18"/>
      <c r="G63" s="25"/>
      <c r="H63" s="3"/>
      <c r="I63" s="3"/>
    </row>
    <row r="64" spans="1:82" ht="15.75" x14ac:dyDescent="0.25">
      <c r="A64" s="216"/>
      <c r="B64" s="219" t="s">
        <v>77</v>
      </c>
      <c r="C64" s="220"/>
      <c r="D64" s="149">
        <f>J45</f>
        <v>0</v>
      </c>
      <c r="E64" s="4"/>
      <c r="F64" s="18"/>
      <c r="G64" s="25"/>
      <c r="H64" s="3"/>
      <c r="I64" s="3"/>
    </row>
    <row r="65" spans="1:9" x14ac:dyDescent="0.25">
      <c r="A65" s="4"/>
      <c r="B65" s="4"/>
      <c r="C65" s="4"/>
      <c r="D65" s="4"/>
      <c r="E65" s="4"/>
      <c r="F65" s="18"/>
      <c r="G65" s="25"/>
      <c r="H65" s="3"/>
      <c r="I65" s="3"/>
    </row>
    <row r="66" spans="1:9" ht="21.6" customHeight="1" x14ac:dyDescent="0.25">
      <c r="A66" s="126"/>
      <c r="B66" s="234" t="s">
        <v>78</v>
      </c>
      <c r="C66" s="218"/>
      <c r="D66" s="119">
        <f>SUM(D67:D68)</f>
        <v>689739</v>
      </c>
      <c r="E66" s="4"/>
      <c r="F66" s="18"/>
      <c r="G66" s="25"/>
      <c r="H66" s="3"/>
      <c r="I66" s="3"/>
    </row>
    <row r="67" spans="1:9" ht="15.75" x14ac:dyDescent="0.25">
      <c r="A67" s="215" t="s">
        <v>73</v>
      </c>
      <c r="B67" s="219" t="s">
        <v>74</v>
      </c>
      <c r="C67" s="220"/>
      <c r="D67" s="149">
        <f>AB5</f>
        <v>321529</v>
      </c>
      <c r="E67" s="4"/>
      <c r="F67" s="18"/>
      <c r="G67" s="25"/>
      <c r="H67" s="3"/>
      <c r="I67" s="3"/>
    </row>
    <row r="68" spans="1:9" ht="15.75" x14ac:dyDescent="0.25">
      <c r="A68" s="216"/>
      <c r="B68" s="219" t="s">
        <v>77</v>
      </c>
      <c r="C68" s="220"/>
      <c r="D68" s="149">
        <f>AB45+(CD45*0.5)</f>
        <v>368210</v>
      </c>
      <c r="E68" s="4"/>
      <c r="F68" s="18"/>
      <c r="G68" s="25"/>
      <c r="H68" s="3"/>
      <c r="I68" s="3"/>
    </row>
    <row r="69" spans="1:9" x14ac:dyDescent="0.25">
      <c r="A69" s="4"/>
      <c r="B69" s="4"/>
      <c r="C69" s="4"/>
      <c r="D69" s="4"/>
      <c r="E69" s="4"/>
      <c r="F69" s="18"/>
      <c r="G69" s="25"/>
      <c r="H69" s="3"/>
      <c r="I69" s="3"/>
    </row>
    <row r="70" spans="1:9" ht="21.6" customHeight="1" x14ac:dyDescent="0.25">
      <c r="A70" s="126"/>
      <c r="B70" s="234" t="s">
        <v>79</v>
      </c>
      <c r="C70" s="218"/>
      <c r="D70" s="119">
        <f>SUM(D71:D72)</f>
        <v>8841816.5</v>
      </c>
      <c r="E70" s="4"/>
      <c r="F70" s="18"/>
      <c r="G70" s="25"/>
      <c r="H70" s="3"/>
      <c r="I70" s="3"/>
    </row>
    <row r="71" spans="1:9" ht="15.75" x14ac:dyDescent="0.25">
      <c r="A71" s="215" t="s">
        <v>73</v>
      </c>
      <c r="B71" s="219" t="s">
        <v>74</v>
      </c>
      <c r="C71" s="220"/>
      <c r="D71" s="149">
        <f>AT5</f>
        <v>7828066.5</v>
      </c>
      <c r="E71" s="4"/>
      <c r="F71" s="18"/>
      <c r="G71" s="25"/>
      <c r="H71" s="3"/>
      <c r="I71" s="3"/>
    </row>
    <row r="72" spans="1:9" ht="15.75" x14ac:dyDescent="0.25">
      <c r="A72" s="216"/>
      <c r="B72" s="219" t="s">
        <v>77</v>
      </c>
      <c r="C72" s="220"/>
      <c r="D72" s="149">
        <f>AT45+(CD45*0.5)</f>
        <v>1013750</v>
      </c>
      <c r="E72" s="4"/>
      <c r="F72" s="18"/>
      <c r="G72" s="25"/>
      <c r="H72" s="3"/>
      <c r="I72" s="3"/>
    </row>
    <row r="74" spans="1:9" ht="15.75" x14ac:dyDescent="0.25">
      <c r="B74" s="234" t="s">
        <v>80</v>
      </c>
      <c r="C74" s="218"/>
      <c r="D74" s="119">
        <f>SUM(D75:D76)</f>
        <v>9694774</v>
      </c>
    </row>
    <row r="75" spans="1:9" ht="15.75" x14ac:dyDescent="0.25">
      <c r="A75" s="215" t="s">
        <v>73</v>
      </c>
      <c r="B75" s="219" t="s">
        <v>74</v>
      </c>
      <c r="C75" s="220"/>
      <c r="D75" s="149">
        <f>BL5</f>
        <v>8345534</v>
      </c>
      <c r="E75" s="4"/>
      <c r="H75" s="4"/>
      <c r="I75" s="4"/>
    </row>
    <row r="76" spans="1:9" ht="15.75" x14ac:dyDescent="0.25">
      <c r="A76" s="216"/>
      <c r="B76" s="219" t="s">
        <v>77</v>
      </c>
      <c r="C76" s="220"/>
      <c r="D76" s="149">
        <f>BL45</f>
        <v>1349240</v>
      </c>
    </row>
    <row r="79" spans="1:9" ht="24" customHeight="1" x14ac:dyDescent="0.25">
      <c r="B79" s="186" t="s">
        <v>117</v>
      </c>
    </row>
    <row r="80" spans="1:9" ht="38.450000000000003" customHeight="1" x14ac:dyDescent="0.25">
      <c r="A80" s="187" t="s">
        <v>44</v>
      </c>
      <c r="B80" s="188">
        <v>5</v>
      </c>
    </row>
    <row r="81" spans="1:2" ht="55.15" customHeight="1" x14ac:dyDescent="0.25">
      <c r="A81" s="187" t="s">
        <v>46</v>
      </c>
      <c r="B81" s="188">
        <v>3</v>
      </c>
    </row>
    <row r="82" spans="1:2" ht="45" x14ac:dyDescent="0.25">
      <c r="A82" s="187" t="s">
        <v>48</v>
      </c>
      <c r="B82" s="188">
        <v>2</v>
      </c>
    </row>
  </sheetData>
  <mergeCells count="247">
    <mergeCell ref="AR5:AS5"/>
    <mergeCell ref="AV5:BG5"/>
    <mergeCell ref="AN37:AO37"/>
    <mergeCell ref="H24:I24"/>
    <mergeCell ref="L24:W24"/>
    <mergeCell ref="A5:E5"/>
    <mergeCell ref="B24:E24"/>
    <mergeCell ref="B39:E39"/>
    <mergeCell ref="H39:I39"/>
    <mergeCell ref="AJ24:AK24"/>
    <mergeCell ref="Z24:AA24"/>
    <mergeCell ref="AL39:AM39"/>
    <mergeCell ref="AD3:AP3"/>
    <mergeCell ref="AV24:BG24"/>
    <mergeCell ref="AQ3:AQ40"/>
    <mergeCell ref="AR3:AT3"/>
    <mergeCell ref="AU3:AU40"/>
    <mergeCell ref="AD37:AE37"/>
    <mergeCell ref="AR37:AS37"/>
    <mergeCell ref="AF37:AG37"/>
    <mergeCell ref="AH37:AI37"/>
    <mergeCell ref="AJ37:AK37"/>
    <mergeCell ref="AL24:AM24"/>
    <mergeCell ref="AN24:AO24"/>
    <mergeCell ref="AR24:AS24"/>
    <mergeCell ref="AN33:AO33"/>
    <mergeCell ref="AL37:AM37"/>
    <mergeCell ref="AH24:AI24"/>
    <mergeCell ref="AR15:AS15"/>
    <mergeCell ref="AV15:BG15"/>
    <mergeCell ref="AR33:AS33"/>
    <mergeCell ref="AN39:AO39"/>
    <mergeCell ref="AV37:BG37"/>
    <mergeCell ref="AV3:BH3"/>
    <mergeCell ref="AV39:BG39"/>
    <mergeCell ref="AF24:AG24"/>
    <mergeCell ref="BJ33:BK33"/>
    <mergeCell ref="AV33:BG33"/>
    <mergeCell ref="AF33:AG33"/>
    <mergeCell ref="AH33:AI33"/>
    <mergeCell ref="AJ33:AK33"/>
    <mergeCell ref="AL33:AM33"/>
    <mergeCell ref="H5:I5"/>
    <mergeCell ref="L5:W5"/>
    <mergeCell ref="Z5:AA5"/>
    <mergeCell ref="BI3:BI40"/>
    <mergeCell ref="BJ3:BL3"/>
    <mergeCell ref="BJ39:BK39"/>
    <mergeCell ref="BJ24:BK24"/>
    <mergeCell ref="BJ5:BK5"/>
    <mergeCell ref="AJ39:AK39"/>
    <mergeCell ref="AR39:AS39"/>
    <mergeCell ref="AF39:AG39"/>
    <mergeCell ref="AH39:AI39"/>
    <mergeCell ref="BJ15:BK15"/>
    <mergeCell ref="AV6:BG6"/>
    <mergeCell ref="BJ37:BK37"/>
    <mergeCell ref="H15:I15"/>
    <mergeCell ref="L15:W15"/>
    <mergeCell ref="Z15:AA15"/>
    <mergeCell ref="Z3:AB3"/>
    <mergeCell ref="AC3:AC40"/>
    <mergeCell ref="H33:I33"/>
    <mergeCell ref="L33:W33"/>
    <mergeCell ref="Z33:AA33"/>
    <mergeCell ref="AD33:AE33"/>
    <mergeCell ref="Y3:Y40"/>
    <mergeCell ref="AD24:AE24"/>
    <mergeCell ref="C3:F3"/>
    <mergeCell ref="G3:G40"/>
    <mergeCell ref="H3:J3"/>
    <mergeCell ref="AD39:AE39"/>
    <mergeCell ref="B33:E33"/>
    <mergeCell ref="L39:W39"/>
    <mergeCell ref="Z39:AA39"/>
    <mergeCell ref="B15:E15"/>
    <mergeCell ref="AD15:AO15"/>
    <mergeCell ref="AD5:AO5"/>
    <mergeCell ref="B37:E37"/>
    <mergeCell ref="H37:I37"/>
    <mergeCell ref="L37:W37"/>
    <mergeCell ref="Z37:AA37"/>
    <mergeCell ref="K3:K40"/>
    <mergeCell ref="L3:X3"/>
    <mergeCell ref="H43:J43"/>
    <mergeCell ref="K43:K51"/>
    <mergeCell ref="L43:X43"/>
    <mergeCell ref="Z43:AB43"/>
    <mergeCell ref="AC43:AC51"/>
    <mergeCell ref="N46:O46"/>
    <mergeCell ref="P46:Q46"/>
    <mergeCell ref="R46:S46"/>
    <mergeCell ref="T46:U46"/>
    <mergeCell ref="V46:W46"/>
    <mergeCell ref="Z46:AA46"/>
    <mergeCell ref="V50:W50"/>
    <mergeCell ref="Z50:AA50"/>
    <mergeCell ref="B45:E45"/>
    <mergeCell ref="H45:I45"/>
    <mergeCell ref="L45:W45"/>
    <mergeCell ref="Z45:AA45"/>
    <mergeCell ref="AD45:AO45"/>
    <mergeCell ref="B46:E46"/>
    <mergeCell ref="B50:E50"/>
    <mergeCell ref="H50:I50"/>
    <mergeCell ref="L50:M50"/>
    <mergeCell ref="N50:O50"/>
    <mergeCell ref="P50:Q50"/>
    <mergeCell ref="R50:S50"/>
    <mergeCell ref="T50:U50"/>
    <mergeCell ref="G44:G51"/>
    <mergeCell ref="P48:Q48"/>
    <mergeCell ref="B48:E48"/>
    <mergeCell ref="H48:I48"/>
    <mergeCell ref="L48:M48"/>
    <mergeCell ref="N48:O48"/>
    <mergeCell ref="V48:W48"/>
    <mergeCell ref="Z48:AA48"/>
    <mergeCell ref="AF48:AG48"/>
    <mergeCell ref="L46:M46"/>
    <mergeCell ref="T48:U48"/>
    <mergeCell ref="CB50:CC50"/>
    <mergeCell ref="BJ43:BL43"/>
    <mergeCell ref="AD46:AE46"/>
    <mergeCell ref="AF46:AG46"/>
    <mergeCell ref="AH46:AI46"/>
    <mergeCell ref="AJ46:AK46"/>
    <mergeCell ref="BJ48:BK48"/>
    <mergeCell ref="BB46:BC46"/>
    <mergeCell ref="BD46:BE46"/>
    <mergeCell ref="BF46:BG46"/>
    <mergeCell ref="BJ46:BK46"/>
    <mergeCell ref="AZ46:BA46"/>
    <mergeCell ref="AL46:AM46"/>
    <mergeCell ref="AN46:AO46"/>
    <mergeCell ref="AR46:AS46"/>
    <mergeCell ref="AV46:AW46"/>
    <mergeCell ref="BB48:BC48"/>
    <mergeCell ref="BD48:BE48"/>
    <mergeCell ref="BF48:BG48"/>
    <mergeCell ref="AH48:AI48"/>
    <mergeCell ref="AJ48:AK48"/>
    <mergeCell ref="AL48:AM48"/>
    <mergeCell ref="AN48:AO48"/>
    <mergeCell ref="AR48:AS48"/>
    <mergeCell ref="AZ48:BA48"/>
    <mergeCell ref="AU43:AU51"/>
    <mergeCell ref="AV43:BH43"/>
    <mergeCell ref="AF50:AG50"/>
    <mergeCell ref="AH50:AI50"/>
    <mergeCell ref="AD48:AE48"/>
    <mergeCell ref="AV50:AW50"/>
    <mergeCell ref="AX50:AY50"/>
    <mergeCell ref="AZ50:BA50"/>
    <mergeCell ref="BB50:BC50"/>
    <mergeCell ref="BD50:BE50"/>
    <mergeCell ref="AD50:AE50"/>
    <mergeCell ref="AJ50:AK50"/>
    <mergeCell ref="AL50:AM50"/>
    <mergeCell ref="AN50:AO50"/>
    <mergeCell ref="B58:C58"/>
    <mergeCell ref="A59:A60"/>
    <mergeCell ref="B59:C59"/>
    <mergeCell ref="B60:C60"/>
    <mergeCell ref="CA43:CA51"/>
    <mergeCell ref="BN48:BO48"/>
    <mergeCell ref="CB46:CC46"/>
    <mergeCell ref="AX46:AY46"/>
    <mergeCell ref="BF50:BG50"/>
    <mergeCell ref="BJ50:BK50"/>
    <mergeCell ref="AX48:AY48"/>
    <mergeCell ref="H46:I46"/>
    <mergeCell ref="CB43:CD43"/>
    <mergeCell ref="BM43:BM51"/>
    <mergeCell ref="CB45:CC45"/>
    <mergeCell ref="AR45:AS45"/>
    <mergeCell ref="AV45:BG45"/>
    <mergeCell ref="BJ45:BK45"/>
    <mergeCell ref="AD43:AP43"/>
    <mergeCell ref="AR43:AT43"/>
    <mergeCell ref="AR50:AS50"/>
    <mergeCell ref="CB48:CC48"/>
    <mergeCell ref="AV48:AW48"/>
    <mergeCell ref="R48:S48"/>
    <mergeCell ref="A75:A76"/>
    <mergeCell ref="B75:C75"/>
    <mergeCell ref="B76:C76"/>
    <mergeCell ref="B62:C62"/>
    <mergeCell ref="A63:A64"/>
    <mergeCell ref="B63:C63"/>
    <mergeCell ref="B64:C64"/>
    <mergeCell ref="B66:C66"/>
    <mergeCell ref="A67:A68"/>
    <mergeCell ref="B67:C67"/>
    <mergeCell ref="B68:C68"/>
    <mergeCell ref="B70:C70"/>
    <mergeCell ref="A71:A72"/>
    <mergeCell ref="B71:C71"/>
    <mergeCell ref="B72:C72"/>
    <mergeCell ref="B74:C74"/>
    <mergeCell ref="BN33:BO33"/>
    <mergeCell ref="BP33:BQ33"/>
    <mergeCell ref="BR33:BS33"/>
    <mergeCell ref="BT33:BU33"/>
    <mergeCell ref="BV33:BW33"/>
    <mergeCell ref="BX33:BY33"/>
    <mergeCell ref="BM3:BM40"/>
    <mergeCell ref="BN3:BZ3"/>
    <mergeCell ref="BN5:BY5"/>
    <mergeCell ref="BN15:BY15"/>
    <mergeCell ref="BN24:BO24"/>
    <mergeCell ref="BP24:BQ24"/>
    <mergeCell ref="BR24:BS24"/>
    <mergeCell ref="BT24:BU24"/>
    <mergeCell ref="BV24:BW24"/>
    <mergeCell ref="BX24:BY24"/>
    <mergeCell ref="BN39:BO39"/>
    <mergeCell ref="BP39:BQ39"/>
    <mergeCell ref="BR39:BS39"/>
    <mergeCell ref="BT39:BU39"/>
    <mergeCell ref="BV39:BW39"/>
    <mergeCell ref="BX39:BY39"/>
    <mergeCell ref="BN37:BO37"/>
    <mergeCell ref="BP37:BQ37"/>
    <mergeCell ref="BR37:BS37"/>
    <mergeCell ref="BT37:BU37"/>
    <mergeCell ref="BV37:BW37"/>
    <mergeCell ref="BX37:BY37"/>
    <mergeCell ref="BP50:BQ50"/>
    <mergeCell ref="BR50:BS50"/>
    <mergeCell ref="BT50:BU50"/>
    <mergeCell ref="BV50:BW50"/>
    <mergeCell ref="BX50:BY50"/>
    <mergeCell ref="BP48:BQ48"/>
    <mergeCell ref="BR48:BS48"/>
    <mergeCell ref="BT48:BU48"/>
    <mergeCell ref="BV48:BW48"/>
    <mergeCell ref="BX48:BY48"/>
    <mergeCell ref="BN43:BZ43"/>
    <mergeCell ref="BN45:BY45"/>
    <mergeCell ref="BN46:BO46"/>
    <mergeCell ref="BP46:BQ46"/>
    <mergeCell ref="BR46:BS46"/>
    <mergeCell ref="BT46:BU46"/>
    <mergeCell ref="BV46:BW46"/>
    <mergeCell ref="BX46:BY46"/>
    <mergeCell ref="BN50:BO50"/>
  </mergeCells>
  <phoneticPr fontId="8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94C4D-5E7E-41EF-A11D-A51B3991902B}">
  <dimension ref="A1:R32"/>
  <sheetViews>
    <sheetView showGridLines="0" zoomScale="85" zoomScaleNormal="85" workbookViewId="0">
      <selection activeCell="D27" sqref="D27"/>
    </sheetView>
  </sheetViews>
  <sheetFormatPr baseColWidth="10" defaultColWidth="11.5703125" defaultRowHeight="15" x14ac:dyDescent="0.25"/>
  <cols>
    <col min="1" max="1" width="15.28515625" style="14" customWidth="1"/>
    <col min="2" max="2" width="93.5703125" style="1" customWidth="1"/>
    <col min="3" max="3" width="16.140625" style="20" customWidth="1"/>
    <col min="4" max="4" width="18.5703125" style="2" customWidth="1"/>
    <col min="5" max="5" width="14.28515625" style="2" customWidth="1"/>
    <col min="6" max="6" width="18.85546875" style="20" customWidth="1"/>
    <col min="7" max="7" width="2" style="28" customWidth="1"/>
    <col min="8" max="8" width="12.7109375" style="12" customWidth="1"/>
    <col min="9" max="9" width="15" style="4" customWidth="1"/>
    <col min="10" max="10" width="2" style="4" customWidth="1"/>
    <col min="11" max="11" width="14.28515625" style="4" customWidth="1"/>
    <col min="12" max="12" width="13.28515625" style="4" customWidth="1"/>
    <col min="13" max="13" width="2" style="4" customWidth="1"/>
    <col min="14" max="14" width="11.5703125" style="4"/>
    <col min="15" max="15" width="13.28515625" style="4" customWidth="1"/>
    <col min="16" max="16" width="2" style="4" customWidth="1"/>
    <col min="17" max="17" width="11.5703125" style="4"/>
    <col min="18" max="18" width="12.7109375" style="4" customWidth="1"/>
    <col min="19" max="16384" width="11.5703125" style="4"/>
  </cols>
  <sheetData>
    <row r="1" spans="1:18" ht="15.75" thickBot="1" x14ac:dyDescent="0.3"/>
    <row r="2" spans="1:18" ht="36.6" customHeight="1" thickBot="1" x14ac:dyDescent="0.3">
      <c r="C2" s="18"/>
      <c r="D2" s="5"/>
      <c r="E2" s="5"/>
      <c r="F2" s="18"/>
      <c r="G2" s="25"/>
      <c r="H2" s="231">
        <v>2025</v>
      </c>
      <c r="I2" s="224"/>
      <c r="J2" s="235"/>
      <c r="K2" s="231">
        <v>2026</v>
      </c>
      <c r="L2" s="224"/>
      <c r="M2" s="235"/>
      <c r="N2" s="231">
        <v>2027</v>
      </c>
      <c r="O2" s="224"/>
      <c r="P2" s="235"/>
      <c r="Q2" s="231">
        <v>2028</v>
      </c>
      <c r="R2" s="224"/>
    </row>
    <row r="3" spans="1:18" ht="56.45" customHeight="1" thickBot="1" x14ac:dyDescent="0.3">
      <c r="A3" s="124" t="e" vm="1">
        <v>#VALUE!</v>
      </c>
      <c r="B3" s="125" t="s">
        <v>118</v>
      </c>
      <c r="C3" s="103" t="s">
        <v>2</v>
      </c>
      <c r="D3" s="102" t="s">
        <v>3</v>
      </c>
      <c r="E3" s="102" t="s">
        <v>4</v>
      </c>
      <c r="F3" s="103" t="s">
        <v>5</v>
      </c>
      <c r="G3" s="235"/>
      <c r="H3" s="102" t="s">
        <v>3</v>
      </c>
      <c r="I3" s="103" t="s">
        <v>5</v>
      </c>
      <c r="J3" s="236"/>
      <c r="K3" s="102" t="s">
        <v>3</v>
      </c>
      <c r="L3" s="103" t="s">
        <v>5</v>
      </c>
      <c r="M3" s="236"/>
      <c r="N3" s="102" t="s">
        <v>3</v>
      </c>
      <c r="O3" s="103" t="s">
        <v>5</v>
      </c>
      <c r="P3" s="236"/>
      <c r="Q3" s="102" t="s">
        <v>3</v>
      </c>
      <c r="R3" s="103" t="s">
        <v>5</v>
      </c>
    </row>
    <row r="4" spans="1:18" s="6" customFormat="1" ht="30" customHeight="1" thickBot="1" x14ac:dyDescent="0.3">
      <c r="A4" s="278" t="s">
        <v>6</v>
      </c>
      <c r="B4" s="279"/>
      <c r="C4" s="279"/>
      <c r="D4" s="279"/>
      <c r="E4" s="280"/>
      <c r="F4" s="104">
        <f>F5</f>
        <v>1312972.5</v>
      </c>
      <c r="G4" s="236"/>
      <c r="H4" s="105"/>
      <c r="I4" s="104">
        <f>I5</f>
        <v>12345.225</v>
      </c>
      <c r="J4" s="236"/>
      <c r="K4" s="105"/>
      <c r="L4" s="104">
        <f>L5</f>
        <v>577239.9</v>
      </c>
      <c r="M4" s="236"/>
      <c r="N4" s="105"/>
      <c r="O4" s="104">
        <f>O5</f>
        <v>196528.375</v>
      </c>
      <c r="P4" s="236"/>
      <c r="Q4" s="105"/>
      <c r="R4" s="104">
        <f>R5</f>
        <v>524989</v>
      </c>
    </row>
    <row r="5" spans="1:18" ht="22.15" customHeight="1" x14ac:dyDescent="0.25">
      <c r="A5" s="118" t="s">
        <v>119</v>
      </c>
      <c r="B5" s="281" t="s">
        <v>120</v>
      </c>
      <c r="C5" s="282"/>
      <c r="D5" s="282"/>
      <c r="E5" s="283"/>
      <c r="F5" s="107">
        <f>SUM(F6:F8)</f>
        <v>1312972.5</v>
      </c>
      <c r="G5" s="236"/>
      <c r="H5" s="106"/>
      <c r="I5" s="107">
        <f>SUM(I6:I8)</f>
        <v>12345.225</v>
      </c>
      <c r="J5" s="236"/>
      <c r="K5" s="106"/>
      <c r="L5" s="107">
        <f>SUM(L6:L8)</f>
        <v>577239.9</v>
      </c>
      <c r="M5" s="236"/>
      <c r="N5" s="106"/>
      <c r="O5" s="107">
        <f>SUM(O6:O8)</f>
        <v>196528.375</v>
      </c>
      <c r="P5" s="236"/>
      <c r="Q5" s="106"/>
      <c r="R5" s="107">
        <f>SUM(R6:R8)</f>
        <v>524989</v>
      </c>
    </row>
    <row r="6" spans="1:18" ht="42.6" customHeight="1" x14ac:dyDescent="0.25">
      <c r="A6" s="111" t="s">
        <v>121</v>
      </c>
      <c r="B6" s="7" t="s">
        <v>122</v>
      </c>
      <c r="C6" s="38">
        <f>((1000+390)+2350)/2</f>
        <v>1870</v>
      </c>
      <c r="D6" s="64">
        <f>L26+L27+L28</f>
        <v>635</v>
      </c>
      <c r="E6" s="17"/>
      <c r="F6" s="112">
        <f>C6*D6</f>
        <v>1187450</v>
      </c>
      <c r="G6" s="236"/>
      <c r="H6" s="108">
        <f>ROUNDDOWN((D6*0.01),0)</f>
        <v>6</v>
      </c>
      <c r="I6" s="112">
        <f>C6*H6</f>
        <v>11220</v>
      </c>
      <c r="J6" s="236"/>
      <c r="K6" s="108">
        <f>ROUNDDOWN((D6*0.44),0)</f>
        <v>279</v>
      </c>
      <c r="L6" s="112">
        <f>C6*K6</f>
        <v>521730</v>
      </c>
      <c r="M6" s="236"/>
      <c r="N6" s="108">
        <f>ROUNDDOWN((D6*0.15),0)</f>
        <v>95</v>
      </c>
      <c r="O6" s="112">
        <f>C6*N6</f>
        <v>177650</v>
      </c>
      <c r="P6" s="236"/>
      <c r="Q6" s="108">
        <f>ROUNDDOWN((D6*0.4),0)</f>
        <v>254</v>
      </c>
      <c r="R6" s="112">
        <f>C6*Q6</f>
        <v>474980</v>
      </c>
    </row>
    <row r="7" spans="1:18" ht="45.6" customHeight="1" x14ac:dyDescent="0.25">
      <c r="A7" s="111" t="s">
        <v>123</v>
      </c>
      <c r="B7" s="7" t="s">
        <v>124</v>
      </c>
      <c r="C7" s="19">
        <v>500</v>
      </c>
      <c r="D7" s="64">
        <f>L30+L31+L29</f>
        <v>126</v>
      </c>
      <c r="E7" s="17"/>
      <c r="F7" s="112">
        <f t="shared" ref="F7" si="0">C7*D7</f>
        <v>63000</v>
      </c>
      <c r="G7" s="236"/>
      <c r="H7" s="108">
        <f>ROUNDDOWN((D7*0.01),0)</f>
        <v>1</v>
      </c>
      <c r="I7" s="112">
        <f>C7*H7</f>
        <v>500</v>
      </c>
      <c r="J7" s="236"/>
      <c r="K7" s="108">
        <f>ROUNDUP((D7*0.44),0)</f>
        <v>56</v>
      </c>
      <c r="L7" s="112">
        <f>C7*K7</f>
        <v>28000</v>
      </c>
      <c r="M7" s="236"/>
      <c r="N7" s="108">
        <f>ROUNDUP((D7*0.15),0)</f>
        <v>19</v>
      </c>
      <c r="O7" s="112">
        <f>C7*N7</f>
        <v>9500</v>
      </c>
      <c r="P7" s="236"/>
      <c r="Q7" s="108">
        <f>ROUND((D7*0.4),0)</f>
        <v>50</v>
      </c>
      <c r="R7" s="112">
        <f>C7*Q7</f>
        <v>25000</v>
      </c>
    </row>
    <row r="8" spans="1:18" ht="37.15" customHeight="1" thickBot="1" x14ac:dyDescent="0.3">
      <c r="A8" s="113" t="s">
        <v>125</v>
      </c>
      <c r="B8" s="114" t="s">
        <v>126</v>
      </c>
      <c r="C8" s="115">
        <f>(F6+F7)*0.05</f>
        <v>62522.5</v>
      </c>
      <c r="D8" s="116">
        <v>1</v>
      </c>
      <c r="E8" s="117"/>
      <c r="F8" s="121">
        <f>C8*D8</f>
        <v>62522.5</v>
      </c>
      <c r="G8" s="237"/>
      <c r="H8" s="109">
        <v>1</v>
      </c>
      <c r="I8" s="110">
        <f>C8*0.01</f>
        <v>625.22500000000002</v>
      </c>
      <c r="J8" s="237"/>
      <c r="K8" s="109">
        <v>1</v>
      </c>
      <c r="L8" s="110">
        <f>C8*0.44</f>
        <v>27509.9</v>
      </c>
      <c r="M8" s="237"/>
      <c r="N8" s="109">
        <v>1</v>
      </c>
      <c r="O8" s="110">
        <f>C8*0.15</f>
        <v>9378.375</v>
      </c>
      <c r="P8" s="237"/>
      <c r="Q8" s="109">
        <v>1</v>
      </c>
      <c r="R8" s="110">
        <f>C8*0.4</f>
        <v>25009</v>
      </c>
    </row>
    <row r="9" spans="1:18" ht="20.45" customHeight="1" x14ac:dyDescent="0.25">
      <c r="B9" s="10"/>
      <c r="F9" s="22"/>
      <c r="G9" s="27"/>
      <c r="H9" s="11"/>
    </row>
    <row r="10" spans="1:18" ht="22.15" customHeight="1" x14ac:dyDescent="0.25">
      <c r="B10" s="275" t="s">
        <v>72</v>
      </c>
      <c r="C10" s="260"/>
      <c r="D10" s="120">
        <f>SUM(D11:D11)</f>
        <v>1312972.5</v>
      </c>
      <c r="E10" s="53"/>
      <c r="H10" s="3"/>
    </row>
    <row r="11" spans="1:18" ht="32.450000000000003" customHeight="1" x14ac:dyDescent="0.25">
      <c r="A11" s="61" t="s">
        <v>127</v>
      </c>
      <c r="B11" s="276" t="s">
        <v>128</v>
      </c>
      <c r="C11" s="277"/>
      <c r="D11" s="99">
        <f>F4</f>
        <v>1312972.5</v>
      </c>
      <c r="E11" s="54"/>
      <c r="G11" s="25"/>
      <c r="H11" s="3" t="s">
        <v>57</v>
      </c>
    </row>
    <row r="12" spans="1:18" ht="12" customHeight="1" x14ac:dyDescent="0.25">
      <c r="C12" s="58"/>
      <c r="D12" s="5"/>
      <c r="E12" s="55"/>
      <c r="G12" s="25"/>
      <c r="H12" s="3"/>
    </row>
    <row r="13" spans="1:18" ht="18.75" x14ac:dyDescent="0.25">
      <c r="B13" s="275" t="s">
        <v>76</v>
      </c>
      <c r="C13" s="260"/>
      <c r="D13" s="120">
        <f>SUM(D14:D14)</f>
        <v>12345.225</v>
      </c>
      <c r="E13" s="4"/>
      <c r="F13" s="18"/>
      <c r="G13" s="25"/>
      <c r="H13" s="3"/>
    </row>
    <row r="14" spans="1:18" ht="31.9" customHeight="1" x14ac:dyDescent="0.25">
      <c r="A14" s="61" t="s">
        <v>127</v>
      </c>
      <c r="B14" s="276" t="s">
        <v>128</v>
      </c>
      <c r="C14" s="277"/>
      <c r="D14" s="112">
        <f>I4</f>
        <v>12345.225</v>
      </c>
      <c r="E14" s="4"/>
      <c r="F14" s="18"/>
      <c r="G14" s="25"/>
      <c r="H14" s="3"/>
    </row>
    <row r="15" spans="1:18" x14ac:dyDescent="0.25">
      <c r="A15" s="4"/>
      <c r="B15" s="4"/>
      <c r="C15" s="4"/>
      <c r="D15" s="4"/>
      <c r="E15" s="4"/>
      <c r="F15" s="18"/>
      <c r="G15" s="25"/>
      <c r="H15" s="3"/>
    </row>
    <row r="16" spans="1:18" ht="18.75" x14ac:dyDescent="0.25">
      <c r="B16" s="275" t="s">
        <v>78</v>
      </c>
      <c r="C16" s="260"/>
      <c r="D16" s="120">
        <f>SUM(D17:D17)</f>
        <v>577239.9</v>
      </c>
      <c r="E16" s="4"/>
      <c r="F16" s="18"/>
      <c r="G16" s="25"/>
      <c r="H16" s="3"/>
    </row>
    <row r="17" spans="1:12" ht="31.9" customHeight="1" x14ac:dyDescent="0.25">
      <c r="A17" s="61" t="s">
        <v>127</v>
      </c>
      <c r="B17" s="276" t="s">
        <v>128</v>
      </c>
      <c r="C17" s="277"/>
      <c r="D17" s="112">
        <f>L4</f>
        <v>577239.9</v>
      </c>
      <c r="E17" s="4"/>
      <c r="F17" s="18"/>
      <c r="G17" s="25"/>
      <c r="H17" s="3"/>
    </row>
    <row r="18" spans="1:12" x14ac:dyDescent="0.25">
      <c r="A18" s="4"/>
      <c r="B18" s="4"/>
      <c r="C18" s="4"/>
      <c r="D18" s="4"/>
      <c r="E18" s="4"/>
      <c r="F18" s="18"/>
      <c r="G18" s="25"/>
      <c r="H18" s="3"/>
    </row>
    <row r="19" spans="1:12" ht="18.75" x14ac:dyDescent="0.25">
      <c r="B19" s="275" t="s">
        <v>79</v>
      </c>
      <c r="C19" s="260"/>
      <c r="D19" s="120">
        <f>SUM(D20:D20)</f>
        <v>196528.375</v>
      </c>
      <c r="E19" s="4"/>
      <c r="F19" s="18"/>
      <c r="G19" s="25"/>
      <c r="H19" s="3"/>
    </row>
    <row r="20" spans="1:12" ht="33" customHeight="1" x14ac:dyDescent="0.25">
      <c r="A20" s="61" t="s">
        <v>127</v>
      </c>
      <c r="B20" s="276" t="s">
        <v>128</v>
      </c>
      <c r="C20" s="277"/>
      <c r="D20" s="112">
        <f>O4</f>
        <v>196528.375</v>
      </c>
      <c r="E20" s="4"/>
      <c r="F20" s="18"/>
      <c r="G20" s="25"/>
      <c r="H20" s="3"/>
    </row>
    <row r="21" spans="1:12" x14ac:dyDescent="0.25">
      <c r="A21" s="4"/>
      <c r="B21" s="4"/>
      <c r="C21" s="4"/>
      <c r="D21" s="4"/>
      <c r="E21" s="4"/>
      <c r="F21" s="18"/>
      <c r="G21" s="25"/>
      <c r="H21" s="3"/>
    </row>
    <row r="22" spans="1:12" ht="18.75" x14ac:dyDescent="0.25">
      <c r="B22" s="275" t="s">
        <v>80</v>
      </c>
      <c r="C22" s="260"/>
      <c r="D22" s="120">
        <f>SUM(D23:D23)</f>
        <v>524989</v>
      </c>
      <c r="E22" s="4"/>
      <c r="F22" s="18"/>
      <c r="G22" s="25"/>
      <c r="H22" s="3"/>
    </row>
    <row r="23" spans="1:12" ht="36" customHeight="1" x14ac:dyDescent="0.25">
      <c r="A23" s="61" t="s">
        <v>127</v>
      </c>
      <c r="B23" s="276" t="s">
        <v>128</v>
      </c>
      <c r="C23" s="277"/>
      <c r="D23" s="112">
        <f>R4</f>
        <v>524989</v>
      </c>
      <c r="E23" s="4"/>
      <c r="F23" s="18"/>
      <c r="G23" s="25"/>
      <c r="H23" s="3"/>
    </row>
    <row r="24" spans="1:12" x14ac:dyDescent="0.25">
      <c r="A24" s="4"/>
      <c r="B24" s="4"/>
      <c r="C24" s="4"/>
      <c r="D24" s="4"/>
      <c r="E24" s="4"/>
      <c r="F24" s="18"/>
      <c r="G24" s="25"/>
      <c r="H24" s="3"/>
    </row>
    <row r="25" spans="1:12" ht="51.6" customHeight="1" x14ac:dyDescent="0.25">
      <c r="E25" s="70" t="s">
        <v>129</v>
      </c>
      <c r="F25" s="71" t="s">
        <v>130</v>
      </c>
      <c r="K25" s="34" t="s">
        <v>131</v>
      </c>
      <c r="L25" s="34" t="s">
        <v>132</v>
      </c>
    </row>
    <row r="26" spans="1:12" ht="26.45" customHeight="1" x14ac:dyDescent="0.25">
      <c r="E26" s="19" t="s">
        <v>133</v>
      </c>
      <c r="F26" s="69">
        <v>0.01</v>
      </c>
      <c r="K26" s="7" t="s">
        <v>134</v>
      </c>
      <c r="L26" s="7">
        <v>495</v>
      </c>
    </row>
    <row r="27" spans="1:12" ht="31.9" customHeight="1" x14ac:dyDescent="0.25">
      <c r="A27" s="4"/>
      <c r="B27" s="4"/>
      <c r="C27" s="4"/>
      <c r="D27" s="4"/>
      <c r="E27" s="19" t="s">
        <v>135</v>
      </c>
      <c r="F27" s="69">
        <v>0.44</v>
      </c>
      <c r="H27" s="4"/>
      <c r="K27" s="7" t="s">
        <v>136</v>
      </c>
      <c r="L27" s="7">
        <v>139</v>
      </c>
    </row>
    <row r="28" spans="1:12" ht="55.9" customHeight="1" x14ac:dyDescent="0.25">
      <c r="E28" s="19" t="s">
        <v>137</v>
      </c>
      <c r="F28" s="69">
        <v>0.15</v>
      </c>
      <c r="K28" s="7" t="s">
        <v>138</v>
      </c>
      <c r="L28" s="7">
        <v>1</v>
      </c>
    </row>
    <row r="29" spans="1:12" ht="42" customHeight="1" x14ac:dyDescent="0.25">
      <c r="E29" s="19" t="s">
        <v>139</v>
      </c>
      <c r="F29" s="69">
        <v>0.4</v>
      </c>
      <c r="K29" s="101" t="s">
        <v>140</v>
      </c>
      <c r="L29" s="101">
        <v>2</v>
      </c>
    </row>
    <row r="30" spans="1:12" ht="39.6" customHeight="1" x14ac:dyDescent="0.25">
      <c r="E30" s="20"/>
      <c r="F30" s="72">
        <f>SUM(F26:F29)</f>
        <v>1</v>
      </c>
      <c r="K30" s="7" t="s">
        <v>141</v>
      </c>
      <c r="L30" s="7">
        <v>33</v>
      </c>
    </row>
    <row r="31" spans="1:12" ht="59.45" customHeight="1" x14ac:dyDescent="0.25">
      <c r="K31" s="7" t="s">
        <v>142</v>
      </c>
      <c r="L31" s="7">
        <v>91</v>
      </c>
    </row>
    <row r="32" spans="1:12" ht="30" customHeight="1" x14ac:dyDescent="0.25">
      <c r="K32" s="32" t="s">
        <v>143</v>
      </c>
      <c r="L32" s="32">
        <f>SUM(L26:L31)</f>
        <v>761</v>
      </c>
    </row>
  </sheetData>
  <mergeCells count="20">
    <mergeCell ref="N2:O2"/>
    <mergeCell ref="Q2:R2"/>
    <mergeCell ref="J2:J8"/>
    <mergeCell ref="M2:M8"/>
    <mergeCell ref="P2:P8"/>
    <mergeCell ref="B22:C22"/>
    <mergeCell ref="B23:C23"/>
    <mergeCell ref="G3:G8"/>
    <mergeCell ref="H2:I2"/>
    <mergeCell ref="K2:L2"/>
    <mergeCell ref="A4:E4"/>
    <mergeCell ref="B14:C14"/>
    <mergeCell ref="B16:C16"/>
    <mergeCell ref="B17:C17"/>
    <mergeCell ref="B19:C19"/>
    <mergeCell ref="B20:C20"/>
    <mergeCell ref="B5:E5"/>
    <mergeCell ref="B10:C10"/>
    <mergeCell ref="B11:C11"/>
    <mergeCell ref="B13:C13"/>
  </mergeCells>
  <phoneticPr fontId="8" type="noConversion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88833-2414-4FE0-B7C1-B4B0F7B406C6}">
  <dimension ref="A1:G11"/>
  <sheetViews>
    <sheetView tabSelected="1" zoomScale="160" zoomScaleNormal="160" workbookViewId="0">
      <selection activeCell="B3" sqref="B3"/>
    </sheetView>
  </sheetViews>
  <sheetFormatPr baseColWidth="10" defaultColWidth="9.140625" defaultRowHeight="15" x14ac:dyDescent="0.25"/>
  <cols>
    <col min="2" max="2" width="24.42578125" bestFit="1" customWidth="1"/>
    <col min="3" max="3" width="26.85546875" style="211" customWidth="1"/>
    <col min="4" max="4" width="16.5703125" style="211" customWidth="1"/>
    <col min="5" max="5" width="21.42578125" bestFit="1" customWidth="1"/>
    <col min="6" max="6" width="20.85546875" bestFit="1" customWidth="1"/>
    <col min="7" max="7" width="15.85546875" style="211" bestFit="1" customWidth="1"/>
  </cols>
  <sheetData>
    <row r="1" spans="1:7" x14ac:dyDescent="0.25">
      <c r="A1" s="291"/>
      <c r="B1" s="291"/>
      <c r="C1" s="292"/>
      <c r="D1" s="292"/>
      <c r="E1" s="291"/>
      <c r="F1" s="291"/>
      <c r="G1" s="292"/>
    </row>
    <row r="2" spans="1:7" x14ac:dyDescent="0.25">
      <c r="A2" s="291"/>
      <c r="B2" s="291"/>
      <c r="C2" s="292"/>
      <c r="D2" s="292"/>
      <c r="E2" s="291"/>
      <c r="F2" s="291"/>
      <c r="G2" s="292"/>
    </row>
    <row r="3" spans="1:7" ht="33.75" customHeight="1" x14ac:dyDescent="0.25">
      <c r="A3" s="291"/>
      <c r="B3" s="284" t="s">
        <v>147</v>
      </c>
      <c r="C3" s="284" t="s">
        <v>148</v>
      </c>
      <c r="D3" s="284" t="s">
        <v>144</v>
      </c>
      <c r="E3" s="284" t="s">
        <v>149</v>
      </c>
      <c r="F3" s="284" t="s">
        <v>145</v>
      </c>
      <c r="G3" s="292"/>
    </row>
    <row r="4" spans="1:7" x14ac:dyDescent="0.25">
      <c r="A4" s="291"/>
      <c r="B4" s="285" t="s">
        <v>146</v>
      </c>
      <c r="C4" s="286" t="s">
        <v>150</v>
      </c>
      <c r="D4" s="287"/>
      <c r="E4" s="287"/>
      <c r="F4" s="288"/>
      <c r="G4" s="292"/>
    </row>
    <row r="5" spans="1:7" x14ac:dyDescent="0.25">
      <c r="A5" s="291"/>
      <c r="B5" s="285"/>
      <c r="C5" s="286" t="s">
        <v>151</v>
      </c>
      <c r="D5" s="287"/>
      <c r="E5" s="287"/>
      <c r="F5" s="288"/>
      <c r="G5" s="292"/>
    </row>
    <row r="6" spans="1:7" ht="15.75" thickBot="1" x14ac:dyDescent="0.3">
      <c r="A6" s="291"/>
      <c r="B6" s="285"/>
      <c r="C6" s="286" t="s">
        <v>152</v>
      </c>
      <c r="D6" s="287"/>
      <c r="E6" s="287"/>
      <c r="F6" s="290"/>
      <c r="G6" s="292"/>
    </row>
    <row r="7" spans="1:7" ht="15.75" thickBot="1" x14ac:dyDescent="0.3">
      <c r="A7" s="291"/>
      <c r="B7" s="293"/>
      <c r="C7" s="293"/>
      <c r="D7" s="293"/>
      <c r="E7" s="293"/>
      <c r="F7" s="289">
        <f>F4+F5+F6</f>
        <v>0</v>
      </c>
      <c r="G7" s="292"/>
    </row>
    <row r="8" spans="1:7" x14ac:dyDescent="0.25">
      <c r="A8" s="291"/>
      <c r="B8" s="291"/>
      <c r="C8" s="292"/>
      <c r="D8" s="292"/>
      <c r="E8" s="291"/>
      <c r="F8" s="294"/>
      <c r="G8" s="292"/>
    </row>
    <row r="9" spans="1:7" x14ac:dyDescent="0.25">
      <c r="A9" s="291"/>
      <c r="B9" s="291"/>
      <c r="C9" s="292"/>
      <c r="D9" s="292"/>
      <c r="E9" s="291"/>
      <c r="F9" s="291"/>
      <c r="G9" s="292"/>
    </row>
    <row r="10" spans="1:7" x14ac:dyDescent="0.25">
      <c r="A10" s="291"/>
      <c r="B10" s="291"/>
      <c r="C10" s="292"/>
      <c r="D10" s="292"/>
      <c r="E10" s="291"/>
      <c r="F10" s="291"/>
      <c r="G10" s="292"/>
    </row>
    <row r="11" spans="1:7" x14ac:dyDescent="0.25">
      <c r="A11" s="291"/>
      <c r="B11" s="291"/>
      <c r="C11" s="292"/>
      <c r="D11" s="292"/>
      <c r="E11" s="291"/>
      <c r="F11" s="291"/>
      <c r="G11" s="292"/>
    </row>
  </sheetData>
  <mergeCells count="1">
    <mergeCell ref="B4:B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3104</Value>
      <Value>3159</Value>
    </TaxCatchAll>
    <TMB_Perfil xmlns="c8de0594-42e2-4f26-8a69-9df094374455">true</TMB_Perfil>
    <TMB_NumeroSolicitud xmlns="c8de0594-42e2-4f26-8a69-9df094374455">16074947</TMB_NumeroSolicitud>
    <TMB_CA xmlns="c8de0594-42e2-4f26-8a69-9df094374455" xsi:nil="true"/>
    <TMB_Not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Mod inici</TermName>
          <TermId xmlns="http://schemas.microsoft.com/office/infopath/2007/PartnerControls">acca40b2-55c7-42b8-b996-d5cef65cf74c</TermId>
        </TermInfo>
      </Terms>
    </g93776c333e34272ab15451ee7fa82be>
    <b3a2275c509d4b0394d7e35eb2e777cd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TMB_DataAltres xmlns="c8de0594-42e2-4f26-8a69-9df094374455" xsi:nil="true"/>
    <TMB_OP xmlns="c8de0594-42e2-4f26-8a69-9df094374455">2025-05-21T22:00:00+00:00</TMB_OP>
    <TMB_CC xmlns="c8de0594-42e2-4f26-8a69-9df094374455">2025-05-26T22:00:00+00:00</TMB_CC>
    <TMB_CH_TipusDocu xmlns="c8de0594-42e2-4f26-8a69-9df094374455">Annexe</TMB_CH_TipusDocu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lcf76f155ced4ddcb4097134ff3c332f xmlns="b33c6233-2ab6-44e4-b566-b78dc0012292" xsi:nil="true"/>
    <TMB_seguimentWorkflow xmlns="c8de0594-42e2-4f26-8a69-9df094374455" xsi:nil="true"/>
    <TMB_TitolLicitacio xmlns="c8de0594-42e2-4f26-8a69-9df094374455">16074947 - Renovació distribuidores</TMB_TitolLicitacio>
    <TMB_IDLicitacio xmlns="c8de0594-42e2-4f26-8a69-9df094374455">457385</TMB_IDLicitacio>
    <TMB_DataComiteWF xmlns="c8de0594-42e2-4f26-8a69-9df0943744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6" ma:contentTypeDescription="Crea un document nou" ma:contentTypeScope="" ma:versionID="25486872e1197f7ddf94d89f99fd87f8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e2d28beef211289fd42d23741f164ac5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2AA94FBD-2FFF-4B05-BF2C-C842DD0ABFA6}">
  <ds:schemaRefs>
    <ds:schemaRef ds:uri="http://schemas.microsoft.com/office/2006/metadata/properties"/>
    <ds:schemaRef ds:uri="http://schemas.microsoft.com/office/infopath/2007/PartnerControls"/>
    <ds:schemaRef ds:uri="70b69680-0c7d-46b4-97ac-8cc38e2167a5"/>
    <ds:schemaRef ds:uri="88ade076-759e-457a-9d5b-c8fd0281075b"/>
    <ds:schemaRef ds:uri="c8de0594-42e2-4f26-8a69-9df094374455"/>
  </ds:schemaRefs>
</ds:datastoreItem>
</file>

<file path=customXml/itemProps2.xml><?xml version="1.0" encoding="utf-8"?>
<ds:datastoreItem xmlns:ds="http://schemas.openxmlformats.org/officeDocument/2006/customXml" ds:itemID="{E71B5E57-FCDF-4F06-83A7-0F48BD684D7C}"/>
</file>

<file path=customXml/itemProps3.xml><?xml version="1.0" encoding="utf-8"?>
<ds:datastoreItem xmlns:ds="http://schemas.openxmlformats.org/officeDocument/2006/customXml" ds:itemID="{98DAA037-8A66-4E5C-8A27-655BCF3855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LOTE 1</vt:lpstr>
      <vt:lpstr>LOTE 1 (Año 2025)</vt:lpstr>
      <vt:lpstr>LOTE 1 (Año 2026)</vt:lpstr>
      <vt:lpstr>LOTE 1 (Año 2027)</vt:lpstr>
      <vt:lpstr>LOTE 1 (Mensualizado)</vt:lpstr>
      <vt:lpstr>LOTE 2</vt:lpstr>
      <vt:lpstr>Detall de preus excl. mmt int.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Alberto Gómez Durán</dc:creator>
  <cp:keywords/>
  <dc:description/>
  <cp:lastModifiedBy>Solis Vazquez, Ana</cp:lastModifiedBy>
  <cp:revision/>
  <dcterms:created xsi:type="dcterms:W3CDTF">2015-06-05T18:19:34Z</dcterms:created>
  <dcterms:modified xsi:type="dcterms:W3CDTF">2025-05-15T09:02:49Z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MediaServiceImageTags">
    <vt:lpwstr/>
  </property>
  <property fmtid="{D5CDD505-2E9C-101B-9397-08002B2CF9AE}" pid="4" name="TMB_Plecs">
    <vt:lpwstr/>
  </property>
  <property fmtid="{D5CDD505-2E9C-101B-9397-08002B2CF9AE}" pid="5" name="TMB_OrganC">
    <vt:lpwstr/>
  </property>
  <property fmtid="{D5CDD505-2E9C-101B-9397-08002B2CF9AE}" pid="6" name="TMB_TipusDoc">
    <vt:lpwstr/>
  </property>
  <property fmtid="{D5CDD505-2E9C-101B-9397-08002B2CF9AE}" pid="7" name="TMB_Fase">
    <vt:lpwstr>3104;#Mod inici|acca40b2-55c7-42b8-b996-d5cef65cf74c</vt:lpwstr>
  </property>
  <property fmtid="{D5CDD505-2E9C-101B-9397-08002B2CF9AE}" pid="8" name="eaedb32f61974917bc22b3946021685c">
    <vt:lpwstr/>
  </property>
  <property fmtid="{D5CDD505-2E9C-101B-9397-08002B2CF9AE}" pid="10" name="TMB_Docprov">
    <vt:lpwstr/>
  </property>
  <property fmtid="{D5CDD505-2E9C-101B-9397-08002B2CF9AE}" pid="11" name="TMB_FaseDocProv">
    <vt:lpwstr/>
  </property>
  <property fmtid="{D5CDD505-2E9C-101B-9397-08002B2CF9AE}" pid="12" name="h80888fb7b914359b90c46b7c452b251">
    <vt:lpwstr/>
  </property>
  <property fmtid="{D5CDD505-2E9C-101B-9397-08002B2CF9AE}" pid="13" name="TMB_Proveidor">
    <vt:lpwstr/>
  </property>
  <property fmtid="{D5CDD505-2E9C-101B-9397-08002B2CF9AE}" pid="14" name="o0f6527fa5184dfa91381007b0eb82df">
    <vt:lpwstr/>
  </property>
  <property fmtid="{D5CDD505-2E9C-101B-9397-08002B2CF9AE}" pid="15" name="TMB_Sobres">
    <vt:lpwstr/>
  </property>
  <property fmtid="{D5CDD505-2E9C-101B-9397-08002B2CF9AE}" pid="16" name="ba05a5f98ed745b98d9dacf37bda167c">
    <vt:lpwstr/>
  </property>
  <property fmtid="{D5CDD505-2E9C-101B-9397-08002B2CF9AE}" pid="17" name="TMB_Estat">
    <vt:lpwstr>3159;#Public|5cd44708-a357-4aee-a9ab-ade886f4bbf7</vt:lpwstr>
  </property>
  <property fmtid="{D5CDD505-2E9C-101B-9397-08002B2CF9AE}" pid="18" name="FirstName">
    <vt:lpwstr/>
  </property>
  <property fmtid="{D5CDD505-2E9C-101B-9397-08002B2CF9AE}" pid="19" name="h3e189544f4e4582960eb2fb36374928">
    <vt:lpwstr/>
  </property>
</Properties>
</file>