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7" yWindow="9" windowWidth="32657" windowHeight="14623"/>
  </bookViews>
  <sheets>
    <sheet name="RESUM" sheetId="1" r:id="rId1"/>
    <sheet name="I PREVENTIU" sheetId="2" r:id="rId2"/>
    <sheet name="II CONSUMIBLES" sheetId="3" r:id="rId3"/>
    <sheet name="III ESPECÍFIC" sheetId="4" r:id="rId4"/>
    <sheet name="IV ASSIS" sheetId="5" r:id="rId5"/>
    <sheet name="V CORR" sheetId="6" r:id="rId6"/>
  </sheets>
  <externalReferences>
    <externalReference r:id="rId7"/>
  </externalReferences>
  <definedNames>
    <definedName name="_xlnm.Print_Area" localSheetId="0">RESUM!$A$1:$E$59</definedName>
  </definedNames>
  <calcPr calcId="145621"/>
</workbook>
</file>

<file path=xl/calcChain.xml><?xml version="1.0" encoding="utf-8"?>
<calcChain xmlns="http://schemas.openxmlformats.org/spreadsheetml/2006/main">
  <c r="D47" i="1" l="1"/>
  <c r="D42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3" i="1"/>
  <c r="I39" i="6" l="1"/>
  <c r="F39" i="6" s="1"/>
  <c r="I38" i="6"/>
  <c r="F38" i="6" s="1"/>
  <c r="I37" i="6"/>
  <c r="F37" i="6"/>
  <c r="I36" i="6"/>
  <c r="F36" i="6" s="1"/>
  <c r="I35" i="6"/>
  <c r="F35" i="6" s="1"/>
  <c r="F34" i="6"/>
  <c r="I31" i="6"/>
  <c r="F31" i="6"/>
  <c r="F30" i="6"/>
  <c r="H20" i="6"/>
  <c r="I20" i="6" s="1"/>
  <c r="E20" i="6"/>
  <c r="H15" i="6"/>
  <c r="I15" i="6" s="1"/>
  <c r="I26" i="6" s="1"/>
  <c r="E15" i="6"/>
  <c r="I11" i="6"/>
  <c r="F11" i="6"/>
  <c r="I10" i="6"/>
  <c r="F10" i="6"/>
  <c r="I9" i="6"/>
  <c r="F9" i="6"/>
  <c r="I8" i="6"/>
  <c r="F8" i="6"/>
  <c r="F26" i="6" s="1"/>
  <c r="G7" i="5"/>
  <c r="H7" i="5" s="1"/>
  <c r="H10" i="5" s="1"/>
  <c r="E7" i="5"/>
  <c r="E10" i="5" s="1"/>
  <c r="E58" i="4"/>
  <c r="E55" i="4"/>
  <c r="E52" i="4"/>
  <c r="G49" i="4"/>
  <c r="H49" i="4" s="1"/>
  <c r="E49" i="4"/>
  <c r="G46" i="4"/>
  <c r="H46" i="4" s="1"/>
  <c r="E46" i="4"/>
  <c r="H43" i="4"/>
  <c r="E43" i="4"/>
  <c r="E40" i="4"/>
  <c r="E37" i="4"/>
  <c r="G34" i="4"/>
  <c r="H34" i="4" s="1"/>
  <c r="E34" i="4"/>
  <c r="G31" i="4"/>
  <c r="H31" i="4" s="1"/>
  <c r="E31" i="4"/>
  <c r="E28" i="4"/>
  <c r="E25" i="4"/>
  <c r="E22" i="4"/>
  <c r="G19" i="4"/>
  <c r="H19" i="4" s="1"/>
  <c r="E19" i="4"/>
  <c r="H16" i="4"/>
  <c r="G16" i="4"/>
  <c r="E16" i="4"/>
  <c r="G13" i="4"/>
  <c r="H13" i="4" s="1"/>
  <c r="E13" i="4"/>
  <c r="E10" i="4"/>
  <c r="G7" i="4"/>
  <c r="H7" i="4" s="1"/>
  <c r="E7" i="4"/>
  <c r="E61" i="4" s="1"/>
  <c r="G3" i="4"/>
  <c r="G28" i="4" s="1"/>
  <c r="H28" i="4" s="1"/>
  <c r="J45" i="3"/>
  <c r="K45" i="3" s="1"/>
  <c r="K47" i="3" s="1"/>
  <c r="H45" i="3"/>
  <c r="H47" i="3" s="1"/>
  <c r="K41" i="3"/>
  <c r="J39" i="3"/>
  <c r="H39" i="3"/>
  <c r="J38" i="3"/>
  <c r="H38" i="3"/>
  <c r="J37" i="3"/>
  <c r="H37" i="3"/>
  <c r="K36" i="3"/>
  <c r="J36" i="3"/>
  <c r="H36" i="3"/>
  <c r="H41" i="3" s="1"/>
  <c r="J29" i="3"/>
  <c r="K29" i="3" s="1"/>
  <c r="H29" i="3"/>
  <c r="K26" i="3"/>
  <c r="J26" i="3"/>
  <c r="H26" i="3"/>
  <c r="J23" i="3"/>
  <c r="I23" i="3"/>
  <c r="K23" i="3" s="1"/>
  <c r="J22" i="3"/>
  <c r="I22" i="3"/>
  <c r="K22" i="3" s="1"/>
  <c r="F22" i="3"/>
  <c r="H22" i="3" s="1"/>
  <c r="J21" i="3"/>
  <c r="I21" i="3"/>
  <c r="F21" i="3" s="1"/>
  <c r="H21" i="3" s="1"/>
  <c r="K20" i="3"/>
  <c r="J20" i="3"/>
  <c r="I20" i="3"/>
  <c r="F20" i="3"/>
  <c r="H20" i="3" s="1"/>
  <c r="J19" i="3"/>
  <c r="I19" i="3"/>
  <c r="K19" i="3" s="1"/>
  <c r="F19" i="3"/>
  <c r="H19" i="3" s="1"/>
  <c r="J18" i="3"/>
  <c r="I18" i="3"/>
  <c r="K18" i="3" s="1"/>
  <c r="F18" i="3"/>
  <c r="H18" i="3" s="1"/>
  <c r="J14" i="3"/>
  <c r="D14" i="3"/>
  <c r="I14" i="3" s="1"/>
  <c r="J13" i="3"/>
  <c r="D13" i="3"/>
  <c r="I13" i="3" s="1"/>
  <c r="J12" i="3"/>
  <c r="I12" i="3"/>
  <c r="F12" i="3" s="1"/>
  <c r="H12" i="3" s="1"/>
  <c r="D12" i="3"/>
  <c r="J11" i="3"/>
  <c r="D11" i="3"/>
  <c r="I11" i="3" s="1"/>
  <c r="J10" i="3"/>
  <c r="D10" i="3"/>
  <c r="I10" i="3" s="1"/>
  <c r="J9" i="3"/>
  <c r="K9" i="3" s="1"/>
  <c r="I9" i="3"/>
  <c r="F9" i="3" s="1"/>
  <c r="H9" i="3" s="1"/>
  <c r="D9" i="3"/>
  <c r="J8" i="3"/>
  <c r="D8" i="3"/>
  <c r="I8" i="3" s="1"/>
  <c r="J7" i="3"/>
  <c r="D7" i="3"/>
  <c r="I7" i="3" s="1"/>
  <c r="F51" i="1"/>
  <c r="F50" i="1" s="1"/>
  <c r="F48" i="1"/>
  <c r="C48" i="1" s="1"/>
  <c r="F47" i="1"/>
  <c r="C47" i="1" s="1"/>
  <c r="F42" i="1"/>
  <c r="F41" i="1" s="1"/>
  <c r="B42" i="1"/>
  <c r="A42" i="1"/>
  <c r="F39" i="1"/>
  <c r="C39" i="1" s="1"/>
  <c r="A39" i="1"/>
  <c r="F38" i="1"/>
  <c r="C38" i="1" s="1"/>
  <c r="A38" i="1"/>
  <c r="F37" i="1"/>
  <c r="C37" i="1" s="1"/>
  <c r="A37" i="1"/>
  <c r="F36" i="1"/>
  <c r="C36" i="1" s="1"/>
  <c r="A36" i="1"/>
  <c r="F35" i="1"/>
  <c r="C35" i="1" s="1"/>
  <c r="F34" i="1"/>
  <c r="C34" i="1" s="1"/>
  <c r="A34" i="1"/>
  <c r="F33" i="1"/>
  <c r="C33" i="1" s="1"/>
  <c r="A33" i="1"/>
  <c r="F32" i="1"/>
  <c r="C32" i="1" s="1"/>
  <c r="A32" i="1"/>
  <c r="F31" i="1"/>
  <c r="C31" i="1"/>
  <c r="F30" i="1"/>
  <c r="C30" i="1" s="1"/>
  <c r="A30" i="1"/>
  <c r="F29" i="1"/>
  <c r="C29" i="1" s="1"/>
  <c r="A29" i="1"/>
  <c r="F28" i="1"/>
  <c r="C28" i="1"/>
  <c r="A28" i="1"/>
  <c r="F27" i="1"/>
  <c r="C27" i="1" s="1"/>
  <c r="A27" i="1"/>
  <c r="F26" i="1"/>
  <c r="C26" i="1" s="1"/>
  <c r="A26" i="1"/>
  <c r="F25" i="1"/>
  <c r="C25" i="1" s="1"/>
  <c r="A25" i="1"/>
  <c r="F24" i="1"/>
  <c r="C24" i="1" s="1"/>
  <c r="E24" i="1"/>
  <c r="A24" i="1"/>
  <c r="F23" i="1"/>
  <c r="C23" i="1" s="1"/>
  <c r="A23" i="1"/>
  <c r="F22" i="1"/>
  <c r="C22" i="1" s="1"/>
  <c r="B22" i="1"/>
  <c r="A22" i="1"/>
  <c r="F21" i="1"/>
  <c r="F19" i="1"/>
  <c r="C19" i="1" s="1"/>
  <c r="A19" i="1"/>
  <c r="F18" i="1"/>
  <c r="C18" i="1" s="1"/>
  <c r="A18" i="1"/>
  <c r="F17" i="1"/>
  <c r="C17" i="1" s="1"/>
  <c r="A17" i="1"/>
  <c r="F14" i="1"/>
  <c r="C14" i="1" s="1"/>
  <c r="A14" i="1"/>
  <c r="F13" i="1"/>
  <c r="C13" i="1" s="1"/>
  <c r="A13" i="1"/>
  <c r="F12" i="1"/>
  <c r="C12" i="1" s="1"/>
  <c r="A12" i="1"/>
  <c r="H13" i="2"/>
  <c r="H15" i="2" s="1"/>
  <c r="E13" i="2"/>
  <c r="D14" i="1" s="1"/>
  <c r="H10" i="2"/>
  <c r="E10" i="2"/>
  <c r="H7" i="2"/>
  <c r="E7" i="2"/>
  <c r="D12" i="1" s="1"/>
  <c r="E15" i="2" l="1"/>
  <c r="E19" i="1"/>
  <c r="E17" i="1"/>
  <c r="E23" i="1"/>
  <c r="D48" i="1"/>
  <c r="C46" i="1"/>
  <c r="E30" i="1"/>
  <c r="C42" i="1"/>
  <c r="C41" i="1" s="1"/>
  <c r="D11" i="1"/>
  <c r="E31" i="1"/>
  <c r="D21" i="1"/>
  <c r="E27" i="1"/>
  <c r="E47" i="1"/>
  <c r="E37" i="1"/>
  <c r="C16" i="1"/>
  <c r="E28" i="1"/>
  <c r="E33" i="1"/>
  <c r="F46" i="1"/>
  <c r="E38" i="1"/>
  <c r="E18" i="1"/>
  <c r="E26" i="1"/>
  <c r="E36" i="1"/>
  <c r="E48" i="1"/>
  <c r="E12" i="1"/>
  <c r="E34" i="1"/>
  <c r="E39" i="1"/>
  <c r="E35" i="1"/>
  <c r="E14" i="1"/>
  <c r="E32" i="1"/>
  <c r="E25" i="1"/>
  <c r="G52" i="4"/>
  <c r="H52" i="4" s="1"/>
  <c r="G37" i="4"/>
  <c r="H37" i="4" s="1"/>
  <c r="G22" i="4"/>
  <c r="H22" i="4" s="1"/>
  <c r="G55" i="4"/>
  <c r="H55" i="4" s="1"/>
  <c r="G40" i="4"/>
  <c r="H40" i="4" s="1"/>
  <c r="G25" i="4"/>
  <c r="H25" i="4" s="1"/>
  <c r="G58" i="4"/>
  <c r="H58" i="4" s="1"/>
  <c r="G10" i="4"/>
  <c r="H10" i="4" s="1"/>
  <c r="H61" i="4" s="1"/>
  <c r="F13" i="3"/>
  <c r="H13" i="3" s="1"/>
  <c r="K13" i="3"/>
  <c r="K10" i="3"/>
  <c r="F10" i="3"/>
  <c r="H10" i="3" s="1"/>
  <c r="K11" i="3"/>
  <c r="F11" i="3"/>
  <c r="H11" i="3" s="1"/>
  <c r="F7" i="3"/>
  <c r="H7" i="3" s="1"/>
  <c r="K7" i="3"/>
  <c r="K14" i="3"/>
  <c r="F14" i="3"/>
  <c r="H14" i="3" s="1"/>
  <c r="F8" i="3"/>
  <c r="H8" i="3" s="1"/>
  <c r="K8" i="3"/>
  <c r="K12" i="3"/>
  <c r="F23" i="3"/>
  <c r="H23" i="3" s="1"/>
  <c r="K21" i="3"/>
  <c r="C21" i="1"/>
  <c r="E29" i="1"/>
  <c r="C11" i="1"/>
  <c r="E13" i="1"/>
  <c r="E22" i="1"/>
  <c r="D16" i="1"/>
  <c r="F11" i="1"/>
  <c r="F16" i="1"/>
  <c r="D46" i="1"/>
  <c r="C51" i="1"/>
  <c r="D41" i="1"/>
  <c r="E41" i="1" s="1"/>
  <c r="E16" i="1" l="1"/>
  <c r="E21" i="1"/>
  <c r="E42" i="1"/>
  <c r="K31" i="3"/>
  <c r="K51" i="3" s="1"/>
  <c r="H31" i="3"/>
  <c r="H51" i="3" s="1"/>
  <c r="C9" i="1"/>
  <c r="D51" i="1"/>
  <c r="C50" i="1"/>
  <c r="C44" i="1" s="1"/>
  <c r="C53" i="1" s="1"/>
  <c r="C54" i="1" s="1"/>
  <c r="C55" i="1" s="1"/>
  <c r="C56" i="1" s="1"/>
  <c r="C57" i="1" s="1"/>
  <c r="E46" i="1"/>
  <c r="D44" i="1"/>
  <c r="D9" i="1"/>
  <c r="E9" i="1" s="1"/>
  <c r="E11" i="1"/>
  <c r="E44" i="1" l="1"/>
  <c r="C59" i="1"/>
  <c r="E51" i="1"/>
  <c r="D50" i="1"/>
  <c r="E50" i="1" l="1"/>
  <c r="D53" i="1"/>
  <c r="D54" i="1" l="1"/>
  <c r="D55" i="1" s="1"/>
  <c r="D56" i="1" s="1"/>
  <c r="D57" i="1" s="1"/>
  <c r="D59" i="1" s="1"/>
  <c r="E53" i="1"/>
</calcChain>
</file>

<file path=xl/sharedStrings.xml><?xml version="1.0" encoding="utf-8"?>
<sst xmlns="http://schemas.openxmlformats.org/spreadsheetml/2006/main" count="607" uniqueCount="327">
  <si>
    <t>TAULA RESUM: PRESSUPOST DE MANTENIMENT INTEGRALDEL EDIFICI I LES INSTAL·LACIONS DEL MERCAT DE SANT ANTONI</t>
  </si>
  <si>
    <t>Aquesta taula recull l'import total del contracte sumant automàticament els imports de les diferents taules que descriuen els diferents serveis a realitzar en el Contracte de Manteniment Preventiu del Mercat de Sant Antoni.</t>
  </si>
  <si>
    <t xml:space="preserve">A les diferents taules s'han d'omplir les diferents caselles en fons blau i números en vermell </t>
  </si>
  <si>
    <t>PREU LICITACIÓ PEM</t>
  </si>
  <si>
    <t>PREU OFERTA PEM</t>
  </si>
  <si>
    <t>% BAIXA</t>
  </si>
  <si>
    <t>MANTENIMENT PREVENTIU I TÈCNIC LEGAL</t>
  </si>
  <si>
    <t>TAULA I</t>
  </si>
  <si>
    <t>RECURSOS PERSONALS I MATERIALS DE MANTENIMENT PREVENTIU</t>
  </si>
  <si>
    <t>Dedicació personal de manteniment assignat al contracte</t>
  </si>
  <si>
    <t>Dedicació interlocutor FM</t>
  </si>
  <si>
    <t>Elevador</t>
  </si>
  <si>
    <t>TAULA II</t>
  </si>
  <si>
    <t>CONSUMIBLES</t>
  </si>
  <si>
    <t xml:space="preserve">Filtres </t>
  </si>
  <si>
    <t>Productes Químics</t>
  </si>
  <si>
    <t>Altres</t>
  </si>
  <si>
    <t>TAULA III</t>
  </si>
  <si>
    <t>MANTIMENTS ESPECIFICS</t>
  </si>
  <si>
    <t>Manteniment anual de les Unitats Roca York / Johnson Controls</t>
  </si>
  <si>
    <t>Manteniment anual del sistema de control per part de Controli</t>
  </si>
  <si>
    <t>Manteniment anual del SAI SOCOMEC</t>
  </si>
  <si>
    <t>Manteniment anual del Sanejament Full Flow</t>
  </si>
  <si>
    <t>Manteniment muralla</t>
  </si>
  <si>
    <t>TRAFO</t>
  </si>
  <si>
    <t>PCI</t>
  </si>
  <si>
    <t>CCTV</t>
  </si>
  <si>
    <t>EXTER</t>
  </si>
  <si>
    <t>Coberta, façana, urbanització</t>
  </si>
  <si>
    <t>FECALS</t>
  </si>
  <si>
    <t>LEGIONELA</t>
  </si>
  <si>
    <t>EXTRACCIÓ DE CUINES</t>
  </si>
  <si>
    <t>WI_FI</t>
  </si>
  <si>
    <t>WI-FI</t>
  </si>
  <si>
    <t>SISTEMA ANTICOLOMS</t>
  </si>
  <si>
    <t>LINIES DE VIDA</t>
  </si>
  <si>
    <t>BESCANVIADORS DE PLAQUES</t>
  </si>
  <si>
    <t>INSPECCIONS TÉCNIQUES REGLAMENTARIES</t>
  </si>
  <si>
    <t>TAULA IV</t>
  </si>
  <si>
    <t>Assitència 24h</t>
  </si>
  <si>
    <t>MANTENIMENT CORRECTIU + MILLORES</t>
  </si>
  <si>
    <t>TAULA V</t>
  </si>
  <si>
    <t>Manteniment correctiu</t>
  </si>
  <si>
    <t>M-O</t>
  </si>
  <si>
    <t>Hores M.O</t>
  </si>
  <si>
    <t>MAT</t>
  </si>
  <si>
    <t>Material</t>
  </si>
  <si>
    <t>MILLORES</t>
  </si>
  <si>
    <t>MILL</t>
  </si>
  <si>
    <t>Bossa de Millores</t>
  </si>
  <si>
    <t>TOTAL MANTENIMENT PEM ANUAL</t>
  </si>
  <si>
    <t>13% Despeses generals i 6% benefici industrial</t>
  </si>
  <si>
    <t>TOTAL MATENIMENT PEC ANUAL</t>
  </si>
  <si>
    <t>21% IVA</t>
  </si>
  <si>
    <t>TOTAL MANTENIMENT + IVA ANUAL</t>
  </si>
  <si>
    <t>TOTAL MANTENIMENT + IVA LICITACIÓ (2 ANYS)</t>
  </si>
  <si>
    <t>TAULA I: RECURSOS PERSONALS I MATERIALS PER A LES TASQUES DE MANTENIMENT PREVENTIU I TÈCNIC-LEGAL</t>
  </si>
  <si>
    <t>Aquesta taula recull l'import total dels recurços, humans i materials dedicats al contracte de manteniment per cobrir les tasqes amb el personal de manteniment.</t>
  </si>
  <si>
    <t>PEC</t>
  </si>
  <si>
    <t>CODI</t>
  </si>
  <si>
    <t>DESCRIPCIÓ</t>
  </si>
  <si>
    <t>Ut</t>
  </si>
  <si>
    <t>Preu PEM</t>
  </si>
  <si>
    <t>Import</t>
  </si>
  <si>
    <t>Preu</t>
  </si>
  <si>
    <t>h</t>
  </si>
  <si>
    <t>€/Ut</t>
  </si>
  <si>
    <t>€</t>
  </si>
  <si>
    <t>MO_O1</t>
  </si>
  <si>
    <t>Dedicació personal de manteniment assignat al contracte (mínim 3 operaris)</t>
  </si>
  <si>
    <t xml:space="preserve">• Presència diària de dilluns a dissabte d’Oficial de Primera en horari de  7.00 h a 20.00 h amb dos hores de solapament al canvi de torn.
• Presència tots diumenges d’Oficial de Primera en horari de 7.00 a 14.00 h.
• Ajudes vàries per feines preventius on es necessiten dues porsones.
• Presència d’Oficial de Primera en Festius d’obertura de 7.00 h a 20.00 h.
• Disponibilitat telefònica de servei 24h amb assistència al centre en menys de 2 hores en cas de necessitat.
• Inclou els mitjans tècnics necessaris com equipament informàtic per a la gestió d'incidències, eines, vehicles, maquinària instrumentació 
• Inclou els equips de protecció i senyalització per a la Prevenció de Riscos Laborals
</t>
  </si>
  <si>
    <t xml:space="preserve">
2 operaris de mati= 7h-15h =8 hores x 6 dies= 96 h setmanals
1 operari de tarda= 12h-20h= 8h x 6 dies= 48h setmanals
Diumenges 7h-14h= 7 hores setmanals
3 operaris= 96+48=144 h/set +7h diumenges x 52=7852 h/any
Festius= 13h suposem 10 festius l'any= 130h/any
7852 +130=7982 h/any
</t>
  </si>
  <si>
    <t>MO_FM</t>
  </si>
  <si>
    <t>Tècnic responsable del contracte</t>
  </si>
  <si>
    <t>• El tècnic responsable del contracte o Interlocutor amb l’IMMB, tindrà un dedicació del 30 % de la jornada laboral incloent una presencialitat al Mercat d’un dia, mínim 6 hores.
• Haurà d’estar disponible per atendre consultes i assistir a reunions periòdiques amb el representant del servei de manteniment del Mercat per tal de tractar els temes de planificació i conformació de treballs. Per la gestió del contracte de Mantenimentel tècnic responsable segons les funcions tindrà la  dedicació necessària per a la realització de l'informe de tancament d'exercici i següents treballs mensualment:
  • Report de l’estat de tots els serveis
  • Situació d’incidències registrades, pendents i resoltes
  • Informes de gestió i propostes de millora 
  • Actuacions relacionades amb el compliment de la normativa i legislació vigent
  • Confecció de reports personalitzats per a IMMB
  • Control de magatzem i materials
• Inclou el la dedicació necessària per atendre els tràmits administratius derivats de l'execució del contracte.</t>
  </si>
  <si>
    <t>dies</t>
  </si>
  <si>
    <t>MQ_EL</t>
  </si>
  <si>
    <t>• Elevador de plataforma de tisora per accés a 9 metres d'alçada amb presència contínua al centre durant tot l'any per ajudes a la realització del Manteniment.</t>
  </si>
  <si>
    <t>TOTAL RECURSOS HUMANS I MATERIALS</t>
  </si>
  <si>
    <t>TOTAL PEM</t>
  </si>
  <si>
    <t>LLISTAT DE FITXES D'OPERACIONS PROGRAMADES PER AL MANTENIMENT PREVENTIU I TÈCNIC-LEGAL</t>
  </si>
  <si>
    <t>Aquesta taula resumeix les tasques de manteniment preventiu i tècnic-legal a realitzar</t>
  </si>
  <si>
    <t>01_ELÈCTRIQUES</t>
  </si>
  <si>
    <t>Manteniment preventiu, conductiu i tècnic legal de les instal·lacions elèctriques segons la descripció del PCT i PCP i la Normativa vigent</t>
  </si>
  <si>
    <t>01_01_Enllumenat d'Emergència</t>
  </si>
  <si>
    <t>Enllumenat d'emergència</t>
  </si>
  <si>
    <t>01_02_Enllumenat</t>
  </si>
  <si>
    <t>Enllumenat convencional</t>
  </si>
  <si>
    <t>01_03_Quadres i Línies</t>
  </si>
  <si>
    <t>Quadres elèctrics i línies</t>
  </si>
  <si>
    <t>01_04_Bateria de Condensadors</t>
  </si>
  <si>
    <t>Bateria de condensadors</t>
  </si>
  <si>
    <t>01_05_Transformador</t>
  </si>
  <si>
    <t xml:space="preserve">Transformador </t>
  </si>
  <si>
    <t>01_06_Inhibidor Llamps</t>
  </si>
  <si>
    <t>Inhibidor de Llamps</t>
  </si>
  <si>
    <t>01_07_SAI</t>
  </si>
  <si>
    <t>Sistema de Alimentació Ininterrumpida</t>
  </si>
  <si>
    <t>02_BOMBES</t>
  </si>
  <si>
    <t>Manteniment preventiu, conductiu i tècnic legal de les diferents bombes segons la descripció del PCT i PCP i la Normativa vigent</t>
  </si>
  <si>
    <t>02_01_Bombes Clima ACS</t>
  </si>
  <si>
    <t>Bombes d'Aigua Calenta Sanitària</t>
  </si>
  <si>
    <t>02_02_Bombes Fecals</t>
  </si>
  <si>
    <t>Bombes d'aigües Fecals</t>
  </si>
  <si>
    <t>02_03_Bombes Pluvials</t>
  </si>
  <si>
    <t>Bombes d'aigues Pluvials</t>
  </si>
  <si>
    <t>02_04_Bombes de Buidatge</t>
  </si>
  <si>
    <t>Bombes de Buidatge</t>
  </si>
  <si>
    <t>03_CLIMA</t>
  </si>
  <si>
    <t>Manteniment preventiu, conductiu i tècnic legal de les diferents instal·lacions de climatització segons la descripció del PCT i PCP i la Normativa vigent</t>
  </si>
  <si>
    <t>03_01_Climatitzadors</t>
  </si>
  <si>
    <t>Climatitzadors</t>
  </si>
  <si>
    <t>03_02_Equips Autònoms</t>
  </si>
  <si>
    <t>Equips Autònoms</t>
  </si>
  <si>
    <t>03_03_Bombes de Calor</t>
  </si>
  <si>
    <t>Bombes de Calor de ventilació, climatització</t>
  </si>
  <si>
    <t>03_04_Humectadors de Vapor</t>
  </si>
  <si>
    <t>Humectadors de Vapor de ventilació, climatització</t>
  </si>
  <si>
    <t>Descalcificadors</t>
  </si>
  <si>
    <t>03_05_Xarxa de Conductes</t>
  </si>
  <si>
    <t>Xarxa de Conductes de ventilació, climatització</t>
  </si>
  <si>
    <t>03_06_Cortines</t>
  </si>
  <si>
    <t>Cortines d'aire de les portes</t>
  </si>
  <si>
    <t>03_07_Recuperadors</t>
  </si>
  <si>
    <t>Recuperadors de calor</t>
  </si>
  <si>
    <t>03_08_Xarxa hidràulica</t>
  </si>
  <si>
    <t>Xarxa hidràulica de Clima</t>
  </si>
  <si>
    <t>04_VENTILADORS</t>
  </si>
  <si>
    <t>Manteniment preventiu, conductiu i tècnic legal dels diferents ventiladors i sistemes de ventilació segons la descripció del PCT i PCP i la Normativa vigent</t>
  </si>
  <si>
    <t>04_01_Ventiladors Desfumatge</t>
  </si>
  <si>
    <t>Ventiladors de Desfumatge</t>
  </si>
  <si>
    <t>04_02_Ventiladors Impulsió i Extracció</t>
  </si>
  <si>
    <t>Ventiladors d'Impulsió i Extracció</t>
  </si>
  <si>
    <t>04_03_Ventiladors Sales Tècniques</t>
  </si>
  <si>
    <t>Ventilació de Sales tècniques</t>
  </si>
  <si>
    <t>04_04_Ventiladors Sobrepressió</t>
  </si>
  <si>
    <t>Ventiladors de Sobrepressió d'Escales</t>
  </si>
  <si>
    <t>04_05_Xarxa de Conductes</t>
  </si>
  <si>
    <t>Xarxes de conductes</t>
  </si>
  <si>
    <t>04_06_Extracció cuines</t>
  </si>
  <si>
    <t>Extracció cuines</t>
  </si>
  <si>
    <t>05_AFCS</t>
  </si>
  <si>
    <t>Manteniment preventiu, conductiu i tècnic legal de les diferents instal·lacions d'Aigua Freda i Calenta Sanitària segons la descripció del PCT i PCP i la Normativa vigent</t>
  </si>
  <si>
    <t>05_01_Acumuladors ACS</t>
  </si>
  <si>
    <t>Acumuladors ACS</t>
  </si>
  <si>
    <t>05_02_Acumuladors</t>
  </si>
  <si>
    <t>Acumuladors , dipòsits d'inèrncia</t>
  </si>
  <si>
    <t>05_03_Bscanviadors Aigua Aigua</t>
  </si>
  <si>
    <t>Bescanviadors aigua aigua</t>
  </si>
  <si>
    <t>05_04_Cloració</t>
  </si>
  <si>
    <t>Cloració</t>
  </si>
  <si>
    <t>06_05_Sistemes ACS</t>
  </si>
  <si>
    <t>Sistemes ACS</t>
  </si>
  <si>
    <t>06_06_Termos elèctrics</t>
  </si>
  <si>
    <t>Termos</t>
  </si>
  <si>
    <t>06_07_Xarxa hidràulica</t>
  </si>
  <si>
    <t>Xarxa hidràulica de ACS</t>
  </si>
  <si>
    <t>06_PCI</t>
  </si>
  <si>
    <t>Manteniment preventiu, conductiu i tècnic legal de les diferents instal·lacions Contra Incendis segons la descripció del PCT i PCP i la Normativa vigent</t>
  </si>
  <si>
    <t>06_01_Abastiment d'aigua</t>
  </si>
  <si>
    <t>Abastiment d'aigua, BIES i Punts de Control</t>
  </si>
  <si>
    <t>06_02_Columna Seca</t>
  </si>
  <si>
    <t>Columna Seca</t>
  </si>
  <si>
    <t>06_03_Comportes RF</t>
  </si>
  <si>
    <t>Comportes de sectorització</t>
  </si>
  <si>
    <t xml:space="preserve">06_04_Detecció Alarma </t>
  </si>
  <si>
    <t>Detecció Alarma</t>
  </si>
  <si>
    <t>06_05_Detecció Detectors</t>
  </si>
  <si>
    <t>Detectors</t>
  </si>
  <si>
    <t>06_06_Extintors</t>
  </si>
  <si>
    <t>Extintors</t>
  </si>
  <si>
    <t>06_07_Sistemes Fixes</t>
  </si>
  <si>
    <t>Sistemes Fixes, ruixadors</t>
  </si>
  <si>
    <t>07_COMUNICACIONS/CONTROL</t>
  </si>
  <si>
    <t>Manteniment preventiu, conductiu i tècnic legal de les diferents instal·lacions de Control segons la descripció del PCT i PCP i la Normativa vigent</t>
  </si>
  <si>
    <t>07_01_Elements de Control</t>
  </si>
  <si>
    <t>Elements de control</t>
  </si>
  <si>
    <t>07_02_Interfionia i Megafonia</t>
  </si>
  <si>
    <t>Interfonia i Megafonia</t>
  </si>
  <si>
    <t>07_03_CCTV</t>
  </si>
  <si>
    <t>Circuit Tancat de Televisió</t>
  </si>
  <si>
    <t>07_04_Comunicacions</t>
  </si>
  <si>
    <t>Instal·lacions de Comunicació</t>
  </si>
  <si>
    <t>Control d'accesos banys publics</t>
  </si>
  <si>
    <t>08_OBRA_CIVIL</t>
  </si>
  <si>
    <t>Manteniment preventiu, conductiu i tècnic legal de les diferents infraestructures d'Obra Civil segons la descripció del PCT i PCP i la Normativa vigent</t>
  </si>
  <si>
    <t>08_01_Exterior</t>
  </si>
  <si>
    <t>Exterior, façana, coberta</t>
  </si>
  <si>
    <t>08_02_Sanejamnet</t>
  </si>
  <si>
    <t>Sanejament</t>
  </si>
  <si>
    <t>08_03_Portes</t>
  </si>
  <si>
    <t>Portes</t>
  </si>
  <si>
    <t>08_04_Piscina de Gel</t>
  </si>
  <si>
    <t>Piscina de Gel</t>
  </si>
  <si>
    <t>Cobertes dels locals zona encants (motxiles)</t>
  </si>
  <si>
    <t>Pergoles</t>
  </si>
  <si>
    <t>PREU DE SORTIDA PEC</t>
  </si>
  <si>
    <t>II: CONSUMIBLES</t>
  </si>
  <si>
    <t>Aquesta taula descriu aquells elements consumibles que s'han de subministrar anualment.</t>
  </si>
  <si>
    <t xml:space="preserve">FILTRES </t>
  </si>
  <si>
    <t>FILTRES UTA DK 15  (16 UTA)</t>
  </si>
  <si>
    <t>Ut/UTA</t>
  </si>
  <si>
    <t>Ut/16 UTA</t>
  </si>
  <si>
    <t>Nº Canvis Any</t>
  </si>
  <si>
    <t>Ut/any</t>
  </si>
  <si>
    <t>€/TOTAL ANY</t>
  </si>
  <si>
    <t>G4</t>
  </si>
  <si>
    <t>SF/QE G48 G4 390X390X48</t>
  </si>
  <si>
    <t>SF/QE G48 G4 592X592X48</t>
  </si>
  <si>
    <t>SF/QE G48 G4 292X592X48</t>
  </si>
  <si>
    <t>SF/QE G48 G4 292X292X48</t>
  </si>
  <si>
    <t>F7</t>
  </si>
  <si>
    <t>SF/SERVIMINI G-97 F7 593X593X97</t>
  </si>
  <si>
    <t>SF/SERVIMINI G-97 F7 290X593X97</t>
  </si>
  <si>
    <t>SF/SERVIMINI G-97 F7 290X290X97</t>
  </si>
  <si>
    <t>SF/SERVIMINI G-97 F7 390X390X97</t>
  </si>
  <si>
    <t>FILTRES VESTUARIS  (2 UTA)</t>
  </si>
  <si>
    <t>Ut/2 UTA</t>
  </si>
  <si>
    <t>SF/QE G48 G4 290X390X48</t>
  </si>
  <si>
    <t>SF/QE G48 G4 290X290X48</t>
  </si>
  <si>
    <t>€/Any</t>
  </si>
  <si>
    <t>ROTLLES DE PREFILTRE de 40m2</t>
  </si>
  <si>
    <t>FILTRES CARBONI</t>
  </si>
  <si>
    <t>FILTRE RIGID AMB CARBÓ ACTIU 3.000 m3/h</t>
  </si>
  <si>
    <t>FILT</t>
  </si>
  <si>
    <t>TOTAL FILTRES</t>
  </si>
  <si>
    <t>PEM</t>
  </si>
  <si>
    <t>QUIMICS</t>
  </si>
  <si>
    <t>PRODUCTES QUÍMICS</t>
  </si>
  <si>
    <t>I01</t>
  </si>
  <si>
    <t>Clor</t>
  </si>
  <si>
    <t>I02</t>
  </si>
  <si>
    <t>Productes desinfectants</t>
  </si>
  <si>
    <t>I03</t>
  </si>
  <si>
    <t>Olis especifics</t>
  </si>
  <si>
    <t>I04</t>
  </si>
  <si>
    <t>Fungicides</t>
  </si>
  <si>
    <t>QUIM</t>
  </si>
  <si>
    <t>TOTAL PRODUCTES QUÍMICS</t>
  </si>
  <si>
    <t>ALTRES</t>
  </si>
  <si>
    <t>ENLLUMENAT</t>
  </si>
  <si>
    <t>Partida a justificar de canvi d'equips d'il·luminació</t>
  </si>
  <si>
    <t>TOTAL ENLLUMENAT</t>
  </si>
  <si>
    <t>* Les freqüències de canvi podrien modificar-se en funció del resultat de la inspecció visual dels filtres durant el contracte</t>
  </si>
  <si>
    <t>TOTAL CONSUMIBLES PEM</t>
  </si>
  <si>
    <t>TAULA III: MANTENIMENT ESPECÍFIC</t>
  </si>
  <si>
    <t>augment IPC 2 anys=7%</t>
  </si>
  <si>
    <t>Aquesta taula descriu aquelles operacions de manteniment més específiques, que per la seva importància, dificultat tècnica o per Normativa, s'han de realitzar per tècnics i empreses especialistes i que no eximeixen al mantenidor d'altres revisions més sencilles estipulades sobre les mateixes instal·lacions.</t>
  </si>
  <si>
    <t>BCCLV</t>
  </si>
  <si>
    <t>Manteniment anual de les unitats Bomba de Calor Climaveneta</t>
  </si>
  <si>
    <t>• Manteniment de les 4 unitats NECS-WQ-6 TUBOS R410A Climaveneta, amb informe anual del fabricant sobre l'estat de les màquines i conforme es realitza el manteniment recomenat pel fabricant.</t>
  </si>
  <si>
    <t>CLJC</t>
  </si>
  <si>
    <t>• Manteniment de les 13 unitats Roca York VCH 20A + 90 A, amb informe anual del fabricant sobre l'estat de les màquines i conforme es realitza el manteniment recomenat pel fabricant.</t>
  </si>
  <si>
    <t>CONT</t>
  </si>
  <si>
    <t xml:space="preserve"> • Manteniment de les pantalles de SCADA, software, comprovació de senyals i resums anuals de consums.</t>
  </si>
  <si>
    <t>SAI</t>
  </si>
  <si>
    <t>• Manteniment anual del SAI segons les especificacions del fabricant.</t>
  </si>
  <si>
    <t>FULLF</t>
  </si>
  <si>
    <t>• Manteniment anual del sistema de desgüàs Full Flow segons indicacions del fabricant.</t>
  </si>
  <si>
    <t>PARMUR</t>
  </si>
  <si>
    <t>• Manteniment de neteja superficial, amb aspirat de pols a la muralla.</t>
  </si>
  <si>
    <t>TRAF</t>
  </si>
  <si>
    <t>• Manteniment anual del Transformador.</t>
  </si>
  <si>
    <t>• Manteniment Tècnic-Legal específic de les instal·lacions de protecció contra incendis.</t>
  </si>
  <si>
    <t>• Manteniment del sistema de circuit tancat de televisió.</t>
  </si>
  <si>
    <t>EXTERIOR</t>
  </si>
  <si>
    <t>• Neteja  anual de façana i coberta inclosos els mitjans auxiliars necessaris.</t>
  </si>
  <si>
    <t>FEC</t>
  </si>
  <si>
    <t>• Manteniment de 4 arquetes 2 cop l'any mitjançant camió cisterna per efectuar les netejes periòdiques.</t>
  </si>
  <si>
    <t>LEG</t>
  </si>
  <si>
    <t>• Manteniment Tècnic-Legal del control preventiu contra la Legionella a les instal·lacions d'aigua, segons normativa vigent</t>
  </si>
  <si>
    <t>EXT_CUI</t>
  </si>
  <si>
    <t>• Manteniment i neteja del sistema d'extracció i transport de fums de les cuines.</t>
  </si>
  <si>
    <t>WIFI</t>
  </si>
  <si>
    <t>• Manteniment anual de la instal·lació WI-FI</t>
  </si>
  <si>
    <t>ANTICOL</t>
  </si>
  <si>
    <t>• Manteniment anual dels sistemes anticoloms</t>
  </si>
  <si>
    <t>LVIDA</t>
  </si>
  <si>
    <t>• Revisió anual de les línies de vida</t>
  </si>
  <si>
    <t>BESCAM</t>
  </si>
  <si>
    <t>• Manteniment anual dels bescanviadors de plaques</t>
  </si>
  <si>
    <t>OCA</t>
  </si>
  <si>
    <t>• INSPECCIONS TÉCNIQUES REGLAMENTARIES DE MT,BT,TERMIQUES</t>
  </si>
  <si>
    <t>TOTAL ESPECÍFIC PEM</t>
  </si>
  <si>
    <t>TAULA IV: ASSISTÈNCIA 24 h</t>
  </si>
  <si>
    <t>Aquesta taula descriu el servei d'assistència en cas d'avís d'avaria.</t>
  </si>
  <si>
    <t>24_H/2_H</t>
  </si>
  <si>
    <t xml:space="preserve">Servei d'assistència 24 h </t>
  </si>
  <si>
    <t xml:space="preserve"> • Assistència 24h en un temps estipulat de 2h per a la presència a l'edifici des de l'avís</t>
  </si>
  <si>
    <t>TAULA V: PREVISIÓ ESTIPULADA EN CORRECTIUS</t>
  </si>
  <si>
    <t>Aquesta taula descriu l'import màxim estimat a destinar anualment en materials i treballs correctius, sense l'obligació de fer-ne ús, fixa els preus de la mà d'obra incloses les dietes i desplaçaments segons una previsió anual.
Per justificar els costos de gestió i transport de la compra de materials es presentarà còpia de la factura del proveïdor i es facturarà com a màxim un increment del 15%.</t>
  </si>
  <si>
    <t>h/any</t>
  </si>
  <si>
    <t>Taula de Preus d'hora Mà d'Obra</t>
  </si>
  <si>
    <t>MO_O1_L</t>
  </si>
  <si>
    <t xml:space="preserve"> • Hora d’Oficial mantenedor en horari laboral</t>
  </si>
  <si>
    <t>MO_O1_F</t>
  </si>
  <si>
    <t xml:space="preserve"> • Hora d'Oficial de Primera en horari festiu</t>
  </si>
  <si>
    <t>MO_O1_N</t>
  </si>
  <si>
    <t xml:space="preserve"> • Hora d'Oficial de Primera en horari nocturn</t>
  </si>
  <si>
    <t>€/h</t>
  </si>
  <si>
    <t>MT_O1_L</t>
  </si>
  <si>
    <t xml:space="preserve"> • Previsió de material a justificar </t>
  </si>
  <si>
    <t>Millores</t>
  </si>
  <si>
    <t>KM</t>
  </si>
  <si>
    <t xml:space="preserve"> • Bossa de millores a justificar amb la pressentació de pressupostos especifics</t>
  </si>
  <si>
    <t>Taula de Preus dieta jornada  i preus Km</t>
  </si>
  <si>
    <t>Inclòs</t>
  </si>
  <si>
    <t>DIETES</t>
  </si>
  <si>
    <t xml:space="preserve"> • Les dietes estan incloses en el preu de la mà d'obra</t>
  </si>
  <si>
    <t xml:space="preserve"> • Els desplaçaments estan inclosos en el preu de la mà d'obra</t>
  </si>
  <si>
    <t>TOTAL CORRECTIU M.O + MATERIALS PEM</t>
  </si>
  <si>
    <t>Manteniment de Muralla de neteja de graffitis</t>
  </si>
  <si>
    <t xml:space="preserve"> • Preu unitari neteja de Graffiti</t>
  </si>
  <si>
    <t>Protecció Contra Incendis</t>
  </si>
  <si>
    <t xml:space="preserve"> • Preu unitari Extintor Diòxid de carboni 5kg 70B</t>
  </si>
  <si>
    <t xml:space="preserve"> • Preu unitari Extintor Pols Seca 6 kg 21A/113B</t>
  </si>
  <si>
    <t xml:space="preserve"> • Preu unitari Extintor Pols seca amb carro 50kg 55A/233B</t>
  </si>
  <si>
    <t xml:space="preserve"> • Preu unitari Mànega de BIE 25</t>
  </si>
  <si>
    <t>Previsió de tipus de treballs de manteniment correctiu</t>
  </si>
  <si>
    <t>CORRECTIU_R</t>
  </si>
  <si>
    <t xml:space="preserve"> • Reparacions d'equipament</t>
  </si>
  <si>
    <t>CORRECTIU_C</t>
  </si>
  <si>
    <t xml:space="preserve"> • Treballs corporatius</t>
  </si>
  <si>
    <t>CORRECTIU_E</t>
  </si>
  <si>
    <t xml:space="preserve"> • Petits treballs elèctrics</t>
  </si>
  <si>
    <t>CORRECTIU_O</t>
  </si>
  <si>
    <t xml:space="preserve"> • Petits treballs de reparació, pintura, cerralleria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</si>
</sst>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-C0A]_-;\-* #,##0.00\ [$€-C0A]_-;_-* &quot;-&quot;??\ [$€-C0A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</font>
    <font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1">
    <xf numFmtId="0" fontId="0" fillId="0" borderId="0" xfId="0"/>
    <xf numFmtId="0" fontId="2" fillId="2" borderId="0" xfId="0" applyFont="1" applyFill="1" applyAlignment="1" applyProtection="1">
      <alignment horizontal="left"/>
    </xf>
    <xf numFmtId="0" fontId="0" fillId="0" borderId="0" xfId="0" applyProtection="1"/>
    <xf numFmtId="4" fontId="7" fillId="3" borderId="0" xfId="0" applyNumberFormat="1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right"/>
    </xf>
    <xf numFmtId="0" fontId="0" fillId="4" borderId="0" xfId="0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  <xf numFmtId="164" fontId="9" fillId="3" borderId="0" xfId="0" applyNumberFormat="1" applyFont="1" applyFill="1" applyBorder="1" applyAlignment="1" applyProtection="1">
      <alignment horizontal="right"/>
    </xf>
    <xf numFmtId="9" fontId="9" fillId="3" borderId="0" xfId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8" fillId="5" borderId="0" xfId="0" applyFont="1" applyFill="1" applyBorder="1" applyAlignment="1" applyProtection="1">
      <alignment vertical="top"/>
    </xf>
    <xf numFmtId="164" fontId="11" fillId="5" borderId="0" xfId="0" applyNumberFormat="1" applyFont="1" applyFill="1" applyBorder="1" applyAlignment="1" applyProtection="1">
      <alignment horizontal="right"/>
    </xf>
    <xf numFmtId="164" fontId="8" fillId="5" borderId="0" xfId="0" applyNumberFormat="1" applyFont="1" applyFill="1" applyBorder="1" applyAlignment="1" applyProtection="1">
      <alignment horizontal="right"/>
    </xf>
    <xf numFmtId="9" fontId="8" fillId="5" borderId="0" xfId="1" applyFont="1" applyFill="1" applyBorder="1" applyAlignment="1" applyProtection="1">
      <alignment horizontal="right"/>
    </xf>
    <xf numFmtId="0" fontId="0" fillId="6" borderId="0" xfId="0" applyFont="1" applyFill="1" applyBorder="1" applyAlignment="1" applyProtection="1">
      <alignment vertical="top"/>
    </xf>
    <xf numFmtId="164" fontId="12" fillId="6" borderId="0" xfId="0" applyNumberFormat="1" applyFont="1" applyFill="1" applyBorder="1" applyAlignment="1" applyProtection="1">
      <alignment horizontal="right"/>
    </xf>
    <xf numFmtId="164" fontId="13" fillId="6" borderId="0" xfId="0" applyNumberFormat="1" applyFont="1" applyFill="1" applyBorder="1" applyAlignment="1" applyProtection="1">
      <alignment horizontal="right"/>
    </xf>
    <xf numFmtId="9" fontId="0" fillId="6" borderId="0" xfId="1" applyFont="1" applyFill="1" applyBorder="1" applyAlignment="1" applyProtection="1">
      <alignment horizontal="right"/>
    </xf>
    <xf numFmtId="0" fontId="0" fillId="6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164" fontId="12" fillId="0" borderId="0" xfId="0" applyNumberFormat="1" applyFont="1" applyFill="1" applyBorder="1" applyAlignment="1" applyProtection="1">
      <alignment horizontal="right"/>
    </xf>
    <xf numFmtId="164" fontId="13" fillId="0" borderId="0" xfId="0" applyNumberFormat="1" applyFont="1" applyFill="1" applyBorder="1" applyAlignment="1" applyProtection="1">
      <alignment horizontal="right"/>
    </xf>
    <xf numFmtId="9" fontId="0" fillId="0" borderId="0" xfId="1" applyFont="1" applyFill="1" applyBorder="1" applyAlignment="1" applyProtection="1">
      <alignment horizontal="right"/>
    </xf>
    <xf numFmtId="164" fontId="9" fillId="5" borderId="0" xfId="0" applyNumberFormat="1" applyFont="1" applyFill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right"/>
    </xf>
    <xf numFmtId="164" fontId="0" fillId="6" borderId="0" xfId="0" applyNumberFormat="1" applyFont="1" applyFill="1" applyBorder="1" applyAlignment="1" applyProtection="1">
      <alignment horizontal="right"/>
    </xf>
    <xf numFmtId="0" fontId="13" fillId="6" borderId="0" xfId="0" applyFont="1" applyFill="1" applyBorder="1" applyAlignment="1" applyProtection="1">
      <alignment vertical="top"/>
    </xf>
    <xf numFmtId="0" fontId="14" fillId="4" borderId="0" xfId="0" applyFont="1" applyFill="1" applyBorder="1" applyAlignment="1" applyProtection="1">
      <alignment horizontal="right"/>
    </xf>
    <xf numFmtId="0" fontId="4" fillId="4" borderId="0" xfId="0" applyFont="1" applyFill="1" applyBorder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9" fontId="0" fillId="0" borderId="0" xfId="1" applyFont="1" applyBorder="1" applyProtection="1"/>
    <xf numFmtId="164" fontId="5" fillId="2" borderId="0" xfId="0" applyNumberFormat="1" applyFont="1" applyFill="1" applyBorder="1" applyAlignment="1" applyProtection="1">
      <alignment horizontal="left"/>
    </xf>
    <xf numFmtId="164" fontId="5" fillId="2" borderId="0" xfId="0" applyNumberFormat="1" applyFont="1" applyFill="1" applyBorder="1" applyAlignment="1" applyProtection="1">
      <alignment horizontal="right"/>
    </xf>
    <xf numFmtId="164" fontId="15" fillId="2" borderId="0" xfId="0" applyNumberFormat="1" applyFont="1" applyFill="1" applyBorder="1" applyAlignment="1" applyProtection="1">
      <alignment horizontal="right"/>
    </xf>
    <xf numFmtId="9" fontId="5" fillId="2" borderId="0" xfId="1" applyFont="1" applyFill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164" fontId="17" fillId="0" borderId="0" xfId="0" applyNumberFormat="1" applyFont="1" applyFill="1" applyBorder="1" applyAlignment="1" applyProtection="1">
      <alignment horizontal="right"/>
    </xf>
    <xf numFmtId="164" fontId="5" fillId="7" borderId="0" xfId="0" applyNumberFormat="1" applyFont="1" applyFill="1" applyBorder="1" applyAlignment="1" applyProtection="1">
      <alignment horizontal="left"/>
    </xf>
    <xf numFmtId="164" fontId="5" fillId="7" borderId="0" xfId="0" applyNumberFormat="1" applyFont="1" applyFill="1" applyBorder="1" applyAlignment="1" applyProtection="1">
      <alignment horizontal="right"/>
    </xf>
    <xf numFmtId="164" fontId="15" fillId="7" borderId="0" xfId="0" applyNumberFormat="1" applyFont="1" applyFill="1" applyBorder="1" applyAlignment="1" applyProtection="1">
      <alignment horizontal="right"/>
    </xf>
    <xf numFmtId="9" fontId="5" fillId="7" borderId="0" xfId="1" applyFont="1" applyFill="1" applyBorder="1" applyAlignment="1" applyProtection="1">
      <alignment horizontal="right"/>
    </xf>
    <xf numFmtId="164" fontId="18" fillId="7" borderId="0" xfId="0" applyNumberFormat="1" applyFont="1" applyFill="1" applyBorder="1" applyAlignment="1" applyProtection="1">
      <alignment horizontal="left" vertical="center"/>
    </xf>
    <xf numFmtId="164" fontId="18" fillId="7" borderId="0" xfId="0" applyNumberFormat="1" applyFont="1" applyFill="1" applyBorder="1" applyAlignment="1" applyProtection="1">
      <alignment horizontal="right" vertical="center"/>
    </xf>
    <xf numFmtId="164" fontId="19" fillId="7" borderId="0" xfId="0" applyNumberFormat="1" applyFont="1" applyFill="1" applyBorder="1" applyAlignment="1" applyProtection="1">
      <alignment horizontal="right" vertical="center"/>
    </xf>
    <xf numFmtId="9" fontId="18" fillId="7" borderId="0" xfId="1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10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left"/>
    </xf>
    <xf numFmtId="0" fontId="8" fillId="6" borderId="0" xfId="0" applyFont="1" applyFill="1" applyBorder="1" applyAlignment="1" applyProtection="1">
      <alignment horizontal="center"/>
    </xf>
    <xf numFmtId="0" fontId="8" fillId="6" borderId="0" xfId="0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 applyProtection="1">
      <alignment vertical="top"/>
    </xf>
    <xf numFmtId="4" fontId="0" fillId="6" borderId="0" xfId="0" applyNumberFormat="1" applyFont="1" applyFill="1" applyBorder="1" applyAlignment="1" applyProtection="1">
      <alignment horizontal="center" vertical="top"/>
    </xf>
    <xf numFmtId="4" fontId="7" fillId="3" borderId="0" xfId="0" applyNumberFormat="1" applyFont="1" applyFill="1" applyBorder="1" applyAlignment="1" applyProtection="1">
      <alignment horizontal="center" vertical="top"/>
      <protection locked="0"/>
    </xf>
    <xf numFmtId="4" fontId="4" fillId="6" borderId="0" xfId="0" applyNumberFormat="1" applyFont="1" applyFill="1" applyBorder="1" applyAlignment="1" applyProtection="1">
      <alignment horizontal="center" vertical="top"/>
    </xf>
    <xf numFmtId="4" fontId="0" fillId="6" borderId="0" xfId="0" applyNumberFormat="1" applyFont="1" applyFill="1" applyBorder="1" applyAlignment="1">
      <alignment horizontal="center" vertical="top"/>
    </xf>
    <xf numFmtId="4" fontId="4" fillId="6" borderId="0" xfId="0" applyNumberFormat="1" applyFont="1" applyFill="1" applyBorder="1" applyAlignment="1">
      <alignment horizontal="center" vertical="top"/>
    </xf>
    <xf numFmtId="0" fontId="0" fillId="0" borderId="0" xfId="0" applyBorder="1" applyAlignment="1" applyProtection="1">
      <alignment vertical="top"/>
    </xf>
    <xf numFmtId="0" fontId="20" fillId="0" borderId="0" xfId="0" applyFont="1" applyBorder="1" applyAlignment="1" applyProtection="1">
      <alignment vertical="top" wrapText="1"/>
    </xf>
    <xf numFmtId="0" fontId="0" fillId="0" borderId="0" xfId="0" applyBorder="1" applyProtection="1"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3" fillId="0" borderId="0" xfId="0" applyFont="1" applyBorder="1" applyProtection="1">
      <protection locked="0"/>
    </xf>
    <xf numFmtId="0" fontId="4" fillId="6" borderId="0" xfId="0" applyFont="1" applyFill="1" applyBorder="1" applyAlignment="1" applyProtection="1">
      <alignment wrapText="1"/>
    </xf>
    <xf numFmtId="4" fontId="21" fillId="3" borderId="0" xfId="0" applyNumberFormat="1" applyFont="1" applyFill="1" applyBorder="1" applyAlignment="1" applyProtection="1">
      <alignment horizontal="center" vertical="top"/>
      <protection locked="0"/>
    </xf>
    <xf numFmtId="4" fontId="0" fillId="3" borderId="0" xfId="0" applyNumberFormat="1" applyFont="1" applyFill="1" applyBorder="1" applyAlignment="1" applyProtection="1">
      <alignment horizontal="center" vertical="top"/>
    </xf>
    <xf numFmtId="4" fontId="22" fillId="3" borderId="0" xfId="0" applyNumberFormat="1" applyFont="1" applyFill="1" applyBorder="1" applyAlignment="1" applyProtection="1">
      <alignment horizontal="left" vertical="top"/>
    </xf>
    <xf numFmtId="4" fontId="23" fillId="3" borderId="0" xfId="0" applyNumberFormat="1" applyFont="1" applyFill="1" applyBorder="1" applyAlignment="1" applyProtection="1">
      <alignment horizontal="center" vertical="top"/>
    </xf>
    <xf numFmtId="4" fontId="22" fillId="3" borderId="0" xfId="0" applyNumberFormat="1" applyFont="1" applyFill="1" applyBorder="1" applyAlignment="1" applyProtection="1">
      <alignment horizontal="center" vertical="top"/>
    </xf>
    <xf numFmtId="164" fontId="22" fillId="3" borderId="0" xfId="0" applyNumberFormat="1" applyFont="1" applyFill="1" applyBorder="1" applyAlignment="1" applyProtection="1">
      <alignment horizontal="center" vertical="top"/>
    </xf>
    <xf numFmtId="4" fontId="23" fillId="3" borderId="0" xfId="0" applyNumberFormat="1" applyFont="1" applyFill="1" applyBorder="1" applyAlignment="1">
      <alignment horizontal="center" vertical="top"/>
    </xf>
    <xf numFmtId="4" fontId="24" fillId="3" borderId="0" xfId="0" applyNumberFormat="1" applyFont="1" applyFill="1" applyBorder="1" applyAlignment="1" applyProtection="1">
      <alignment horizontal="center" vertical="top"/>
      <protection locked="0"/>
    </xf>
    <xf numFmtId="164" fontId="22" fillId="3" borderId="0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left"/>
    </xf>
    <xf numFmtId="0" fontId="17" fillId="2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Protection="1"/>
    <xf numFmtId="0" fontId="0" fillId="0" borderId="0" xfId="0" applyFill="1" applyBorder="1" applyProtection="1"/>
    <xf numFmtId="0" fontId="0" fillId="0" borderId="0" xfId="0" applyFill="1" applyBorder="1"/>
    <xf numFmtId="0" fontId="13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3" fontId="4" fillId="0" borderId="0" xfId="0" applyNumberFormat="1" applyFont="1" applyFill="1" applyBorder="1" applyAlignment="1" applyProtection="1">
      <alignment horizontal="center" vertical="top"/>
    </xf>
    <xf numFmtId="4" fontId="4" fillId="0" borderId="0" xfId="0" applyNumberFormat="1" applyFont="1" applyFill="1" applyBorder="1" applyAlignment="1" applyProtection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4" fontId="21" fillId="0" borderId="0" xfId="0" applyNumberFormat="1" applyFont="1" applyFill="1" applyBorder="1" applyAlignment="1" applyProtection="1">
      <alignment horizontal="center" vertical="top"/>
      <protection locked="0"/>
    </xf>
    <xf numFmtId="4" fontId="4" fillId="0" borderId="0" xfId="0" applyNumberFormat="1" applyFont="1" applyFill="1" applyBorder="1" applyAlignment="1">
      <alignment horizontal="center" vertical="top"/>
    </xf>
    <xf numFmtId="4" fontId="0" fillId="0" borderId="0" xfId="0" applyNumberFormat="1" applyBorder="1" applyProtection="1"/>
    <xf numFmtId="4" fontId="13" fillId="0" borderId="0" xfId="0" applyNumberFormat="1" applyFont="1" applyBorder="1" applyProtection="1">
      <protection locked="0"/>
    </xf>
    <xf numFmtId="4" fontId="0" fillId="0" borderId="0" xfId="0" applyNumberFormat="1" applyBorder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0" fontId="4" fillId="0" borderId="0" xfId="0" applyFont="1" applyBorder="1"/>
    <xf numFmtId="0" fontId="21" fillId="0" borderId="0" xfId="0" applyFont="1" applyBorder="1" applyProtection="1">
      <protection locked="0"/>
    </xf>
    <xf numFmtId="4" fontId="4" fillId="0" borderId="0" xfId="0" applyNumberFormat="1" applyFont="1" applyBorder="1"/>
    <xf numFmtId="0" fontId="4" fillId="6" borderId="0" xfId="0" applyFont="1" applyFill="1" applyBorder="1" applyAlignment="1" applyProtection="1">
      <alignment vertical="top" wrapText="1"/>
    </xf>
    <xf numFmtId="0" fontId="3" fillId="0" borderId="0" xfId="0" applyFont="1" applyFill="1" applyBorder="1" applyProtection="1"/>
    <xf numFmtId="0" fontId="25" fillId="0" borderId="0" xfId="0" applyFont="1" applyBorder="1" applyAlignment="1" applyProtection="1">
      <alignment horizontal="justify" vertical="center"/>
    </xf>
    <xf numFmtId="0" fontId="3" fillId="0" borderId="0" xfId="0" applyFont="1" applyBorder="1" applyProtection="1"/>
    <xf numFmtId="0" fontId="21" fillId="0" borderId="0" xfId="0" applyFont="1" applyBorder="1" applyAlignment="1" applyProtection="1">
      <alignment horizontal="right"/>
    </xf>
    <xf numFmtId="0" fontId="21" fillId="0" borderId="0" xfId="0" applyFont="1" applyBorder="1" applyProtection="1"/>
    <xf numFmtId="4" fontId="21" fillId="0" borderId="0" xfId="0" applyNumberFormat="1" applyFont="1" applyBorder="1" applyProtection="1"/>
    <xf numFmtId="0" fontId="21" fillId="0" borderId="0" xfId="0" applyFont="1" applyBorder="1"/>
    <xf numFmtId="4" fontId="21" fillId="0" borderId="0" xfId="0" applyNumberFormat="1" applyFont="1" applyBorder="1"/>
    <xf numFmtId="0" fontId="0" fillId="0" borderId="0" xfId="0" applyProtection="1">
      <protection locked="0"/>
    </xf>
    <xf numFmtId="4" fontId="0" fillId="0" borderId="0" xfId="0" applyNumberFormat="1"/>
    <xf numFmtId="0" fontId="2" fillId="2" borderId="0" xfId="0" applyFont="1" applyFill="1" applyAlignment="1">
      <alignment horizontal="left"/>
    </xf>
    <xf numFmtId="0" fontId="0" fillId="4" borderId="0" xfId="0" applyFill="1" applyBorder="1"/>
    <xf numFmtId="0" fontId="8" fillId="3" borderId="0" xfId="0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right"/>
    </xf>
    <xf numFmtId="164" fontId="8" fillId="5" borderId="0" xfId="0" applyNumberFormat="1" applyFont="1" applyFill="1" applyBorder="1" applyAlignment="1">
      <alignment horizontal="right"/>
    </xf>
    <xf numFmtId="164" fontId="0" fillId="6" borderId="0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6" borderId="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164" fontId="8" fillId="3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164" fontId="15" fillId="2" borderId="0" xfId="0" applyNumberFormat="1" applyFont="1" applyFill="1" applyBorder="1" applyAlignment="1">
      <alignment horizontal="right"/>
    </xf>
    <xf numFmtId="164" fontId="5" fillId="7" borderId="0" xfId="0" applyNumberFormat="1" applyFont="1" applyFill="1" applyBorder="1" applyAlignment="1">
      <alignment horizontal="right"/>
    </xf>
    <xf numFmtId="164" fontId="18" fillId="7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/>
    </xf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0" xfId="0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center"/>
    </xf>
    <xf numFmtId="0" fontId="10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Alignment="1">
      <alignment horizontal="right"/>
    </xf>
    <xf numFmtId="0" fontId="4" fillId="6" borderId="0" xfId="0" applyFont="1" applyFill="1" applyBorder="1" applyAlignment="1" applyProtection="1">
      <alignment horizontal="center" vertical="top"/>
    </xf>
    <xf numFmtId="0" fontId="4" fillId="6" borderId="0" xfId="0" applyFont="1" applyFill="1" applyBorder="1" applyAlignment="1" applyProtection="1">
      <alignment horizontal="center" vertical="top"/>
      <protection locked="0"/>
    </xf>
    <xf numFmtId="0" fontId="4" fillId="6" borderId="0" xfId="0" applyFont="1" applyFill="1" applyBorder="1" applyAlignment="1" applyProtection="1">
      <alignment horizontal="right" vertical="top"/>
    </xf>
    <xf numFmtId="0" fontId="4" fillId="6" borderId="0" xfId="0" applyFont="1" applyFill="1" applyBorder="1" applyAlignment="1">
      <alignment horizontal="center" vertical="top"/>
    </xf>
    <xf numFmtId="0" fontId="21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horizontal="right" vertical="top"/>
    </xf>
    <xf numFmtId="0" fontId="0" fillId="0" borderId="0" xfId="0" applyBorder="1" applyAlignment="1" applyProtection="1">
      <alignment horizontal="center"/>
    </xf>
    <xf numFmtId="164" fontId="7" fillId="5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Protection="1"/>
    <xf numFmtId="0" fontId="0" fillId="0" borderId="0" xfId="0" applyBorder="1" applyAlignment="1">
      <alignment horizontal="center"/>
    </xf>
    <xf numFmtId="164" fontId="21" fillId="5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/>
    <xf numFmtId="0" fontId="13" fillId="0" borderId="0" xfId="0" applyFont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 vertical="top"/>
      <protection locked="0"/>
    </xf>
    <xf numFmtId="0" fontId="4" fillId="6" borderId="0" xfId="0" applyFont="1" applyFill="1" applyBorder="1" applyAlignment="1">
      <alignment vertical="top"/>
    </xf>
    <xf numFmtId="0" fontId="13" fillId="0" borderId="0" xfId="0" applyFont="1" applyBorder="1" applyProtection="1"/>
    <xf numFmtId="0" fontId="0" fillId="5" borderId="0" xfId="0" applyFont="1" applyFill="1" applyBorder="1" applyAlignment="1" applyProtection="1">
      <alignment vertical="top"/>
    </xf>
    <xf numFmtId="0" fontId="4" fillId="5" borderId="0" xfId="0" applyFont="1" applyFill="1" applyBorder="1" applyAlignment="1" applyProtection="1">
      <alignment vertical="top"/>
    </xf>
    <xf numFmtId="0" fontId="4" fillId="5" borderId="0" xfId="0" applyFont="1" applyFill="1" applyBorder="1" applyAlignment="1" applyProtection="1">
      <alignment horizontal="center" vertical="top"/>
    </xf>
    <xf numFmtId="0" fontId="4" fillId="5" borderId="0" xfId="0" applyFont="1" applyFill="1" applyBorder="1" applyAlignment="1" applyProtection="1">
      <alignment horizontal="center" vertical="top"/>
      <protection locked="0"/>
    </xf>
    <xf numFmtId="164" fontId="4" fillId="5" borderId="0" xfId="0" applyNumberFormat="1" applyFont="1" applyFill="1" applyBorder="1" applyAlignment="1" applyProtection="1">
      <alignment horizontal="right" vertical="top"/>
    </xf>
    <xf numFmtId="0" fontId="4" fillId="5" borderId="0" xfId="0" applyFont="1" applyFill="1" applyBorder="1" applyAlignment="1">
      <alignment vertical="top"/>
    </xf>
    <xf numFmtId="0" fontId="21" fillId="5" borderId="0" xfId="0" applyFont="1" applyFill="1" applyBorder="1" applyAlignment="1" applyProtection="1">
      <alignment horizontal="center" vertical="top"/>
      <protection locked="0"/>
    </xf>
    <xf numFmtId="164" fontId="4" fillId="5" borderId="0" xfId="0" applyNumberFormat="1" applyFont="1" applyFill="1" applyBorder="1" applyAlignment="1">
      <alignment horizontal="right" vertical="top"/>
    </xf>
    <xf numFmtId="0" fontId="4" fillId="4" borderId="0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 vertical="top"/>
      <protection locked="0"/>
    </xf>
    <xf numFmtId="4" fontId="4" fillId="4" borderId="0" xfId="0" applyNumberFormat="1" applyFont="1" applyFill="1" applyBorder="1" applyAlignment="1" applyProtection="1">
      <alignment vertical="top"/>
    </xf>
    <xf numFmtId="0" fontId="4" fillId="4" borderId="0" xfId="0" applyFont="1" applyFill="1" applyBorder="1" applyAlignment="1">
      <alignment vertical="top"/>
    </xf>
    <xf numFmtId="0" fontId="21" fillId="4" borderId="0" xfId="0" applyFont="1" applyFill="1" applyBorder="1" applyAlignment="1" applyProtection="1">
      <alignment horizontal="center" vertical="top"/>
      <protection locked="0"/>
    </xf>
    <xf numFmtId="4" fontId="4" fillId="4" borderId="0" xfId="0" applyNumberFormat="1" applyFont="1" applyFill="1" applyBorder="1" applyAlignment="1">
      <alignment vertical="top"/>
    </xf>
    <xf numFmtId="0" fontId="0" fillId="0" borderId="0" xfId="0" applyFont="1" applyBorder="1" applyProtection="1"/>
    <xf numFmtId="165" fontId="4" fillId="0" borderId="0" xfId="0" applyNumberFormat="1" applyFont="1" applyBorder="1" applyProtection="1"/>
    <xf numFmtId="165" fontId="4" fillId="0" borderId="0" xfId="0" applyNumberFormat="1" applyFont="1" applyBorder="1"/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  <protection locked="0"/>
    </xf>
    <xf numFmtId="0" fontId="0" fillId="5" borderId="0" xfId="0" applyFill="1" applyBorder="1"/>
    <xf numFmtId="0" fontId="13" fillId="5" borderId="0" xfId="0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 wrapText="1"/>
      <protection locked="0"/>
    </xf>
    <xf numFmtId="0" fontId="20" fillId="0" borderId="0" xfId="0" applyFont="1" applyBorder="1" applyAlignment="1">
      <alignment vertical="top" wrapText="1"/>
    </xf>
    <xf numFmtId="0" fontId="0" fillId="3" borderId="0" xfId="0" applyFill="1" applyBorder="1" applyProtection="1"/>
    <xf numFmtId="0" fontId="22" fillId="3" borderId="0" xfId="0" applyFont="1" applyFill="1" applyBorder="1" applyAlignment="1" applyProtection="1">
      <alignment vertical="top"/>
    </xf>
    <xf numFmtId="0" fontId="23" fillId="3" borderId="0" xfId="0" applyFont="1" applyFill="1" applyBorder="1" applyProtection="1"/>
    <xf numFmtId="0" fontId="23" fillId="3" borderId="0" xfId="0" applyFont="1" applyFill="1" applyBorder="1" applyAlignment="1" applyProtection="1">
      <alignment horizontal="center"/>
      <protection locked="0"/>
    </xf>
    <xf numFmtId="164" fontId="22" fillId="3" borderId="0" xfId="0" applyNumberFormat="1" applyFont="1" applyFill="1" applyBorder="1" applyAlignment="1" applyProtection="1">
      <alignment horizontal="right" vertical="top"/>
    </xf>
    <xf numFmtId="0" fontId="23" fillId="3" borderId="0" xfId="0" applyFont="1" applyFill="1" applyBorder="1"/>
    <xf numFmtId="0" fontId="24" fillId="3" borderId="0" xfId="0" applyFont="1" applyFill="1" applyBorder="1" applyAlignment="1">
      <alignment horizontal="center"/>
    </xf>
    <xf numFmtId="164" fontId="22" fillId="3" borderId="0" xfId="0" applyNumberFormat="1" applyFont="1" applyFill="1" applyBorder="1" applyAlignment="1">
      <alignment horizontal="right" vertical="top"/>
    </xf>
    <xf numFmtId="0" fontId="9" fillId="2" borderId="0" xfId="0" applyFont="1" applyFill="1" applyAlignment="1">
      <alignment horizontal="left"/>
    </xf>
    <xf numFmtId="0" fontId="10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0" fillId="0" borderId="0" xfId="0" applyFill="1"/>
    <xf numFmtId="2" fontId="0" fillId="0" borderId="0" xfId="1" applyNumberFormat="1" applyFont="1" applyFill="1"/>
    <xf numFmtId="0" fontId="13" fillId="0" borderId="0" xfId="0" applyFont="1"/>
    <xf numFmtId="0" fontId="26" fillId="6" borderId="0" xfId="0" applyFont="1" applyFill="1" applyAlignment="1" applyProtection="1">
      <alignment horizontal="left"/>
    </xf>
    <xf numFmtId="0" fontId="10" fillId="6" borderId="0" xfId="0" applyFont="1" applyFill="1" applyAlignment="1" applyProtection="1">
      <alignment horizontal="left"/>
    </xf>
    <xf numFmtId="4" fontId="7" fillId="5" borderId="0" xfId="0" applyNumberFormat="1" applyFont="1" applyFill="1" applyBorder="1" applyAlignment="1" applyProtection="1">
      <alignment horizontal="center" vertical="top"/>
      <protection locked="0"/>
    </xf>
    <xf numFmtId="4" fontId="21" fillId="5" borderId="0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Fill="1" applyBorder="1" applyAlignment="1" applyProtection="1">
      <alignment vertical="top" wrapText="1"/>
    </xf>
    <xf numFmtId="4" fontId="0" fillId="0" borderId="0" xfId="0" applyNumberFormat="1" applyBorder="1" applyAlignment="1" applyProtection="1">
      <alignment horizontal="center" vertical="top" wrapText="1"/>
    </xf>
    <xf numFmtId="4" fontId="0" fillId="0" borderId="0" xfId="0" applyNumberFormat="1" applyBorder="1" applyAlignment="1" applyProtection="1">
      <alignment horizontal="center" vertical="top" wrapText="1"/>
      <protection locked="0"/>
    </xf>
    <xf numFmtId="4" fontId="0" fillId="0" borderId="0" xfId="0" applyNumberFormat="1" applyBorder="1" applyAlignment="1">
      <alignment horizontal="center" vertical="top" wrapText="1"/>
    </xf>
    <xf numFmtId="4" fontId="13" fillId="0" borderId="0" xfId="0" applyNumberFormat="1" applyFont="1" applyBorder="1" applyAlignment="1" applyProtection="1">
      <alignment horizontal="center" vertical="top" wrapText="1"/>
      <protection locked="0"/>
    </xf>
    <xf numFmtId="0" fontId="27" fillId="0" borderId="0" xfId="0" applyFont="1" applyFill="1" applyBorder="1" applyAlignment="1" applyProtection="1">
      <alignment vertical="top" wrapText="1"/>
    </xf>
    <xf numFmtId="4" fontId="13" fillId="0" borderId="0" xfId="0" applyNumberFormat="1" applyFont="1" applyBorder="1" applyAlignment="1">
      <alignment horizontal="center" vertical="top" wrapText="1"/>
    </xf>
    <xf numFmtId="0" fontId="21" fillId="6" borderId="0" xfId="0" applyFont="1" applyFill="1" applyBorder="1" applyAlignment="1" applyProtection="1">
      <alignment vertical="top"/>
    </xf>
    <xf numFmtId="0" fontId="0" fillId="0" borderId="0" xfId="0" applyBorder="1" applyAlignment="1" applyProtection="1">
      <alignment vertical="top" wrapText="1"/>
    </xf>
    <xf numFmtId="0" fontId="22" fillId="3" borderId="0" xfId="0" applyFont="1" applyFill="1" applyBorder="1" applyProtection="1"/>
    <xf numFmtId="0" fontId="22" fillId="3" borderId="0" xfId="0" applyFont="1" applyFill="1" applyBorder="1"/>
    <xf numFmtId="0" fontId="17" fillId="3" borderId="0" xfId="0" applyFont="1" applyFill="1" applyBorder="1"/>
    <xf numFmtId="0" fontId="0" fillId="3" borderId="0" xfId="0" applyFill="1" applyBorder="1"/>
    <xf numFmtId="0" fontId="22" fillId="3" borderId="0" xfId="0" applyFont="1" applyFill="1" applyBorder="1" applyAlignment="1">
      <alignment vertical="top" wrapText="1"/>
    </xf>
    <xf numFmtId="0" fontId="22" fillId="3" borderId="0" xfId="0" applyFont="1" applyFill="1"/>
    <xf numFmtId="0" fontId="17" fillId="3" borderId="0" xfId="0" applyFont="1" applyFill="1"/>
    <xf numFmtId="0" fontId="28" fillId="0" borderId="0" xfId="0" applyFont="1" applyAlignment="1">
      <alignment horizontal="justify" vertical="center"/>
    </xf>
    <xf numFmtId="0" fontId="8" fillId="6" borderId="0" xfId="0" applyFont="1" applyFill="1" applyAlignment="1" applyProtection="1">
      <alignment horizontal="left"/>
    </xf>
    <xf numFmtId="4" fontId="0" fillId="0" borderId="0" xfId="0" applyNumberFormat="1" applyBorder="1" applyAlignment="1" applyProtection="1">
      <alignment vertical="top" wrapText="1"/>
    </xf>
    <xf numFmtId="4" fontId="0" fillId="0" borderId="0" xfId="0" applyNumberFormat="1" applyBorder="1" applyAlignment="1">
      <alignment vertical="top" wrapText="1"/>
    </xf>
    <xf numFmtId="0" fontId="22" fillId="3" borderId="0" xfId="0" applyFont="1" applyFill="1" applyBorder="1" applyAlignment="1" applyProtection="1">
      <alignment vertical="top" wrapText="1"/>
    </xf>
    <xf numFmtId="0" fontId="22" fillId="3" borderId="0" xfId="0" applyFont="1" applyFill="1" applyProtection="1"/>
    <xf numFmtId="0" fontId="17" fillId="2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3" fillId="0" borderId="0" xfId="0" applyFont="1" applyBorder="1"/>
    <xf numFmtId="0" fontId="10" fillId="6" borderId="0" xfId="0" applyFont="1" applyFill="1" applyBorder="1" applyAlignment="1" applyProtection="1">
      <alignment horizontal="right"/>
    </xf>
    <xf numFmtId="0" fontId="9" fillId="6" borderId="0" xfId="0" applyFont="1" applyFill="1" applyBorder="1" applyAlignment="1">
      <alignment horizontal="center"/>
    </xf>
    <xf numFmtId="4" fontId="4" fillId="6" borderId="0" xfId="0" applyNumberFormat="1" applyFont="1" applyFill="1" applyBorder="1" applyProtection="1"/>
    <xf numFmtId="164" fontId="4" fillId="6" borderId="0" xfId="0" applyNumberFormat="1" applyFont="1" applyFill="1" applyBorder="1" applyAlignment="1" applyProtection="1">
      <alignment horizontal="right" vertical="top"/>
    </xf>
    <xf numFmtId="4" fontId="21" fillId="6" borderId="0" xfId="0" applyNumberFormat="1" applyFont="1" applyFill="1" applyBorder="1" applyAlignment="1">
      <alignment horizontal="center" vertical="top"/>
    </xf>
    <xf numFmtId="164" fontId="21" fillId="6" borderId="0" xfId="0" applyNumberFormat="1" applyFont="1" applyFill="1" applyBorder="1" applyAlignment="1">
      <alignment horizontal="right" vertical="top"/>
    </xf>
    <xf numFmtId="164" fontId="0" fillId="0" borderId="0" xfId="0" applyNumberFormat="1" applyBorder="1" applyProtection="1"/>
    <xf numFmtId="2" fontId="0" fillId="0" borderId="0" xfId="0" applyNumberFormat="1" applyBorder="1" applyProtection="1"/>
    <xf numFmtId="164" fontId="7" fillId="5" borderId="0" xfId="0" applyNumberFormat="1" applyFont="1" applyFill="1" applyBorder="1" applyAlignment="1" applyProtection="1">
      <alignment horizontal="center" vertical="top"/>
      <protection locked="0"/>
    </xf>
    <xf numFmtId="2" fontId="0" fillId="0" borderId="0" xfId="0" applyNumberFormat="1" applyBorder="1"/>
    <xf numFmtId="164" fontId="21" fillId="0" borderId="0" xfId="0" applyNumberFormat="1" applyFont="1" applyBorder="1"/>
    <xf numFmtId="0" fontId="13" fillId="0" borderId="0" xfId="0" applyFont="1" applyBorder="1" applyAlignment="1">
      <alignment horizontal="right"/>
    </xf>
    <xf numFmtId="4" fontId="21" fillId="0" borderId="0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right"/>
    </xf>
    <xf numFmtId="4" fontId="4" fillId="6" borderId="0" xfId="0" applyNumberFormat="1" applyFont="1" applyFill="1" applyBorder="1" applyAlignment="1" applyProtection="1">
      <alignment horizontal="right"/>
    </xf>
    <xf numFmtId="4" fontId="4" fillId="6" borderId="0" xfId="0" applyNumberFormat="1" applyFont="1" applyFill="1" applyBorder="1"/>
    <xf numFmtId="4" fontId="21" fillId="6" borderId="0" xfId="0" applyNumberFormat="1" applyFont="1" applyFill="1" applyBorder="1"/>
    <xf numFmtId="4" fontId="21" fillId="6" borderId="0" xfId="0" applyNumberFormat="1" applyFont="1" applyFill="1" applyBorder="1" applyAlignment="1">
      <alignment horizontal="right"/>
    </xf>
    <xf numFmtId="4" fontId="0" fillId="0" borderId="0" xfId="0" applyNumberFormat="1" applyBorder="1" applyAlignment="1" applyProtection="1">
      <alignment horizontal="right"/>
    </xf>
    <xf numFmtId="164" fontId="17" fillId="3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164" fontId="4" fillId="6" borderId="0" xfId="0" applyNumberFormat="1" applyFont="1" applyFill="1" applyBorder="1" applyProtection="1"/>
    <xf numFmtId="164" fontId="21" fillId="6" borderId="0" xfId="0" applyNumberFormat="1" applyFont="1" applyFill="1" applyBorder="1" applyProtection="1"/>
    <xf numFmtId="164" fontId="4" fillId="6" borderId="0" xfId="0" applyNumberFormat="1" applyFont="1" applyFill="1" applyBorder="1"/>
    <xf numFmtId="164" fontId="21" fillId="6" borderId="0" xfId="0" applyNumberFormat="1" applyFont="1" applyFill="1" applyBorder="1"/>
    <xf numFmtId="0" fontId="4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164" fontId="4" fillId="0" borderId="0" xfId="0" applyNumberFormat="1" applyFont="1" applyFill="1" applyBorder="1" applyProtection="1"/>
    <xf numFmtId="164" fontId="7" fillId="5" borderId="0" xfId="0" applyNumberFormat="1" applyFont="1" applyFill="1" applyBorder="1" applyAlignment="1" applyProtection="1">
      <alignment horizontal="right" vertical="top"/>
      <protection locked="0"/>
    </xf>
    <xf numFmtId="164" fontId="21" fillId="0" borderId="0" xfId="0" applyNumberFormat="1" applyFont="1" applyFill="1" applyBorder="1"/>
    <xf numFmtId="164" fontId="21" fillId="5" borderId="0" xfId="0" applyNumberFormat="1" applyFont="1" applyFill="1" applyBorder="1" applyAlignment="1" applyProtection="1">
      <alignment horizontal="right" vertical="top"/>
      <protection locked="0"/>
    </xf>
    <xf numFmtId="164" fontId="4" fillId="0" borderId="0" xfId="0" applyNumberFormat="1" applyFont="1" applyFill="1" applyBorder="1"/>
    <xf numFmtId="4" fontId="1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5" fillId="2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top" wrapText="1"/>
    </xf>
    <xf numFmtId="0" fontId="4" fillId="0" borderId="0" xfId="0" applyFont="1" applyAlignment="1" applyProtection="1">
      <alignment wrapText="1"/>
    </xf>
    <xf numFmtId="0" fontId="20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3983181</xdr:colOff>
      <xdr:row>4</xdr:row>
      <xdr:rowOff>86589</xdr:rowOff>
    </xdr:from>
    <xdr:to>
      <xdr:col>1</xdr:col>
      <xdr:colOff>4649932</xdr:colOff>
      <xdr:row>4</xdr:row>
      <xdr:rowOff>86590</xdr:rowOff>
    </xdr:to>
    <xdr:cxnSp macro="">
      <xdr:nvCxnSpPr>
        <xdr:cNvPr id="4" name="Conector recto de flech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376552" y="1724889"/>
          <a:ext cx="666751" cy="1"/>
        </a:xfrm>
        <a:prstGeom prst="straightConnector1">
          <a:avLst/>
        </a:prstGeom>
        <a:noFill/>
        <a:ln w="9525" cap="flat" cmpd="sng" algn="ctr">
          <a:solidFill>
            <a:srgbClr val="1F497D">
              <a:lumMod val="50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1</xdr:col>
      <xdr:colOff>3983181</xdr:colOff>
      <xdr:row>4</xdr:row>
      <xdr:rowOff>86589</xdr:rowOff>
    </xdr:from>
    <xdr:to>
      <xdr:col>1</xdr:col>
      <xdr:colOff>4649932</xdr:colOff>
      <xdr:row>4</xdr:row>
      <xdr:rowOff>86590</xdr:rowOff>
    </xdr:to>
    <xdr:cxnSp macro="">
      <xdr:nvCxnSpPr>
        <xdr:cNvPr id="5" name="Conector recto de flech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376552" y="1724889"/>
          <a:ext cx="666751" cy="1"/>
        </a:xfrm>
        <a:prstGeom prst="straightConnector1">
          <a:avLst/>
        </a:prstGeom>
        <a:ln>
          <a:solidFill>
            <a:schemeClr val="tx2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OTA/SERVEIS%20TECNICS/03%20MANTENIMENT/1.%20CONTRATES/MANT%20INTEGRAL%20SANT%20ANTONI/EX25000109-NOU%20CONTRACTE%20MANT%20INTEGRAL/00%20Documentaci&#243;%20previa/ANNEX%20MODEL%202B.%20OFERTA%20ECON&#211;MICA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 PREVENTIU"/>
      <sheetName val="II CONSUMIBLES"/>
      <sheetName val="III ESPECÍFIC"/>
      <sheetName val="IV ASSIS"/>
      <sheetName val="V CORR"/>
    </sheetNames>
    <sheetDataSet>
      <sheetData sheetId="0"/>
      <sheetData sheetId="1">
        <row r="7">
          <cell r="A7" t="str">
            <v>MO_O1</v>
          </cell>
          <cell r="H7">
            <v>228444.84</v>
          </cell>
        </row>
        <row r="10">
          <cell r="A10" t="str">
            <v>MO_FM</v>
          </cell>
          <cell r="H10">
            <v>30688.32</v>
          </cell>
        </row>
        <row r="13">
          <cell r="A13" t="str">
            <v>MQ_EL</v>
          </cell>
          <cell r="H13">
            <v>9201.65</v>
          </cell>
        </row>
      </sheetData>
      <sheetData sheetId="2">
        <row r="31">
          <cell r="A31" t="str">
            <v>FILT</v>
          </cell>
          <cell r="K31">
            <v>28384.369800000004</v>
          </cell>
        </row>
        <row r="41">
          <cell r="A41" t="str">
            <v>QUIM</v>
          </cell>
          <cell r="K41">
            <v>3035</v>
          </cell>
        </row>
        <row r="45">
          <cell r="A45" t="str">
            <v>I01</v>
          </cell>
        </row>
        <row r="47">
          <cell r="K47">
            <v>10440</v>
          </cell>
        </row>
      </sheetData>
      <sheetData sheetId="3">
        <row r="7">
          <cell r="A7" t="str">
            <v>BCCLV</v>
          </cell>
          <cell r="B7" t="str">
            <v>Manteniment anual de les unitats Bomba de Calor Climaveneta</v>
          </cell>
          <cell r="H7">
            <v>2140</v>
          </cell>
        </row>
        <row r="10">
          <cell r="A10" t="str">
            <v>CLJC</v>
          </cell>
          <cell r="H10">
            <v>2140</v>
          </cell>
        </row>
        <row r="13">
          <cell r="A13" t="str">
            <v>CONT</v>
          </cell>
          <cell r="H13">
            <v>2675</v>
          </cell>
        </row>
        <row r="16">
          <cell r="A16" t="str">
            <v>SAI</v>
          </cell>
          <cell r="H16">
            <v>1284</v>
          </cell>
        </row>
        <row r="19">
          <cell r="A19" t="str">
            <v>FULLF</v>
          </cell>
          <cell r="H19">
            <v>1605</v>
          </cell>
        </row>
        <row r="22">
          <cell r="A22" t="str">
            <v>PARMUR</v>
          </cell>
          <cell r="G22">
            <v>2140</v>
          </cell>
        </row>
        <row r="25">
          <cell r="A25" t="str">
            <v>TRAF</v>
          </cell>
          <cell r="H25">
            <v>2675</v>
          </cell>
        </row>
        <row r="28">
          <cell r="A28" t="str">
            <v>PCI</v>
          </cell>
          <cell r="H28">
            <v>6420</v>
          </cell>
        </row>
        <row r="31">
          <cell r="A31" t="str">
            <v>CCTV</v>
          </cell>
          <cell r="H31">
            <v>2140</v>
          </cell>
        </row>
        <row r="34">
          <cell r="H34">
            <v>16050.000000000002</v>
          </cell>
        </row>
        <row r="37">
          <cell r="A37" t="str">
            <v>FEC</v>
          </cell>
          <cell r="H37">
            <v>5350</v>
          </cell>
        </row>
        <row r="40">
          <cell r="A40" t="str">
            <v>LEG</v>
          </cell>
          <cell r="H40">
            <v>1605</v>
          </cell>
        </row>
        <row r="43">
          <cell r="H43">
            <v>4000</v>
          </cell>
        </row>
        <row r="46">
          <cell r="H46">
            <v>1605</v>
          </cell>
        </row>
        <row r="49">
          <cell r="A49" t="str">
            <v>ANTICOL</v>
          </cell>
          <cell r="H49">
            <v>1926</v>
          </cell>
        </row>
        <row r="52">
          <cell r="A52" t="str">
            <v>LVIDA</v>
          </cell>
          <cell r="H52">
            <v>642</v>
          </cell>
        </row>
        <row r="55">
          <cell r="A55" t="str">
            <v>BESCAM</v>
          </cell>
          <cell r="H55">
            <v>6420</v>
          </cell>
        </row>
        <row r="58">
          <cell r="A58" t="str">
            <v>OCA</v>
          </cell>
          <cell r="H58">
            <v>11235</v>
          </cell>
        </row>
        <row r="61">
          <cell r="H61">
            <v>72052</v>
          </cell>
        </row>
      </sheetData>
      <sheetData sheetId="4">
        <row r="7">
          <cell r="A7" t="str">
            <v>24_H/2_H</v>
          </cell>
          <cell r="B7" t="str">
            <v xml:space="preserve">Servei d'assistència 24 h </v>
          </cell>
        </row>
        <row r="10">
          <cell r="H10">
            <v>2140</v>
          </cell>
        </row>
      </sheetData>
      <sheetData sheetId="5">
        <row r="8">
          <cell r="I8">
            <v>43721.2</v>
          </cell>
        </row>
        <row r="15">
          <cell r="I15">
            <v>59500</v>
          </cell>
        </row>
        <row r="20">
          <cell r="H20">
            <v>119000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view="pageBreakPreview" zoomScale="80" zoomScaleNormal="100" zoomScaleSheetLayoutView="80" workbookViewId="0">
      <selection activeCell="E12" sqref="E12"/>
    </sheetView>
  </sheetViews>
  <sheetFormatPr defaultRowHeight="14.6" x14ac:dyDescent="0.4"/>
  <cols>
    <col min="1" max="1" width="19.69140625" customWidth="1"/>
    <col min="2" max="2" width="71.07421875" customWidth="1"/>
    <col min="3" max="3" width="20.3046875" customWidth="1"/>
    <col min="4" max="4" width="20" customWidth="1"/>
    <col min="5" max="5" width="17" customWidth="1"/>
    <col min="6" max="6" width="20" hidden="1" customWidth="1"/>
  </cols>
  <sheetData>
    <row r="1" spans="1:6" ht="18.45" customHeight="1" x14ac:dyDescent="0.4">
      <c r="A1" s="282" t="s">
        <v>0</v>
      </c>
      <c r="B1" s="282"/>
      <c r="C1" s="282"/>
      <c r="D1" s="1"/>
      <c r="E1" s="1"/>
      <c r="F1" s="126"/>
    </row>
    <row r="2" spans="1:6" x14ac:dyDescent="0.4">
      <c r="A2" s="2"/>
      <c r="B2" s="2"/>
      <c r="C2" s="2"/>
      <c r="D2" s="2"/>
      <c r="E2" s="2"/>
    </row>
    <row r="3" spans="1:6" ht="14.6" customHeight="1" x14ac:dyDescent="0.4">
      <c r="A3" s="283" t="s">
        <v>1</v>
      </c>
      <c r="B3" s="283"/>
      <c r="C3" s="283"/>
      <c r="D3" s="283"/>
      <c r="E3" s="283"/>
      <c r="F3" s="58"/>
    </row>
    <row r="4" spans="1:6" x14ac:dyDescent="0.4">
      <c r="A4" s="2"/>
      <c r="B4" s="2"/>
      <c r="C4" s="2"/>
      <c r="D4" s="2"/>
      <c r="E4" s="2"/>
    </row>
    <row r="5" spans="1:6" ht="14.6" customHeight="1" x14ac:dyDescent="0.4">
      <c r="A5" s="284" t="s">
        <v>2</v>
      </c>
      <c r="B5" s="284"/>
      <c r="C5" s="3">
        <v>0</v>
      </c>
      <c r="D5" s="2"/>
      <c r="E5" s="2"/>
    </row>
    <row r="6" spans="1:6" x14ac:dyDescent="0.4">
      <c r="A6" s="4"/>
      <c r="B6" s="4"/>
      <c r="C6" s="5"/>
      <c r="D6" s="6"/>
      <c r="E6" s="6"/>
      <c r="F6" s="127"/>
    </row>
    <row r="7" spans="1:6" x14ac:dyDescent="0.4">
      <c r="A7" s="4"/>
      <c r="B7" s="4"/>
      <c r="C7" s="5"/>
      <c r="D7" s="6"/>
      <c r="E7" s="6"/>
      <c r="F7" s="127"/>
    </row>
    <row r="8" spans="1:6" ht="15.9" x14ac:dyDescent="0.4">
      <c r="A8" s="4"/>
      <c r="B8" s="4"/>
      <c r="C8" s="7" t="s">
        <v>3</v>
      </c>
      <c r="D8" s="7" t="s">
        <v>4</v>
      </c>
      <c r="E8" s="7" t="s">
        <v>5</v>
      </c>
      <c r="F8" s="128" t="s">
        <v>196</v>
      </c>
    </row>
    <row r="9" spans="1:6" ht="15.9" x14ac:dyDescent="0.45">
      <c r="A9" s="8" t="s">
        <v>6</v>
      </c>
      <c r="B9" s="9"/>
      <c r="C9" s="10">
        <f>+C11+C16+C21+C41</f>
        <v>323013.59647058829</v>
      </c>
      <c r="D9" s="10">
        <f>+D11+D16+D21+D41</f>
        <v>0</v>
      </c>
      <c r="E9" s="11">
        <f>1-D9/C9</f>
        <v>1</v>
      </c>
      <c r="F9" s="129"/>
    </row>
    <row r="10" spans="1:6" x14ac:dyDescent="0.4">
      <c r="A10" s="12"/>
      <c r="B10" s="12"/>
      <c r="C10" s="13"/>
      <c r="D10" s="12"/>
      <c r="E10" s="12"/>
      <c r="F10" s="77"/>
    </row>
    <row r="11" spans="1:6" ht="15.9" x14ac:dyDescent="0.45">
      <c r="A11" s="14" t="s">
        <v>7</v>
      </c>
      <c r="B11" s="14" t="s">
        <v>8</v>
      </c>
      <c r="C11" s="15">
        <f>SUM(C12:C14)</f>
        <v>225491.43697478995</v>
      </c>
      <c r="D11" s="16">
        <f>D14+D13+D12</f>
        <v>0</v>
      </c>
      <c r="E11" s="17">
        <f>1-D11/C11</f>
        <v>1</v>
      </c>
      <c r="F11" s="130">
        <f>F14+F13+F12</f>
        <v>268334.81</v>
      </c>
    </row>
    <row r="12" spans="1:6" x14ac:dyDescent="0.4">
      <c r="A12" s="18" t="str">
        <f>'[1]I PREVENTIU'!A7</f>
        <v>MO_O1</v>
      </c>
      <c r="B12" s="18" t="s">
        <v>9</v>
      </c>
      <c r="C12" s="19">
        <f>F12/1.19</f>
        <v>191970.45378151262</v>
      </c>
      <c r="D12" s="20">
        <f>'I PREVENTIU'!E7</f>
        <v>0</v>
      </c>
      <c r="E12" s="21">
        <f>1-D12/C12</f>
        <v>1</v>
      </c>
      <c r="F12" s="131">
        <f>'[1]I PREVENTIU'!H7</f>
        <v>228444.84</v>
      </c>
    </row>
    <row r="13" spans="1:6" x14ac:dyDescent="0.4">
      <c r="A13" s="18" t="str">
        <f>'[1]I PREVENTIU'!A10</f>
        <v>MO_FM</v>
      </c>
      <c r="B13" s="18" t="s">
        <v>10</v>
      </c>
      <c r="C13" s="19">
        <f>F13/1.19</f>
        <v>25788.504201680673</v>
      </c>
      <c r="D13" s="20">
        <f>'I PREVENTIU'!E10</f>
        <v>0</v>
      </c>
      <c r="E13" s="21">
        <f t="shared" ref="E13:E14" si="0">1-D13/C13</f>
        <v>1</v>
      </c>
      <c r="F13" s="131">
        <f>'[1]I PREVENTIU'!H10</f>
        <v>30688.32</v>
      </c>
    </row>
    <row r="14" spans="1:6" x14ac:dyDescent="0.4">
      <c r="A14" s="22" t="str">
        <f>'[1]I PREVENTIU'!A13</f>
        <v>MQ_EL</v>
      </c>
      <c r="B14" s="22" t="s">
        <v>11</v>
      </c>
      <c r="C14" s="19">
        <f>F14/1.19</f>
        <v>7732.4789915966385</v>
      </c>
      <c r="D14" s="20">
        <f>'I PREVENTIU'!E13</f>
        <v>0</v>
      </c>
      <c r="E14" s="21">
        <f t="shared" si="0"/>
        <v>1</v>
      </c>
      <c r="F14" s="131">
        <f>'[1]I PREVENTIU'!H13</f>
        <v>9201.65</v>
      </c>
    </row>
    <row r="15" spans="1:6" x14ac:dyDescent="0.4">
      <c r="A15" s="23"/>
      <c r="B15" s="23"/>
      <c r="C15" s="24"/>
      <c r="D15" s="25"/>
      <c r="E15" s="26"/>
      <c r="F15" s="132"/>
    </row>
    <row r="16" spans="1:6" ht="15.9" x14ac:dyDescent="0.45">
      <c r="A16" s="14" t="s">
        <v>12</v>
      </c>
      <c r="B16" s="14" t="s">
        <v>13</v>
      </c>
      <c r="C16" s="15">
        <f>C17+C18+C19</f>
        <v>35175.941008403366</v>
      </c>
      <c r="D16" s="27">
        <f>D17+D18+D19</f>
        <v>0</v>
      </c>
      <c r="E16" s="17">
        <f t="shared" ref="E16:E19" si="1">1-D16/C16</f>
        <v>1</v>
      </c>
      <c r="F16" s="130">
        <f>F17+F18+F19</f>
        <v>41859.3698</v>
      </c>
    </row>
    <row r="17" spans="1:6" x14ac:dyDescent="0.4">
      <c r="A17" s="18" t="str">
        <f>'[1]II CONSUMIBLES'!A31</f>
        <v>FILT</v>
      </c>
      <c r="B17" s="18" t="s">
        <v>14</v>
      </c>
      <c r="C17" s="19">
        <f>+F17/1.19</f>
        <v>23852.41159663866</v>
      </c>
      <c r="D17" s="20">
        <f>'II CONSUMIBLES'!H31</f>
        <v>0</v>
      </c>
      <c r="E17" s="21">
        <f t="shared" si="1"/>
        <v>1</v>
      </c>
      <c r="F17" s="131">
        <f>'[1]II CONSUMIBLES'!K31</f>
        <v>28384.369800000004</v>
      </c>
    </row>
    <row r="18" spans="1:6" x14ac:dyDescent="0.4">
      <c r="A18" s="18" t="str">
        <f>'[1]II CONSUMIBLES'!A41</f>
        <v>QUIM</v>
      </c>
      <c r="B18" s="18" t="s">
        <v>15</v>
      </c>
      <c r="C18" s="19">
        <f>+F18/1.19</f>
        <v>2550.4201680672272</v>
      </c>
      <c r="D18" s="20">
        <f>'II CONSUMIBLES'!H41</f>
        <v>0</v>
      </c>
      <c r="E18" s="21">
        <f t="shared" si="1"/>
        <v>1</v>
      </c>
      <c r="F18" s="131">
        <f>'[1]II CONSUMIBLES'!K41</f>
        <v>3035</v>
      </c>
    </row>
    <row r="19" spans="1:6" x14ac:dyDescent="0.4">
      <c r="A19" s="18" t="str">
        <f>'[1]II CONSUMIBLES'!A45</f>
        <v>I01</v>
      </c>
      <c r="B19" s="18" t="s">
        <v>16</v>
      </c>
      <c r="C19" s="19">
        <f>+F19/1.19</f>
        <v>8773.1092436974795</v>
      </c>
      <c r="D19" s="20">
        <f>'II CONSUMIBLES'!H47</f>
        <v>0</v>
      </c>
      <c r="E19" s="21">
        <f t="shared" si="1"/>
        <v>1</v>
      </c>
      <c r="F19" s="131">
        <f>'[1]II CONSUMIBLES'!K47</f>
        <v>10440</v>
      </c>
    </row>
    <row r="20" spans="1:6" x14ac:dyDescent="0.4">
      <c r="A20" s="12"/>
      <c r="B20" s="12"/>
      <c r="C20" s="28"/>
      <c r="D20" s="29"/>
      <c r="E20" s="26"/>
      <c r="F20" s="133"/>
    </row>
    <row r="21" spans="1:6" ht="15.9" x14ac:dyDescent="0.45">
      <c r="A21" s="14" t="s">
        <v>17</v>
      </c>
      <c r="B21" s="14" t="s">
        <v>18</v>
      </c>
      <c r="C21" s="15">
        <f>SUM(C22:C39)</f>
        <v>60547.899159663873</v>
      </c>
      <c r="D21" s="16">
        <f>SUM(D22:D39)</f>
        <v>0</v>
      </c>
      <c r="E21" s="17">
        <f>1-D21/C21</f>
        <v>1</v>
      </c>
      <c r="F21" s="130">
        <f>'[1]III ESPECÍFIC'!H61</f>
        <v>72052</v>
      </c>
    </row>
    <row r="22" spans="1:6" x14ac:dyDescent="0.4">
      <c r="A22" s="18" t="str">
        <f>'[1]III ESPECÍFIC'!A7</f>
        <v>BCCLV</v>
      </c>
      <c r="B22" s="18" t="str">
        <f>'[1]III ESPECÍFIC'!B7</f>
        <v>Manteniment anual de les unitats Bomba de Calor Climaveneta</v>
      </c>
      <c r="C22" s="19">
        <f>+F22/1.19</f>
        <v>1798.3193277310925</v>
      </c>
      <c r="D22" s="30">
        <f>'III ESPECÍFIC'!E7</f>
        <v>0</v>
      </c>
      <c r="E22" s="21">
        <f t="shared" ref="E22:E39" si="2">1-D22/C22</f>
        <v>1</v>
      </c>
      <c r="F22" s="134">
        <f>'[1]III ESPECÍFIC'!H7</f>
        <v>2140</v>
      </c>
    </row>
    <row r="23" spans="1:6" x14ac:dyDescent="0.4">
      <c r="A23" s="18" t="str">
        <f>'[1]III ESPECÍFIC'!A10</f>
        <v>CLJC</v>
      </c>
      <c r="B23" s="18" t="s">
        <v>19</v>
      </c>
      <c r="C23" s="19">
        <f>+F23/1.19</f>
        <v>1798.3193277310925</v>
      </c>
      <c r="D23" s="30">
        <f>'III ESPECÍFIC'!E10</f>
        <v>0</v>
      </c>
      <c r="E23" s="21">
        <f t="shared" si="2"/>
        <v>1</v>
      </c>
      <c r="F23" s="134">
        <f>'[1]III ESPECÍFIC'!H10</f>
        <v>2140</v>
      </c>
    </row>
    <row r="24" spans="1:6" x14ac:dyDescent="0.4">
      <c r="A24" s="18" t="str">
        <f>'[1]III ESPECÍFIC'!A13</f>
        <v>CONT</v>
      </c>
      <c r="B24" s="18" t="s">
        <v>20</v>
      </c>
      <c r="C24" s="19">
        <f>+F24/1.19</f>
        <v>2247.8991596638657</v>
      </c>
      <c r="D24" s="30">
        <f>'III ESPECÍFIC'!E13</f>
        <v>0</v>
      </c>
      <c r="E24" s="21">
        <f t="shared" si="2"/>
        <v>1</v>
      </c>
      <c r="F24" s="134">
        <f>'[1]III ESPECÍFIC'!H13</f>
        <v>2675</v>
      </c>
    </row>
    <row r="25" spans="1:6" x14ac:dyDescent="0.4">
      <c r="A25" s="18" t="str">
        <f>'[1]III ESPECÍFIC'!A16</f>
        <v>SAI</v>
      </c>
      <c r="B25" s="18" t="s">
        <v>21</v>
      </c>
      <c r="C25" s="19">
        <f t="shared" ref="C25:C39" si="3">+F25/1.19</f>
        <v>1078.9915966386554</v>
      </c>
      <c r="D25" s="30">
        <f>'III ESPECÍFIC'!E16</f>
        <v>0</v>
      </c>
      <c r="E25" s="21">
        <f t="shared" si="2"/>
        <v>1</v>
      </c>
      <c r="F25" s="134">
        <f>'[1]III ESPECÍFIC'!H16</f>
        <v>1284</v>
      </c>
    </row>
    <row r="26" spans="1:6" x14ac:dyDescent="0.4">
      <c r="A26" s="18" t="str">
        <f>'[1]III ESPECÍFIC'!A19</f>
        <v>FULLF</v>
      </c>
      <c r="B26" s="18" t="s">
        <v>22</v>
      </c>
      <c r="C26" s="19">
        <f t="shared" si="3"/>
        <v>1348.7394957983195</v>
      </c>
      <c r="D26" s="30">
        <f>'III ESPECÍFIC'!E19</f>
        <v>0</v>
      </c>
      <c r="E26" s="21">
        <f t="shared" si="2"/>
        <v>1</v>
      </c>
      <c r="F26" s="134">
        <f>'[1]III ESPECÍFIC'!H19</f>
        <v>1605</v>
      </c>
    </row>
    <row r="27" spans="1:6" x14ac:dyDescent="0.4">
      <c r="A27" s="18" t="str">
        <f>'[1]III ESPECÍFIC'!A22</f>
        <v>PARMUR</v>
      </c>
      <c r="B27" s="18" t="s">
        <v>23</v>
      </c>
      <c r="C27" s="19">
        <f t="shared" si="3"/>
        <v>1798.3193277310925</v>
      </c>
      <c r="D27" s="30">
        <f>'III ESPECÍFIC'!E22</f>
        <v>0</v>
      </c>
      <c r="E27" s="21">
        <f t="shared" si="2"/>
        <v>1</v>
      </c>
      <c r="F27" s="134">
        <f>'[1]III ESPECÍFIC'!G22</f>
        <v>2140</v>
      </c>
    </row>
    <row r="28" spans="1:6" x14ac:dyDescent="0.4">
      <c r="A28" s="18" t="str">
        <f>'[1]III ESPECÍFIC'!A25</f>
        <v>TRAF</v>
      </c>
      <c r="B28" s="18" t="s">
        <v>24</v>
      </c>
      <c r="C28" s="19">
        <f t="shared" si="3"/>
        <v>2247.8991596638657</v>
      </c>
      <c r="D28" s="30">
        <f>'III ESPECÍFIC'!E25</f>
        <v>0</v>
      </c>
      <c r="E28" s="21">
        <f t="shared" si="2"/>
        <v>1</v>
      </c>
      <c r="F28" s="134">
        <f>'[1]III ESPECÍFIC'!H25</f>
        <v>2675</v>
      </c>
    </row>
    <row r="29" spans="1:6" x14ac:dyDescent="0.4">
      <c r="A29" s="18" t="str">
        <f>'[1]III ESPECÍFIC'!A28</f>
        <v>PCI</v>
      </c>
      <c r="B29" s="18" t="s">
        <v>25</v>
      </c>
      <c r="C29" s="19">
        <f t="shared" si="3"/>
        <v>5394.9579831932779</v>
      </c>
      <c r="D29" s="30">
        <f>'III ESPECÍFIC'!E28</f>
        <v>0</v>
      </c>
      <c r="E29" s="21">
        <f t="shared" si="2"/>
        <v>1</v>
      </c>
      <c r="F29" s="134">
        <f>'[1]III ESPECÍFIC'!H28</f>
        <v>6420</v>
      </c>
    </row>
    <row r="30" spans="1:6" x14ac:dyDescent="0.4">
      <c r="A30" s="18" t="str">
        <f>'[1]III ESPECÍFIC'!A31</f>
        <v>CCTV</v>
      </c>
      <c r="B30" s="18" t="s">
        <v>26</v>
      </c>
      <c r="C30" s="19">
        <f t="shared" si="3"/>
        <v>1798.3193277310925</v>
      </c>
      <c r="D30" s="30">
        <f>'III ESPECÍFIC'!E31</f>
        <v>0</v>
      </c>
      <c r="E30" s="21">
        <f t="shared" si="2"/>
        <v>1</v>
      </c>
      <c r="F30" s="134">
        <f>'[1]III ESPECÍFIC'!H31</f>
        <v>2140</v>
      </c>
    </row>
    <row r="31" spans="1:6" x14ac:dyDescent="0.4">
      <c r="A31" s="18" t="s">
        <v>27</v>
      </c>
      <c r="B31" s="18" t="s">
        <v>28</v>
      </c>
      <c r="C31" s="19">
        <f t="shared" si="3"/>
        <v>13487.394957983195</v>
      </c>
      <c r="D31" s="30">
        <f>'III ESPECÍFIC'!E34</f>
        <v>0</v>
      </c>
      <c r="E31" s="21">
        <f t="shared" si="2"/>
        <v>1</v>
      </c>
      <c r="F31" s="134">
        <f>'[1]III ESPECÍFIC'!H34</f>
        <v>16050.000000000002</v>
      </c>
    </row>
    <row r="32" spans="1:6" x14ac:dyDescent="0.4">
      <c r="A32" s="18" t="str">
        <f>'[1]III ESPECÍFIC'!A37</f>
        <v>FEC</v>
      </c>
      <c r="B32" s="18" t="s">
        <v>29</v>
      </c>
      <c r="C32" s="19">
        <f t="shared" si="3"/>
        <v>4495.7983193277314</v>
      </c>
      <c r="D32" s="30">
        <f>'III ESPECÍFIC'!E37</f>
        <v>0</v>
      </c>
      <c r="E32" s="21">
        <f t="shared" si="2"/>
        <v>1</v>
      </c>
      <c r="F32" s="134">
        <f>'[1]III ESPECÍFIC'!H37</f>
        <v>5350</v>
      </c>
    </row>
    <row r="33" spans="1:6" x14ac:dyDescent="0.4">
      <c r="A33" s="18" t="str">
        <f>'[1]III ESPECÍFIC'!A37</f>
        <v>FEC</v>
      </c>
      <c r="B33" s="18" t="s">
        <v>30</v>
      </c>
      <c r="C33" s="19">
        <f t="shared" si="3"/>
        <v>1348.7394957983195</v>
      </c>
      <c r="D33" s="30">
        <f>'III ESPECÍFIC'!E40</f>
        <v>0</v>
      </c>
      <c r="E33" s="21">
        <f t="shared" si="2"/>
        <v>1</v>
      </c>
      <c r="F33" s="134">
        <f>'[1]III ESPECÍFIC'!H40</f>
        <v>1605</v>
      </c>
    </row>
    <row r="34" spans="1:6" x14ac:dyDescent="0.4">
      <c r="A34" s="18" t="str">
        <f>'[1]III ESPECÍFIC'!A40</f>
        <v>LEG</v>
      </c>
      <c r="B34" s="18" t="s">
        <v>31</v>
      </c>
      <c r="C34" s="19">
        <f t="shared" si="3"/>
        <v>3361.3445378151264</v>
      </c>
      <c r="D34" s="30">
        <f>'III ESPECÍFIC'!E43</f>
        <v>0</v>
      </c>
      <c r="E34" s="21">
        <f t="shared" si="2"/>
        <v>1</v>
      </c>
      <c r="F34" s="134">
        <f>'[1]III ESPECÍFIC'!H43</f>
        <v>4000</v>
      </c>
    </row>
    <row r="35" spans="1:6" x14ac:dyDescent="0.4">
      <c r="A35" s="18" t="s">
        <v>32</v>
      </c>
      <c r="B35" s="18" t="s">
        <v>33</v>
      </c>
      <c r="C35" s="19">
        <f t="shared" si="3"/>
        <v>1348.7394957983195</v>
      </c>
      <c r="D35" s="30">
        <f>'III ESPECÍFIC'!E46</f>
        <v>0</v>
      </c>
      <c r="E35" s="21">
        <f t="shared" si="2"/>
        <v>1</v>
      </c>
      <c r="F35" s="134">
        <f>'[1]III ESPECÍFIC'!H46</f>
        <v>1605</v>
      </c>
    </row>
    <row r="36" spans="1:6" x14ac:dyDescent="0.4">
      <c r="A36" s="31" t="str">
        <f>'[1]III ESPECÍFIC'!A49</f>
        <v>ANTICOL</v>
      </c>
      <c r="B36" s="31" t="s">
        <v>34</v>
      </c>
      <c r="C36" s="19">
        <f t="shared" si="3"/>
        <v>1618.4873949579833</v>
      </c>
      <c r="D36" s="30">
        <f>'III ESPECÍFIC'!E49</f>
        <v>0</v>
      </c>
      <c r="E36" s="21">
        <f t="shared" si="2"/>
        <v>1</v>
      </c>
      <c r="F36" s="134">
        <f>'[1]III ESPECÍFIC'!H49</f>
        <v>1926</v>
      </c>
    </row>
    <row r="37" spans="1:6" x14ac:dyDescent="0.4">
      <c r="A37" s="31" t="str">
        <f>'[1]III ESPECÍFIC'!A52</f>
        <v>LVIDA</v>
      </c>
      <c r="B37" s="31" t="s">
        <v>35</v>
      </c>
      <c r="C37" s="19">
        <f t="shared" si="3"/>
        <v>539.49579831932772</v>
      </c>
      <c r="D37" s="30">
        <f>'III ESPECÍFIC'!E52</f>
        <v>0</v>
      </c>
      <c r="E37" s="21">
        <f t="shared" si="2"/>
        <v>1</v>
      </c>
      <c r="F37" s="134">
        <f>'[1]III ESPECÍFIC'!H52</f>
        <v>642</v>
      </c>
    </row>
    <row r="38" spans="1:6" x14ac:dyDescent="0.4">
      <c r="A38" s="31" t="str">
        <f>'[1]III ESPECÍFIC'!A55</f>
        <v>BESCAM</v>
      </c>
      <c r="B38" s="31" t="s">
        <v>36</v>
      </c>
      <c r="C38" s="19">
        <f t="shared" si="3"/>
        <v>5394.9579831932779</v>
      </c>
      <c r="D38" s="30">
        <f>'III ESPECÍFIC'!E55</f>
        <v>0</v>
      </c>
      <c r="E38" s="21">
        <f t="shared" si="2"/>
        <v>1</v>
      </c>
      <c r="F38" s="134">
        <f>'[1]III ESPECÍFIC'!H55</f>
        <v>6420</v>
      </c>
    </row>
    <row r="39" spans="1:6" x14ac:dyDescent="0.4">
      <c r="A39" s="31" t="str">
        <f>'[1]III ESPECÍFIC'!A58</f>
        <v>OCA</v>
      </c>
      <c r="B39" s="31" t="s">
        <v>37</v>
      </c>
      <c r="C39" s="19">
        <f t="shared" si="3"/>
        <v>9441.176470588236</v>
      </c>
      <c r="D39" s="30">
        <f>'III ESPECÍFIC'!E58</f>
        <v>0</v>
      </c>
      <c r="E39" s="21">
        <f t="shared" si="2"/>
        <v>1</v>
      </c>
      <c r="F39" s="134">
        <f>'[1]III ESPECÍFIC'!H58</f>
        <v>11235</v>
      </c>
    </row>
    <row r="40" spans="1:6" x14ac:dyDescent="0.4">
      <c r="A40" s="12"/>
      <c r="B40" s="12"/>
      <c r="C40" s="28"/>
      <c r="D40" s="29"/>
      <c r="E40" s="26"/>
      <c r="F40" s="133"/>
    </row>
    <row r="41" spans="1:6" ht="15.9" x14ac:dyDescent="0.45">
      <c r="A41" s="14" t="s">
        <v>38</v>
      </c>
      <c r="B41" s="14" t="s">
        <v>39</v>
      </c>
      <c r="C41" s="15">
        <f>+C42</f>
        <v>1798.3193277310925</v>
      </c>
      <c r="D41" s="16">
        <f>D42</f>
        <v>0</v>
      </c>
      <c r="E41" s="17">
        <f t="shared" ref="E41:E42" si="4">1-D41/C41</f>
        <v>1</v>
      </c>
      <c r="F41" s="130">
        <f>F42</f>
        <v>2140</v>
      </c>
    </row>
    <row r="42" spans="1:6" x14ac:dyDescent="0.4">
      <c r="A42" s="18" t="str">
        <f>'[1]IV ASSIS'!A7</f>
        <v>24_H/2_H</v>
      </c>
      <c r="B42" s="18" t="str">
        <f>'[1]IV ASSIS'!B7</f>
        <v xml:space="preserve">Servei d'assistència 24 h </v>
      </c>
      <c r="C42" s="19">
        <f>+F42/1.19</f>
        <v>1798.3193277310925</v>
      </c>
      <c r="D42" s="30">
        <f>'IV ASSIS'!E10</f>
        <v>0</v>
      </c>
      <c r="E42" s="21">
        <f t="shared" si="4"/>
        <v>1</v>
      </c>
      <c r="F42" s="134">
        <f>'[1]IV ASSIS'!H10</f>
        <v>2140</v>
      </c>
    </row>
    <row r="43" spans="1:6" x14ac:dyDescent="0.4">
      <c r="A43" s="4"/>
      <c r="B43" s="4"/>
      <c r="C43" s="32"/>
      <c r="D43" s="33"/>
      <c r="E43" s="26"/>
      <c r="F43" s="135"/>
    </row>
    <row r="44" spans="1:6" ht="15.9" x14ac:dyDescent="0.45">
      <c r="A44" s="8" t="s">
        <v>40</v>
      </c>
      <c r="B44" s="9"/>
      <c r="C44" s="34">
        <f>+C46+C50</f>
        <v>186740.50420168065</v>
      </c>
      <c r="D44" s="35">
        <f>+D46</f>
        <v>50000</v>
      </c>
      <c r="E44" s="11">
        <f>1-D44/C44</f>
        <v>0.73224876834433439</v>
      </c>
      <c r="F44" s="136"/>
    </row>
    <row r="45" spans="1:6" x14ac:dyDescent="0.4">
      <c r="A45" s="12"/>
      <c r="B45" s="12"/>
      <c r="C45" s="36"/>
      <c r="D45" s="37"/>
      <c r="E45" s="26"/>
      <c r="F45" s="137"/>
    </row>
    <row r="46" spans="1:6" ht="15.9" x14ac:dyDescent="0.45">
      <c r="A46" s="14" t="s">
        <v>41</v>
      </c>
      <c r="B46" s="14" t="s">
        <v>42</v>
      </c>
      <c r="C46" s="15">
        <f>+C47+C48</f>
        <v>86740.504201680669</v>
      </c>
      <c r="D46" s="16">
        <f>D48+D47</f>
        <v>50000</v>
      </c>
      <c r="E46" s="17">
        <f t="shared" ref="E46:E48" si="5">1-D46/C46</f>
        <v>0.42356802672319249</v>
      </c>
      <c r="F46" s="130">
        <f>F48+F47</f>
        <v>103221.2</v>
      </c>
    </row>
    <row r="47" spans="1:6" x14ac:dyDescent="0.4">
      <c r="A47" s="18" t="s">
        <v>43</v>
      </c>
      <c r="B47" s="18" t="s">
        <v>44</v>
      </c>
      <c r="C47" s="19">
        <f>+F47/1.19</f>
        <v>36740.504201680669</v>
      </c>
      <c r="D47" s="20">
        <f>'V CORR'!F8</f>
        <v>0</v>
      </c>
      <c r="E47" s="21">
        <f t="shared" si="5"/>
        <v>1</v>
      </c>
      <c r="F47" s="134">
        <f>'[1]V CORR'!I8</f>
        <v>43721.2</v>
      </c>
    </row>
    <row r="48" spans="1:6" x14ac:dyDescent="0.4">
      <c r="A48" s="18" t="s">
        <v>45</v>
      </c>
      <c r="B48" s="18" t="s">
        <v>46</v>
      </c>
      <c r="C48" s="19">
        <f>F48/1.19</f>
        <v>50000</v>
      </c>
      <c r="D48" s="30">
        <f>+F48/1.19</f>
        <v>50000</v>
      </c>
      <c r="E48" s="21">
        <f t="shared" si="5"/>
        <v>0</v>
      </c>
      <c r="F48" s="134">
        <f>'[1]V CORR'!I15</f>
        <v>59500</v>
      </c>
    </row>
    <row r="49" spans="1:6" x14ac:dyDescent="0.4">
      <c r="A49" s="18"/>
      <c r="B49" s="18"/>
      <c r="C49" s="30"/>
      <c r="D49" s="30"/>
      <c r="E49" s="21"/>
      <c r="F49" s="134"/>
    </row>
    <row r="50" spans="1:6" ht="15.9" x14ac:dyDescent="0.45">
      <c r="A50" s="14" t="s">
        <v>47</v>
      </c>
      <c r="B50" s="14"/>
      <c r="C50" s="15">
        <f>+C51+C52</f>
        <v>100000</v>
      </c>
      <c r="D50" s="16">
        <f>D52+D51</f>
        <v>100000</v>
      </c>
      <c r="E50" s="17">
        <f>1-D50/C50</f>
        <v>0</v>
      </c>
      <c r="F50" s="130">
        <f>F52+F51</f>
        <v>119000</v>
      </c>
    </row>
    <row r="51" spans="1:6" x14ac:dyDescent="0.4">
      <c r="A51" s="18" t="s">
        <v>48</v>
      </c>
      <c r="B51" s="18" t="s">
        <v>49</v>
      </c>
      <c r="C51" s="30">
        <f>F51/1.19</f>
        <v>100000</v>
      </c>
      <c r="D51" s="30">
        <f>C51</f>
        <v>100000</v>
      </c>
      <c r="E51" s="21">
        <f t="shared" ref="E51" si="6">1-D51/C51</f>
        <v>0</v>
      </c>
      <c r="F51" s="134">
        <f>'[1]V CORR'!H20</f>
        <v>119000</v>
      </c>
    </row>
    <row r="52" spans="1:6" x14ac:dyDescent="0.4">
      <c r="A52" s="12"/>
      <c r="B52" s="12"/>
      <c r="C52" s="2"/>
      <c r="D52" s="2"/>
      <c r="E52" s="38"/>
    </row>
    <row r="53" spans="1:6" ht="18.45" x14ac:dyDescent="0.5">
      <c r="A53" s="39" t="s">
        <v>50</v>
      </c>
      <c r="B53" s="40"/>
      <c r="C53" s="41">
        <f>+C44+C41+C21+C16+C11</f>
        <v>509754.10067226895</v>
      </c>
      <c r="D53" s="41">
        <f>+D46+D41+D21+D16+D11+D50</f>
        <v>150000</v>
      </c>
      <c r="E53" s="42">
        <f t="shared" ref="E53" si="7">1-D53/C53</f>
        <v>0.70574047407921103</v>
      </c>
      <c r="F53" s="138"/>
    </row>
    <row r="54" spans="1:6" ht="18.45" x14ac:dyDescent="0.5">
      <c r="A54" s="2"/>
      <c r="B54" s="43" t="s">
        <v>51</v>
      </c>
      <c r="C54" s="44">
        <f>+C53*0.19</f>
        <v>96853.279127731104</v>
      </c>
      <c r="D54" s="44">
        <f>+D53*0.19</f>
        <v>28500</v>
      </c>
      <c r="E54" s="38"/>
    </row>
    <row r="55" spans="1:6" ht="18.45" x14ac:dyDescent="0.5">
      <c r="A55" s="39" t="s">
        <v>52</v>
      </c>
      <c r="B55" s="40"/>
      <c r="C55" s="41">
        <f>+C54+C53</f>
        <v>606607.3798</v>
      </c>
      <c r="D55" s="41">
        <f>+D54+D53</f>
        <v>178500</v>
      </c>
      <c r="E55" s="42"/>
      <c r="F55" s="138"/>
    </row>
    <row r="56" spans="1:6" ht="18.45" x14ac:dyDescent="0.5">
      <c r="A56" s="2"/>
      <c r="B56" s="43" t="s">
        <v>53</v>
      </c>
      <c r="C56" s="44">
        <f>+C55*0.21</f>
        <v>127387.54975799999</v>
      </c>
      <c r="D56" s="44">
        <f>+D55*0.21</f>
        <v>37485</v>
      </c>
      <c r="E56" s="38"/>
    </row>
    <row r="57" spans="1:6" ht="18.45" x14ac:dyDescent="0.5">
      <c r="A57" s="45" t="s">
        <v>54</v>
      </c>
      <c r="B57" s="46"/>
      <c r="C57" s="47">
        <f>+C56+C55</f>
        <v>733994.92955799995</v>
      </c>
      <c r="D57" s="47">
        <f>+D56+D55</f>
        <v>215985</v>
      </c>
      <c r="E57" s="48"/>
      <c r="F57" s="139"/>
    </row>
    <row r="58" spans="1:6" x14ac:dyDescent="0.4">
      <c r="A58" s="2"/>
      <c r="B58" s="2"/>
      <c r="C58" s="2"/>
      <c r="D58" s="2"/>
      <c r="E58" s="2"/>
    </row>
    <row r="59" spans="1:6" ht="20.6" x14ac:dyDescent="0.4">
      <c r="A59" s="49" t="s">
        <v>55</v>
      </c>
      <c r="B59" s="50"/>
      <c r="C59" s="51">
        <f>+C57*2</f>
        <v>1467989.8591159999</v>
      </c>
      <c r="D59" s="51">
        <f>+D57*2</f>
        <v>431970</v>
      </c>
      <c r="E59" s="52"/>
      <c r="F59" s="140"/>
    </row>
  </sheetData>
  <sheetProtection password="C845" sheet="1" objects="1" scenarios="1"/>
  <mergeCells count="3">
    <mergeCell ref="A1:C1"/>
    <mergeCell ref="A3:E3"/>
    <mergeCell ref="A5:B5"/>
  </mergeCells>
  <pageMargins left="0.7" right="0.7" top="0.75" bottom="0.75" header="0.3" footer="0.3"/>
  <pageSetup paperSize="9" scale="5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zoomScale="70" zoomScaleNormal="70" workbookViewId="0">
      <selection activeCell="C7" sqref="C7"/>
    </sheetView>
  </sheetViews>
  <sheetFormatPr defaultRowHeight="14.6" x14ac:dyDescent="0.4"/>
  <cols>
    <col min="1" max="1" width="34" customWidth="1"/>
    <col min="2" max="2" width="93" customWidth="1"/>
    <col min="3" max="3" width="12.3046875" customWidth="1"/>
    <col min="4" max="4" width="14.3046875" style="124" customWidth="1"/>
    <col min="5" max="5" width="16.3046875" customWidth="1"/>
    <col min="6" max="6" width="12.3046875" hidden="1" customWidth="1"/>
    <col min="7" max="7" width="0" style="57" hidden="1" customWidth="1"/>
    <col min="8" max="8" width="16.3046875" hidden="1" customWidth="1"/>
  </cols>
  <sheetData>
    <row r="1" spans="1:8" ht="18.45" x14ac:dyDescent="0.5">
      <c r="A1" s="53" t="s">
        <v>56</v>
      </c>
      <c r="B1" s="54"/>
      <c r="C1" s="54"/>
      <c r="D1" s="54"/>
      <c r="E1" s="54"/>
      <c r="F1" s="55"/>
      <c r="G1" s="56"/>
      <c r="H1" s="55"/>
    </row>
    <row r="2" spans="1:8" x14ac:dyDescent="0.4">
      <c r="A2" s="2"/>
      <c r="B2" s="2"/>
      <c r="C2" s="2"/>
      <c r="D2" s="2"/>
      <c r="E2" s="2"/>
    </row>
    <row r="3" spans="1:8" x14ac:dyDescent="0.4">
      <c r="A3" s="285" t="s">
        <v>57</v>
      </c>
      <c r="B3" s="285"/>
      <c r="C3" s="285"/>
      <c r="D3" s="285"/>
      <c r="E3" s="285"/>
      <c r="F3" s="58"/>
      <c r="G3" s="58"/>
      <c r="H3" s="58"/>
    </row>
    <row r="4" spans="1:8" x14ac:dyDescent="0.4">
      <c r="A4" s="2"/>
      <c r="B4" s="2"/>
      <c r="C4" s="2"/>
      <c r="D4" s="2"/>
      <c r="E4" s="2"/>
      <c r="F4" s="286" t="s">
        <v>58</v>
      </c>
      <c r="G4" s="286"/>
      <c r="H4" s="286"/>
    </row>
    <row r="5" spans="1:8" ht="15.9" x14ac:dyDescent="0.45">
      <c r="A5" s="59" t="s">
        <v>59</v>
      </c>
      <c r="B5" s="59" t="s">
        <v>60</v>
      </c>
      <c r="C5" s="60" t="s">
        <v>61</v>
      </c>
      <c r="D5" s="60" t="s">
        <v>62</v>
      </c>
      <c r="E5" s="60" t="s">
        <v>63</v>
      </c>
      <c r="F5" s="61" t="s">
        <v>61</v>
      </c>
      <c r="G5" s="62" t="s">
        <v>64</v>
      </c>
      <c r="H5" s="61" t="s">
        <v>63</v>
      </c>
    </row>
    <row r="6" spans="1:8" ht="15.9" x14ac:dyDescent="0.45">
      <c r="A6" s="63"/>
      <c r="B6" s="63"/>
      <c r="C6" s="64" t="s">
        <v>65</v>
      </c>
      <c r="D6" s="64" t="s">
        <v>66</v>
      </c>
      <c r="E6" s="64" t="s">
        <v>67</v>
      </c>
      <c r="F6" s="65" t="s">
        <v>65</v>
      </c>
      <c r="G6" s="66" t="s">
        <v>66</v>
      </c>
      <c r="H6" s="65" t="s">
        <v>67</v>
      </c>
    </row>
    <row r="7" spans="1:8" x14ac:dyDescent="0.4">
      <c r="A7" s="18" t="s">
        <v>68</v>
      </c>
      <c r="B7" s="67" t="s">
        <v>69</v>
      </c>
      <c r="C7" s="68">
        <v>7982</v>
      </c>
      <c r="D7" s="69">
        <v>0</v>
      </c>
      <c r="E7" s="70">
        <f>C7*D7</f>
        <v>0</v>
      </c>
      <c r="F7" s="71">
        <v>7982</v>
      </c>
      <c r="G7" s="69">
        <v>28.62</v>
      </c>
      <c r="H7" s="72">
        <f>F7*G7</f>
        <v>228444.84</v>
      </c>
    </row>
    <row r="8" spans="1:8" ht="189.45" x14ac:dyDescent="0.4">
      <c r="A8" s="73"/>
      <c r="B8" s="74" t="s">
        <v>70</v>
      </c>
      <c r="C8" s="12"/>
      <c r="D8" s="75"/>
      <c r="E8" s="12"/>
      <c r="F8" s="287" t="s">
        <v>71</v>
      </c>
      <c r="G8" s="287"/>
      <c r="H8" s="287"/>
    </row>
    <row r="9" spans="1:8" ht="15.9" x14ac:dyDescent="0.45">
      <c r="A9" s="63"/>
      <c r="B9" s="63"/>
      <c r="C9" s="64" t="s">
        <v>65</v>
      </c>
      <c r="D9" s="76" t="s">
        <v>66</v>
      </c>
      <c r="E9" s="64" t="s">
        <v>67</v>
      </c>
      <c r="F9" s="65" t="s">
        <v>65</v>
      </c>
      <c r="G9" s="66" t="s">
        <v>66</v>
      </c>
      <c r="H9" s="65" t="s">
        <v>67</v>
      </c>
    </row>
    <row r="10" spans="1:8" x14ac:dyDescent="0.4">
      <c r="A10" s="18" t="s">
        <v>72</v>
      </c>
      <c r="B10" s="67" t="s">
        <v>73</v>
      </c>
      <c r="C10" s="68">
        <v>624</v>
      </c>
      <c r="D10" s="69">
        <v>0</v>
      </c>
      <c r="E10" s="70">
        <f>C10*D10</f>
        <v>0</v>
      </c>
      <c r="F10" s="71">
        <v>624</v>
      </c>
      <c r="G10" s="69">
        <v>49.18</v>
      </c>
      <c r="H10" s="72">
        <f>F10*G10</f>
        <v>30688.32</v>
      </c>
    </row>
    <row r="11" spans="1:8" ht="218.6" x14ac:dyDescent="0.4">
      <c r="A11" s="73"/>
      <c r="B11" s="74" t="s">
        <v>74</v>
      </c>
      <c r="C11" s="12"/>
      <c r="D11" s="75">
        <v>4</v>
      </c>
      <c r="E11" s="12"/>
      <c r="F11" s="77"/>
      <c r="G11" s="78"/>
      <c r="H11" s="77"/>
    </row>
    <row r="12" spans="1:8" ht="15.9" x14ac:dyDescent="0.45">
      <c r="A12" s="63"/>
      <c r="B12" s="63"/>
      <c r="C12" s="64" t="s">
        <v>75</v>
      </c>
      <c r="D12" s="76" t="s">
        <v>66</v>
      </c>
      <c r="E12" s="64" t="s">
        <v>67</v>
      </c>
      <c r="F12" s="65" t="s">
        <v>75</v>
      </c>
      <c r="G12" s="66" t="s">
        <v>66</v>
      </c>
      <c r="H12" s="65" t="s">
        <v>67</v>
      </c>
    </row>
    <row r="13" spans="1:8" x14ac:dyDescent="0.4">
      <c r="A13" s="18" t="s">
        <v>76</v>
      </c>
      <c r="B13" s="79" t="s">
        <v>11</v>
      </c>
      <c r="C13" s="68">
        <v>365</v>
      </c>
      <c r="D13" s="69">
        <v>0</v>
      </c>
      <c r="E13" s="70">
        <f>C13*D13</f>
        <v>0</v>
      </c>
      <c r="F13" s="71">
        <v>365</v>
      </c>
      <c r="G13" s="80">
        <v>25.21</v>
      </c>
      <c r="H13" s="72">
        <f>F13*G13</f>
        <v>9201.65</v>
      </c>
    </row>
    <row r="14" spans="1:8" ht="29.15" x14ac:dyDescent="0.4">
      <c r="A14" s="12"/>
      <c r="B14" s="74" t="s">
        <v>77</v>
      </c>
      <c r="C14" s="12"/>
      <c r="D14" s="12"/>
      <c r="E14" s="12"/>
      <c r="F14" s="77"/>
      <c r="G14" s="78"/>
      <c r="H14" s="77"/>
    </row>
    <row r="15" spans="1:8" ht="18.45" x14ac:dyDescent="0.4">
      <c r="A15" s="81"/>
      <c r="B15" s="82" t="s">
        <v>78</v>
      </c>
      <c r="C15" s="83"/>
      <c r="D15" s="84" t="s">
        <v>79</v>
      </c>
      <c r="E15" s="85">
        <f>E13+E10+E7</f>
        <v>0</v>
      </c>
      <c r="F15" s="86"/>
      <c r="G15" s="87"/>
      <c r="H15" s="88">
        <f>H13+H10+H7</f>
        <v>268334.81</v>
      </c>
    </row>
    <row r="16" spans="1:8" ht="18.45" x14ac:dyDescent="0.4">
      <c r="A16" s="81"/>
      <c r="B16" s="83"/>
      <c r="C16" s="83"/>
      <c r="D16" s="83"/>
      <c r="E16" s="83"/>
      <c r="F16" s="86"/>
      <c r="G16" s="87"/>
      <c r="H16" s="86"/>
    </row>
    <row r="17" spans="1:8" hidden="1" x14ac:dyDescent="0.4">
      <c r="A17" s="2"/>
      <c r="B17" s="2"/>
      <c r="C17" s="2"/>
      <c r="D17" s="2"/>
      <c r="E17" s="2"/>
    </row>
    <row r="18" spans="1:8" ht="18.45" hidden="1" x14ac:dyDescent="0.5">
      <c r="A18" s="53" t="s">
        <v>80</v>
      </c>
      <c r="B18" s="53"/>
      <c r="C18" s="53"/>
      <c r="D18" s="53"/>
      <c r="E18" s="53"/>
      <c r="F18" s="89"/>
      <c r="G18" s="90"/>
      <c r="H18" s="89"/>
    </row>
    <row r="19" spans="1:8" ht="18.45" hidden="1" x14ac:dyDescent="0.5">
      <c r="A19" s="91"/>
      <c r="B19" s="91"/>
      <c r="C19" s="92"/>
      <c r="D19" s="92"/>
      <c r="E19" s="92"/>
      <c r="F19" s="93"/>
      <c r="G19" s="94"/>
      <c r="H19" s="93"/>
    </row>
    <row r="20" spans="1:8" ht="15.9" hidden="1" x14ac:dyDescent="0.45">
      <c r="A20" s="288" t="s">
        <v>81</v>
      </c>
      <c r="B20" s="288"/>
      <c r="C20" s="92"/>
      <c r="D20" s="92"/>
      <c r="E20" s="92"/>
      <c r="F20" s="93"/>
      <c r="G20" s="94"/>
      <c r="H20" s="93"/>
    </row>
    <row r="21" spans="1:8" ht="18.45" hidden="1" x14ac:dyDescent="0.5">
      <c r="A21" s="95"/>
      <c r="B21" s="95"/>
      <c r="C21" s="96"/>
      <c r="D21" s="96"/>
      <c r="E21" s="96"/>
      <c r="F21" s="97"/>
      <c r="G21" s="98"/>
      <c r="H21" s="97"/>
    </row>
    <row r="22" spans="1:8" ht="15.9" hidden="1" x14ac:dyDescent="0.45">
      <c r="A22" s="59" t="s">
        <v>59</v>
      </c>
      <c r="B22" s="59" t="s">
        <v>60</v>
      </c>
      <c r="C22" s="99"/>
      <c r="D22" s="99"/>
      <c r="E22" s="99"/>
      <c r="F22" s="100"/>
      <c r="G22" s="101"/>
      <c r="H22" s="100"/>
    </row>
    <row r="23" spans="1:8" ht="29.15" hidden="1" x14ac:dyDescent="0.4">
      <c r="A23" s="67" t="s">
        <v>82</v>
      </c>
      <c r="B23" s="79" t="s">
        <v>83</v>
      </c>
      <c r="C23" s="102"/>
      <c r="D23" s="103"/>
      <c r="E23" s="103"/>
      <c r="F23" s="104"/>
      <c r="G23" s="105"/>
      <c r="H23" s="106"/>
    </row>
    <row r="24" spans="1:8" hidden="1" x14ac:dyDescent="0.4">
      <c r="A24" s="12" t="s">
        <v>84</v>
      </c>
      <c r="B24" s="12" t="s">
        <v>85</v>
      </c>
      <c r="C24" s="12"/>
      <c r="D24" s="107"/>
      <c r="E24" s="107"/>
      <c r="F24" s="77"/>
      <c r="G24" s="108"/>
      <c r="H24" s="109"/>
    </row>
    <row r="25" spans="1:8" hidden="1" x14ac:dyDescent="0.4">
      <c r="A25" s="12" t="s">
        <v>86</v>
      </c>
      <c r="B25" s="12" t="s">
        <v>87</v>
      </c>
      <c r="C25" s="12"/>
      <c r="D25" s="107"/>
      <c r="E25" s="107"/>
      <c r="F25" s="77"/>
      <c r="G25" s="108"/>
      <c r="H25" s="109"/>
    </row>
    <row r="26" spans="1:8" hidden="1" x14ac:dyDescent="0.4">
      <c r="A26" s="12" t="s">
        <v>88</v>
      </c>
      <c r="B26" s="12" t="s">
        <v>89</v>
      </c>
      <c r="C26" s="12"/>
      <c r="D26" s="107"/>
      <c r="E26" s="107"/>
      <c r="F26" s="77"/>
      <c r="G26" s="108"/>
      <c r="H26" s="109"/>
    </row>
    <row r="27" spans="1:8" hidden="1" x14ac:dyDescent="0.4">
      <c r="A27" s="12" t="s">
        <v>90</v>
      </c>
      <c r="B27" s="12" t="s">
        <v>91</v>
      </c>
      <c r="C27" s="12"/>
      <c r="D27" s="107"/>
      <c r="E27" s="107"/>
      <c r="F27" s="77"/>
      <c r="G27" s="108"/>
      <c r="H27" s="109"/>
    </row>
    <row r="28" spans="1:8" hidden="1" x14ac:dyDescent="0.4">
      <c r="A28" s="12" t="s">
        <v>92</v>
      </c>
      <c r="B28" s="12" t="s">
        <v>93</v>
      </c>
      <c r="C28" s="12"/>
      <c r="D28" s="107"/>
      <c r="E28" s="107"/>
      <c r="F28" s="77"/>
      <c r="G28" s="108"/>
      <c r="H28" s="109"/>
    </row>
    <row r="29" spans="1:8" hidden="1" x14ac:dyDescent="0.4">
      <c r="A29" s="12" t="s">
        <v>94</v>
      </c>
      <c r="B29" s="12" t="s">
        <v>95</v>
      </c>
      <c r="C29" s="12"/>
      <c r="D29" s="107"/>
      <c r="E29" s="107"/>
      <c r="F29" s="77"/>
      <c r="G29" s="108"/>
      <c r="H29" s="109"/>
    </row>
    <row r="30" spans="1:8" hidden="1" x14ac:dyDescent="0.4">
      <c r="A30" s="12" t="s">
        <v>96</v>
      </c>
      <c r="B30" s="12" t="s">
        <v>97</v>
      </c>
      <c r="C30" s="12"/>
      <c r="D30" s="107"/>
      <c r="E30" s="107"/>
      <c r="F30" s="77"/>
      <c r="G30" s="108"/>
      <c r="H30" s="109"/>
    </row>
    <row r="31" spans="1:8" hidden="1" x14ac:dyDescent="0.4">
      <c r="A31" s="12"/>
      <c r="B31" s="12"/>
      <c r="C31" s="12"/>
      <c r="D31" s="12"/>
      <c r="E31" s="107"/>
      <c r="F31" s="77"/>
      <c r="G31" s="78"/>
      <c r="H31" s="109"/>
    </row>
    <row r="32" spans="1:8" ht="29.15" hidden="1" x14ac:dyDescent="0.4">
      <c r="A32" s="67" t="s">
        <v>98</v>
      </c>
      <c r="B32" s="79" t="s">
        <v>99</v>
      </c>
      <c r="C32" s="110"/>
      <c r="D32" s="110"/>
      <c r="E32" s="111"/>
      <c r="F32" s="112"/>
      <c r="G32" s="113"/>
      <c r="H32" s="114"/>
    </row>
    <row r="33" spans="1:8" hidden="1" x14ac:dyDescent="0.4">
      <c r="A33" s="12" t="s">
        <v>100</v>
      </c>
      <c r="B33" s="12" t="s">
        <v>101</v>
      </c>
      <c r="C33" s="12"/>
      <c r="D33" s="107"/>
      <c r="E33" s="107"/>
      <c r="F33" s="77"/>
      <c r="G33" s="108"/>
      <c r="H33" s="109"/>
    </row>
    <row r="34" spans="1:8" hidden="1" x14ac:dyDescent="0.4">
      <c r="A34" s="12" t="s">
        <v>102</v>
      </c>
      <c r="B34" s="12" t="s">
        <v>103</v>
      </c>
      <c r="C34" s="12"/>
      <c r="D34" s="12"/>
      <c r="E34" s="107"/>
      <c r="F34" s="77"/>
      <c r="G34" s="78"/>
      <c r="H34" s="109"/>
    </row>
    <row r="35" spans="1:8" hidden="1" x14ac:dyDescent="0.4">
      <c r="A35" s="12" t="s">
        <v>104</v>
      </c>
      <c r="B35" s="12" t="s">
        <v>105</v>
      </c>
      <c r="C35" s="12"/>
      <c r="D35" s="107"/>
      <c r="E35" s="107"/>
      <c r="F35" s="77"/>
      <c r="G35" s="108"/>
      <c r="H35" s="109"/>
    </row>
    <row r="36" spans="1:8" hidden="1" x14ac:dyDescent="0.4">
      <c r="A36" s="12" t="s">
        <v>106</v>
      </c>
      <c r="B36" s="12" t="s">
        <v>107</v>
      </c>
      <c r="C36" s="12"/>
      <c r="D36" s="107"/>
      <c r="E36" s="107"/>
      <c r="F36" s="77"/>
      <c r="G36" s="108"/>
      <c r="H36" s="109"/>
    </row>
    <row r="37" spans="1:8" hidden="1" x14ac:dyDescent="0.4">
      <c r="A37" s="12"/>
      <c r="B37" s="12"/>
      <c r="C37" s="12"/>
      <c r="D37" s="12"/>
      <c r="E37" s="107"/>
      <c r="F37" s="77"/>
      <c r="G37" s="78"/>
      <c r="H37" s="109"/>
    </row>
    <row r="38" spans="1:8" ht="29.15" hidden="1" x14ac:dyDescent="0.4">
      <c r="A38" s="67" t="s">
        <v>108</v>
      </c>
      <c r="B38" s="115" t="s">
        <v>109</v>
      </c>
      <c r="C38" s="110"/>
      <c r="D38" s="110"/>
      <c r="E38" s="111"/>
      <c r="F38" s="112"/>
      <c r="G38" s="113"/>
      <c r="H38" s="114"/>
    </row>
    <row r="39" spans="1:8" hidden="1" x14ac:dyDescent="0.4">
      <c r="A39" s="12" t="s">
        <v>110</v>
      </c>
      <c r="B39" s="12" t="s">
        <v>111</v>
      </c>
      <c r="C39" s="12"/>
      <c r="D39" s="12"/>
      <c r="E39" s="107"/>
      <c r="F39" s="77"/>
      <c r="G39" s="78"/>
      <c r="H39" s="109"/>
    </row>
    <row r="40" spans="1:8" hidden="1" x14ac:dyDescent="0.4">
      <c r="A40" s="12" t="s">
        <v>112</v>
      </c>
      <c r="B40" s="12" t="s">
        <v>113</v>
      </c>
      <c r="C40" s="12"/>
      <c r="D40" s="12"/>
      <c r="E40" s="107"/>
      <c r="F40" s="77"/>
      <c r="G40" s="78"/>
      <c r="H40" s="109"/>
    </row>
    <row r="41" spans="1:8" hidden="1" x14ac:dyDescent="0.4">
      <c r="A41" s="12" t="s">
        <v>114</v>
      </c>
      <c r="B41" s="12" t="s">
        <v>115</v>
      </c>
      <c r="C41" s="12"/>
      <c r="D41" s="12"/>
      <c r="E41" s="107"/>
      <c r="F41" s="77"/>
      <c r="G41" s="78"/>
      <c r="H41" s="109"/>
    </row>
    <row r="42" spans="1:8" hidden="1" x14ac:dyDescent="0.4">
      <c r="A42" s="12" t="s">
        <v>116</v>
      </c>
      <c r="B42" s="12" t="s">
        <v>117</v>
      </c>
      <c r="C42" s="12"/>
      <c r="D42" s="12"/>
      <c r="E42" s="107"/>
      <c r="F42" s="77"/>
      <c r="G42" s="78"/>
      <c r="H42" s="109"/>
    </row>
    <row r="43" spans="1:8" hidden="1" x14ac:dyDescent="0.4">
      <c r="A43" s="12"/>
      <c r="B43" s="116" t="s">
        <v>118</v>
      </c>
      <c r="C43" s="12"/>
      <c r="D43" s="12"/>
      <c r="E43" s="107"/>
      <c r="F43" s="77"/>
      <c r="G43" s="78"/>
      <c r="H43" s="109"/>
    </row>
    <row r="44" spans="1:8" hidden="1" x14ac:dyDescent="0.4">
      <c r="A44" s="12" t="s">
        <v>119</v>
      </c>
      <c r="B44" s="12" t="s">
        <v>120</v>
      </c>
      <c r="C44" s="12"/>
      <c r="D44" s="12"/>
      <c r="E44" s="107"/>
      <c r="F44" s="77"/>
      <c r="G44" s="78"/>
      <c r="H44" s="109"/>
    </row>
    <row r="45" spans="1:8" hidden="1" x14ac:dyDescent="0.4">
      <c r="A45" s="12" t="s">
        <v>121</v>
      </c>
      <c r="B45" s="12" t="s">
        <v>122</v>
      </c>
      <c r="C45" s="12"/>
      <c r="D45" s="12"/>
      <c r="E45" s="107"/>
      <c r="F45" s="77"/>
      <c r="G45" s="78"/>
      <c r="H45" s="109"/>
    </row>
    <row r="46" spans="1:8" hidden="1" x14ac:dyDescent="0.4">
      <c r="A46" s="12" t="s">
        <v>123</v>
      </c>
      <c r="B46" s="12" t="s">
        <v>124</v>
      </c>
      <c r="C46" s="12"/>
      <c r="D46" s="12"/>
      <c r="E46" s="107"/>
      <c r="F46" s="77"/>
      <c r="G46" s="78"/>
      <c r="H46" s="109"/>
    </row>
    <row r="47" spans="1:8" hidden="1" x14ac:dyDescent="0.4">
      <c r="A47" s="12" t="s">
        <v>125</v>
      </c>
      <c r="B47" s="12" t="s">
        <v>126</v>
      </c>
      <c r="C47" s="12"/>
      <c r="D47" s="12"/>
      <c r="E47" s="107"/>
      <c r="F47" s="77"/>
      <c r="G47" s="78"/>
      <c r="H47" s="109"/>
    </row>
    <row r="48" spans="1:8" hidden="1" x14ac:dyDescent="0.4">
      <c r="A48" s="12"/>
      <c r="B48" s="12"/>
      <c r="C48" s="12"/>
      <c r="D48" s="12"/>
      <c r="E48" s="107"/>
      <c r="F48" s="77"/>
      <c r="G48" s="78"/>
      <c r="H48" s="109"/>
    </row>
    <row r="49" spans="1:8" ht="29.15" hidden="1" x14ac:dyDescent="0.4">
      <c r="A49" s="67" t="s">
        <v>127</v>
      </c>
      <c r="B49" s="115" t="s">
        <v>128</v>
      </c>
      <c r="C49" s="110"/>
      <c r="D49" s="110"/>
      <c r="E49" s="111"/>
      <c r="F49" s="112"/>
      <c r="G49" s="113"/>
      <c r="H49" s="114"/>
    </row>
    <row r="50" spans="1:8" hidden="1" x14ac:dyDescent="0.4">
      <c r="A50" s="12" t="s">
        <v>129</v>
      </c>
      <c r="B50" s="12" t="s">
        <v>130</v>
      </c>
      <c r="C50" s="12"/>
      <c r="D50" s="12"/>
      <c r="E50" s="107"/>
      <c r="F50" s="77"/>
      <c r="G50" s="78"/>
      <c r="H50" s="109"/>
    </row>
    <row r="51" spans="1:8" hidden="1" x14ac:dyDescent="0.4">
      <c r="A51" s="12" t="s">
        <v>131</v>
      </c>
      <c r="B51" s="12" t="s">
        <v>132</v>
      </c>
      <c r="C51" s="12"/>
      <c r="D51" s="12"/>
      <c r="E51" s="107"/>
      <c r="F51" s="77"/>
      <c r="G51" s="78"/>
      <c r="H51" s="109"/>
    </row>
    <row r="52" spans="1:8" hidden="1" x14ac:dyDescent="0.4">
      <c r="A52" s="12" t="s">
        <v>133</v>
      </c>
      <c r="B52" s="12" t="s">
        <v>134</v>
      </c>
      <c r="C52" s="12"/>
      <c r="D52" s="12"/>
      <c r="E52" s="107"/>
      <c r="F52" s="77"/>
      <c r="G52" s="78"/>
      <c r="H52" s="109"/>
    </row>
    <row r="53" spans="1:8" hidden="1" x14ac:dyDescent="0.4">
      <c r="A53" s="12" t="s">
        <v>135</v>
      </c>
      <c r="B53" s="12" t="s">
        <v>136</v>
      </c>
      <c r="C53" s="12"/>
      <c r="D53" s="12"/>
      <c r="E53" s="107"/>
      <c r="F53" s="77"/>
      <c r="G53" s="78"/>
      <c r="H53" s="109"/>
    </row>
    <row r="54" spans="1:8" hidden="1" x14ac:dyDescent="0.4">
      <c r="A54" s="12" t="s">
        <v>137</v>
      </c>
      <c r="B54" s="12" t="s">
        <v>138</v>
      </c>
      <c r="C54" s="12"/>
      <c r="D54" s="12"/>
      <c r="E54" s="107"/>
      <c r="F54" s="77"/>
      <c r="G54" s="78"/>
      <c r="H54" s="109"/>
    </row>
    <row r="55" spans="1:8" hidden="1" x14ac:dyDescent="0.4">
      <c r="A55" s="12" t="s">
        <v>139</v>
      </c>
      <c r="B55" s="12" t="s">
        <v>140</v>
      </c>
      <c r="C55" s="12"/>
      <c r="D55" s="12"/>
      <c r="E55" s="107"/>
      <c r="F55" s="77"/>
      <c r="G55" s="78"/>
      <c r="H55" s="109"/>
    </row>
    <row r="56" spans="1:8" hidden="1" x14ac:dyDescent="0.4">
      <c r="A56" s="12"/>
      <c r="B56" s="12"/>
      <c r="C56" s="12"/>
      <c r="D56" s="12"/>
      <c r="E56" s="107"/>
      <c r="F56" s="77"/>
      <c r="G56" s="78"/>
      <c r="H56" s="109"/>
    </row>
    <row r="57" spans="1:8" ht="29.15" hidden="1" x14ac:dyDescent="0.4">
      <c r="A57" s="67" t="s">
        <v>141</v>
      </c>
      <c r="B57" s="115" t="s">
        <v>142</v>
      </c>
      <c r="C57" s="110"/>
      <c r="D57" s="110"/>
      <c r="E57" s="111"/>
      <c r="F57" s="112"/>
      <c r="G57" s="113"/>
      <c r="H57" s="114"/>
    </row>
    <row r="58" spans="1:8" hidden="1" x14ac:dyDescent="0.4">
      <c r="A58" s="12" t="s">
        <v>143</v>
      </c>
      <c r="B58" s="12" t="s">
        <v>144</v>
      </c>
      <c r="C58" s="12"/>
      <c r="D58" s="12"/>
      <c r="E58" s="107"/>
      <c r="F58" s="77"/>
      <c r="G58" s="78"/>
      <c r="H58" s="109"/>
    </row>
    <row r="59" spans="1:8" hidden="1" x14ac:dyDescent="0.4">
      <c r="A59" s="12" t="s">
        <v>145</v>
      </c>
      <c r="B59" s="12" t="s">
        <v>146</v>
      </c>
      <c r="C59" s="12"/>
      <c r="D59" s="12"/>
      <c r="E59" s="107"/>
      <c r="F59" s="77"/>
      <c r="G59" s="78"/>
      <c r="H59" s="109"/>
    </row>
    <row r="60" spans="1:8" hidden="1" x14ac:dyDescent="0.4">
      <c r="A60" s="12" t="s">
        <v>147</v>
      </c>
      <c r="B60" s="12" t="s">
        <v>148</v>
      </c>
      <c r="C60" s="12"/>
      <c r="D60" s="12"/>
      <c r="E60" s="107"/>
      <c r="F60" s="77"/>
      <c r="G60" s="78"/>
      <c r="H60" s="109"/>
    </row>
    <row r="61" spans="1:8" hidden="1" x14ac:dyDescent="0.4">
      <c r="A61" s="12" t="s">
        <v>149</v>
      </c>
      <c r="B61" s="12" t="s">
        <v>150</v>
      </c>
      <c r="C61" s="12"/>
      <c r="D61" s="12"/>
      <c r="E61" s="107"/>
      <c r="F61" s="77"/>
      <c r="G61" s="78"/>
      <c r="H61" s="109"/>
    </row>
    <row r="62" spans="1:8" hidden="1" x14ac:dyDescent="0.4">
      <c r="A62" s="12" t="s">
        <v>151</v>
      </c>
      <c r="B62" s="12" t="s">
        <v>152</v>
      </c>
      <c r="C62" s="12"/>
      <c r="D62" s="12"/>
      <c r="E62" s="107"/>
      <c r="F62" s="77"/>
      <c r="G62" s="78"/>
      <c r="H62" s="109"/>
    </row>
    <row r="63" spans="1:8" hidden="1" x14ac:dyDescent="0.4">
      <c r="A63" s="12" t="s">
        <v>153</v>
      </c>
      <c r="B63" s="12" t="s">
        <v>154</v>
      </c>
      <c r="C63" s="12"/>
      <c r="D63" s="12"/>
      <c r="E63" s="107"/>
      <c r="F63" s="77"/>
      <c r="G63" s="78"/>
      <c r="H63" s="109"/>
    </row>
    <row r="64" spans="1:8" hidden="1" x14ac:dyDescent="0.4">
      <c r="A64" s="12" t="s">
        <v>155</v>
      </c>
      <c r="B64" s="12" t="s">
        <v>156</v>
      </c>
      <c r="C64" s="12"/>
      <c r="D64" s="12"/>
      <c r="E64" s="107"/>
      <c r="F64" s="77"/>
      <c r="G64" s="78"/>
      <c r="H64" s="109"/>
    </row>
    <row r="65" spans="1:8" hidden="1" x14ac:dyDescent="0.4">
      <c r="A65" s="12"/>
      <c r="B65" s="12"/>
      <c r="C65" s="12"/>
      <c r="D65" s="12"/>
      <c r="E65" s="107"/>
      <c r="F65" s="77"/>
      <c r="G65" s="78"/>
      <c r="H65" s="109"/>
    </row>
    <row r="66" spans="1:8" ht="29.15" hidden="1" x14ac:dyDescent="0.4">
      <c r="A66" s="67" t="s">
        <v>157</v>
      </c>
      <c r="B66" s="79" t="s">
        <v>158</v>
      </c>
      <c r="C66" s="110"/>
      <c r="D66" s="110"/>
      <c r="E66" s="111"/>
      <c r="F66" s="112"/>
      <c r="G66" s="113"/>
      <c r="H66" s="114"/>
    </row>
    <row r="67" spans="1:8" hidden="1" x14ac:dyDescent="0.4">
      <c r="A67" s="12" t="s">
        <v>159</v>
      </c>
      <c r="B67" s="12" t="s">
        <v>160</v>
      </c>
      <c r="C67" s="12"/>
      <c r="D67" s="12"/>
      <c r="E67" s="107"/>
      <c r="F67" s="77"/>
      <c r="G67" s="78"/>
      <c r="H67" s="109"/>
    </row>
    <row r="68" spans="1:8" hidden="1" x14ac:dyDescent="0.4">
      <c r="A68" s="12" t="s">
        <v>161</v>
      </c>
      <c r="B68" s="12" t="s">
        <v>162</v>
      </c>
      <c r="C68" s="12"/>
      <c r="D68" s="12"/>
      <c r="E68" s="107"/>
      <c r="F68" s="77"/>
      <c r="G68" s="78"/>
      <c r="H68" s="109"/>
    </row>
    <row r="69" spans="1:8" hidden="1" x14ac:dyDescent="0.4">
      <c r="A69" s="12" t="s">
        <v>163</v>
      </c>
      <c r="B69" s="12" t="s">
        <v>164</v>
      </c>
      <c r="C69" s="12"/>
      <c r="D69" s="12"/>
      <c r="E69" s="107"/>
      <c r="F69" s="77"/>
      <c r="G69" s="78"/>
      <c r="H69" s="109"/>
    </row>
    <row r="70" spans="1:8" hidden="1" x14ac:dyDescent="0.4">
      <c r="A70" s="12" t="s">
        <v>165</v>
      </c>
      <c r="B70" s="12" t="s">
        <v>166</v>
      </c>
      <c r="C70" s="12"/>
      <c r="D70" s="12"/>
      <c r="E70" s="107"/>
      <c r="F70" s="77"/>
      <c r="G70" s="78"/>
      <c r="H70" s="109"/>
    </row>
    <row r="71" spans="1:8" hidden="1" x14ac:dyDescent="0.4">
      <c r="A71" s="12" t="s">
        <v>167</v>
      </c>
      <c r="B71" s="12" t="s">
        <v>168</v>
      </c>
      <c r="C71" s="12"/>
      <c r="D71" s="12"/>
      <c r="E71" s="107"/>
      <c r="F71" s="77"/>
      <c r="G71" s="78"/>
      <c r="H71" s="109"/>
    </row>
    <row r="72" spans="1:8" hidden="1" x14ac:dyDescent="0.4">
      <c r="A72" s="12" t="s">
        <v>169</v>
      </c>
      <c r="B72" s="12" t="s">
        <v>170</v>
      </c>
      <c r="C72" s="12"/>
      <c r="D72" s="12"/>
      <c r="E72" s="107"/>
      <c r="F72" s="77"/>
      <c r="G72" s="78"/>
      <c r="H72" s="109"/>
    </row>
    <row r="73" spans="1:8" hidden="1" x14ac:dyDescent="0.4">
      <c r="A73" s="12" t="s">
        <v>171</v>
      </c>
      <c r="B73" s="12" t="s">
        <v>172</v>
      </c>
      <c r="C73" s="12"/>
      <c r="D73" s="12"/>
      <c r="E73" s="107"/>
      <c r="F73" s="77"/>
      <c r="G73" s="78"/>
      <c r="H73" s="109"/>
    </row>
    <row r="74" spans="1:8" hidden="1" x14ac:dyDescent="0.4">
      <c r="A74" s="110"/>
      <c r="B74" s="12"/>
      <c r="C74" s="12"/>
      <c r="D74" s="12"/>
      <c r="E74" s="107"/>
      <c r="F74" s="77"/>
      <c r="G74" s="78"/>
      <c r="H74" s="109"/>
    </row>
    <row r="75" spans="1:8" ht="29.15" hidden="1" x14ac:dyDescent="0.4">
      <c r="A75" s="67" t="s">
        <v>173</v>
      </c>
      <c r="B75" s="115" t="s">
        <v>174</v>
      </c>
      <c r="C75" s="110"/>
      <c r="D75" s="110"/>
      <c r="E75" s="111"/>
      <c r="F75" s="112"/>
      <c r="G75" s="113"/>
      <c r="H75" s="114"/>
    </row>
    <row r="76" spans="1:8" hidden="1" x14ac:dyDescent="0.4">
      <c r="A76" s="12" t="s">
        <v>175</v>
      </c>
      <c r="B76" s="12" t="s">
        <v>176</v>
      </c>
      <c r="C76" s="12"/>
      <c r="D76" s="12"/>
      <c r="E76" s="107"/>
      <c r="F76" s="77"/>
      <c r="G76" s="78"/>
      <c r="H76" s="109"/>
    </row>
    <row r="77" spans="1:8" hidden="1" x14ac:dyDescent="0.4">
      <c r="A77" s="12" t="s">
        <v>177</v>
      </c>
      <c r="B77" s="12" t="s">
        <v>178</v>
      </c>
      <c r="C77" s="12"/>
      <c r="D77" s="12"/>
      <c r="E77" s="107"/>
      <c r="F77" s="77"/>
      <c r="G77" s="78"/>
      <c r="H77" s="109"/>
    </row>
    <row r="78" spans="1:8" hidden="1" x14ac:dyDescent="0.4">
      <c r="A78" s="12" t="s">
        <v>179</v>
      </c>
      <c r="B78" s="12" t="s">
        <v>180</v>
      </c>
      <c r="C78" s="12"/>
      <c r="D78" s="12"/>
      <c r="E78" s="107"/>
      <c r="F78" s="77"/>
      <c r="G78" s="78"/>
      <c r="H78" s="109"/>
    </row>
    <row r="79" spans="1:8" hidden="1" x14ac:dyDescent="0.4">
      <c r="A79" s="12" t="s">
        <v>181</v>
      </c>
      <c r="B79" s="12" t="s">
        <v>182</v>
      </c>
      <c r="C79" s="12"/>
      <c r="D79" s="12"/>
      <c r="E79" s="107"/>
      <c r="F79" s="77"/>
      <c r="G79" s="78"/>
      <c r="H79" s="109"/>
    </row>
    <row r="80" spans="1:8" hidden="1" x14ac:dyDescent="0.4">
      <c r="A80" s="12"/>
      <c r="B80" s="116" t="s">
        <v>183</v>
      </c>
      <c r="C80" s="12"/>
      <c r="D80" s="12"/>
      <c r="E80" s="107"/>
      <c r="F80" s="77"/>
      <c r="G80" s="78"/>
      <c r="H80" s="109"/>
    </row>
    <row r="81" spans="1:8" hidden="1" x14ac:dyDescent="0.4">
      <c r="A81" s="12"/>
      <c r="B81" s="12"/>
      <c r="C81" s="12"/>
      <c r="D81" s="12"/>
      <c r="E81" s="107"/>
      <c r="F81" s="77"/>
      <c r="G81" s="78"/>
      <c r="H81" s="109"/>
    </row>
    <row r="82" spans="1:8" ht="29.15" hidden="1" x14ac:dyDescent="0.4">
      <c r="A82" s="67" t="s">
        <v>184</v>
      </c>
      <c r="B82" s="115" t="s">
        <v>185</v>
      </c>
      <c r="C82" s="110"/>
      <c r="D82" s="110"/>
      <c r="E82" s="111"/>
      <c r="F82" s="112"/>
      <c r="G82" s="113"/>
      <c r="H82" s="114"/>
    </row>
    <row r="83" spans="1:8" hidden="1" x14ac:dyDescent="0.4">
      <c r="A83" s="12" t="s">
        <v>186</v>
      </c>
      <c r="B83" s="12" t="s">
        <v>187</v>
      </c>
      <c r="C83" s="12"/>
      <c r="D83" s="12"/>
      <c r="E83" s="107"/>
      <c r="F83" s="77"/>
      <c r="G83" s="78"/>
      <c r="H83" s="109"/>
    </row>
    <row r="84" spans="1:8" hidden="1" x14ac:dyDescent="0.4">
      <c r="A84" s="12" t="s">
        <v>188</v>
      </c>
      <c r="B84" s="12" t="s">
        <v>189</v>
      </c>
      <c r="C84" s="12"/>
      <c r="D84" s="12"/>
      <c r="E84" s="107"/>
      <c r="F84" s="77"/>
      <c r="G84" s="78"/>
      <c r="H84" s="109"/>
    </row>
    <row r="85" spans="1:8" hidden="1" x14ac:dyDescent="0.4">
      <c r="A85" s="12" t="s">
        <v>190</v>
      </c>
      <c r="B85" s="12" t="s">
        <v>191</v>
      </c>
      <c r="C85" s="12"/>
      <c r="D85" s="12"/>
      <c r="E85" s="107"/>
      <c r="F85" s="77"/>
      <c r="G85" s="78"/>
      <c r="H85" s="109"/>
    </row>
    <row r="86" spans="1:8" hidden="1" x14ac:dyDescent="0.4">
      <c r="A86" s="12" t="s">
        <v>192</v>
      </c>
      <c r="B86" s="12" t="s">
        <v>193</v>
      </c>
      <c r="C86" s="12"/>
      <c r="D86" s="12"/>
      <c r="E86" s="107"/>
      <c r="F86" s="77"/>
      <c r="G86" s="78"/>
      <c r="H86" s="109"/>
    </row>
    <row r="87" spans="1:8" hidden="1" x14ac:dyDescent="0.4">
      <c r="A87" s="117"/>
      <c r="B87" s="118" t="s">
        <v>194</v>
      </c>
      <c r="C87" s="12"/>
      <c r="D87" s="12"/>
      <c r="E87" s="107"/>
      <c r="F87" s="77"/>
      <c r="G87" s="78"/>
      <c r="H87" s="109"/>
    </row>
    <row r="88" spans="1:8" hidden="1" x14ac:dyDescent="0.4">
      <c r="A88" s="12"/>
      <c r="B88" s="116" t="s">
        <v>195</v>
      </c>
      <c r="C88" s="12"/>
      <c r="D88" s="12"/>
      <c r="E88" s="107"/>
      <c r="F88" s="77"/>
      <c r="G88" s="78"/>
      <c r="H88" s="109"/>
    </row>
    <row r="89" spans="1:8" x14ac:dyDescent="0.4">
      <c r="A89" s="12"/>
      <c r="B89" s="119"/>
      <c r="C89" s="120"/>
      <c r="D89" s="120"/>
      <c r="E89" s="121"/>
      <c r="F89" s="122"/>
      <c r="G89" s="113"/>
      <c r="H89" s="123"/>
    </row>
    <row r="90" spans="1:8" x14ac:dyDescent="0.4">
      <c r="A90" s="117"/>
      <c r="B90" s="12"/>
      <c r="C90" s="12"/>
      <c r="D90" s="12"/>
      <c r="E90" s="107"/>
      <c r="F90" s="77"/>
      <c r="G90" s="78"/>
      <c r="H90" s="109"/>
    </row>
    <row r="91" spans="1:8" x14ac:dyDescent="0.4">
      <c r="A91" s="289"/>
      <c r="B91" s="290"/>
      <c r="C91" s="12"/>
      <c r="D91" s="12"/>
      <c r="E91" s="107"/>
      <c r="F91" s="77"/>
      <c r="G91" s="78"/>
      <c r="H91" s="109"/>
    </row>
  </sheetData>
  <sheetProtection password="C845" sheet="1" objects="1" scenarios="1"/>
  <mergeCells count="5">
    <mergeCell ref="A3:E3"/>
    <mergeCell ref="F4:H4"/>
    <mergeCell ref="F8:H8"/>
    <mergeCell ref="A20:B20"/>
    <mergeCell ref="A91:B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70" zoomScaleNormal="70" workbookViewId="0">
      <selection activeCell="F8" sqref="F8"/>
    </sheetView>
  </sheetViews>
  <sheetFormatPr defaultRowHeight="14.6" x14ac:dyDescent="0.4"/>
  <cols>
    <col min="2" max="2" width="40.3046875" customWidth="1"/>
    <col min="3" max="3" width="10.84375"/>
    <col min="4" max="4" width="12.53515625" customWidth="1"/>
    <col min="5" max="6" width="18" customWidth="1"/>
    <col min="7" max="7" width="11" style="192"/>
    <col min="8" max="8" width="14.69140625" customWidth="1"/>
    <col min="9" max="9" width="18" hidden="1" customWidth="1"/>
    <col min="10" max="10" width="0" style="193" hidden="1" customWidth="1"/>
    <col min="11" max="11" width="14.69140625" hidden="1" customWidth="1"/>
  </cols>
  <sheetData>
    <row r="1" spans="1:11" ht="15.9" x14ac:dyDescent="0.45">
      <c r="A1" s="59" t="s">
        <v>197</v>
      </c>
      <c r="B1" s="59"/>
      <c r="C1" s="59"/>
      <c r="D1" s="59"/>
      <c r="E1" s="59"/>
      <c r="F1" s="59"/>
      <c r="G1" s="141"/>
      <c r="H1" s="59"/>
      <c r="I1" s="142"/>
      <c r="J1" s="143"/>
      <c r="K1" s="142"/>
    </row>
    <row r="2" spans="1:11" ht="15.9" x14ac:dyDescent="0.45">
      <c r="A2" s="92"/>
      <c r="B2" s="92"/>
      <c r="C2" s="92"/>
      <c r="D2" s="92"/>
      <c r="E2" s="92"/>
      <c r="F2" s="92"/>
      <c r="G2" s="144"/>
      <c r="H2" s="92"/>
      <c r="I2" s="93"/>
      <c r="J2" s="145"/>
      <c r="K2" s="93"/>
    </row>
    <row r="3" spans="1:11" x14ac:dyDescent="0.4">
      <c r="A3" s="146" t="s">
        <v>198</v>
      </c>
      <c r="B3" s="146"/>
      <c r="C3" s="147"/>
      <c r="D3" s="147"/>
      <c r="E3" s="147"/>
      <c r="F3" s="147"/>
      <c r="G3" s="148"/>
      <c r="H3" s="147"/>
      <c r="I3" s="149"/>
      <c r="J3" s="149"/>
      <c r="K3" s="149"/>
    </row>
    <row r="4" spans="1:11" x14ac:dyDescent="0.4">
      <c r="A4" s="12"/>
      <c r="B4" s="12"/>
      <c r="C4" s="12"/>
      <c r="D4" s="12"/>
      <c r="E4" s="12"/>
      <c r="F4" s="12"/>
      <c r="G4" s="150"/>
      <c r="H4" s="12"/>
      <c r="I4" s="77"/>
      <c r="J4" s="151"/>
      <c r="K4" s="77"/>
    </row>
    <row r="5" spans="1:11" ht="15.9" x14ac:dyDescent="0.45">
      <c r="A5" s="59" t="s">
        <v>59</v>
      </c>
      <c r="B5" s="59" t="s">
        <v>199</v>
      </c>
      <c r="C5" s="59"/>
      <c r="D5" s="59"/>
      <c r="E5" s="59"/>
      <c r="F5" s="59"/>
      <c r="G5" s="141"/>
      <c r="H5" s="152"/>
      <c r="I5" s="142"/>
      <c r="J5" s="143"/>
      <c r="K5" s="153"/>
    </row>
    <row r="6" spans="1:11" x14ac:dyDescent="0.4">
      <c r="A6" s="67" t="s">
        <v>59</v>
      </c>
      <c r="B6" s="67" t="s">
        <v>200</v>
      </c>
      <c r="C6" s="154" t="s">
        <v>201</v>
      </c>
      <c r="D6" s="154" t="s">
        <v>202</v>
      </c>
      <c r="E6" s="154" t="s">
        <v>203</v>
      </c>
      <c r="F6" s="154" t="s">
        <v>204</v>
      </c>
      <c r="G6" s="155" t="s">
        <v>66</v>
      </c>
      <c r="H6" s="156" t="s">
        <v>205</v>
      </c>
      <c r="I6" s="157" t="s">
        <v>204</v>
      </c>
      <c r="J6" s="158" t="s">
        <v>66</v>
      </c>
      <c r="K6" s="159" t="s">
        <v>205</v>
      </c>
    </row>
    <row r="7" spans="1:11" x14ac:dyDescent="0.4">
      <c r="A7" s="12" t="s">
        <v>206</v>
      </c>
      <c r="B7" s="12" t="s">
        <v>207</v>
      </c>
      <c r="C7" s="160">
        <v>8</v>
      </c>
      <c r="D7" s="160">
        <f>C7*16</f>
        <v>128</v>
      </c>
      <c r="E7" s="160">
        <v>4</v>
      </c>
      <c r="F7" s="160">
        <f>+I7</f>
        <v>512</v>
      </c>
      <c r="G7" s="161">
        <v>0</v>
      </c>
      <c r="H7" s="162">
        <f>F7*G7</f>
        <v>0</v>
      </c>
      <c r="I7" s="163">
        <f>D7*E7</f>
        <v>512</v>
      </c>
      <c r="J7" s="164">
        <f>6+(6*0.07)</f>
        <v>6.42</v>
      </c>
      <c r="K7" s="165">
        <f>I7*J7</f>
        <v>3287.04</v>
      </c>
    </row>
    <row r="8" spans="1:11" x14ac:dyDescent="0.4">
      <c r="A8" s="12" t="s">
        <v>206</v>
      </c>
      <c r="B8" s="12" t="s">
        <v>208</v>
      </c>
      <c r="C8" s="160">
        <v>4</v>
      </c>
      <c r="D8" s="160">
        <f t="shared" ref="D8:D14" si="0">C8*16</f>
        <v>64</v>
      </c>
      <c r="E8" s="160">
        <v>4</v>
      </c>
      <c r="F8" s="160">
        <f t="shared" ref="F8:F14" si="1">+I8</f>
        <v>256</v>
      </c>
      <c r="G8" s="161">
        <v>0</v>
      </c>
      <c r="H8" s="162">
        <f t="shared" ref="H8:H14" si="2">F8*G8</f>
        <v>0</v>
      </c>
      <c r="I8" s="163">
        <f t="shared" ref="I8:I14" si="3">D8*E8</f>
        <v>256</v>
      </c>
      <c r="J8" s="164">
        <f>8+(8*0.07)</f>
        <v>8.56</v>
      </c>
      <c r="K8" s="165">
        <f t="shared" ref="K8:K14" si="4">I8*J8</f>
        <v>2191.36</v>
      </c>
    </row>
    <row r="9" spans="1:11" x14ac:dyDescent="0.4">
      <c r="A9" s="12" t="s">
        <v>206</v>
      </c>
      <c r="B9" s="12" t="s">
        <v>209</v>
      </c>
      <c r="C9" s="160">
        <v>6</v>
      </c>
      <c r="D9" s="160">
        <f t="shared" si="0"/>
        <v>96</v>
      </c>
      <c r="E9" s="160">
        <v>4</v>
      </c>
      <c r="F9" s="160">
        <f t="shared" si="1"/>
        <v>384</v>
      </c>
      <c r="G9" s="161">
        <v>0</v>
      </c>
      <c r="H9" s="162">
        <f t="shared" si="2"/>
        <v>0</v>
      </c>
      <c r="I9" s="163">
        <f t="shared" si="3"/>
        <v>384</v>
      </c>
      <c r="J9" s="164">
        <f>6+(6*0.07)</f>
        <v>6.42</v>
      </c>
      <c r="K9" s="165">
        <f t="shared" si="4"/>
        <v>2465.2799999999997</v>
      </c>
    </row>
    <row r="10" spans="1:11" x14ac:dyDescent="0.4">
      <c r="A10" s="12" t="s">
        <v>206</v>
      </c>
      <c r="B10" s="12" t="s">
        <v>210</v>
      </c>
      <c r="C10" s="160">
        <v>2</v>
      </c>
      <c r="D10" s="160">
        <f t="shared" si="0"/>
        <v>32</v>
      </c>
      <c r="E10" s="160">
        <v>4</v>
      </c>
      <c r="F10" s="160">
        <f t="shared" si="1"/>
        <v>128</v>
      </c>
      <c r="G10" s="161">
        <v>0</v>
      </c>
      <c r="H10" s="162">
        <f t="shared" si="2"/>
        <v>0</v>
      </c>
      <c r="I10" s="163">
        <f t="shared" si="3"/>
        <v>128</v>
      </c>
      <c r="J10" s="164">
        <f>5+(5*0.07)</f>
        <v>5.35</v>
      </c>
      <c r="K10" s="165">
        <f t="shared" si="4"/>
        <v>684.8</v>
      </c>
    </row>
    <row r="11" spans="1:11" x14ac:dyDescent="0.4">
      <c r="A11" s="12" t="s">
        <v>211</v>
      </c>
      <c r="B11" s="12" t="s">
        <v>212</v>
      </c>
      <c r="C11" s="160">
        <v>4</v>
      </c>
      <c r="D11" s="160">
        <f t="shared" si="0"/>
        <v>64</v>
      </c>
      <c r="E11" s="160">
        <v>1</v>
      </c>
      <c r="F11" s="160">
        <f t="shared" si="1"/>
        <v>64</v>
      </c>
      <c r="G11" s="161">
        <v>0</v>
      </c>
      <c r="H11" s="162">
        <f t="shared" si="2"/>
        <v>0</v>
      </c>
      <c r="I11" s="163">
        <f t="shared" si="3"/>
        <v>64</v>
      </c>
      <c r="J11" s="164">
        <f>50+(50*0.07)</f>
        <v>53.5</v>
      </c>
      <c r="K11" s="165">
        <f t="shared" si="4"/>
        <v>3424</v>
      </c>
    </row>
    <row r="12" spans="1:11" x14ac:dyDescent="0.4">
      <c r="A12" s="12" t="s">
        <v>211</v>
      </c>
      <c r="B12" s="12" t="s">
        <v>213</v>
      </c>
      <c r="C12" s="160">
        <v>6</v>
      </c>
      <c r="D12" s="160">
        <f t="shared" si="0"/>
        <v>96</v>
      </c>
      <c r="E12" s="160">
        <v>1</v>
      </c>
      <c r="F12" s="160">
        <f t="shared" si="1"/>
        <v>96</v>
      </c>
      <c r="G12" s="161">
        <v>0</v>
      </c>
      <c r="H12" s="162">
        <f t="shared" si="2"/>
        <v>0</v>
      </c>
      <c r="I12" s="163">
        <f t="shared" si="3"/>
        <v>96</v>
      </c>
      <c r="J12" s="164">
        <f>30+(30*0.07)</f>
        <v>32.1</v>
      </c>
      <c r="K12" s="165">
        <f t="shared" si="4"/>
        <v>3081.6000000000004</v>
      </c>
    </row>
    <row r="13" spans="1:11" x14ac:dyDescent="0.4">
      <c r="A13" s="12" t="s">
        <v>211</v>
      </c>
      <c r="B13" s="12" t="s">
        <v>214</v>
      </c>
      <c r="C13" s="160">
        <v>2</v>
      </c>
      <c r="D13" s="160">
        <f t="shared" si="0"/>
        <v>32</v>
      </c>
      <c r="E13" s="160">
        <v>1</v>
      </c>
      <c r="F13" s="160">
        <f t="shared" si="1"/>
        <v>32</v>
      </c>
      <c r="G13" s="161">
        <v>0</v>
      </c>
      <c r="H13" s="162">
        <f t="shared" si="2"/>
        <v>0</v>
      </c>
      <c r="I13" s="163">
        <f t="shared" si="3"/>
        <v>32</v>
      </c>
      <c r="J13" s="164">
        <f>15+(15*0.07)</f>
        <v>16.05</v>
      </c>
      <c r="K13" s="165">
        <f t="shared" si="4"/>
        <v>513.6</v>
      </c>
    </row>
    <row r="14" spans="1:11" x14ac:dyDescent="0.4">
      <c r="A14" s="12" t="s">
        <v>211</v>
      </c>
      <c r="B14" s="12" t="s">
        <v>215</v>
      </c>
      <c r="C14" s="160">
        <v>4</v>
      </c>
      <c r="D14" s="160">
        <f t="shared" si="0"/>
        <v>64</v>
      </c>
      <c r="E14" s="160">
        <v>1</v>
      </c>
      <c r="F14" s="160">
        <f t="shared" si="1"/>
        <v>64</v>
      </c>
      <c r="G14" s="161">
        <v>0</v>
      </c>
      <c r="H14" s="162">
        <f t="shared" si="2"/>
        <v>0</v>
      </c>
      <c r="I14" s="163">
        <f t="shared" si="3"/>
        <v>64</v>
      </c>
      <c r="J14" s="164">
        <f>32+(32*0.07)</f>
        <v>34.24</v>
      </c>
      <c r="K14" s="165">
        <f t="shared" si="4"/>
        <v>2191.36</v>
      </c>
    </row>
    <row r="15" spans="1:11" x14ac:dyDescent="0.4">
      <c r="A15" s="96"/>
      <c r="B15" s="96"/>
      <c r="C15" s="12"/>
      <c r="D15" s="12"/>
      <c r="E15" s="12"/>
      <c r="F15" s="12"/>
      <c r="G15" s="150"/>
      <c r="H15" s="111"/>
      <c r="I15" s="77"/>
      <c r="J15" s="166"/>
      <c r="K15" s="114"/>
    </row>
    <row r="16" spans="1:11" x14ac:dyDescent="0.4">
      <c r="A16" s="12"/>
      <c r="B16" s="12"/>
      <c r="C16" s="12"/>
      <c r="D16" s="12"/>
      <c r="E16" s="12"/>
      <c r="F16" s="12"/>
      <c r="G16" s="150"/>
      <c r="H16" s="12"/>
      <c r="I16" s="77"/>
      <c r="J16" s="166"/>
      <c r="K16" s="77"/>
    </row>
    <row r="17" spans="1:11" x14ac:dyDescent="0.4">
      <c r="A17" s="67" t="s">
        <v>59</v>
      </c>
      <c r="B17" s="67" t="s">
        <v>216</v>
      </c>
      <c r="C17" s="154" t="s">
        <v>201</v>
      </c>
      <c r="D17" s="154" t="s">
        <v>217</v>
      </c>
      <c r="E17" s="154" t="s">
        <v>203</v>
      </c>
      <c r="F17" s="154" t="s">
        <v>204</v>
      </c>
      <c r="G17" s="155" t="s">
        <v>66</v>
      </c>
      <c r="H17" s="156" t="s">
        <v>205</v>
      </c>
      <c r="I17" s="157" t="s">
        <v>204</v>
      </c>
      <c r="J17" s="167" t="s">
        <v>66</v>
      </c>
      <c r="K17" s="159" t="s">
        <v>205</v>
      </c>
    </row>
    <row r="18" spans="1:11" x14ac:dyDescent="0.4">
      <c r="A18" s="12" t="s">
        <v>206</v>
      </c>
      <c r="B18" s="12" t="s">
        <v>218</v>
      </c>
      <c r="C18" s="160">
        <v>16</v>
      </c>
      <c r="D18" s="160">
        <v>32</v>
      </c>
      <c r="E18" s="160">
        <v>2</v>
      </c>
      <c r="F18" s="160">
        <f>+I18</f>
        <v>64</v>
      </c>
      <c r="G18" s="161">
        <v>0</v>
      </c>
      <c r="H18" s="162">
        <f>F18*G18</f>
        <v>0</v>
      </c>
      <c r="I18" s="163">
        <f>D18*E18</f>
        <v>64</v>
      </c>
      <c r="J18" s="164">
        <f>5.8+(5.8*0.07)</f>
        <v>6.2059999999999995</v>
      </c>
      <c r="K18" s="165">
        <f>I18*J18</f>
        <v>397.18399999999997</v>
      </c>
    </row>
    <row r="19" spans="1:11" x14ac:dyDescent="0.4">
      <c r="A19" s="12" t="s">
        <v>206</v>
      </c>
      <c r="B19" s="12" t="s">
        <v>219</v>
      </c>
      <c r="C19" s="160">
        <v>16</v>
      </c>
      <c r="D19" s="160">
        <v>32</v>
      </c>
      <c r="E19" s="160">
        <v>2</v>
      </c>
      <c r="F19" s="160">
        <f t="shared" ref="F19:F23" si="5">+I19</f>
        <v>64</v>
      </c>
      <c r="G19" s="161">
        <v>0</v>
      </c>
      <c r="H19" s="162">
        <f t="shared" ref="H19:H23" si="6">F19*G19</f>
        <v>0</v>
      </c>
      <c r="I19" s="163">
        <f t="shared" ref="I19:I23" si="7">D19*E19</f>
        <v>64</v>
      </c>
      <c r="J19" s="164">
        <f>5+(5*0.07)</f>
        <v>5.35</v>
      </c>
      <c r="K19" s="165">
        <f t="shared" ref="K19:K23" si="8">I19*J19</f>
        <v>342.4</v>
      </c>
    </row>
    <row r="20" spans="1:11" x14ac:dyDescent="0.4">
      <c r="A20" s="12" t="s">
        <v>211</v>
      </c>
      <c r="B20" s="12" t="s">
        <v>212</v>
      </c>
      <c r="C20" s="160">
        <v>8</v>
      </c>
      <c r="D20" s="160">
        <v>16</v>
      </c>
      <c r="E20" s="160">
        <v>1</v>
      </c>
      <c r="F20" s="160">
        <f t="shared" si="5"/>
        <v>16</v>
      </c>
      <c r="G20" s="161">
        <v>0</v>
      </c>
      <c r="H20" s="162">
        <f t="shared" si="6"/>
        <v>0</v>
      </c>
      <c r="I20" s="163">
        <f t="shared" si="7"/>
        <v>16</v>
      </c>
      <c r="J20" s="164">
        <f>25+(25*0.07)</f>
        <v>26.75</v>
      </c>
      <c r="K20" s="165">
        <f t="shared" si="8"/>
        <v>428</v>
      </c>
    </row>
    <row r="21" spans="1:11" x14ac:dyDescent="0.4">
      <c r="A21" s="12" t="s">
        <v>211</v>
      </c>
      <c r="B21" s="12" t="s">
        <v>213</v>
      </c>
      <c r="C21" s="160">
        <v>8</v>
      </c>
      <c r="D21" s="160">
        <v>16</v>
      </c>
      <c r="E21" s="160">
        <v>1</v>
      </c>
      <c r="F21" s="160">
        <f t="shared" si="5"/>
        <v>16</v>
      </c>
      <c r="G21" s="161">
        <v>0</v>
      </c>
      <c r="H21" s="162">
        <f t="shared" si="6"/>
        <v>0</v>
      </c>
      <c r="I21" s="163">
        <f t="shared" si="7"/>
        <v>16</v>
      </c>
      <c r="J21" s="164">
        <f>20+(20*0.07)</f>
        <v>21.4</v>
      </c>
      <c r="K21" s="165">
        <f>(I21*J21)</f>
        <v>342.4</v>
      </c>
    </row>
    <row r="22" spans="1:11" x14ac:dyDescent="0.4">
      <c r="A22" s="12" t="s">
        <v>211</v>
      </c>
      <c r="B22" s="12" t="s">
        <v>214</v>
      </c>
      <c r="C22" s="160">
        <v>16</v>
      </c>
      <c r="D22" s="160">
        <v>32</v>
      </c>
      <c r="E22" s="160">
        <v>1</v>
      </c>
      <c r="F22" s="160">
        <f t="shared" si="5"/>
        <v>32</v>
      </c>
      <c r="G22" s="161">
        <v>0</v>
      </c>
      <c r="H22" s="162">
        <f t="shared" si="6"/>
        <v>0</v>
      </c>
      <c r="I22" s="163">
        <f t="shared" si="7"/>
        <v>32</v>
      </c>
      <c r="J22" s="164">
        <f>25+(25*0.07)</f>
        <v>26.75</v>
      </c>
      <c r="K22" s="165">
        <f t="shared" si="8"/>
        <v>856</v>
      </c>
    </row>
    <row r="23" spans="1:11" x14ac:dyDescent="0.4">
      <c r="A23" s="12" t="s">
        <v>211</v>
      </c>
      <c r="B23" s="12" t="s">
        <v>215</v>
      </c>
      <c r="C23" s="160">
        <v>16</v>
      </c>
      <c r="D23" s="160">
        <v>32</v>
      </c>
      <c r="E23" s="160">
        <v>1</v>
      </c>
      <c r="F23" s="160">
        <f t="shared" si="5"/>
        <v>32</v>
      </c>
      <c r="G23" s="161">
        <v>0</v>
      </c>
      <c r="H23" s="162">
        <f t="shared" si="6"/>
        <v>0</v>
      </c>
      <c r="I23" s="163">
        <f t="shared" si="7"/>
        <v>32</v>
      </c>
      <c r="J23" s="164">
        <f>20+(20*0.07)</f>
        <v>21.4</v>
      </c>
      <c r="K23" s="165">
        <f t="shared" si="8"/>
        <v>684.8</v>
      </c>
    </row>
    <row r="24" spans="1:11" x14ac:dyDescent="0.4">
      <c r="A24" s="12"/>
      <c r="B24" s="12"/>
      <c r="C24" s="12"/>
      <c r="D24" s="12"/>
      <c r="E24" s="12"/>
      <c r="F24" s="12"/>
      <c r="G24" s="150"/>
      <c r="H24" s="111"/>
      <c r="I24" s="77"/>
      <c r="J24" s="166"/>
      <c r="K24" s="114"/>
    </row>
    <row r="25" spans="1:11" x14ac:dyDescent="0.4">
      <c r="A25" s="67" t="s">
        <v>59</v>
      </c>
      <c r="B25" s="67" t="s">
        <v>216</v>
      </c>
      <c r="C25" s="67"/>
      <c r="D25" s="67"/>
      <c r="E25" s="67"/>
      <c r="F25" s="67"/>
      <c r="G25" s="155" t="s">
        <v>220</v>
      </c>
      <c r="H25" s="67" t="s">
        <v>205</v>
      </c>
      <c r="I25" s="168"/>
      <c r="J25" s="167" t="s">
        <v>220</v>
      </c>
      <c r="K25" s="168" t="s">
        <v>205</v>
      </c>
    </row>
    <row r="26" spans="1:11" x14ac:dyDescent="0.4">
      <c r="A26" s="12" t="s">
        <v>206</v>
      </c>
      <c r="B26" s="12" t="s">
        <v>221</v>
      </c>
      <c r="C26" s="12"/>
      <c r="D26" s="12"/>
      <c r="E26" s="12"/>
      <c r="F26" s="160">
        <v>10</v>
      </c>
      <c r="G26" s="161">
        <v>0</v>
      </c>
      <c r="H26" s="111">
        <f>F26*G26</f>
        <v>0</v>
      </c>
      <c r="I26" s="163">
        <v>10</v>
      </c>
      <c r="J26" s="164">
        <f>100+(100*0.07)</f>
        <v>107</v>
      </c>
      <c r="K26" s="114">
        <f>I26*J26</f>
        <v>1070</v>
      </c>
    </row>
    <row r="27" spans="1:11" x14ac:dyDescent="0.4">
      <c r="A27" s="12"/>
      <c r="B27" s="12"/>
      <c r="C27" s="12"/>
      <c r="D27" s="12"/>
      <c r="E27" s="12"/>
      <c r="F27" s="12"/>
      <c r="G27" s="150"/>
      <c r="H27" s="111"/>
      <c r="I27" s="77"/>
      <c r="J27" s="166"/>
      <c r="K27" s="114"/>
    </row>
    <row r="28" spans="1:11" x14ac:dyDescent="0.4">
      <c r="A28" s="67" t="s">
        <v>59</v>
      </c>
      <c r="B28" s="67" t="s">
        <v>222</v>
      </c>
      <c r="C28" s="67"/>
      <c r="D28" s="67"/>
      <c r="E28" s="67"/>
      <c r="F28" s="67"/>
      <c r="G28" s="155" t="s">
        <v>220</v>
      </c>
      <c r="H28" s="67" t="s">
        <v>205</v>
      </c>
      <c r="I28" s="168"/>
      <c r="J28" s="167" t="s">
        <v>220</v>
      </c>
      <c r="K28" s="168" t="s">
        <v>205</v>
      </c>
    </row>
    <row r="29" spans="1:11" x14ac:dyDescent="0.4">
      <c r="A29" s="169" t="s">
        <v>206</v>
      </c>
      <c r="B29" s="169" t="s">
        <v>223</v>
      </c>
      <c r="C29" s="12"/>
      <c r="D29" s="12"/>
      <c r="E29" s="160">
        <v>2</v>
      </c>
      <c r="F29" s="160">
        <v>10</v>
      </c>
      <c r="G29" s="161">
        <v>0</v>
      </c>
      <c r="H29" s="111">
        <f>F29*G29</f>
        <v>0</v>
      </c>
      <c r="I29" s="163">
        <v>10</v>
      </c>
      <c r="J29" s="164">
        <f>600+(600*0.07)</f>
        <v>642</v>
      </c>
      <c r="K29" s="114">
        <f>I29*J29</f>
        <v>6420</v>
      </c>
    </row>
    <row r="30" spans="1:11" x14ac:dyDescent="0.4">
      <c r="A30" s="12"/>
      <c r="B30" s="12"/>
      <c r="C30" s="12"/>
      <c r="D30" s="12"/>
      <c r="E30" s="12"/>
      <c r="F30" s="12"/>
      <c r="G30" s="150"/>
      <c r="H30" s="111"/>
      <c r="I30" s="77"/>
      <c r="J30" s="166"/>
      <c r="K30" s="114"/>
    </row>
    <row r="31" spans="1:11" x14ac:dyDescent="0.4">
      <c r="A31" s="170" t="s">
        <v>224</v>
      </c>
      <c r="B31" s="171" t="s">
        <v>225</v>
      </c>
      <c r="C31" s="171"/>
      <c r="D31" s="172"/>
      <c r="E31" s="171"/>
      <c r="F31" s="171"/>
      <c r="G31" s="173" t="s">
        <v>226</v>
      </c>
      <c r="H31" s="174">
        <f>SUM(H7:H29)</f>
        <v>0</v>
      </c>
      <c r="I31" s="175"/>
      <c r="J31" s="176"/>
      <c r="K31" s="177">
        <f>SUM(K7:K29)+4.5458</f>
        <v>28384.369800000004</v>
      </c>
    </row>
    <row r="32" spans="1:11" x14ac:dyDescent="0.4">
      <c r="A32" s="178"/>
      <c r="B32" s="178"/>
      <c r="C32" s="178"/>
      <c r="D32" s="179"/>
      <c r="E32" s="178"/>
      <c r="F32" s="178"/>
      <c r="G32" s="180"/>
      <c r="H32" s="181"/>
      <c r="I32" s="182"/>
      <c r="J32" s="183"/>
      <c r="K32" s="184"/>
    </row>
    <row r="33" spans="1:11" x14ac:dyDescent="0.4">
      <c r="A33" s="12"/>
      <c r="B33" s="12"/>
      <c r="C33" s="12"/>
      <c r="D33" s="12"/>
      <c r="E33" s="12"/>
      <c r="F33" s="12"/>
      <c r="G33" s="150"/>
      <c r="H33" s="110"/>
      <c r="I33" s="77"/>
      <c r="J33" s="166"/>
      <c r="K33" s="112"/>
    </row>
    <row r="34" spans="1:11" ht="15.9" x14ac:dyDescent="0.45">
      <c r="A34" s="59" t="s">
        <v>59</v>
      </c>
      <c r="B34" s="59" t="s">
        <v>227</v>
      </c>
      <c r="C34" s="59"/>
      <c r="D34" s="59"/>
      <c r="E34" s="59"/>
      <c r="F34" s="59"/>
      <c r="G34" s="141"/>
      <c r="H34" s="152"/>
      <c r="I34" s="142"/>
      <c r="J34" s="62"/>
      <c r="K34" s="153"/>
    </row>
    <row r="35" spans="1:11" x14ac:dyDescent="0.4">
      <c r="A35" s="67" t="s">
        <v>59</v>
      </c>
      <c r="B35" s="67" t="s">
        <v>228</v>
      </c>
      <c r="C35" s="67"/>
      <c r="D35" s="67"/>
      <c r="E35" s="67"/>
      <c r="F35" s="67"/>
      <c r="G35" s="155" t="s">
        <v>220</v>
      </c>
      <c r="H35" s="67" t="s">
        <v>205</v>
      </c>
      <c r="I35" s="168"/>
      <c r="J35" s="167" t="s">
        <v>220</v>
      </c>
      <c r="K35" s="168" t="s">
        <v>205</v>
      </c>
    </row>
    <row r="36" spans="1:11" x14ac:dyDescent="0.4">
      <c r="A36" s="12" t="s">
        <v>229</v>
      </c>
      <c r="B36" s="12" t="s">
        <v>230</v>
      </c>
      <c r="C36" s="160"/>
      <c r="D36" s="160"/>
      <c r="E36" s="160"/>
      <c r="F36" s="160"/>
      <c r="G36" s="161">
        <v>0</v>
      </c>
      <c r="H36" s="162">
        <f>+G36</f>
        <v>0</v>
      </c>
      <c r="I36" s="163"/>
      <c r="J36" s="164">
        <f>500+(500*0.07)</f>
        <v>535</v>
      </c>
      <c r="K36" s="165">
        <f>J36</f>
        <v>535</v>
      </c>
    </row>
    <row r="37" spans="1:11" x14ac:dyDescent="0.4">
      <c r="A37" s="12" t="s">
        <v>231</v>
      </c>
      <c r="B37" s="96" t="s">
        <v>232</v>
      </c>
      <c r="C37" s="160"/>
      <c r="D37" s="160"/>
      <c r="E37" s="160"/>
      <c r="F37" s="160"/>
      <c r="G37" s="161">
        <v>0</v>
      </c>
      <c r="H37" s="162">
        <f t="shared" ref="H37:H39" si="9">+G37</f>
        <v>0</v>
      </c>
      <c r="I37" s="163"/>
      <c r="J37" s="164">
        <f>1000+(1000*0.07)</f>
        <v>1070</v>
      </c>
      <c r="K37" s="165">
        <v>1000</v>
      </c>
    </row>
    <row r="38" spans="1:11" x14ac:dyDescent="0.4">
      <c r="A38" s="12" t="s">
        <v>233</v>
      </c>
      <c r="B38" s="96" t="s">
        <v>234</v>
      </c>
      <c r="C38" s="160"/>
      <c r="D38" s="160"/>
      <c r="E38" s="160"/>
      <c r="F38" s="160"/>
      <c r="G38" s="161">
        <v>0</v>
      </c>
      <c r="H38" s="162">
        <f t="shared" si="9"/>
        <v>0</v>
      </c>
      <c r="I38" s="163"/>
      <c r="J38" s="164">
        <f>1000+(1000*0.07)</f>
        <v>1070</v>
      </c>
      <c r="K38" s="165">
        <v>1000</v>
      </c>
    </row>
    <row r="39" spans="1:11" x14ac:dyDescent="0.4">
      <c r="A39" s="12" t="s">
        <v>235</v>
      </c>
      <c r="B39" s="96" t="s">
        <v>236</v>
      </c>
      <c r="C39" s="160"/>
      <c r="D39" s="160"/>
      <c r="E39" s="160"/>
      <c r="F39" s="160"/>
      <c r="G39" s="161">
        <v>0</v>
      </c>
      <c r="H39" s="162">
        <f t="shared" si="9"/>
        <v>0</v>
      </c>
      <c r="I39" s="163"/>
      <c r="J39" s="164">
        <f>500+(500*0.07)</f>
        <v>535</v>
      </c>
      <c r="K39" s="165">
        <v>500</v>
      </c>
    </row>
    <row r="40" spans="1:11" x14ac:dyDescent="0.4">
      <c r="A40" s="12"/>
      <c r="B40" s="12"/>
      <c r="C40" s="160"/>
      <c r="D40" s="160"/>
      <c r="E40" s="160"/>
      <c r="F40" s="160"/>
      <c r="G40" s="150"/>
      <c r="H40" s="111"/>
      <c r="I40" s="163"/>
      <c r="J40" s="166"/>
      <c r="K40" s="114"/>
    </row>
    <row r="41" spans="1:11" x14ac:dyDescent="0.4">
      <c r="A41" s="170" t="s">
        <v>237</v>
      </c>
      <c r="B41" s="171" t="s">
        <v>238</v>
      </c>
      <c r="C41" s="171"/>
      <c r="D41" s="171"/>
      <c r="E41" s="171"/>
      <c r="F41" s="171"/>
      <c r="G41" s="173"/>
      <c r="H41" s="174">
        <f>SUM(H36:H39)</f>
        <v>0</v>
      </c>
      <c r="I41" s="175"/>
      <c r="J41" s="176"/>
      <c r="K41" s="177">
        <f>SUM(K36:K39)</f>
        <v>3035</v>
      </c>
    </row>
    <row r="42" spans="1:11" x14ac:dyDescent="0.4">
      <c r="A42" s="12"/>
      <c r="B42" s="12"/>
      <c r="C42" s="12"/>
      <c r="D42" s="12"/>
      <c r="E42" s="12"/>
      <c r="F42" s="12"/>
      <c r="G42" s="150"/>
      <c r="H42" s="12"/>
      <c r="I42" s="77"/>
      <c r="J42" s="166"/>
      <c r="K42" s="77"/>
    </row>
    <row r="43" spans="1:11" ht="15.9" x14ac:dyDescent="0.45">
      <c r="A43" s="59" t="s">
        <v>59</v>
      </c>
      <c r="B43" s="59" t="s">
        <v>239</v>
      </c>
      <c r="C43" s="59"/>
      <c r="D43" s="59"/>
      <c r="E43" s="59"/>
      <c r="F43" s="59"/>
      <c r="G43" s="141"/>
      <c r="H43" s="152"/>
      <c r="I43" s="142"/>
      <c r="J43" s="62"/>
      <c r="K43" s="153"/>
    </row>
    <row r="44" spans="1:11" x14ac:dyDescent="0.4">
      <c r="A44" s="67" t="s">
        <v>59</v>
      </c>
      <c r="B44" s="67" t="s">
        <v>240</v>
      </c>
      <c r="C44" s="67"/>
      <c r="D44" s="67"/>
      <c r="E44" s="67"/>
      <c r="F44" s="67"/>
      <c r="G44" s="155" t="s">
        <v>220</v>
      </c>
      <c r="H44" s="67" t="s">
        <v>205</v>
      </c>
      <c r="I44" s="168"/>
      <c r="J44" s="167" t="s">
        <v>220</v>
      </c>
      <c r="K44" s="168" t="s">
        <v>205</v>
      </c>
    </row>
    <row r="45" spans="1:11" x14ac:dyDescent="0.4">
      <c r="A45" s="185" t="s">
        <v>229</v>
      </c>
      <c r="B45" s="12" t="s">
        <v>241</v>
      </c>
      <c r="C45" s="12"/>
      <c r="D45" s="12"/>
      <c r="E45" s="12"/>
      <c r="F45" s="12"/>
      <c r="G45" s="161">
        <v>0</v>
      </c>
      <c r="H45" s="186">
        <f>G45</f>
        <v>0</v>
      </c>
      <c r="I45" s="77"/>
      <c r="J45" s="164">
        <f>9000+(9000*0.16)</f>
        <v>10440</v>
      </c>
      <c r="K45" s="187">
        <f>J45</f>
        <v>10440</v>
      </c>
    </row>
    <row r="46" spans="1:11" x14ac:dyDescent="0.4">
      <c r="A46" s="12"/>
      <c r="B46" s="12"/>
      <c r="C46" s="12"/>
      <c r="D46" s="12"/>
      <c r="E46" s="12"/>
      <c r="F46" s="12"/>
      <c r="G46" s="150"/>
      <c r="H46" s="107"/>
      <c r="I46" s="77"/>
      <c r="J46" s="151"/>
      <c r="K46" s="109"/>
    </row>
    <row r="47" spans="1:11" x14ac:dyDescent="0.4">
      <c r="A47" s="188"/>
      <c r="B47" s="171" t="s">
        <v>242</v>
      </c>
      <c r="C47" s="188"/>
      <c r="D47" s="188"/>
      <c r="E47" s="188"/>
      <c r="F47" s="188"/>
      <c r="G47" s="189"/>
      <c r="H47" s="174">
        <f>SUM(H45:H45)</f>
        <v>0</v>
      </c>
      <c r="I47" s="190"/>
      <c r="J47" s="191"/>
      <c r="K47" s="177">
        <f>SUM(K45:K45)</f>
        <v>10440</v>
      </c>
    </row>
    <row r="48" spans="1:11" x14ac:dyDescent="0.4">
      <c r="A48" s="2"/>
      <c r="B48" s="2"/>
      <c r="C48" s="2"/>
      <c r="D48" s="2"/>
      <c r="E48" s="2"/>
      <c r="F48" s="2"/>
      <c r="H48" s="2"/>
    </row>
    <row r="49" spans="1:11" x14ac:dyDescent="0.4">
      <c r="A49" s="194" t="s">
        <v>243</v>
      </c>
      <c r="B49" s="74"/>
      <c r="C49" s="74"/>
      <c r="D49" s="74"/>
      <c r="E49" s="74"/>
      <c r="F49" s="74"/>
      <c r="G49" s="195"/>
      <c r="H49" s="74"/>
      <c r="I49" s="196"/>
      <c r="J49" s="196"/>
      <c r="K49" s="196"/>
    </row>
    <row r="50" spans="1:11" x14ac:dyDescent="0.4">
      <c r="A50" s="12"/>
      <c r="B50" s="12"/>
      <c r="C50" s="12"/>
      <c r="D50" s="12"/>
      <c r="E50" s="12"/>
      <c r="F50" s="12"/>
      <c r="G50" s="150"/>
      <c r="H50" s="120"/>
      <c r="I50" s="77"/>
      <c r="J50" s="151"/>
      <c r="K50" s="122"/>
    </row>
    <row r="51" spans="1:11" ht="18.45" x14ac:dyDescent="0.5">
      <c r="A51" s="197"/>
      <c r="B51" s="198" t="s">
        <v>244</v>
      </c>
      <c r="C51" s="199"/>
      <c r="D51" s="199"/>
      <c r="E51" s="199"/>
      <c r="F51" s="199"/>
      <c r="G51" s="200"/>
      <c r="H51" s="201">
        <f>H47+H41+H31</f>
        <v>0</v>
      </c>
      <c r="I51" s="202"/>
      <c r="J51" s="203"/>
      <c r="K51" s="204">
        <f>K47+K41+K31</f>
        <v>41859.3698</v>
      </c>
    </row>
    <row r="52" spans="1:11" x14ac:dyDescent="0.4">
      <c r="A52" s="77"/>
      <c r="B52" s="77"/>
      <c r="C52" s="77"/>
      <c r="D52" s="77"/>
      <c r="E52" s="77"/>
      <c r="F52" s="77"/>
      <c r="G52" s="150"/>
      <c r="H52" s="77"/>
      <c r="I52" s="77"/>
      <c r="J52" s="151"/>
      <c r="K52" s="77"/>
    </row>
    <row r="53" spans="1:11" x14ac:dyDescent="0.4">
      <c r="A53" s="77"/>
      <c r="B53" s="77"/>
      <c r="C53" s="77"/>
      <c r="D53" s="77"/>
      <c r="E53" s="77"/>
      <c r="F53" s="77"/>
      <c r="G53" s="150"/>
      <c r="H53" s="77"/>
      <c r="I53" s="77"/>
      <c r="J53" s="151"/>
      <c r="K53" s="77"/>
    </row>
    <row r="54" spans="1:11" x14ac:dyDescent="0.4">
      <c r="A54" s="77"/>
      <c r="B54" s="77"/>
      <c r="C54" s="77"/>
      <c r="D54" s="77"/>
      <c r="E54" s="77"/>
      <c r="F54" s="77"/>
      <c r="G54" s="150"/>
      <c r="H54" s="77"/>
      <c r="I54" s="77"/>
      <c r="J54" s="151"/>
      <c r="K54" s="77"/>
    </row>
  </sheetData>
  <sheetProtection password="C845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3" zoomScale="70" zoomScaleNormal="70" workbookViewId="0">
      <selection activeCell="E16" sqref="E16"/>
    </sheetView>
  </sheetViews>
  <sheetFormatPr defaultRowHeight="14.6" x14ac:dyDescent="0.4"/>
  <cols>
    <col min="1" max="1" width="12.07421875" customWidth="1"/>
    <col min="2" max="2" width="71.69140625" customWidth="1"/>
    <col min="3" max="3" width="11.3046875" customWidth="1"/>
    <col min="4" max="4" width="11.3046875"/>
    <col min="5" max="5" width="14.69140625" bestFit="1" customWidth="1"/>
    <col min="6" max="6" width="11.3046875" hidden="1" customWidth="1"/>
    <col min="7" max="7" width="0" style="210" hidden="1" customWidth="1"/>
    <col min="8" max="8" width="14.69140625" hidden="1" customWidth="1"/>
  </cols>
  <sheetData>
    <row r="1" spans="1:8" ht="18.45" x14ac:dyDescent="0.5">
      <c r="A1" s="53" t="s">
        <v>245</v>
      </c>
      <c r="B1" s="54"/>
      <c r="C1" s="54"/>
      <c r="D1" s="54"/>
      <c r="E1" s="54"/>
      <c r="F1" s="55"/>
      <c r="G1" s="205"/>
      <c r="H1" s="55"/>
    </row>
    <row r="2" spans="1:8" ht="30" x14ac:dyDescent="0.5">
      <c r="A2" s="91"/>
      <c r="B2" s="206"/>
      <c r="C2" s="207"/>
      <c r="D2" s="207"/>
      <c r="E2" s="207"/>
      <c r="F2" s="208"/>
      <c r="G2" s="58" t="s">
        <v>246</v>
      </c>
      <c r="H2" s="208"/>
    </row>
    <row r="3" spans="1:8" x14ac:dyDescent="0.4">
      <c r="A3" s="283" t="s">
        <v>247</v>
      </c>
      <c r="B3" s="283"/>
      <c r="C3" s="283"/>
      <c r="D3" s="283"/>
      <c r="E3" s="283"/>
      <c r="F3" s="58"/>
      <c r="G3" s="209">
        <f>1.07</f>
        <v>1.07</v>
      </c>
      <c r="H3" s="58"/>
    </row>
    <row r="4" spans="1:8" x14ac:dyDescent="0.4">
      <c r="A4" s="2"/>
      <c r="B4" s="2"/>
      <c r="C4" s="2"/>
      <c r="D4" s="2"/>
      <c r="E4" s="2"/>
    </row>
    <row r="5" spans="1:8" ht="15.9" x14ac:dyDescent="0.45">
      <c r="A5" s="54" t="s">
        <v>59</v>
      </c>
      <c r="B5" s="54" t="s">
        <v>60</v>
      </c>
      <c r="C5" s="60" t="s">
        <v>61</v>
      </c>
      <c r="D5" s="141" t="s">
        <v>64</v>
      </c>
      <c r="E5" s="60" t="s">
        <v>63</v>
      </c>
      <c r="F5" s="61" t="s">
        <v>61</v>
      </c>
      <c r="G5" s="143" t="s">
        <v>64</v>
      </c>
      <c r="H5" s="61" t="s">
        <v>63</v>
      </c>
    </row>
    <row r="6" spans="1:8" ht="15.9" x14ac:dyDescent="0.45">
      <c r="A6" s="211"/>
      <c r="B6" s="212"/>
      <c r="C6" s="64" t="s">
        <v>61</v>
      </c>
      <c r="D6" s="76" t="s">
        <v>66</v>
      </c>
      <c r="E6" s="64" t="s">
        <v>67</v>
      </c>
      <c r="F6" s="65" t="s">
        <v>61</v>
      </c>
      <c r="G6" s="66" t="s">
        <v>66</v>
      </c>
      <c r="H6" s="65" t="s">
        <v>67</v>
      </c>
    </row>
    <row r="7" spans="1:8" x14ac:dyDescent="0.4">
      <c r="A7" s="18" t="s">
        <v>248</v>
      </c>
      <c r="B7" s="67" t="s">
        <v>249</v>
      </c>
      <c r="C7" s="70">
        <v>1</v>
      </c>
      <c r="D7" s="213">
        <v>0</v>
      </c>
      <c r="E7" s="70">
        <f>C7*D7</f>
        <v>0</v>
      </c>
      <c r="F7" s="72">
        <v>1</v>
      </c>
      <c r="G7" s="214">
        <f>2000*$G$3</f>
        <v>2140</v>
      </c>
      <c r="H7" s="72">
        <f>F7*G7</f>
        <v>2140</v>
      </c>
    </row>
    <row r="8" spans="1:8" ht="43.75" x14ac:dyDescent="0.4">
      <c r="A8" s="185"/>
      <c r="B8" s="215" t="s">
        <v>250</v>
      </c>
      <c r="C8" s="216"/>
      <c r="D8" s="217"/>
      <c r="E8" s="216"/>
      <c r="F8" s="218"/>
      <c r="G8" s="219"/>
      <c r="H8" s="218"/>
    </row>
    <row r="9" spans="1:8" ht="15.9" x14ac:dyDescent="0.45">
      <c r="A9" s="211"/>
      <c r="B9" s="212"/>
      <c r="C9" s="64" t="s">
        <v>61</v>
      </c>
      <c r="D9" s="76" t="s">
        <v>66</v>
      </c>
      <c r="E9" s="64" t="s">
        <v>67</v>
      </c>
      <c r="F9" s="65" t="s">
        <v>61</v>
      </c>
      <c r="G9" s="66" t="s">
        <v>66</v>
      </c>
      <c r="H9" s="65" t="s">
        <v>67</v>
      </c>
    </row>
    <row r="10" spans="1:8" x14ac:dyDescent="0.4">
      <c r="A10" s="18" t="s">
        <v>251</v>
      </c>
      <c r="B10" s="67" t="s">
        <v>19</v>
      </c>
      <c r="C10" s="70">
        <v>1</v>
      </c>
      <c r="D10" s="213">
        <v>0</v>
      </c>
      <c r="E10" s="70">
        <f>C10*D10</f>
        <v>0</v>
      </c>
      <c r="F10" s="72">
        <v>1</v>
      </c>
      <c r="G10" s="214">
        <f>2000*G3</f>
        <v>2140</v>
      </c>
      <c r="H10" s="72">
        <f>F10*G10</f>
        <v>2140</v>
      </c>
    </row>
    <row r="11" spans="1:8" ht="43.75" x14ac:dyDescent="0.4">
      <c r="A11" s="185"/>
      <c r="B11" s="215" t="s">
        <v>252</v>
      </c>
      <c r="C11" s="216"/>
      <c r="D11" s="217"/>
      <c r="E11" s="216"/>
      <c r="F11" s="218"/>
      <c r="G11" s="219"/>
      <c r="H11" s="218"/>
    </row>
    <row r="12" spans="1:8" ht="15.9" x14ac:dyDescent="0.45">
      <c r="A12" s="211"/>
      <c r="B12" s="212"/>
      <c r="C12" s="64" t="s">
        <v>61</v>
      </c>
      <c r="D12" s="76" t="s">
        <v>66</v>
      </c>
      <c r="E12" s="64" t="s">
        <v>67</v>
      </c>
      <c r="F12" s="65" t="s">
        <v>61</v>
      </c>
      <c r="G12" s="66" t="s">
        <v>66</v>
      </c>
      <c r="H12" s="65" t="s">
        <v>67</v>
      </c>
    </row>
    <row r="13" spans="1:8" x14ac:dyDescent="0.4">
      <c r="A13" s="18" t="s">
        <v>253</v>
      </c>
      <c r="B13" s="67" t="s">
        <v>20</v>
      </c>
      <c r="C13" s="70">
        <v>1</v>
      </c>
      <c r="D13" s="213">
        <v>0</v>
      </c>
      <c r="E13" s="70">
        <f>C13*D13</f>
        <v>0</v>
      </c>
      <c r="F13" s="72">
        <v>1</v>
      </c>
      <c r="G13" s="214">
        <f>2500*G3</f>
        <v>2675</v>
      </c>
      <c r="H13" s="72">
        <f>F13*G13</f>
        <v>2675</v>
      </c>
    </row>
    <row r="14" spans="1:8" ht="29.15" x14ac:dyDescent="0.4">
      <c r="A14" s="185"/>
      <c r="B14" s="215" t="s">
        <v>254</v>
      </c>
      <c r="C14" s="216"/>
      <c r="D14" s="217"/>
      <c r="E14" s="216"/>
      <c r="F14" s="218"/>
      <c r="G14" s="219"/>
      <c r="H14" s="218"/>
    </row>
    <row r="15" spans="1:8" ht="15.9" x14ac:dyDescent="0.45">
      <c r="A15" s="211"/>
      <c r="B15" s="212"/>
      <c r="C15" s="64" t="s">
        <v>61</v>
      </c>
      <c r="D15" s="76" t="s">
        <v>66</v>
      </c>
      <c r="E15" s="64" t="s">
        <v>67</v>
      </c>
      <c r="F15" s="65" t="s">
        <v>61</v>
      </c>
      <c r="G15" s="66" t="s">
        <v>66</v>
      </c>
      <c r="H15" s="65" t="s">
        <v>67</v>
      </c>
    </row>
    <row r="16" spans="1:8" x14ac:dyDescent="0.4">
      <c r="A16" s="18" t="s">
        <v>255</v>
      </c>
      <c r="B16" s="67" t="s">
        <v>21</v>
      </c>
      <c r="C16" s="70">
        <v>1</v>
      </c>
      <c r="D16" s="213">
        <v>0</v>
      </c>
      <c r="E16" s="70">
        <f>C16*D16</f>
        <v>0</v>
      </c>
      <c r="F16" s="72">
        <v>1</v>
      </c>
      <c r="G16" s="214">
        <f>1200*G3</f>
        <v>1284</v>
      </c>
      <c r="H16" s="72">
        <f>F16*G16</f>
        <v>1284</v>
      </c>
    </row>
    <row r="17" spans="1:8" x14ac:dyDescent="0.4">
      <c r="A17" s="185"/>
      <c r="B17" s="215" t="s">
        <v>256</v>
      </c>
      <c r="C17" s="216"/>
      <c r="D17" s="217"/>
      <c r="E17" s="216"/>
      <c r="F17" s="218"/>
      <c r="G17" s="219"/>
      <c r="H17" s="218"/>
    </row>
    <row r="18" spans="1:8" ht="15.9" x14ac:dyDescent="0.45">
      <c r="A18" s="211"/>
      <c r="B18" s="212"/>
      <c r="C18" s="64" t="s">
        <v>61</v>
      </c>
      <c r="D18" s="76" t="s">
        <v>66</v>
      </c>
      <c r="E18" s="64" t="s">
        <v>67</v>
      </c>
      <c r="F18" s="65" t="s">
        <v>61</v>
      </c>
      <c r="G18" s="66" t="s">
        <v>66</v>
      </c>
      <c r="H18" s="65" t="s">
        <v>67</v>
      </c>
    </row>
    <row r="19" spans="1:8" x14ac:dyDescent="0.4">
      <c r="A19" s="18" t="s">
        <v>257</v>
      </c>
      <c r="B19" s="67" t="s">
        <v>22</v>
      </c>
      <c r="C19" s="70">
        <v>1</v>
      </c>
      <c r="D19" s="213">
        <v>0</v>
      </c>
      <c r="E19" s="70">
        <f>C19*D19</f>
        <v>0</v>
      </c>
      <c r="F19" s="72">
        <v>1</v>
      </c>
      <c r="G19" s="214">
        <f>1500*G3</f>
        <v>1605</v>
      </c>
      <c r="H19" s="72">
        <f>F19*G19</f>
        <v>1605</v>
      </c>
    </row>
    <row r="20" spans="1:8" ht="29.15" x14ac:dyDescent="0.4">
      <c r="A20" s="185"/>
      <c r="B20" s="74" t="s">
        <v>258</v>
      </c>
      <c r="C20" s="216"/>
      <c r="D20" s="217"/>
      <c r="E20" s="216"/>
      <c r="F20" s="218"/>
      <c r="G20" s="219"/>
      <c r="H20" s="218"/>
    </row>
    <row r="21" spans="1:8" ht="15.9" x14ac:dyDescent="0.45">
      <c r="A21" s="211"/>
      <c r="B21" s="212"/>
      <c r="C21" s="64" t="s">
        <v>61</v>
      </c>
      <c r="D21" s="76" t="s">
        <v>66</v>
      </c>
      <c r="E21" s="64" t="s">
        <v>67</v>
      </c>
      <c r="F21" s="65" t="s">
        <v>61</v>
      </c>
      <c r="G21" s="66" t="s">
        <v>66</v>
      </c>
      <c r="H21" s="65" t="s">
        <v>67</v>
      </c>
    </row>
    <row r="22" spans="1:8" x14ac:dyDescent="0.4">
      <c r="A22" s="18" t="s">
        <v>259</v>
      </c>
      <c r="B22" s="67" t="s">
        <v>23</v>
      </c>
      <c r="C22" s="70">
        <v>1</v>
      </c>
      <c r="D22" s="213">
        <v>0</v>
      </c>
      <c r="E22" s="70">
        <f>C22*D22</f>
        <v>0</v>
      </c>
      <c r="F22" s="72">
        <v>1</v>
      </c>
      <c r="G22" s="214">
        <f>2000*G3</f>
        <v>2140</v>
      </c>
      <c r="H22" s="72">
        <f>F22*G22</f>
        <v>2140</v>
      </c>
    </row>
    <row r="23" spans="1:8" x14ac:dyDescent="0.4">
      <c r="A23" s="185"/>
      <c r="B23" s="215" t="s">
        <v>260</v>
      </c>
      <c r="C23" s="216"/>
      <c r="D23" s="217"/>
      <c r="E23" s="216"/>
      <c r="F23" s="218"/>
      <c r="G23" s="219"/>
      <c r="H23" s="218"/>
    </row>
    <row r="24" spans="1:8" ht="15.9" x14ac:dyDescent="0.45">
      <c r="A24" s="211"/>
      <c r="B24" s="212"/>
      <c r="C24" s="64" t="s">
        <v>61</v>
      </c>
      <c r="D24" s="76" t="s">
        <v>66</v>
      </c>
      <c r="E24" s="64" t="s">
        <v>67</v>
      </c>
      <c r="F24" s="65" t="s">
        <v>61</v>
      </c>
      <c r="G24" s="66" t="s">
        <v>66</v>
      </c>
      <c r="H24" s="65" t="s">
        <v>67</v>
      </c>
    </row>
    <row r="25" spans="1:8" x14ac:dyDescent="0.4">
      <c r="A25" s="18" t="s">
        <v>261</v>
      </c>
      <c r="B25" s="67" t="s">
        <v>24</v>
      </c>
      <c r="C25" s="70">
        <v>1</v>
      </c>
      <c r="D25" s="213">
        <v>0</v>
      </c>
      <c r="E25" s="70">
        <f>C25*D25</f>
        <v>0</v>
      </c>
      <c r="F25" s="72">
        <v>1</v>
      </c>
      <c r="G25" s="214">
        <f>2500*G3</f>
        <v>2675</v>
      </c>
      <c r="H25" s="72">
        <f>F25*G25</f>
        <v>2675</v>
      </c>
    </row>
    <row r="26" spans="1:8" x14ac:dyDescent="0.4">
      <c r="A26" s="185"/>
      <c r="B26" s="215" t="s">
        <v>262</v>
      </c>
      <c r="C26" s="216"/>
      <c r="D26" s="217"/>
      <c r="E26" s="216"/>
      <c r="F26" s="218"/>
      <c r="G26" s="219"/>
      <c r="H26" s="218"/>
    </row>
    <row r="27" spans="1:8" ht="15.9" x14ac:dyDescent="0.45">
      <c r="A27" s="211"/>
      <c r="B27" s="212"/>
      <c r="C27" s="64" t="s">
        <v>61</v>
      </c>
      <c r="D27" s="76" t="s">
        <v>66</v>
      </c>
      <c r="E27" s="64" t="s">
        <v>67</v>
      </c>
      <c r="F27" s="65" t="s">
        <v>61</v>
      </c>
      <c r="G27" s="66" t="s">
        <v>66</v>
      </c>
      <c r="H27" s="65" t="s">
        <v>67</v>
      </c>
    </row>
    <row r="28" spans="1:8" x14ac:dyDescent="0.4">
      <c r="A28" s="18" t="s">
        <v>25</v>
      </c>
      <c r="B28" s="67" t="s">
        <v>25</v>
      </c>
      <c r="C28" s="70">
        <v>1</v>
      </c>
      <c r="D28" s="213">
        <v>0</v>
      </c>
      <c r="E28" s="70">
        <f>C28*D28</f>
        <v>0</v>
      </c>
      <c r="F28" s="72">
        <v>1</v>
      </c>
      <c r="G28" s="214">
        <f>6000*G3</f>
        <v>6420</v>
      </c>
      <c r="H28" s="72">
        <f>F28*G28</f>
        <v>6420</v>
      </c>
    </row>
    <row r="29" spans="1:8" ht="29.15" x14ac:dyDescent="0.4">
      <c r="A29" s="185"/>
      <c r="B29" s="215" t="s">
        <v>263</v>
      </c>
      <c r="C29" s="216"/>
      <c r="D29" s="217"/>
      <c r="E29" s="216"/>
      <c r="F29" s="218"/>
      <c r="G29" s="219"/>
      <c r="H29" s="218"/>
    </row>
    <row r="30" spans="1:8" ht="15.9" x14ac:dyDescent="0.45">
      <c r="A30" s="211"/>
      <c r="B30" s="212"/>
      <c r="C30" s="64" t="s">
        <v>61</v>
      </c>
      <c r="D30" s="76" t="s">
        <v>66</v>
      </c>
      <c r="E30" s="64" t="s">
        <v>67</v>
      </c>
      <c r="F30" s="65" t="s">
        <v>61</v>
      </c>
      <c r="G30" s="66" t="s">
        <v>66</v>
      </c>
      <c r="H30" s="65" t="s">
        <v>67</v>
      </c>
    </row>
    <row r="31" spans="1:8" x14ac:dyDescent="0.4">
      <c r="A31" s="18" t="s">
        <v>26</v>
      </c>
      <c r="B31" s="67" t="s">
        <v>26</v>
      </c>
      <c r="C31" s="70">
        <v>1</v>
      </c>
      <c r="D31" s="213">
        <v>0</v>
      </c>
      <c r="E31" s="70">
        <f>C31*D31</f>
        <v>0</v>
      </c>
      <c r="F31" s="72">
        <v>1</v>
      </c>
      <c r="G31" s="214">
        <f>2000*G3</f>
        <v>2140</v>
      </c>
      <c r="H31" s="72">
        <f>F31*G31</f>
        <v>2140</v>
      </c>
    </row>
    <row r="32" spans="1:8" x14ac:dyDescent="0.4">
      <c r="A32" s="185"/>
      <c r="B32" s="215" t="s">
        <v>264</v>
      </c>
      <c r="C32" s="216"/>
      <c r="D32" s="217"/>
      <c r="E32" s="216"/>
      <c r="F32" s="218"/>
      <c r="G32" s="219"/>
      <c r="H32" s="218"/>
    </row>
    <row r="33" spans="1:8" ht="15.9" x14ac:dyDescent="0.45">
      <c r="A33" s="211"/>
      <c r="B33" s="212"/>
      <c r="C33" s="64" t="s">
        <v>61</v>
      </c>
      <c r="D33" s="76" t="s">
        <v>66</v>
      </c>
      <c r="E33" s="64" t="s">
        <v>67</v>
      </c>
      <c r="F33" s="65" t="s">
        <v>61</v>
      </c>
      <c r="G33" s="66" t="s">
        <v>66</v>
      </c>
      <c r="H33" s="65" t="s">
        <v>67</v>
      </c>
    </row>
    <row r="34" spans="1:8" x14ac:dyDescent="0.4">
      <c r="A34" s="18" t="s">
        <v>27</v>
      </c>
      <c r="B34" s="67" t="s">
        <v>265</v>
      </c>
      <c r="C34" s="70">
        <v>1</v>
      </c>
      <c r="D34" s="213">
        <v>0</v>
      </c>
      <c r="E34" s="70">
        <f>C34*D34</f>
        <v>0</v>
      </c>
      <c r="F34" s="72">
        <v>1</v>
      </c>
      <c r="G34" s="214">
        <f>15000*G3</f>
        <v>16050.000000000002</v>
      </c>
      <c r="H34" s="72">
        <f>F34*G34</f>
        <v>16050.000000000002</v>
      </c>
    </row>
    <row r="35" spans="1:8" x14ac:dyDescent="0.4">
      <c r="A35" s="185"/>
      <c r="B35" s="220" t="s">
        <v>266</v>
      </c>
      <c r="C35" s="216"/>
      <c r="D35" s="217"/>
      <c r="E35" s="216"/>
      <c r="F35" s="218"/>
      <c r="G35" s="219"/>
      <c r="H35" s="218"/>
    </row>
    <row r="36" spans="1:8" ht="15.9" x14ac:dyDescent="0.45">
      <c r="A36" s="211"/>
      <c r="B36" s="212"/>
      <c r="C36" s="64" t="s">
        <v>61</v>
      </c>
      <c r="D36" s="76" t="s">
        <v>66</v>
      </c>
      <c r="E36" s="64" t="s">
        <v>67</v>
      </c>
      <c r="F36" s="65" t="s">
        <v>61</v>
      </c>
      <c r="G36" s="66" t="s">
        <v>66</v>
      </c>
      <c r="H36" s="65" t="s">
        <v>67</v>
      </c>
    </row>
    <row r="37" spans="1:8" x14ac:dyDescent="0.4">
      <c r="A37" s="18" t="s">
        <v>267</v>
      </c>
      <c r="B37" s="67" t="s">
        <v>29</v>
      </c>
      <c r="C37" s="70">
        <v>1</v>
      </c>
      <c r="D37" s="213">
        <v>0</v>
      </c>
      <c r="E37" s="70">
        <f>C37*D37</f>
        <v>0</v>
      </c>
      <c r="F37" s="72">
        <v>1</v>
      </c>
      <c r="G37" s="214">
        <f>5000*G3</f>
        <v>5350</v>
      </c>
      <c r="H37" s="72">
        <f>F37*G37</f>
        <v>5350</v>
      </c>
    </row>
    <row r="38" spans="1:8" ht="29.15" x14ac:dyDescent="0.4">
      <c r="A38" s="185"/>
      <c r="B38" s="215" t="s">
        <v>268</v>
      </c>
      <c r="C38" s="216"/>
      <c r="D38" s="217"/>
      <c r="E38" s="216"/>
      <c r="F38" s="218"/>
      <c r="G38" s="219"/>
      <c r="H38" s="218"/>
    </row>
    <row r="39" spans="1:8" ht="15.9" x14ac:dyDescent="0.45">
      <c r="A39" s="211"/>
      <c r="B39" s="212"/>
      <c r="C39" s="64" t="s">
        <v>61</v>
      </c>
      <c r="D39" s="76" t="s">
        <v>66</v>
      </c>
      <c r="E39" s="64" t="s">
        <v>67</v>
      </c>
      <c r="F39" s="65" t="s">
        <v>61</v>
      </c>
      <c r="G39" s="66" t="s">
        <v>66</v>
      </c>
      <c r="H39" s="65" t="s">
        <v>67</v>
      </c>
    </row>
    <row r="40" spans="1:8" x14ac:dyDescent="0.4">
      <c r="A40" s="18" t="s">
        <v>269</v>
      </c>
      <c r="B40" s="67" t="s">
        <v>30</v>
      </c>
      <c r="C40" s="70">
        <v>1</v>
      </c>
      <c r="D40" s="213">
        <v>0</v>
      </c>
      <c r="E40" s="70">
        <f>C40*D40</f>
        <v>0</v>
      </c>
      <c r="F40" s="72">
        <v>1</v>
      </c>
      <c r="G40" s="214">
        <f>1500*G3</f>
        <v>1605</v>
      </c>
      <c r="H40" s="72">
        <f>F40*G40</f>
        <v>1605</v>
      </c>
    </row>
    <row r="41" spans="1:8" ht="29.15" x14ac:dyDescent="0.4">
      <c r="A41" s="185"/>
      <c r="B41" s="215" t="s">
        <v>270</v>
      </c>
      <c r="C41" s="216"/>
      <c r="D41" s="217"/>
      <c r="E41" s="216"/>
      <c r="F41" s="218"/>
      <c r="G41" s="219"/>
      <c r="H41" s="218"/>
    </row>
    <row r="42" spans="1:8" ht="15.9" x14ac:dyDescent="0.45">
      <c r="A42" s="211"/>
      <c r="B42" s="212"/>
      <c r="C42" s="64" t="s">
        <v>61</v>
      </c>
      <c r="D42" s="76" t="s">
        <v>66</v>
      </c>
      <c r="E42" s="64" t="s">
        <v>67</v>
      </c>
      <c r="F42" s="65" t="s">
        <v>61</v>
      </c>
      <c r="G42" s="66" t="s">
        <v>66</v>
      </c>
      <c r="H42" s="65" t="s">
        <v>67</v>
      </c>
    </row>
    <row r="43" spans="1:8" x14ac:dyDescent="0.4">
      <c r="A43" s="18" t="s">
        <v>271</v>
      </c>
      <c r="B43" s="67" t="s">
        <v>31</v>
      </c>
      <c r="C43" s="70">
        <v>4</v>
      </c>
      <c r="D43" s="213">
        <v>0</v>
      </c>
      <c r="E43" s="70">
        <f>C43*D43</f>
        <v>0</v>
      </c>
      <c r="F43" s="72">
        <v>4</v>
      </c>
      <c r="G43" s="214">
        <v>1000</v>
      </c>
      <c r="H43" s="72">
        <f>F43*G43</f>
        <v>4000</v>
      </c>
    </row>
    <row r="44" spans="1:8" x14ac:dyDescent="0.4">
      <c r="A44" s="12"/>
      <c r="B44" s="215" t="s">
        <v>272</v>
      </c>
      <c r="C44" s="216"/>
      <c r="D44" s="217"/>
      <c r="E44" s="216"/>
      <c r="F44" s="218"/>
      <c r="G44" s="221"/>
      <c r="H44" s="218"/>
    </row>
    <row r="45" spans="1:8" ht="15.9" x14ac:dyDescent="0.45">
      <c r="A45" s="211"/>
      <c r="B45" s="212"/>
      <c r="C45" s="64" t="s">
        <v>61</v>
      </c>
      <c r="D45" s="76" t="s">
        <v>66</v>
      </c>
      <c r="E45" s="64" t="s">
        <v>67</v>
      </c>
      <c r="F45" s="65" t="s">
        <v>61</v>
      </c>
      <c r="G45" s="66" t="s">
        <v>66</v>
      </c>
      <c r="H45" s="65" t="s">
        <v>67</v>
      </c>
    </row>
    <row r="46" spans="1:8" x14ac:dyDescent="0.4">
      <c r="A46" s="18" t="s">
        <v>32</v>
      </c>
      <c r="B46" s="67" t="s">
        <v>273</v>
      </c>
      <c r="C46" s="70">
        <v>1</v>
      </c>
      <c r="D46" s="213">
        <v>0</v>
      </c>
      <c r="E46" s="70">
        <f>C46*D46</f>
        <v>0</v>
      </c>
      <c r="F46" s="72">
        <v>1</v>
      </c>
      <c r="G46" s="214">
        <f>1500*G3</f>
        <v>1605</v>
      </c>
      <c r="H46" s="72">
        <f>F46*G46</f>
        <v>1605</v>
      </c>
    </row>
    <row r="47" spans="1:8" x14ac:dyDescent="0.4">
      <c r="A47" s="12"/>
      <c r="B47" s="215" t="s">
        <v>274</v>
      </c>
      <c r="C47" s="216"/>
      <c r="D47" s="216"/>
      <c r="E47" s="216"/>
      <c r="F47" s="218"/>
      <c r="G47" s="221"/>
      <c r="H47" s="218"/>
    </row>
    <row r="48" spans="1:8" ht="15.9" x14ac:dyDescent="0.45">
      <c r="A48" s="211"/>
      <c r="B48" s="212"/>
      <c r="C48" s="64" t="s">
        <v>61</v>
      </c>
      <c r="D48" s="76" t="s">
        <v>66</v>
      </c>
      <c r="E48" s="64" t="s">
        <v>67</v>
      </c>
      <c r="F48" s="65" t="s">
        <v>61</v>
      </c>
      <c r="G48" s="66" t="s">
        <v>66</v>
      </c>
      <c r="H48" s="65" t="s">
        <v>67</v>
      </c>
    </row>
    <row r="49" spans="1:8" x14ac:dyDescent="0.4">
      <c r="A49" s="18" t="s">
        <v>275</v>
      </c>
      <c r="B49" s="222" t="s">
        <v>34</v>
      </c>
      <c r="C49" s="70">
        <v>1</v>
      </c>
      <c r="D49" s="213">
        <v>0</v>
      </c>
      <c r="E49" s="70">
        <f>C49*D49</f>
        <v>0</v>
      </c>
      <c r="F49" s="72">
        <v>1</v>
      </c>
      <c r="G49" s="214">
        <f>1800*G3</f>
        <v>1926</v>
      </c>
      <c r="H49" s="72">
        <f>F49*G49</f>
        <v>1926</v>
      </c>
    </row>
    <row r="50" spans="1:8" x14ac:dyDescent="0.4">
      <c r="A50" s="12"/>
      <c r="B50" s="215" t="s">
        <v>276</v>
      </c>
      <c r="C50" s="216"/>
      <c r="D50" s="216"/>
      <c r="E50" s="216"/>
      <c r="F50" s="218"/>
      <c r="G50" s="221"/>
      <c r="H50" s="218"/>
    </row>
    <row r="51" spans="1:8" ht="15.9" x14ac:dyDescent="0.45">
      <c r="A51" s="211"/>
      <c r="B51" s="212"/>
      <c r="C51" s="64" t="s">
        <v>61</v>
      </c>
      <c r="D51" s="76" t="s">
        <v>66</v>
      </c>
      <c r="E51" s="64" t="s">
        <v>67</v>
      </c>
      <c r="F51" s="65" t="s">
        <v>61</v>
      </c>
      <c r="G51" s="66" t="s">
        <v>66</v>
      </c>
      <c r="H51" s="65" t="s">
        <v>67</v>
      </c>
    </row>
    <row r="52" spans="1:8" x14ac:dyDescent="0.4">
      <c r="A52" s="18" t="s">
        <v>277</v>
      </c>
      <c r="B52" s="222" t="s">
        <v>35</v>
      </c>
      <c r="C52" s="70">
        <v>1</v>
      </c>
      <c r="D52" s="213">
        <v>0</v>
      </c>
      <c r="E52" s="70">
        <f>C52*D52</f>
        <v>0</v>
      </c>
      <c r="F52" s="72">
        <v>1</v>
      </c>
      <c r="G52" s="214">
        <f>600*G3</f>
        <v>642</v>
      </c>
      <c r="H52" s="72">
        <f>F52*G52</f>
        <v>642</v>
      </c>
    </row>
    <row r="53" spans="1:8" x14ac:dyDescent="0.4">
      <c r="A53" s="12"/>
      <c r="B53" s="215" t="s">
        <v>278</v>
      </c>
      <c r="C53" s="216"/>
      <c r="D53" s="216"/>
      <c r="E53" s="216"/>
      <c r="F53" s="218"/>
      <c r="G53" s="221"/>
      <c r="H53" s="218"/>
    </row>
    <row r="54" spans="1:8" ht="15.9" x14ac:dyDescent="0.45">
      <c r="A54" s="211"/>
      <c r="B54" s="212"/>
      <c r="C54" s="64" t="s">
        <v>61</v>
      </c>
      <c r="D54" s="76" t="s">
        <v>66</v>
      </c>
      <c r="E54" s="64" t="s">
        <v>67</v>
      </c>
      <c r="F54" s="65" t="s">
        <v>61</v>
      </c>
      <c r="G54" s="66" t="s">
        <v>66</v>
      </c>
      <c r="H54" s="65" t="s">
        <v>67</v>
      </c>
    </row>
    <row r="55" spans="1:8" x14ac:dyDescent="0.4">
      <c r="A55" s="18" t="s">
        <v>279</v>
      </c>
      <c r="B55" s="222" t="s">
        <v>36</v>
      </c>
      <c r="C55" s="70">
        <v>1</v>
      </c>
      <c r="D55" s="213">
        <v>0</v>
      </c>
      <c r="E55" s="70">
        <f>C55*D55</f>
        <v>0</v>
      </c>
      <c r="F55" s="72">
        <v>1</v>
      </c>
      <c r="G55" s="214">
        <f>6000*G3</f>
        <v>6420</v>
      </c>
      <c r="H55" s="72">
        <f>F55*G55</f>
        <v>6420</v>
      </c>
    </row>
    <row r="56" spans="1:8" x14ac:dyDescent="0.4">
      <c r="A56" s="12"/>
      <c r="B56" s="215" t="s">
        <v>280</v>
      </c>
      <c r="C56" s="216"/>
      <c r="D56" s="216"/>
      <c r="E56" s="216"/>
      <c r="F56" s="218"/>
      <c r="G56" s="221"/>
      <c r="H56" s="218"/>
    </row>
    <row r="57" spans="1:8" ht="15.9" x14ac:dyDescent="0.45">
      <c r="A57" s="211"/>
      <c r="B57" s="212"/>
      <c r="C57" s="64" t="s">
        <v>61</v>
      </c>
      <c r="D57" s="76" t="s">
        <v>66</v>
      </c>
      <c r="E57" s="64" t="s">
        <v>67</v>
      </c>
      <c r="F57" s="65" t="s">
        <v>61</v>
      </c>
      <c r="G57" s="66" t="s">
        <v>66</v>
      </c>
      <c r="H57" s="65" t="s">
        <v>67</v>
      </c>
    </row>
    <row r="58" spans="1:8" x14ac:dyDescent="0.4">
      <c r="A58" s="18" t="s">
        <v>281</v>
      </c>
      <c r="B58" s="222" t="s">
        <v>37</v>
      </c>
      <c r="C58" s="70">
        <v>1</v>
      </c>
      <c r="D58" s="213">
        <v>0</v>
      </c>
      <c r="E58" s="70">
        <f>C58*D58</f>
        <v>0</v>
      </c>
      <c r="F58" s="72">
        <v>1</v>
      </c>
      <c r="G58" s="214">
        <f>10500*G3</f>
        <v>11235</v>
      </c>
      <c r="H58" s="72">
        <f>F58*G58</f>
        <v>11235</v>
      </c>
    </row>
    <row r="59" spans="1:8" x14ac:dyDescent="0.4">
      <c r="A59" s="12"/>
      <c r="B59" s="215" t="s">
        <v>282</v>
      </c>
      <c r="C59" s="216"/>
      <c r="D59" s="216"/>
      <c r="E59" s="216"/>
      <c r="F59" s="218"/>
      <c r="G59" s="221"/>
      <c r="H59" s="218"/>
    </row>
    <row r="60" spans="1:8" x14ac:dyDescent="0.4">
      <c r="A60" s="12"/>
      <c r="B60" s="223"/>
      <c r="C60" s="2"/>
      <c r="D60" s="2"/>
      <c r="E60" s="2"/>
    </row>
    <row r="61" spans="1:8" ht="18.45" x14ac:dyDescent="0.5">
      <c r="A61" s="197"/>
      <c r="B61" s="198" t="s">
        <v>283</v>
      </c>
      <c r="C61" s="224"/>
      <c r="D61" s="224"/>
      <c r="E61" s="201">
        <f>SUM(E6:E60)</f>
        <v>0</v>
      </c>
      <c r="F61" s="225"/>
      <c r="G61" s="226"/>
      <c r="H61" s="204">
        <f>SUM(H6:H60)</f>
        <v>72052</v>
      </c>
    </row>
    <row r="62" spans="1:8" ht="18.45" x14ac:dyDescent="0.5">
      <c r="A62" s="227"/>
      <c r="B62" s="228"/>
      <c r="C62" s="229"/>
      <c r="D62" s="229"/>
      <c r="E62" s="229"/>
      <c r="F62" s="229"/>
      <c r="G62" s="230"/>
      <c r="H62" s="229"/>
    </row>
    <row r="64" spans="1:8" x14ac:dyDescent="0.4">
      <c r="B64" s="231"/>
    </row>
  </sheetData>
  <sheetProtection password="C845" sheet="1" objects="1" scenarios="1"/>
  <mergeCells count="1"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E7" sqref="E7"/>
    </sheetView>
  </sheetViews>
  <sheetFormatPr defaultRowHeight="14.6" x14ac:dyDescent="0.4"/>
  <cols>
    <col min="2" max="2" width="73.53515625" customWidth="1"/>
    <col min="3" max="4" width="11"/>
    <col min="5" max="5" width="13.3046875" bestFit="1" customWidth="1"/>
    <col min="6" max="7" width="0" hidden="1" customWidth="1"/>
    <col min="8" max="8" width="13.3046875" hidden="1" customWidth="1"/>
  </cols>
  <sheetData>
    <row r="1" spans="1:8" ht="18.45" x14ac:dyDescent="0.5">
      <c r="A1" s="53" t="s">
        <v>284</v>
      </c>
      <c r="B1" s="54"/>
      <c r="C1" s="54"/>
      <c r="D1" s="54"/>
      <c r="E1" s="54"/>
      <c r="F1" s="55"/>
      <c r="G1" s="55"/>
      <c r="H1" s="55"/>
    </row>
    <row r="2" spans="1:8" x14ac:dyDescent="0.4">
      <c r="A2" s="2"/>
      <c r="B2" s="2"/>
      <c r="C2" s="2"/>
      <c r="D2" s="2"/>
      <c r="E2" s="2"/>
    </row>
    <row r="3" spans="1:8" x14ac:dyDescent="0.4">
      <c r="A3" s="146" t="s">
        <v>285</v>
      </c>
      <c r="B3" s="146"/>
      <c r="C3" s="146"/>
      <c r="D3" s="146"/>
      <c r="E3" s="146"/>
      <c r="F3" s="149"/>
      <c r="G3" s="149"/>
      <c r="H3" s="149"/>
    </row>
    <row r="4" spans="1:8" x14ac:dyDescent="0.4">
      <c r="A4" s="2"/>
      <c r="B4" s="2"/>
      <c r="C4" s="2"/>
      <c r="D4" s="2"/>
      <c r="E4" s="2"/>
    </row>
    <row r="5" spans="1:8" ht="15.9" x14ac:dyDescent="0.45">
      <c r="A5" s="54" t="s">
        <v>59</v>
      </c>
      <c r="B5" s="54" t="s">
        <v>60</v>
      </c>
      <c r="C5" s="60" t="s">
        <v>61</v>
      </c>
      <c r="D5" s="60" t="s">
        <v>64</v>
      </c>
      <c r="E5" s="60" t="s">
        <v>63</v>
      </c>
      <c r="F5" s="61" t="s">
        <v>61</v>
      </c>
      <c r="G5" s="61" t="s">
        <v>64</v>
      </c>
      <c r="H5" s="61" t="s">
        <v>63</v>
      </c>
    </row>
    <row r="6" spans="1:8" ht="15.9" x14ac:dyDescent="0.45">
      <c r="A6" s="232"/>
      <c r="B6" s="232"/>
      <c r="C6" s="64" t="s">
        <v>61</v>
      </c>
      <c r="D6" s="64" t="s">
        <v>66</v>
      </c>
      <c r="E6" s="64" t="s">
        <v>67</v>
      </c>
      <c r="F6" s="65" t="s">
        <v>61</v>
      </c>
      <c r="G6" s="65" t="s">
        <v>66</v>
      </c>
      <c r="H6" s="65" t="s">
        <v>67</v>
      </c>
    </row>
    <row r="7" spans="1:8" x14ac:dyDescent="0.4">
      <c r="A7" s="18" t="s">
        <v>286</v>
      </c>
      <c r="B7" s="67" t="s">
        <v>287</v>
      </c>
      <c r="C7" s="70">
        <v>1</v>
      </c>
      <c r="D7" s="213">
        <v>0</v>
      </c>
      <c r="E7" s="70">
        <f>C7*D7</f>
        <v>0</v>
      </c>
      <c r="F7" s="72">
        <v>1</v>
      </c>
      <c r="G7" s="213">
        <f>2000+(2000*0.07)</f>
        <v>2140</v>
      </c>
      <c r="H7" s="72">
        <f>F7*G7</f>
        <v>2140</v>
      </c>
    </row>
    <row r="8" spans="1:8" x14ac:dyDescent="0.4">
      <c r="A8" s="12"/>
      <c r="B8" s="74" t="s">
        <v>288</v>
      </c>
      <c r="C8" s="233"/>
      <c r="D8" s="233"/>
      <c r="E8" s="233"/>
      <c r="F8" s="234"/>
      <c r="G8" s="234"/>
      <c r="H8" s="234"/>
    </row>
    <row r="9" spans="1:8" x14ac:dyDescent="0.4">
      <c r="A9" s="12"/>
      <c r="B9" s="12"/>
      <c r="C9" s="233"/>
      <c r="D9" s="233"/>
      <c r="E9" s="233"/>
      <c r="F9" s="234"/>
      <c r="G9" s="234"/>
      <c r="H9" s="234"/>
    </row>
    <row r="10" spans="1:8" ht="18.45" x14ac:dyDescent="0.5">
      <c r="A10" s="197"/>
      <c r="B10" s="198" t="s">
        <v>283</v>
      </c>
      <c r="C10" s="224"/>
      <c r="D10" s="224"/>
      <c r="E10" s="201">
        <f>E7</f>
        <v>0</v>
      </c>
      <c r="F10" s="225"/>
      <c r="G10" s="225"/>
      <c r="H10" s="204">
        <f>H7</f>
        <v>2140</v>
      </c>
    </row>
    <row r="11" spans="1:8" ht="18.45" x14ac:dyDescent="0.5">
      <c r="A11" s="197"/>
      <c r="B11" s="235"/>
      <c r="C11" s="236"/>
      <c r="D11" s="236"/>
      <c r="E11" s="236"/>
      <c r="F11" s="229"/>
      <c r="G11" s="229"/>
      <c r="H11" s="229"/>
    </row>
    <row r="12" spans="1:8" x14ac:dyDescent="0.4">
      <c r="A12" s="77"/>
      <c r="B12" s="77"/>
      <c r="C12" s="77"/>
      <c r="D12" s="77"/>
      <c r="E12" s="77"/>
      <c r="F12" s="77"/>
      <c r="G12" s="77"/>
      <c r="H12" s="77"/>
    </row>
    <row r="13" spans="1:8" x14ac:dyDescent="0.4">
      <c r="A13" s="77"/>
      <c r="B13" s="77"/>
      <c r="C13" s="77"/>
      <c r="D13" s="77"/>
      <c r="E13" s="77"/>
      <c r="F13" s="77"/>
      <c r="G13" s="77"/>
      <c r="H13" s="77"/>
    </row>
    <row r="14" spans="1:8" x14ac:dyDescent="0.4">
      <c r="A14" s="77"/>
      <c r="B14" s="77"/>
      <c r="C14" s="77"/>
      <c r="D14" s="77"/>
      <c r="E14" s="77"/>
      <c r="F14" s="77"/>
      <c r="G14" s="77"/>
      <c r="H14" s="77"/>
    </row>
  </sheetData>
  <sheetProtection password="C845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="80" zoomScaleNormal="80" workbookViewId="0">
      <selection activeCell="F9" sqref="F9"/>
    </sheetView>
  </sheetViews>
  <sheetFormatPr defaultRowHeight="14.6" x14ac:dyDescent="0.4"/>
  <cols>
    <col min="1" max="1" width="19.69140625" customWidth="1"/>
    <col min="2" max="2" width="71.07421875" customWidth="1"/>
    <col min="3" max="3" width="15.3046875" customWidth="1"/>
    <col min="4" max="4" width="12.3046875" customWidth="1"/>
    <col min="5" max="5" width="11"/>
    <col min="6" max="6" width="16.84375" customWidth="1"/>
    <col min="7" max="7" width="12.3046875" hidden="1" customWidth="1"/>
    <col min="8" max="8" width="0" style="210" hidden="1" customWidth="1"/>
    <col min="9" max="9" width="16.84375" style="210" hidden="1" customWidth="1"/>
  </cols>
  <sheetData>
    <row r="1" spans="1:9" ht="18.45" x14ac:dyDescent="0.5">
      <c r="A1" s="53" t="s">
        <v>289</v>
      </c>
      <c r="B1" s="53"/>
      <c r="C1" s="53"/>
      <c r="D1" s="53"/>
      <c r="E1" s="53"/>
      <c r="F1" s="53"/>
      <c r="G1" s="89"/>
      <c r="H1" s="237"/>
      <c r="I1" s="237"/>
    </row>
    <row r="2" spans="1:9" ht="18.45" x14ac:dyDescent="0.5">
      <c r="A2" s="91"/>
      <c r="B2" s="91"/>
      <c r="C2" s="91"/>
      <c r="D2" s="91"/>
      <c r="E2" s="91"/>
      <c r="F2" s="91"/>
      <c r="G2" s="238"/>
      <c r="H2" s="239"/>
      <c r="I2" s="239"/>
    </row>
    <row r="3" spans="1:9" x14ac:dyDescent="0.4">
      <c r="A3" s="283" t="s">
        <v>290</v>
      </c>
      <c r="B3" s="283"/>
      <c r="C3" s="283"/>
      <c r="D3" s="283"/>
      <c r="E3" s="283"/>
      <c r="F3" s="283"/>
      <c r="G3" s="58"/>
      <c r="H3" s="58"/>
      <c r="I3" s="58"/>
    </row>
    <row r="4" spans="1:9" x14ac:dyDescent="0.4">
      <c r="A4" s="2"/>
      <c r="B4" s="2"/>
      <c r="C4" s="2"/>
      <c r="D4" s="2"/>
      <c r="E4" s="2"/>
      <c r="F4" s="2"/>
    </row>
    <row r="5" spans="1:9" x14ac:dyDescent="0.4">
      <c r="A5" s="12"/>
      <c r="B5" s="12"/>
      <c r="C5" s="107"/>
      <c r="D5" s="12"/>
      <c r="E5" s="12"/>
      <c r="F5" s="12"/>
      <c r="G5" s="77"/>
      <c r="H5" s="240"/>
      <c r="I5" s="240"/>
    </row>
    <row r="6" spans="1:9" ht="15.9" x14ac:dyDescent="0.45">
      <c r="A6" s="59" t="s">
        <v>59</v>
      </c>
      <c r="B6" s="59" t="s">
        <v>60</v>
      </c>
      <c r="C6" s="152"/>
      <c r="D6" s="60" t="s">
        <v>61</v>
      </c>
      <c r="E6" s="60" t="s">
        <v>64</v>
      </c>
      <c r="F6" s="60" t="s">
        <v>63</v>
      </c>
      <c r="G6" s="61" t="s">
        <v>61</v>
      </c>
      <c r="H6" s="143" t="s">
        <v>64</v>
      </c>
      <c r="I6" s="143" t="s">
        <v>63</v>
      </c>
    </row>
    <row r="7" spans="1:9" ht="15.9" x14ac:dyDescent="0.45">
      <c r="A7" s="63"/>
      <c r="B7" s="63"/>
      <c r="C7" s="241"/>
      <c r="D7" s="64" t="s">
        <v>291</v>
      </c>
      <c r="E7" s="64" t="s">
        <v>66</v>
      </c>
      <c r="F7" s="64" t="s">
        <v>67</v>
      </c>
      <c r="G7" s="65" t="s">
        <v>291</v>
      </c>
      <c r="H7" s="242" t="s">
        <v>66</v>
      </c>
      <c r="I7" s="242" t="s">
        <v>67</v>
      </c>
    </row>
    <row r="8" spans="1:9" x14ac:dyDescent="0.4">
      <c r="A8" s="67"/>
      <c r="B8" s="79" t="s">
        <v>292</v>
      </c>
      <c r="C8" s="243"/>
      <c r="D8" s="70"/>
      <c r="E8" s="70"/>
      <c r="F8" s="244">
        <f>F9+F10+F11</f>
        <v>0</v>
      </c>
      <c r="G8" s="72"/>
      <c r="H8" s="245"/>
      <c r="I8" s="246">
        <f>I9+I10+I11</f>
        <v>43721.2</v>
      </c>
    </row>
    <row r="9" spans="1:9" x14ac:dyDescent="0.4">
      <c r="A9" s="12" t="s">
        <v>293</v>
      </c>
      <c r="B9" s="12" t="s">
        <v>294</v>
      </c>
      <c r="C9" s="247"/>
      <c r="D9" s="248">
        <v>920</v>
      </c>
      <c r="E9" s="249">
        <v>0</v>
      </c>
      <c r="F9" s="162">
        <f>D9*E9</f>
        <v>0</v>
      </c>
      <c r="G9" s="250">
        <v>920</v>
      </c>
      <c r="H9" s="249">
        <v>28.61</v>
      </c>
      <c r="I9" s="251">
        <f>G9*H9</f>
        <v>26321.200000000001</v>
      </c>
    </row>
    <row r="10" spans="1:9" x14ac:dyDescent="0.4">
      <c r="A10" s="12" t="s">
        <v>295</v>
      </c>
      <c r="B10" s="12" t="s">
        <v>296</v>
      </c>
      <c r="C10" s="247"/>
      <c r="D10" s="248">
        <v>290</v>
      </c>
      <c r="E10" s="249">
        <v>0</v>
      </c>
      <c r="F10" s="162">
        <f t="shared" ref="F10:F11" si="0">D10*E10</f>
        <v>0</v>
      </c>
      <c r="G10" s="250">
        <v>290</v>
      </c>
      <c r="H10" s="249">
        <v>30</v>
      </c>
      <c r="I10" s="251">
        <f t="shared" ref="I10:I11" si="1">G10*H10</f>
        <v>8700</v>
      </c>
    </row>
    <row r="11" spans="1:9" x14ac:dyDescent="0.4">
      <c r="A11" s="12" t="s">
        <v>297</v>
      </c>
      <c r="B11" s="12" t="s">
        <v>298</v>
      </c>
      <c r="C11" s="247"/>
      <c r="D11" s="248">
        <v>290</v>
      </c>
      <c r="E11" s="249">
        <v>0</v>
      </c>
      <c r="F11" s="162">
        <f t="shared" si="0"/>
        <v>0</v>
      </c>
      <c r="G11" s="250">
        <v>290</v>
      </c>
      <c r="H11" s="249">
        <v>30</v>
      </c>
      <c r="I11" s="251">
        <f t="shared" si="1"/>
        <v>8700</v>
      </c>
    </row>
    <row r="12" spans="1:9" x14ac:dyDescent="0.4">
      <c r="A12" s="12"/>
      <c r="B12" s="12"/>
      <c r="C12" s="12"/>
      <c r="D12" s="12"/>
      <c r="E12" s="12"/>
      <c r="F12" s="12"/>
      <c r="G12" s="77"/>
      <c r="H12" s="240"/>
      <c r="I12" s="240"/>
    </row>
    <row r="13" spans="1:9" ht="15.9" x14ac:dyDescent="0.45">
      <c r="A13" s="59" t="s">
        <v>59</v>
      </c>
      <c r="B13" s="59" t="s">
        <v>60</v>
      </c>
      <c r="C13" s="152" t="s">
        <v>299</v>
      </c>
      <c r="D13" s="60" t="s">
        <v>61</v>
      </c>
      <c r="E13" s="60" t="s">
        <v>64</v>
      </c>
      <c r="F13" s="60" t="s">
        <v>63</v>
      </c>
      <c r="G13" s="61" t="s">
        <v>61</v>
      </c>
      <c r="H13" s="143" t="s">
        <v>64</v>
      </c>
      <c r="I13" s="143" t="s">
        <v>63</v>
      </c>
    </row>
    <row r="14" spans="1:9" ht="15.9" x14ac:dyDescent="0.45">
      <c r="A14" s="63"/>
      <c r="B14" s="63"/>
      <c r="C14" s="241"/>
      <c r="D14" s="64" t="s">
        <v>61</v>
      </c>
      <c r="E14" s="64" t="s">
        <v>66</v>
      </c>
      <c r="F14" s="64" t="s">
        <v>67</v>
      </c>
      <c r="G14" s="65" t="s">
        <v>61</v>
      </c>
      <c r="H14" s="242" t="s">
        <v>66</v>
      </c>
      <c r="I14" s="242" t="s">
        <v>67</v>
      </c>
    </row>
    <row r="15" spans="1:9" x14ac:dyDescent="0.4">
      <c r="A15" s="67"/>
      <c r="B15" s="79" t="s">
        <v>46</v>
      </c>
      <c r="C15" s="243"/>
      <c r="D15" s="154">
        <v>1</v>
      </c>
      <c r="E15" s="70">
        <f>+H15/1.19</f>
        <v>50000</v>
      </c>
      <c r="F15" s="244">
        <v>50000</v>
      </c>
      <c r="G15" s="157">
        <v>1</v>
      </c>
      <c r="H15" s="245">
        <f>F15*1.19</f>
        <v>59500</v>
      </c>
      <c r="I15" s="246">
        <f>G15*H15</f>
        <v>59500</v>
      </c>
    </row>
    <row r="16" spans="1:9" x14ac:dyDescent="0.4">
      <c r="A16" s="12" t="s">
        <v>300</v>
      </c>
      <c r="B16" s="12" t="s">
        <v>301</v>
      </c>
      <c r="C16" s="247"/>
      <c r="D16" s="12"/>
      <c r="E16" s="12"/>
      <c r="F16" s="13"/>
      <c r="G16" s="77"/>
      <c r="H16" s="240"/>
      <c r="I16" s="252"/>
    </row>
    <row r="17" spans="1:9" x14ac:dyDescent="0.4">
      <c r="A17" s="12"/>
      <c r="B17" s="12"/>
      <c r="C17" s="107"/>
      <c r="D17" s="12"/>
      <c r="E17" s="12"/>
      <c r="F17" s="103"/>
      <c r="G17" s="77"/>
      <c r="H17" s="240"/>
      <c r="I17" s="253"/>
    </row>
    <row r="18" spans="1:9" ht="15.9" x14ac:dyDescent="0.45">
      <c r="A18" s="59" t="s">
        <v>59</v>
      </c>
      <c r="B18" s="59" t="s">
        <v>60</v>
      </c>
      <c r="C18" s="152" t="s">
        <v>299</v>
      </c>
      <c r="D18" s="60" t="s">
        <v>61</v>
      </c>
      <c r="E18" s="60" t="s">
        <v>64</v>
      </c>
      <c r="F18" s="60" t="s">
        <v>63</v>
      </c>
      <c r="G18" s="61" t="s">
        <v>61</v>
      </c>
      <c r="H18" s="143" t="s">
        <v>64</v>
      </c>
      <c r="I18" s="143" t="s">
        <v>63</v>
      </c>
    </row>
    <row r="19" spans="1:9" ht="15.9" x14ac:dyDescent="0.45">
      <c r="A19" s="67"/>
      <c r="B19" s="79" t="s">
        <v>302</v>
      </c>
      <c r="C19" s="241"/>
      <c r="D19" s="64" t="s">
        <v>61</v>
      </c>
      <c r="E19" s="64" t="s">
        <v>66</v>
      </c>
      <c r="F19" s="64" t="s">
        <v>67</v>
      </c>
      <c r="G19" s="65" t="s">
        <v>61</v>
      </c>
      <c r="H19" s="242" t="s">
        <v>66</v>
      </c>
      <c r="I19" s="242" t="s">
        <v>67</v>
      </c>
    </row>
    <row r="20" spans="1:9" x14ac:dyDescent="0.4">
      <c r="A20" s="12" t="s">
        <v>303</v>
      </c>
      <c r="B20" s="12" t="s">
        <v>304</v>
      </c>
      <c r="C20" s="243"/>
      <c r="D20" s="154">
        <v>1</v>
      </c>
      <c r="E20" s="70">
        <f>+H20/1.19</f>
        <v>100000</v>
      </c>
      <c r="F20" s="244">
        <v>100000</v>
      </c>
      <c r="G20" s="157">
        <v>1</v>
      </c>
      <c r="H20" s="245">
        <f>F20*1.19</f>
        <v>119000</v>
      </c>
      <c r="I20" s="246">
        <f>G20*H20</f>
        <v>119000</v>
      </c>
    </row>
    <row r="21" spans="1:9" x14ac:dyDescent="0.4">
      <c r="A21" s="12"/>
      <c r="B21" s="12"/>
      <c r="C21" s="247"/>
      <c r="D21" s="12"/>
      <c r="E21" s="12"/>
      <c r="F21" s="13"/>
      <c r="G21" s="77"/>
      <c r="H21" s="240"/>
      <c r="I21" s="252"/>
    </row>
    <row r="22" spans="1:9" ht="15.9" x14ac:dyDescent="0.45">
      <c r="A22" s="59" t="s">
        <v>59</v>
      </c>
      <c r="B22" s="59" t="s">
        <v>60</v>
      </c>
      <c r="C22" s="152"/>
      <c r="D22" s="152"/>
      <c r="E22" s="60"/>
      <c r="F22" s="152" t="s">
        <v>67</v>
      </c>
      <c r="G22" s="153"/>
      <c r="H22" s="143"/>
      <c r="I22" s="254" t="s">
        <v>67</v>
      </c>
    </row>
    <row r="23" spans="1:9" x14ac:dyDescent="0.4">
      <c r="A23" s="67"/>
      <c r="B23" s="79" t="s">
        <v>305</v>
      </c>
      <c r="C23" s="243"/>
      <c r="D23" s="243"/>
      <c r="E23" s="243"/>
      <c r="F23" s="255" t="s">
        <v>306</v>
      </c>
      <c r="G23" s="256"/>
      <c r="H23" s="257"/>
      <c r="I23" s="258" t="s">
        <v>306</v>
      </c>
    </row>
    <row r="24" spans="1:9" x14ac:dyDescent="0.4">
      <c r="A24" s="12" t="s">
        <v>307</v>
      </c>
      <c r="B24" s="12" t="s">
        <v>308</v>
      </c>
      <c r="C24" s="259"/>
      <c r="D24" s="12"/>
      <c r="E24" s="12"/>
      <c r="F24" s="12"/>
      <c r="G24" s="77"/>
      <c r="H24" s="240"/>
      <c r="I24" s="240"/>
    </row>
    <row r="25" spans="1:9" x14ac:dyDescent="0.4">
      <c r="A25" s="12"/>
      <c r="B25" s="12" t="s">
        <v>309</v>
      </c>
      <c r="C25" s="259"/>
      <c r="D25" s="12"/>
      <c r="E25" s="12"/>
      <c r="F25" s="12"/>
      <c r="G25" s="77"/>
      <c r="H25" s="240"/>
      <c r="I25" s="240"/>
    </row>
    <row r="26" spans="1:9" ht="18.45" x14ac:dyDescent="0.5">
      <c r="A26" s="197"/>
      <c r="B26" s="198" t="s">
        <v>310</v>
      </c>
      <c r="C26" s="224"/>
      <c r="D26" s="224"/>
      <c r="E26" s="224"/>
      <c r="F26" s="201">
        <f>F8+F15</f>
        <v>50000</v>
      </c>
      <c r="G26" s="225"/>
      <c r="H26" s="226"/>
      <c r="I26" s="260">
        <f>I8+I15</f>
        <v>103221.2</v>
      </c>
    </row>
    <row r="27" spans="1:9" ht="18.45" x14ac:dyDescent="0.5">
      <c r="A27" s="197"/>
      <c r="B27" s="235"/>
      <c r="C27" s="236"/>
      <c r="D27" s="236"/>
      <c r="E27" s="224"/>
      <c r="F27" s="236"/>
      <c r="G27" s="229"/>
      <c r="H27" s="226"/>
      <c r="I27" s="230"/>
    </row>
    <row r="28" spans="1:9" ht="15.9" hidden="1" x14ac:dyDescent="0.45">
      <c r="A28" s="12"/>
      <c r="B28" s="12"/>
      <c r="C28" s="12"/>
      <c r="D28" s="92"/>
      <c r="E28" s="92"/>
      <c r="F28" s="92"/>
      <c r="G28" s="93"/>
      <c r="H28" s="261"/>
      <c r="I28" s="261"/>
    </row>
    <row r="29" spans="1:9" hidden="1" x14ac:dyDescent="0.4">
      <c r="A29" s="262" t="s">
        <v>59</v>
      </c>
      <c r="B29" s="262" t="s">
        <v>60</v>
      </c>
      <c r="C29" s="263"/>
      <c r="D29" s="263"/>
      <c r="E29" s="263"/>
      <c r="F29" s="263"/>
      <c r="G29" s="264"/>
      <c r="H29" s="265"/>
      <c r="I29" s="265"/>
    </row>
    <row r="30" spans="1:9" hidden="1" x14ac:dyDescent="0.4">
      <c r="A30" s="67"/>
      <c r="B30" s="79" t="s">
        <v>311</v>
      </c>
      <c r="C30" s="266"/>
      <c r="D30" s="266"/>
      <c r="E30" s="266"/>
      <c r="F30" s="267">
        <f>+I30/1.19</f>
        <v>5042.0168067226896</v>
      </c>
      <c r="G30" s="268"/>
      <c r="H30" s="269"/>
      <c r="I30" s="267">
        <v>6000</v>
      </c>
    </row>
    <row r="31" spans="1:9" hidden="1" x14ac:dyDescent="0.4">
      <c r="A31" s="270"/>
      <c r="B31" s="271" t="s">
        <v>312</v>
      </c>
      <c r="C31" s="96"/>
      <c r="D31" s="96"/>
      <c r="E31" s="272"/>
      <c r="F31" s="273">
        <f>+I31/1.19</f>
        <v>269.74789915966386</v>
      </c>
      <c r="G31" s="97"/>
      <c r="H31" s="274"/>
      <c r="I31" s="275">
        <f>300+(300*0.07)</f>
        <v>321</v>
      </c>
    </row>
    <row r="32" spans="1:9" hidden="1" x14ac:dyDescent="0.4">
      <c r="A32" s="270"/>
      <c r="B32" s="23"/>
      <c r="C32" s="272"/>
      <c r="D32" s="272"/>
      <c r="E32" s="272"/>
      <c r="F32" s="272"/>
      <c r="G32" s="276"/>
      <c r="H32" s="274"/>
      <c r="I32" s="274"/>
    </row>
    <row r="33" spans="1:9" hidden="1" x14ac:dyDescent="0.4">
      <c r="A33" s="262" t="s">
        <v>59</v>
      </c>
      <c r="B33" s="262" t="s">
        <v>60</v>
      </c>
      <c r="C33" s="263"/>
      <c r="D33" s="263"/>
      <c r="E33" s="263"/>
      <c r="F33" s="263"/>
      <c r="G33" s="264"/>
      <c r="H33" s="265"/>
      <c r="I33" s="265"/>
    </row>
    <row r="34" spans="1:9" hidden="1" x14ac:dyDescent="0.4">
      <c r="A34" s="67"/>
      <c r="B34" s="79" t="s">
        <v>313</v>
      </c>
      <c r="C34" s="266"/>
      <c r="D34" s="266"/>
      <c r="E34" s="266"/>
      <c r="F34" s="266">
        <f>+I34/1.19</f>
        <v>1680.6722689075632</v>
      </c>
      <c r="G34" s="268"/>
      <c r="H34" s="269"/>
      <c r="I34" s="269">
        <v>2000</v>
      </c>
    </row>
    <row r="35" spans="1:9" hidden="1" x14ac:dyDescent="0.4">
      <c r="A35" s="270"/>
      <c r="B35" s="271" t="s">
        <v>314</v>
      </c>
      <c r="C35" s="96"/>
      <c r="D35" s="96"/>
      <c r="E35" s="272"/>
      <c r="F35" s="273">
        <f t="shared" ref="F35:F39" si="2">+I35/1.19</f>
        <v>40.462184873949582</v>
      </c>
      <c r="G35" s="97"/>
      <c r="H35" s="274"/>
      <c r="I35" s="275">
        <f>45+(45*0.07)</f>
        <v>48.15</v>
      </c>
    </row>
    <row r="36" spans="1:9" hidden="1" x14ac:dyDescent="0.4">
      <c r="A36" s="270"/>
      <c r="B36" s="271" t="s">
        <v>315</v>
      </c>
      <c r="C36" s="96"/>
      <c r="D36" s="96"/>
      <c r="E36" s="272"/>
      <c r="F36" s="273">
        <f t="shared" si="2"/>
        <v>40.462184873949582</v>
      </c>
      <c r="G36" s="97"/>
      <c r="H36" s="274"/>
      <c r="I36" s="275">
        <f>45+(45*0.07)</f>
        <v>48.15</v>
      </c>
    </row>
    <row r="37" spans="1:9" hidden="1" x14ac:dyDescent="0.4">
      <c r="A37" s="270"/>
      <c r="B37" s="271" t="s">
        <v>316</v>
      </c>
      <c r="C37" s="96"/>
      <c r="D37" s="96"/>
      <c r="E37" s="272"/>
      <c r="F37" s="273">
        <f t="shared" si="2"/>
        <v>40.462184873949582</v>
      </c>
      <c r="G37" s="97"/>
      <c r="H37" s="274"/>
      <c r="I37" s="275">
        <f>45+(45*0.07)</f>
        <v>48.15</v>
      </c>
    </row>
    <row r="38" spans="1:9" hidden="1" x14ac:dyDescent="0.4">
      <c r="A38" s="270"/>
      <c r="B38" s="271" t="s">
        <v>317</v>
      </c>
      <c r="C38" s="96"/>
      <c r="D38" s="96"/>
      <c r="E38" s="272"/>
      <c r="F38" s="273">
        <f t="shared" si="2"/>
        <v>62.941176470588246</v>
      </c>
      <c r="G38" s="97"/>
      <c r="H38" s="274"/>
      <c r="I38" s="275">
        <f>70+(70*0.07)</f>
        <v>74.900000000000006</v>
      </c>
    </row>
    <row r="39" spans="1:9" hidden="1" x14ac:dyDescent="0.4">
      <c r="A39" s="270"/>
      <c r="B39" s="271" t="s">
        <v>317</v>
      </c>
      <c r="C39" s="96"/>
      <c r="D39" s="96"/>
      <c r="E39" s="272"/>
      <c r="F39" s="273">
        <f t="shared" si="2"/>
        <v>89.915966386554629</v>
      </c>
      <c r="G39" s="97"/>
      <c r="H39" s="274"/>
      <c r="I39" s="275">
        <f>100+(100*0.07)</f>
        <v>107</v>
      </c>
    </row>
    <row r="40" spans="1:9" hidden="1" x14ac:dyDescent="0.4">
      <c r="A40" s="270"/>
      <c r="B40" s="23"/>
      <c r="C40" s="272"/>
      <c r="D40" s="272"/>
      <c r="E40" s="272"/>
      <c r="F40" s="272"/>
      <c r="G40" s="276"/>
      <c r="H40" s="274"/>
      <c r="I40" s="274"/>
    </row>
    <row r="41" spans="1:9" hidden="1" x14ac:dyDescent="0.4">
      <c r="A41" s="262" t="s">
        <v>59</v>
      </c>
      <c r="B41" s="262" t="s">
        <v>60</v>
      </c>
      <c r="C41" s="263"/>
      <c r="D41" s="263"/>
      <c r="E41" s="263"/>
      <c r="F41" s="263"/>
      <c r="G41" s="264"/>
      <c r="H41" s="265"/>
      <c r="I41" s="265"/>
    </row>
    <row r="42" spans="1:9" hidden="1" x14ac:dyDescent="0.4">
      <c r="A42" s="67"/>
      <c r="B42" s="79" t="s">
        <v>318</v>
      </c>
      <c r="C42" s="266"/>
      <c r="D42" s="266"/>
      <c r="E42" s="266"/>
      <c r="F42" s="266"/>
      <c r="G42" s="268"/>
      <c r="H42" s="269"/>
      <c r="I42" s="269"/>
    </row>
    <row r="43" spans="1:9" hidden="1" x14ac:dyDescent="0.4">
      <c r="A43" s="12" t="s">
        <v>319</v>
      </c>
      <c r="B43" s="12" t="s">
        <v>320</v>
      </c>
      <c r="C43" s="107"/>
      <c r="D43" s="12"/>
      <c r="E43" s="12"/>
      <c r="F43" s="12"/>
      <c r="G43" s="77"/>
      <c r="H43" s="240"/>
      <c r="I43" s="240"/>
    </row>
    <row r="44" spans="1:9" hidden="1" x14ac:dyDescent="0.4">
      <c r="A44" s="12" t="s">
        <v>321</v>
      </c>
      <c r="B44" s="12" t="s">
        <v>322</v>
      </c>
      <c r="C44" s="107"/>
      <c r="D44" s="12"/>
      <c r="E44" s="12"/>
      <c r="F44" s="12"/>
      <c r="G44" s="77"/>
      <c r="H44" s="240"/>
      <c r="I44" s="240"/>
    </row>
    <row r="45" spans="1:9" hidden="1" x14ac:dyDescent="0.4">
      <c r="A45" s="12" t="s">
        <v>323</v>
      </c>
      <c r="B45" s="12" t="s">
        <v>324</v>
      </c>
      <c r="C45" s="107"/>
      <c r="D45" s="12"/>
      <c r="E45" s="12"/>
      <c r="F45" s="12"/>
      <c r="G45" s="77"/>
      <c r="H45" s="240"/>
      <c r="I45" s="240"/>
    </row>
    <row r="46" spans="1:9" hidden="1" x14ac:dyDescent="0.4">
      <c r="A46" s="12" t="s">
        <v>325</v>
      </c>
      <c r="B46" s="12" t="s">
        <v>326</v>
      </c>
      <c r="C46" s="107"/>
      <c r="D46" s="12"/>
      <c r="E46" s="12"/>
      <c r="F46" s="12"/>
      <c r="G46" s="77"/>
      <c r="H46" s="240"/>
      <c r="I46" s="240"/>
    </row>
    <row r="47" spans="1:9" hidden="1" x14ac:dyDescent="0.4">
      <c r="E47" s="125"/>
      <c r="F47" s="125"/>
      <c r="H47" s="277"/>
      <c r="I47" s="277"/>
    </row>
    <row r="48" spans="1:9" x14ac:dyDescent="0.4">
      <c r="E48" s="125"/>
      <c r="F48" s="125"/>
      <c r="H48" s="277"/>
      <c r="I48" s="277"/>
    </row>
    <row r="49" spans="4:9" x14ac:dyDescent="0.4">
      <c r="E49" s="125"/>
      <c r="F49" s="125"/>
      <c r="H49" s="277"/>
      <c r="I49" s="277"/>
    </row>
    <row r="50" spans="4:9" x14ac:dyDescent="0.4">
      <c r="E50" s="125"/>
      <c r="F50" s="125"/>
      <c r="H50" s="277"/>
      <c r="I50" s="277"/>
    </row>
    <row r="51" spans="4:9" x14ac:dyDescent="0.4">
      <c r="F51" s="125"/>
      <c r="I51" s="277"/>
    </row>
    <row r="52" spans="4:9" x14ac:dyDescent="0.4">
      <c r="D52" s="278"/>
      <c r="E52" s="278"/>
      <c r="F52" s="279"/>
      <c r="G52" s="278"/>
      <c r="H52" s="280"/>
      <c r="I52" s="281"/>
    </row>
    <row r="53" spans="4:9" x14ac:dyDescent="0.4">
      <c r="E53" s="125"/>
      <c r="F53" s="125"/>
      <c r="H53" s="277"/>
      <c r="I53" s="277"/>
    </row>
    <row r="54" spans="4:9" x14ac:dyDescent="0.4">
      <c r="F54" s="125"/>
      <c r="I54" s="277"/>
    </row>
    <row r="55" spans="4:9" x14ac:dyDescent="0.4">
      <c r="E55" s="125"/>
      <c r="F55" s="125"/>
      <c r="H55" s="277"/>
      <c r="I55" s="277"/>
    </row>
    <row r="56" spans="4:9" x14ac:dyDescent="0.4">
      <c r="E56" s="125"/>
      <c r="F56" s="125"/>
      <c r="H56" s="277"/>
      <c r="I56" s="277"/>
    </row>
    <row r="57" spans="4:9" x14ac:dyDescent="0.4">
      <c r="F57" s="125"/>
      <c r="I57" s="277"/>
    </row>
    <row r="58" spans="4:9" x14ac:dyDescent="0.4">
      <c r="D58" s="278"/>
      <c r="E58" s="278"/>
      <c r="F58" s="279"/>
      <c r="G58" s="278"/>
      <c r="H58" s="280"/>
      <c r="I58" s="281"/>
    </row>
    <row r="59" spans="4:9" x14ac:dyDescent="0.4">
      <c r="F59" s="125"/>
      <c r="I59" s="277"/>
    </row>
    <row r="60" spans="4:9" x14ac:dyDescent="0.4">
      <c r="F60" s="125"/>
      <c r="I60" s="277"/>
    </row>
    <row r="61" spans="4:9" x14ac:dyDescent="0.4">
      <c r="F61" s="125"/>
      <c r="I61" s="277"/>
    </row>
    <row r="62" spans="4:9" x14ac:dyDescent="0.4">
      <c r="F62" s="125"/>
      <c r="I62" s="277"/>
    </row>
    <row r="63" spans="4:9" x14ac:dyDescent="0.4">
      <c r="F63" s="125"/>
      <c r="I63" s="277"/>
    </row>
    <row r="64" spans="4:9" x14ac:dyDescent="0.4">
      <c r="F64" s="125"/>
      <c r="I64" s="277"/>
    </row>
    <row r="65" spans="4:9" x14ac:dyDescent="0.4">
      <c r="F65" s="125"/>
      <c r="I65" s="277"/>
    </row>
    <row r="66" spans="4:9" x14ac:dyDescent="0.4">
      <c r="F66" s="125"/>
      <c r="I66" s="277"/>
    </row>
    <row r="67" spans="4:9" x14ac:dyDescent="0.4">
      <c r="F67" s="125"/>
      <c r="I67" s="277"/>
    </row>
    <row r="68" spans="4:9" x14ac:dyDescent="0.4">
      <c r="D68" s="278"/>
      <c r="E68" s="278"/>
      <c r="F68" s="279"/>
      <c r="G68" s="278"/>
      <c r="H68" s="280"/>
      <c r="I68" s="281"/>
    </row>
    <row r="69" spans="4:9" x14ac:dyDescent="0.4">
      <c r="F69" s="125"/>
      <c r="I69" s="277"/>
    </row>
    <row r="70" spans="4:9" x14ac:dyDescent="0.4">
      <c r="F70" s="125"/>
      <c r="I70" s="277"/>
    </row>
    <row r="71" spans="4:9" x14ac:dyDescent="0.4">
      <c r="F71" s="125"/>
      <c r="I71" s="277"/>
    </row>
    <row r="72" spans="4:9" x14ac:dyDescent="0.4">
      <c r="F72" s="125"/>
      <c r="I72" s="277"/>
    </row>
    <row r="73" spans="4:9" x14ac:dyDescent="0.4">
      <c r="F73" s="125"/>
      <c r="I73" s="277"/>
    </row>
    <row r="74" spans="4:9" x14ac:dyDescent="0.4">
      <c r="F74" s="125"/>
      <c r="I74" s="277"/>
    </row>
    <row r="75" spans="4:9" x14ac:dyDescent="0.4">
      <c r="F75" s="125"/>
      <c r="I75" s="277"/>
    </row>
    <row r="76" spans="4:9" x14ac:dyDescent="0.4">
      <c r="D76" s="278"/>
      <c r="E76" s="278"/>
      <c r="F76" s="279"/>
      <c r="G76" s="278"/>
      <c r="H76" s="280"/>
      <c r="I76" s="281"/>
    </row>
    <row r="77" spans="4:9" x14ac:dyDescent="0.4">
      <c r="F77" s="125"/>
      <c r="I77" s="277"/>
    </row>
    <row r="78" spans="4:9" x14ac:dyDescent="0.4">
      <c r="F78" s="125"/>
      <c r="I78" s="277"/>
    </row>
    <row r="79" spans="4:9" x14ac:dyDescent="0.4">
      <c r="F79" s="125"/>
      <c r="I79" s="277"/>
    </row>
    <row r="80" spans="4:9" x14ac:dyDescent="0.4">
      <c r="F80" s="125"/>
      <c r="I80" s="277"/>
    </row>
    <row r="81" spans="4:9" x14ac:dyDescent="0.4">
      <c r="F81" s="125"/>
      <c r="I81" s="277"/>
    </row>
    <row r="82" spans="4:9" x14ac:dyDescent="0.4">
      <c r="F82" s="125"/>
      <c r="I82" s="277"/>
    </row>
    <row r="83" spans="4:9" x14ac:dyDescent="0.4">
      <c r="F83" s="125"/>
      <c r="I83" s="277"/>
    </row>
    <row r="84" spans="4:9" x14ac:dyDescent="0.4">
      <c r="F84" s="125"/>
      <c r="I84" s="277"/>
    </row>
    <row r="85" spans="4:9" x14ac:dyDescent="0.4">
      <c r="D85" s="278"/>
      <c r="E85" s="278"/>
      <c r="F85" s="279"/>
      <c r="G85" s="278"/>
      <c r="H85" s="280"/>
      <c r="I85" s="281"/>
    </row>
    <row r="86" spans="4:9" x14ac:dyDescent="0.4">
      <c r="F86" s="125"/>
      <c r="I86" s="277"/>
    </row>
    <row r="87" spans="4:9" x14ac:dyDescent="0.4">
      <c r="F87" s="125"/>
      <c r="I87" s="277"/>
    </row>
    <row r="88" spans="4:9" x14ac:dyDescent="0.4">
      <c r="F88" s="125"/>
      <c r="I88" s="277"/>
    </row>
    <row r="89" spans="4:9" x14ac:dyDescent="0.4">
      <c r="F89" s="125"/>
      <c r="I89" s="277"/>
    </row>
    <row r="90" spans="4:9" x14ac:dyDescent="0.4">
      <c r="F90" s="125"/>
      <c r="I90" s="277"/>
    </row>
    <row r="91" spans="4:9" x14ac:dyDescent="0.4">
      <c r="F91" s="125"/>
      <c r="I91" s="277"/>
    </row>
    <row r="92" spans="4:9" x14ac:dyDescent="0.4">
      <c r="F92" s="125"/>
      <c r="I92" s="277"/>
    </row>
    <row r="93" spans="4:9" x14ac:dyDescent="0.4">
      <c r="F93" s="125"/>
      <c r="I93" s="277"/>
    </row>
    <row r="94" spans="4:9" x14ac:dyDescent="0.4">
      <c r="D94" s="278"/>
      <c r="E94" s="278"/>
      <c r="F94" s="279"/>
      <c r="G94" s="278"/>
      <c r="H94" s="280"/>
      <c r="I94" s="281"/>
    </row>
    <row r="95" spans="4:9" x14ac:dyDescent="0.4">
      <c r="F95" s="125"/>
      <c r="I95" s="277"/>
    </row>
    <row r="96" spans="4:9" x14ac:dyDescent="0.4">
      <c r="F96" s="125"/>
      <c r="I96" s="277"/>
    </row>
    <row r="97" spans="4:9" x14ac:dyDescent="0.4">
      <c r="F97" s="125"/>
      <c r="I97" s="277"/>
    </row>
    <row r="98" spans="4:9" x14ac:dyDescent="0.4">
      <c r="F98" s="125"/>
      <c r="I98" s="277"/>
    </row>
    <row r="99" spans="4:9" x14ac:dyDescent="0.4">
      <c r="F99" s="125"/>
      <c r="I99" s="277"/>
    </row>
    <row r="100" spans="4:9" x14ac:dyDescent="0.4">
      <c r="D100" s="278"/>
      <c r="E100" s="278"/>
      <c r="F100" s="279"/>
      <c r="G100" s="278"/>
      <c r="H100" s="280"/>
      <c r="I100" s="281"/>
    </row>
    <row r="101" spans="4:9" x14ac:dyDescent="0.4">
      <c r="F101" s="125"/>
      <c r="I101" s="277"/>
    </row>
    <row r="102" spans="4:9" x14ac:dyDescent="0.4">
      <c r="F102" s="125"/>
      <c r="I102" s="277"/>
    </row>
    <row r="103" spans="4:9" x14ac:dyDescent="0.4">
      <c r="F103" s="125"/>
      <c r="I103" s="277"/>
    </row>
    <row r="104" spans="4:9" x14ac:dyDescent="0.4">
      <c r="F104" s="125"/>
      <c r="I104" s="277"/>
    </row>
    <row r="105" spans="4:9" x14ac:dyDescent="0.4">
      <c r="F105" s="125"/>
      <c r="I105" s="277"/>
    </row>
    <row r="106" spans="4:9" x14ac:dyDescent="0.4">
      <c r="F106" s="125"/>
      <c r="I106" s="277"/>
    </row>
    <row r="107" spans="4:9" x14ac:dyDescent="0.4">
      <c r="D107" s="280"/>
      <c r="E107" s="280"/>
      <c r="F107" s="281"/>
      <c r="G107" s="280"/>
      <c r="H107" s="280"/>
      <c r="I107" s="281"/>
    </row>
    <row r="108" spans="4:9" x14ac:dyDescent="0.4">
      <c r="F108" s="125"/>
      <c r="I108" s="277"/>
    </row>
    <row r="109" spans="4:9" x14ac:dyDescent="0.4">
      <c r="F109" s="125"/>
      <c r="I109" s="277"/>
    </row>
  </sheetData>
  <sheetProtection password="C845" sheet="1" objects="1" scenarios="1"/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1</vt:i4>
      </vt:variant>
    </vt:vector>
  </HeadingPairs>
  <TitlesOfParts>
    <vt:vector size="7" baseType="lpstr">
      <vt:lpstr>RESUM</vt:lpstr>
      <vt:lpstr>I PREVENTIU</vt:lpstr>
      <vt:lpstr>II CONSUMIBLES</vt:lpstr>
      <vt:lpstr>III ESPECÍFIC</vt:lpstr>
      <vt:lpstr>IV ASSIS</vt:lpstr>
      <vt:lpstr>V CORR</vt:lpstr>
      <vt:lpstr>RESUM!Àrea_d'impressió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2025-06-25T13:06:44Z</dcterms:created>
  <dcterms:modified xsi:type="dcterms:W3CDTF">2025-06-30T09:58:22Z</dcterms:modified>
</cp:coreProperties>
</file>