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omments2.xml" ContentType="application/vnd.openxmlformats-officedocument.spreadsheetml.comments+xml"/>
  <Override PartName="/xl/customProperty7.bin" ContentType="application/vnd.openxmlformats-officedocument.spreadsheetml.customProperty"/>
  <Override PartName="/xl/drawings/drawing4.xml" ContentType="application/vnd.openxmlformats-officedocument.drawing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5.xml" ContentType="application/vnd.openxmlformats-officedocument.drawing+xml"/>
  <Override PartName="/xl/customProperty10.bin" ContentType="application/vnd.openxmlformats-officedocument.spreadsheetml.customProperty"/>
  <Override PartName="/xl/drawings/drawing6.xml" ContentType="application/vnd.openxmlformats-officedocument.drawing+xml"/>
  <Override PartName="/xl/customProperty11.bin" ContentType="application/vnd.openxmlformats-officedocument.spreadsheetml.customProperty"/>
  <Override PartName="/xl/drawings/drawing7.xml" ContentType="application/vnd.openxmlformats-officedocument.drawing+xml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drawings/drawing8.xml" ContentType="application/vnd.openxmlformats-officedocument.drawing+xml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9.xml" ContentType="application/vnd.openxmlformats-officedocument.drawing+xml"/>
  <Override PartName="/xl/customProperty1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" yWindow="0" windowWidth="19220" windowHeight="6240" firstSheet="15" activeTab="15"/>
  </bookViews>
  <sheets>
    <sheet name="TAULA MARE" sheetId="7" r:id="rId1"/>
    <sheet name="Costos personal" sheetId="21" r:id="rId2"/>
    <sheet name="Costos local + mobiliari" sheetId="22" r:id="rId3"/>
    <sheet name="Costos informat + Comunicacions" sheetId="23" r:id="rId4"/>
    <sheet name="SETEMBRE 2024 XV" sheetId="1" state="hidden" r:id="rId5"/>
    <sheet name="GENER 2025 ACC SOC" sheetId="5" state="hidden" r:id="rId6"/>
    <sheet name="Dades conveni" sheetId="3" state="hidden" r:id="rId7"/>
    <sheet name="Full1" sheetId="6" state="hidden" r:id="rId8"/>
    <sheet name="CONV DISCAPC" sheetId="8" state="hidden" r:id="rId9"/>
    <sheet name="Full5" sheetId="12" state="hidden" r:id="rId10"/>
    <sheet name="Full6" sheetId="13" state="hidden" r:id="rId11"/>
    <sheet name="Full8" sheetId="16" state="hidden" r:id="rId12"/>
    <sheet name="Full2" sheetId="18" state="hidden" r:id="rId13"/>
    <sheet name="Full3" sheetId="19" state="hidden" r:id="rId14"/>
    <sheet name="Comparatiu" sheetId="20" state="hidden" r:id="rId15"/>
    <sheet name="Annex_3 bis" sheetId="26" r:id="rId16"/>
  </sheets>
  <externalReferences>
    <externalReference r:id="rId17"/>
  </externalReferences>
  <calcPr calcId="145621"/>
</workbook>
</file>

<file path=xl/calcChain.xml><?xml version="1.0" encoding="utf-8"?>
<calcChain xmlns="http://schemas.openxmlformats.org/spreadsheetml/2006/main">
  <c r="E6" i="26" l="1"/>
  <c r="H7" i="26" l="1"/>
  <c r="D7" i="26"/>
  <c r="E7" i="26" s="1"/>
  <c r="F8" i="26" s="1"/>
  <c r="F10" i="26" s="1"/>
  <c r="H6" i="26"/>
  <c r="H8" i="26" l="1"/>
  <c r="F11" i="26"/>
  <c r="F12" i="26" s="1"/>
  <c r="H10" i="26" l="1"/>
  <c r="H11" i="26" s="1"/>
  <c r="J24" i="7"/>
  <c r="I24" i="7"/>
  <c r="H12" i="26" l="1"/>
  <c r="D124" i="21"/>
  <c r="K24" i="7"/>
  <c r="K23" i="7"/>
  <c r="I23" i="7"/>
  <c r="J23" i="7" s="1"/>
  <c r="D23" i="7"/>
  <c r="E84" i="21"/>
  <c r="I84" i="21"/>
  <c r="I85" i="21"/>
  <c r="J84" i="21"/>
  <c r="K84" i="21" s="1"/>
  <c r="C127" i="21" l="1"/>
  <c r="C128" i="21"/>
  <c r="C126" i="21"/>
  <c r="I21" i="7" l="1"/>
  <c r="K20" i="7"/>
  <c r="K22" i="7"/>
  <c r="K19" i="7"/>
  <c r="J20" i="7"/>
  <c r="J22" i="7"/>
  <c r="J19" i="7"/>
  <c r="I20" i="7"/>
  <c r="I19" i="7"/>
  <c r="H22" i="7"/>
  <c r="I22" i="7" s="1"/>
  <c r="G22" i="7"/>
  <c r="H82" i="21"/>
  <c r="H81" i="21"/>
  <c r="H80" i="21"/>
  <c r="K21" i="7" l="1"/>
  <c r="K25" i="7" s="1"/>
  <c r="J21" i="7"/>
  <c r="G83" i="21"/>
  <c r="H83" i="21" s="1"/>
  <c r="K27" i="7" l="1"/>
  <c r="K26" i="7"/>
  <c r="I39" i="7"/>
  <c r="K39" i="7" s="1"/>
  <c r="I40" i="7"/>
  <c r="I36" i="7"/>
  <c r="K36" i="7" s="1"/>
  <c r="G38" i="23"/>
  <c r="G57" i="23"/>
  <c r="I37" i="7" s="1"/>
  <c r="G45" i="23"/>
  <c r="G53" i="23"/>
  <c r="K37" i="7" l="1"/>
  <c r="I83" i="21" l="1"/>
  <c r="J83" i="21" s="1"/>
  <c r="K83" i="21" s="1"/>
  <c r="I82" i="21"/>
  <c r="J82" i="21" s="1"/>
  <c r="K82" i="21" s="1"/>
  <c r="I81" i="21"/>
  <c r="I80" i="21"/>
  <c r="I33" i="7"/>
  <c r="K33" i="7" s="1"/>
  <c r="G35" i="23"/>
  <c r="I35" i="7" s="1"/>
  <c r="K35" i="7" s="1"/>
  <c r="G40" i="23"/>
  <c r="I34" i="7" s="1"/>
  <c r="K40" i="7"/>
  <c r="I38" i="7"/>
  <c r="K38" i="7" s="1"/>
  <c r="E32" i="22"/>
  <c r="E33" i="22"/>
  <c r="E34" i="22"/>
  <c r="E35" i="22"/>
  <c r="E36" i="22"/>
  <c r="E31" i="22"/>
  <c r="D128" i="21" l="1"/>
  <c r="E128" i="21" s="1"/>
  <c r="D126" i="21"/>
  <c r="E126" i="21" s="1"/>
  <c r="D127" i="21"/>
  <c r="E127" i="21" s="1"/>
  <c r="J80" i="21"/>
  <c r="E37" i="22"/>
  <c r="E39" i="22" s="1"/>
  <c r="I32" i="7" s="1"/>
  <c r="K32" i="7" s="1"/>
  <c r="J81" i="21"/>
  <c r="K34" i="7"/>
  <c r="D26" i="22"/>
  <c r="K81" i="21" l="1"/>
  <c r="J85" i="21"/>
  <c r="E124" i="21"/>
  <c r="D129" i="21"/>
  <c r="E129" i="21" s="1"/>
  <c r="D130" i="21"/>
  <c r="E130" i="21" s="1"/>
  <c r="E26" i="22"/>
  <c r="I31" i="7" s="1"/>
  <c r="H31" i="7"/>
  <c r="K80" i="21"/>
  <c r="K85" i="21" l="1"/>
  <c r="D131" i="21"/>
  <c r="E131" i="21" l="1"/>
  <c r="D132" i="21"/>
  <c r="E132" i="21" s="1"/>
  <c r="K87" i="21"/>
  <c r="K88" i="21"/>
  <c r="K86" i="21"/>
  <c r="E16" i="20"/>
  <c r="E47" i="20"/>
  <c r="E45" i="20"/>
  <c r="E44" i="20"/>
  <c r="E43" i="20"/>
  <c r="E41" i="20"/>
  <c r="E42" i="20"/>
  <c r="E40" i="20"/>
  <c r="E39" i="20"/>
  <c r="E38" i="20"/>
  <c r="E37" i="20"/>
  <c r="E35" i="20"/>
  <c r="E33" i="20"/>
  <c r="E31" i="20"/>
  <c r="E29" i="20"/>
  <c r="E24" i="20"/>
  <c r="E23" i="20"/>
  <c r="E17" i="20"/>
  <c r="E18" i="20"/>
  <c r="E20" i="20"/>
  <c r="E22" i="20"/>
  <c r="E15" i="20"/>
  <c r="E13" i="20"/>
  <c r="E12" i="20"/>
  <c r="D12" i="20"/>
  <c r="C12" i="20"/>
  <c r="C43" i="20"/>
  <c r="K89" i="21" l="1"/>
  <c r="K90" i="21" s="1"/>
  <c r="C39" i="20"/>
  <c r="C35" i="20"/>
  <c r="C23" i="20"/>
  <c r="C29" i="20"/>
  <c r="C37" i="20"/>
  <c r="D29" i="20" l="1"/>
  <c r="D23" i="20"/>
  <c r="D15" i="20"/>
  <c r="D43" i="20" l="1"/>
  <c r="D35" i="20"/>
  <c r="D39" i="20" l="1"/>
  <c r="C16" i="20"/>
  <c r="C15" i="20" l="1"/>
  <c r="D47" i="20"/>
  <c r="C47" i="20" l="1"/>
  <c r="P42" i="18" l="1"/>
  <c r="N42" i="18"/>
  <c r="H71" i="13" l="1"/>
  <c r="H66" i="13"/>
  <c r="K31" i="7" l="1"/>
  <c r="F13" i="13" l="1"/>
  <c r="E9" i="13" l="1"/>
  <c r="F9" i="13" s="1"/>
  <c r="N13" i="13" l="1"/>
  <c r="O38" i="12" l="1"/>
  <c r="O37" i="12"/>
  <c r="M38" i="12"/>
  <c r="M37" i="12"/>
  <c r="J38" i="12"/>
  <c r="J37" i="12"/>
  <c r="E4" i="13" l="1"/>
  <c r="F4" i="13" s="1"/>
  <c r="K41" i="7" l="1"/>
  <c r="F5" i="13"/>
  <c r="E10" i="13" l="1"/>
  <c r="F10" i="13" s="1"/>
  <c r="N46" i="6" l="1"/>
  <c r="M46" i="6"/>
  <c r="L46" i="6"/>
  <c r="K46" i="6"/>
  <c r="L44" i="6"/>
  <c r="L43" i="6"/>
  <c r="V15" i="3"/>
  <c r="U15" i="3"/>
  <c r="T15" i="3"/>
  <c r="L37" i="6"/>
  <c r="M37" i="6"/>
  <c r="N37" i="6" s="1"/>
  <c r="L38" i="6"/>
  <c r="A38" i="6"/>
  <c r="B38" i="6"/>
  <c r="C38" i="6"/>
  <c r="E38" i="6"/>
  <c r="F38" i="6"/>
  <c r="G38" i="6"/>
  <c r="H38" i="6"/>
  <c r="I38" i="6"/>
  <c r="J38" i="6"/>
  <c r="A39" i="6"/>
  <c r="B39" i="6"/>
  <c r="C39" i="6"/>
  <c r="E39" i="6"/>
  <c r="F39" i="6"/>
  <c r="L39" i="6" s="1"/>
  <c r="M39" i="6" s="1"/>
  <c r="N39" i="6" s="1"/>
  <c r="G39" i="6"/>
  <c r="H39" i="6"/>
  <c r="I39" i="6"/>
  <c r="J39" i="6"/>
  <c r="A40" i="6"/>
  <c r="B40" i="6"/>
  <c r="C40" i="6"/>
  <c r="E40" i="6"/>
  <c r="F40" i="6"/>
  <c r="L40" i="6" s="1"/>
  <c r="G40" i="6"/>
  <c r="H40" i="6"/>
  <c r="I40" i="6"/>
  <c r="J40" i="6"/>
  <c r="A41" i="6"/>
  <c r="B41" i="6"/>
  <c r="C41" i="6"/>
  <c r="E41" i="6"/>
  <c r="F41" i="6"/>
  <c r="L41" i="6" s="1"/>
  <c r="G41" i="6"/>
  <c r="H41" i="6"/>
  <c r="I41" i="6"/>
  <c r="J41" i="6"/>
  <c r="L24" i="6"/>
  <c r="M24" i="6" s="1"/>
  <c r="L25" i="6"/>
  <c r="M25" i="6" s="1"/>
  <c r="K26" i="6"/>
  <c r="L35" i="6" s="1"/>
  <c r="V19" i="3"/>
  <c r="U19" i="3"/>
  <c r="T19" i="3"/>
  <c r="V22" i="3"/>
  <c r="U22" i="3"/>
  <c r="M21" i="6"/>
  <c r="N21" i="6" s="1"/>
  <c r="M22" i="6"/>
  <c r="N22" i="6" s="1"/>
  <c r="K22" i="6"/>
  <c r="L22" i="6" s="1"/>
  <c r="K21" i="6"/>
  <c r="L21" i="6" s="1"/>
  <c r="V28" i="3"/>
  <c r="U28" i="3"/>
  <c r="L18" i="6"/>
  <c r="L17" i="6"/>
  <c r="L16" i="6"/>
  <c r="L15" i="6"/>
  <c r="K14" i="6"/>
  <c r="V12" i="3"/>
  <c r="U12" i="3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V30" i="3"/>
  <c r="U25" i="3"/>
  <c r="V25" i="3" s="1"/>
  <c r="L28" i="6" l="1"/>
  <c r="M28" i="6" s="1"/>
  <c r="L29" i="6"/>
  <c r="M29" i="6" s="1"/>
  <c r="N29" i="6" s="1"/>
  <c r="L30" i="6"/>
  <c r="M30" i="6" s="1"/>
  <c r="L31" i="6"/>
  <c r="N38" i="6"/>
  <c r="M41" i="6"/>
  <c r="N41" i="6" s="1"/>
  <c r="M40" i="6"/>
  <c r="N40" i="6" s="1"/>
  <c r="M38" i="6"/>
  <c r="M35" i="6"/>
  <c r="N35" i="6" s="1"/>
  <c r="N30" i="6"/>
  <c r="L32" i="6"/>
  <c r="L33" i="6"/>
  <c r="M31" i="6"/>
  <c r="N31" i="6" s="1"/>
  <c r="L26" i="6"/>
  <c r="L34" i="6"/>
  <c r="L27" i="6"/>
  <c r="J34" i="5"/>
  <c r="K39" i="5"/>
  <c r="L39" i="5" s="1"/>
  <c r="K37" i="5"/>
  <c r="L37" i="5" s="1"/>
  <c r="K36" i="5"/>
  <c r="L36" i="5" s="1"/>
  <c r="K35" i="5"/>
  <c r="L35" i="5" s="1"/>
  <c r="K33" i="5"/>
  <c r="L33" i="5" s="1"/>
  <c r="K32" i="5"/>
  <c r="L32" i="5" s="1"/>
  <c r="K31" i="5"/>
  <c r="L31" i="5" s="1"/>
  <c r="K30" i="5"/>
  <c r="L30" i="5" s="1"/>
  <c r="K29" i="5"/>
  <c r="L29" i="5" s="1"/>
  <c r="K26" i="5"/>
  <c r="L26" i="5" s="1"/>
  <c r="K25" i="5"/>
  <c r="L25" i="5" s="1"/>
  <c r="K24" i="5"/>
  <c r="L24" i="5" s="1"/>
  <c r="K23" i="5"/>
  <c r="L23" i="5" s="1"/>
  <c r="K22" i="5"/>
  <c r="L22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J34" i="1"/>
  <c r="K16" i="1"/>
  <c r="K17" i="1"/>
  <c r="K18" i="1"/>
  <c r="K19" i="1"/>
  <c r="K20" i="1"/>
  <c r="K21" i="1"/>
  <c r="K22" i="1"/>
  <c r="K23" i="1"/>
  <c r="K24" i="1"/>
  <c r="K25" i="1"/>
  <c r="K26" i="1"/>
  <c r="K29" i="1"/>
  <c r="K30" i="1"/>
  <c r="K31" i="1"/>
  <c r="K32" i="1"/>
  <c r="K33" i="1"/>
  <c r="K34" i="1"/>
  <c r="K35" i="1"/>
  <c r="L35" i="1" s="1"/>
  <c r="K36" i="1"/>
  <c r="L36" i="1" s="1"/>
  <c r="K37" i="1"/>
  <c r="L37" i="1" s="1"/>
  <c r="K39" i="1"/>
  <c r="L39" i="1" s="1"/>
  <c r="K15" i="1"/>
  <c r="K14" i="1"/>
  <c r="J38" i="1"/>
  <c r="J28" i="1"/>
  <c r="K28" i="1" s="1"/>
  <c r="J27" i="1"/>
  <c r="K27" i="1" s="1"/>
  <c r="N28" i="6" l="1"/>
  <c r="M32" i="6"/>
  <c r="N32" i="6" s="1"/>
  <c r="M33" i="6"/>
  <c r="N33" i="6" s="1"/>
  <c r="M27" i="6"/>
  <c r="N27" i="6" s="1"/>
  <c r="M34" i="6"/>
  <c r="N34" i="6" s="1"/>
  <c r="M26" i="6"/>
  <c r="N26" i="6" s="1"/>
  <c r="K27" i="5"/>
  <c r="L27" i="5" s="1"/>
  <c r="K28" i="5"/>
  <c r="L28" i="5" s="1"/>
  <c r="K34" i="5"/>
  <c r="L34" i="5" s="1"/>
  <c r="K38" i="5"/>
  <c r="L38" i="5" s="1"/>
  <c r="K38" i="1"/>
  <c r="L38" i="1" s="1"/>
  <c r="L40" i="5" l="1"/>
  <c r="K28" i="7" l="1"/>
  <c r="L32" i="1"/>
  <c r="L33" i="1"/>
  <c r="K29" i="7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4" i="1"/>
  <c r="L34" i="1"/>
  <c r="L40" i="1" s="1"/>
  <c r="E11" i="13"/>
  <c r="F11" i="13" s="1"/>
  <c r="K42" i="7" l="1"/>
  <c r="K43" i="7" l="1"/>
  <c r="K46" i="7"/>
  <c r="K48" i="7" l="1"/>
  <c r="K50" i="7" l="1"/>
  <c r="K52" i="7" l="1"/>
  <c r="K54" i="7" s="1"/>
</calcChain>
</file>

<file path=xl/comments1.xml><?xml version="1.0" encoding="utf-8"?>
<comments xmlns="http://schemas.openxmlformats.org/spreadsheetml/2006/main">
  <authors>
    <author>RAUL ALCAZAR</author>
  </authors>
  <commentList>
    <comment ref="J34" authorId="0">
      <text>
        <r>
          <rPr>
            <b/>
            <sz val="9"/>
            <color indexed="81"/>
            <rFont val="Tahoma"/>
            <family val="2"/>
          </rPr>
          <t>RAUL ALCAZAR:</t>
        </r>
        <r>
          <rPr>
            <sz val="9"/>
            <color indexed="81"/>
            <rFont val="Tahoma"/>
            <family val="2"/>
          </rPr>
          <t xml:space="preserve">
REB COMPLEMENT 150*14 COORDINACIÓ</t>
        </r>
      </text>
    </comment>
  </commentList>
</comments>
</file>

<file path=xl/comments2.xml><?xml version="1.0" encoding="utf-8"?>
<comments xmlns="http://schemas.openxmlformats.org/spreadsheetml/2006/main">
  <authors>
    <author>RAUL ALCAZAR</author>
  </authors>
  <commentList>
    <comment ref="J34" authorId="0">
      <text>
        <r>
          <rPr>
            <b/>
            <sz val="9"/>
            <color indexed="81"/>
            <rFont val="Tahoma"/>
            <family val="2"/>
          </rPr>
          <t>RAUL ALCAZAR:</t>
        </r>
        <r>
          <rPr>
            <sz val="9"/>
            <color indexed="81"/>
            <rFont val="Tahoma"/>
            <family val="2"/>
          </rPr>
          <t xml:space="preserve">
REB COMPLEMENT 150*14 COORDINACIÓ</t>
        </r>
      </text>
    </comment>
  </commentList>
</comments>
</file>

<file path=xl/sharedStrings.xml><?xml version="1.0" encoding="utf-8"?>
<sst xmlns="http://schemas.openxmlformats.org/spreadsheetml/2006/main" count="770" uniqueCount="305">
  <si>
    <t>Empresa que gestiona el servei en l'actualitat</t>
  </si>
  <si>
    <t>Conveni/s col·lectiu/s al qual es subjecten els empleats que actualment presten el servei</t>
  </si>
  <si>
    <t>CATEGORIA</t>
  </si>
  <si>
    <t>HORES SETMANALS</t>
  </si>
  <si>
    <t>SALARI BRUT ANUAL</t>
  </si>
  <si>
    <t>TIPUS DE CONTRACTE</t>
  </si>
  <si>
    <t>En cas que en la present informació hi hagi alguna modificació amb caràcter previ a la finalització del contracte, em comprometo a actualitzar la informació lliurada a l'Ajuntament de Barcelona</t>
  </si>
  <si>
    <t xml:space="preserve">Lloc dia i signatura </t>
  </si>
  <si>
    <t>ANTIGUITAT</t>
  </si>
  <si>
    <t>COST TOTAL ANUAL DE L'EMPRESA</t>
  </si>
  <si>
    <t>% JORNADA ANUAL</t>
  </si>
  <si>
    <t>Hores / any que estableix el conveni d'aplicació</t>
  </si>
  <si>
    <t>Jornada setmanal habitual que estableix el conveni d'aplicació</t>
  </si>
  <si>
    <t>* NO S'INCLOU EN AQUESTA RELACIÓ AL PERSONAL DE SUBSTITUCIÓ</t>
  </si>
  <si>
    <t>* EL COST TOTAL ANUAL DE L'EMPRESA INCLOU TOTES LES GRATIFICACIONS, COMPLEMENTS, CONDICIONS ESPECIALS QUE CADA TREBALLADOR PUGUI TENIR RECONEGUT O MERITAT…, es farà menció especifica dels mateixos</t>
  </si>
  <si>
    <t>COST EMPRESA (SS + ALTRES)</t>
  </si>
  <si>
    <t>Segell de l'Empresa</t>
  </si>
  <si>
    <t>* Solament la part de jornada que està adscrita al servei contractat</t>
  </si>
  <si>
    <t>NOTES A LA RELACIÓ:</t>
  </si>
  <si>
    <t>Numeral de professional</t>
  </si>
  <si>
    <t>FORMACIÓ</t>
  </si>
  <si>
    <t>FUNCIÓ</t>
  </si>
  <si>
    <t>HORARI HABITUAL</t>
  </si>
  <si>
    <t>RELACIÓ DE TREBALLADORS ADSCRITS DE FORMA HABITUAL  AL SERVEI CRI CAL MUNS (d'acord amb els plecs de contractació vigents)</t>
  </si>
  <si>
    <t>DIRECTOR CENTRE</t>
  </si>
  <si>
    <t>INDEFINIT</t>
  </si>
  <si>
    <t>AUX.  INFERMERIA</t>
  </si>
  <si>
    <t>ZELADOR</t>
  </si>
  <si>
    <t>INTEGRACIÓ SOCIAL</t>
  </si>
  <si>
    <t>EDUCACIÓ SOCIAL</t>
  </si>
  <si>
    <t>EVENTUAL</t>
  </si>
  <si>
    <t>TREBALL SOCIAL</t>
  </si>
  <si>
    <t>COORDINADORA TÈCNICA</t>
  </si>
  <si>
    <t xml:space="preserve">Fundació Pere Claver - Serveis Socials </t>
  </si>
  <si>
    <t>TÉCNICO DE CUIDADOS AUXILIARES DE ENFERMERÍA</t>
  </si>
  <si>
    <t>LLICENCIATURA DE PSICOLOGIA</t>
  </si>
  <si>
    <t>GRADUADO ESCOLAR</t>
  </si>
  <si>
    <t>TÉCNICO SUPERIOR INTEGRACIÓN SOCIAL</t>
  </si>
  <si>
    <t>LICENCUATURA EN DERECHO</t>
  </si>
  <si>
    <t>GRADO EN EDUCACIÓN SOCIAL</t>
  </si>
  <si>
    <t>GRADO EN TRABAJO SOCIAL</t>
  </si>
  <si>
    <t>DV-DG 15H-23:15H</t>
  </si>
  <si>
    <t>DL-DJ 15H-23:15H</t>
  </si>
  <si>
    <t>DL-DV 09H-16:45H</t>
  </si>
  <si>
    <t>DL-DV 8H-15:45</t>
  </si>
  <si>
    <t>DL-DV 9:30H-15:30H</t>
  </si>
  <si>
    <t>DL-DJ 07H-15:15H</t>
  </si>
  <si>
    <t>DV-DG 07H-15:15H</t>
  </si>
  <si>
    <t>DL-DJ 23H-07:15</t>
  </si>
  <si>
    <t>DV-DG 23H-07:15H</t>
  </si>
  <si>
    <t>DL-DV 23H-07:15H</t>
  </si>
  <si>
    <t>ACREDITAT EN LES COMPETÈNCIES PROFESSIONALS D'INTEGRACIÓ SOCIAL</t>
  </si>
  <si>
    <t>TÉCNICA EN CUIDADOS AUXILIARES DE ENFERMERIA</t>
  </si>
  <si>
    <t>TÉCNICA CURAS AUXILIARES DE ENFERMERIA</t>
  </si>
  <si>
    <t>ENSEÑANZAS DE BACHILLERATO / CURSANDO INTEGRACIÓN SOCIAL</t>
  </si>
  <si>
    <t>TÉCNICO SUPERIOR INTEGRACIÓN SOCIAL / CURSANDO GRADO EN EDUCACIÓN SOCIAL</t>
  </si>
  <si>
    <r>
      <t xml:space="preserve">Conveni: </t>
    </r>
    <r>
      <rPr>
        <b/>
        <sz val="10"/>
        <color rgb="FF0070C0"/>
        <rFont val="Arial"/>
        <family val="2"/>
      </rPr>
      <t>Conveni col·lectiu de treball de Catalunya d’acció social amb infants, joves, famílies i d’altres en situació de risc.</t>
    </r>
  </si>
  <si>
    <r>
      <t xml:space="preserve">Conveni: </t>
    </r>
    <r>
      <rPr>
        <b/>
        <sz val="10"/>
        <color rgb="FFFF0000"/>
        <rFont val="Arial"/>
        <family val="2"/>
      </rPr>
      <t>XV Convenio colectivo general de centros y servicios de atención a personas con discapacidad.</t>
    </r>
  </si>
  <si>
    <t>AET</t>
  </si>
  <si>
    <t>SE</t>
  </si>
  <si>
    <t>MEFR</t>
  </si>
  <si>
    <t>MFR</t>
  </si>
  <si>
    <t>EMHR</t>
  </si>
  <si>
    <t>EMOR</t>
  </si>
  <si>
    <t>TM</t>
  </si>
  <si>
    <t>XAE</t>
  </si>
  <si>
    <t>EAM</t>
  </si>
  <si>
    <t>SAF</t>
  </si>
  <si>
    <t>MAQ</t>
  </si>
  <si>
    <t>KIBV</t>
  </si>
  <si>
    <t>MDC</t>
  </si>
  <si>
    <t>JGR</t>
  </si>
  <si>
    <t>GHD</t>
  </si>
  <si>
    <t>IIP</t>
  </si>
  <si>
    <t>KML</t>
  </si>
  <si>
    <t>SRR</t>
  </si>
  <si>
    <t>PLCR</t>
  </si>
  <si>
    <t>MAM</t>
  </si>
  <si>
    <t>SMN</t>
  </si>
  <si>
    <t>FPM</t>
  </si>
  <si>
    <t>EZL</t>
  </si>
  <si>
    <t>SCL</t>
  </si>
  <si>
    <t>LRP</t>
  </si>
  <si>
    <t>EMM</t>
  </si>
  <si>
    <t>Direcció</t>
  </si>
  <si>
    <t>Personal Tècnic</t>
  </si>
  <si>
    <t>Personal Tècnic Superior</t>
  </si>
  <si>
    <t>Tècnic Superior Graduat</t>
  </si>
  <si>
    <t>DIRECCIÓ CENTRE</t>
  </si>
  <si>
    <t>SotsDirecció</t>
  </si>
  <si>
    <t>SOTSDIRECCIÓ</t>
  </si>
  <si>
    <t>AUXILIAR DE SERVEIS</t>
  </si>
  <si>
    <t>SALARI BRUT ANUAL
2025</t>
  </si>
  <si>
    <t>Versió Gener 2025: Com a tècnics. Setembre 2024 com a personal de Servei</t>
  </si>
  <si>
    <t>Cal decidir si és volen zeladors o Personal Tècnic. Diferencia 6289€.  Caldrà especificar-ho al Plec. En proposta fan un canvi que cobreix l'horari nocturn d'auxiliar d'infermeria</t>
  </si>
  <si>
    <t>Costos socials</t>
  </si>
  <si>
    <t xml:space="preserve">Si no té la titulació no pot fer aquesta tasca. </t>
  </si>
  <si>
    <t>No posa que tingui titulació. No sçe que significa "acreditat"</t>
  </si>
  <si>
    <t>Està a la proposta no existeix aquest càrrec en el contracte vigent.</t>
  </si>
  <si>
    <t>EMPLEATS</t>
  </si>
  <si>
    <t>GRUP I</t>
  </si>
  <si>
    <t>GRUP II</t>
  </si>
  <si>
    <t xml:space="preserve">TIPUS DE CONTRACTE </t>
  </si>
  <si>
    <t>CONCEPTES</t>
  </si>
  <si>
    <t>Suplència</t>
  </si>
  <si>
    <t>Hores/ setmana</t>
  </si>
  <si>
    <t>NECESSITATS total 
hores/any</t>
  </si>
  <si>
    <t>GRUP 
LABORAL</t>
  </si>
  <si>
    <t>COST SOUS PER 
CATEGORIA 2025</t>
  </si>
  <si>
    <t>COST EMPRESA
 (SS + ALTRES)</t>
  </si>
  <si>
    <t>COST TOTAL ANUAL 
2025</t>
  </si>
  <si>
    <t xml:space="preserve">TOTAL  SOUS </t>
  </si>
  <si>
    <t>NUM.D'EMPLEATS 
PER CATEGORIA</t>
  </si>
  <si>
    <t>DURADA INICIAL</t>
  </si>
  <si>
    <t>POSSIBILITAT DE PRÒRROGA</t>
  </si>
  <si>
    <t>PERSONAL</t>
  </si>
  <si>
    <t>ÀPATS</t>
  </si>
  <si>
    <r>
      <t xml:space="preserve">Se espera una tasa media anual de inflación del 3,2% este año y del </t>
    </r>
    <r>
      <rPr>
        <b/>
        <sz val="10"/>
        <color theme="1"/>
        <rFont val="Arial"/>
        <family val="2"/>
      </rPr>
      <t>2,3%</t>
    </r>
    <r>
      <rPr>
        <sz val="10"/>
        <color theme="1"/>
        <rFont val="Arial"/>
        <family val="2"/>
      </rPr>
      <t xml:space="preserve"> en 2025, sin cambios con respecto a las previsiones anteriores.</t>
    </r>
  </si>
  <si>
    <t>NETEJA</t>
  </si>
  <si>
    <t>Preu unitari</t>
  </si>
  <si>
    <t>Material higiènic (Sabó, higiènic dona, maquinetes d'afaitar, ...)</t>
  </si>
  <si>
    <t>Rober (roba interior)</t>
  </si>
  <si>
    <t>Roba al pes pack de 3,5 kg.</t>
  </si>
  <si>
    <t>PROPOSTA</t>
  </si>
  <si>
    <t>IMSS</t>
  </si>
  <si>
    <t>BUGADERIA</t>
  </si>
  <si>
    <t>SERVEI  NETEJA</t>
  </si>
  <si>
    <t>%</t>
  </si>
  <si>
    <t>Es troba per sobre dels preus de mercats i d'altres plecs.</t>
  </si>
  <si>
    <t xml:space="preserve">Aqui amb l'IPC "previst" pels periodes de pròrrogues s'adapta l'oferta proposada </t>
  </si>
  <si>
    <t>Aplicat IPC previst 2024 (3,2%) i un 2,3% previst 2025 sobre resultat d'auditoria 2023</t>
  </si>
  <si>
    <t xml:space="preserve">S'ha calculat a més un 5% del pressupost per possibles eventualitats. Està una mica per sobre que altres contractes de característiques similar. </t>
  </si>
  <si>
    <t>NECESSITATS BÀSIQUES</t>
  </si>
  <si>
    <t xml:space="preserve">Els costos adaptats als preus reals són 12,76€ dels quals és correspon a 2,20 esmorçar, 5,30 dinar, 1,76 brenar i 3,50 sopar
Aquests preus s'han utilitzats en diferents licitacions de l'IMSS i se li ha aplicat un 3% davant possibles eventualitats a més de lIPC previst pels anys 2026,2027 i 2028
</t>
  </si>
  <si>
    <t>LLOGUERS</t>
  </si>
  <si>
    <t>SUBMINISTRAMENTS</t>
  </si>
  <si>
    <t>Aplicació de l'IPC anys 2024 i previsió 2025 i un 6,3% per la resta del periode. Augment del 21% per finalització periode iva</t>
  </si>
  <si>
    <t>TOTAL COSTOS PERSONAL</t>
  </si>
  <si>
    <t>Despeses generals per a la gestió</t>
  </si>
  <si>
    <t>Marge empresarial (benefici)</t>
  </si>
  <si>
    <t>TOTAL COSTOS INDIRECTES</t>
  </si>
  <si>
    <t>PRESSUPOST PROPOSAT</t>
  </si>
  <si>
    <t xml:space="preserve">TOTALDESPESES D'ESTRUCTURA I  FUNCIONAMENT </t>
  </si>
  <si>
    <t>TOTALS COSTOS DIRECTES</t>
  </si>
  <si>
    <t>Mesos</t>
  </si>
  <si>
    <t>COST DELS SERVEI DE 45 PLACES D'ALLOTJAMENT TEMPORAL PER A PERSONES EN SITUACIÓ DE SENSELLARISME I AMB PROBLEMÀTICA DE SALUT MENTAL</t>
  </si>
  <si>
    <t>Pressupost anual detallet per partides i distribució de despeses</t>
  </si>
  <si>
    <t xml:space="preserve">Preu mensual proposat: 796€/mes  Preu IMSS: 690€/mes </t>
  </si>
  <si>
    <t>Màxim per ajuts a les contractacions. 6.000</t>
  </si>
  <si>
    <t xml:space="preserve">Augment del IPC 5,5% 23 i </t>
  </si>
  <si>
    <t>Augment del 9% preu total des del preu facilitat per l'auditoria de l'any 2023 (limit en Catalunya per habitatges)</t>
  </si>
  <si>
    <t xml:space="preserve">Aplicat IPC previst 2024 (3,2%) i un 2,3% previst 2025 sobre resultat d'auditoria 2023
S'ha aplicat un 6,3% pels 36 mesos de pròrroga. És un servei extern. No aplica les pujades del sou del personal directe.
S'ha calculat a més un 4,6% del pressupost per possibles eventualitats. Està una mica per sobre que altres contractes de característiques similar. 
Preu mensual proposat: 796€/mes  Preu IMSS: 690€/mes </t>
  </si>
  <si>
    <t>Càlculat sobre els m2 a netejar. Cal 1 persona 8 hores i un altre unes 5 hores/dia de dilluns a divendres. També inclou  4 netejas a fons (sostres, parets, finestres)</t>
  </si>
  <si>
    <t>No</t>
  </si>
  <si>
    <t>Conveni actual</t>
  </si>
  <si>
    <t>Nou conveni</t>
  </si>
  <si>
    <t>Sous, costos socials, previsions absentisme, formació i aplicació de les 
pujades de salaris</t>
  </si>
  <si>
    <t>3 persones assegurades 8h/d de Dll. A Dg. Inclou percentatge de guanys de l'empresa de neteja.
Inclou una partida per neteja a fons de sostres, finestres, etc...
Prevenció de plagues i tot allò relacionat amb l'espai i els estrits necessaris pels àpats.</t>
  </si>
  <si>
    <t>Neteja</t>
  </si>
  <si>
    <t>Higiene relacionats amb àpats i espais</t>
  </si>
  <si>
    <t>Neteja a fons</t>
  </si>
  <si>
    <t>Plagues</t>
  </si>
  <si>
    <t>HiGIENE PERSONAL DELS USUARIS</t>
  </si>
  <si>
    <t>Rober</t>
  </si>
  <si>
    <t>Bugaderia</t>
  </si>
  <si>
    <t>MATERIAL OFIMÀTIC, INFORMÀTIC I ACTIVITATS</t>
  </si>
  <si>
    <t>Leasing i manteniment de fotocopiadores</t>
  </si>
  <si>
    <t>Activitats i materials</t>
  </si>
  <si>
    <t>Material informàtic, d'oficina i manteniment</t>
  </si>
  <si>
    <t>Subministraments (Aigua, llum, gas)</t>
  </si>
  <si>
    <t>Comunicacions mobils ADSL Internet</t>
  </si>
  <si>
    <t>Mobiliari</t>
  </si>
  <si>
    <t>Reparacions i conservació</t>
  </si>
  <si>
    <t>Material no inventariable</t>
  </si>
  <si>
    <t>DESPESES D'ESTRUCTURA</t>
  </si>
  <si>
    <t>Lloguer</t>
  </si>
  <si>
    <t>Àpats (4 al dia: esmorçar, dinar, brenar i sopar)</t>
  </si>
  <si>
    <t xml:space="preserve">PROVISSIÓ </t>
  </si>
  <si>
    <t>Provissió  necessitats cobertura bàsica</t>
  </si>
  <si>
    <t>COSTOS INDIRECTES</t>
  </si>
  <si>
    <t xml:space="preserve">Marge empresarial </t>
  </si>
  <si>
    <t xml:space="preserve">No s'aplica pujada IPC donat que es tracta d'una concessio de l'edifici. Les concessions paguen un cannon fix durant tot el termini de vigència.
Mobiliari nou i reposició, Reparacions i conservació dels espais
</t>
  </si>
  <si>
    <t>D'acord amb els preus de mercat i necessitats pels 45 usuaris</t>
  </si>
  <si>
    <t>Canvi de conveni: Ha passat del Conveni de dependènca al d'Acció social amb infants joves i families cicle continuat
Els sous ja corresponen l'any 2025 i hi ha una previsió d'augment salaria del 4,70%</t>
  </si>
  <si>
    <t xml:space="preserve">Preu 2020: 11,63€ 
Costos adaptats als preus reals són 12,76€ dels quals és correspon a
 2,20 esmorçar, 5,30 dinar, 1,76 brenar i 3,50 sopar
Aquests preus s'han utilitzats en diferents licitacions de l'IMSS i se li ha aplicat un 3% davant possibles eventualitats a més de lIPC previst pels anys 2026,2027 i 2028
</t>
  </si>
  <si>
    <t>2020: 5% desèses generals per a la gestió i 3% Marge empresarial.
2021: 6% despeses generals per a la gestió i 4% Marge empresarial 
S'iguala amb les altres licitacions de serveis semblants</t>
  </si>
  <si>
    <t>Ascensor, montacarga</t>
  </si>
  <si>
    <t>Higiene personal (en 2020 inclou també assegukrances i transports)</t>
  </si>
  <si>
    <t>CAL MUNS</t>
  </si>
  <si>
    <t>45 PLACES</t>
  </si>
  <si>
    <t>Provisió màxima estipulada</t>
  </si>
  <si>
    <t xml:space="preserve">El nou contracte ha pujat 370.915,79€ més que el contracte que es troba vigent.
La diferència  de l'import del nou contracte amb el vigent suposa un 29,38% més que el contracte l'anterior 
 </t>
  </si>
  <si>
    <t xml:space="preserve">Diferencia </t>
  </si>
  <si>
    <t>Desglossament contracte anterior</t>
  </si>
  <si>
    <t>CONTRACTE DE SERVEIS GESTIÓ DEL SERVEI D'ACCÉS, REGISTRE, VALORACIÓ I INFORMES DE SENSELLARISME (antic SAU)</t>
  </si>
  <si>
    <t>TREBALLADOR SOCIAL / EDUCADOR SOCIAL</t>
  </si>
  <si>
    <t>METGE</t>
  </si>
  <si>
    <t>CONVENI TREBALLADORS SOCIALS</t>
  </si>
  <si>
    <t>CONVENI METGE</t>
  </si>
  <si>
    <t>DIA D'INICI DEL NOU CONTRACTE</t>
  </si>
  <si>
    <t>2 anys</t>
  </si>
  <si>
    <t>Costos Socials (Seguretat Social)</t>
  </si>
  <si>
    <t>Despeses de formació i riscos laborals</t>
  </si>
  <si>
    <t>DATA FI NOU CONTRACTE</t>
  </si>
  <si>
    <t>MOBILIARI</t>
  </si>
  <si>
    <t xml:space="preserve">SUBDIRECCIÓ-COORD </t>
  </si>
  <si>
    <t>PERSONAL SERVEI COMPLEMENTARI (Treballador social/Educador social)</t>
  </si>
  <si>
    <t>Superficie local oficina</t>
  </si>
  <si>
    <t>Lloguer mensual (€)</t>
  </si>
  <si>
    <t>Lloguer anual (€)</t>
  </si>
  <si>
    <t>Preu/m2/mes (*)</t>
  </si>
  <si>
    <t>(*) Preu aplicat per calcular costos en altres contractes similars, fruït d'un anàlisi de mercat sobre els preus mitjos a Barcelona</t>
  </si>
  <si>
    <t>MOBILS</t>
  </si>
  <si>
    <t>Unitats</t>
  </si>
  <si>
    <t>Taules</t>
  </si>
  <si>
    <t xml:space="preserve">Cadires </t>
  </si>
  <si>
    <t>Armaris</t>
  </si>
  <si>
    <t>Calaixeres</t>
  </si>
  <si>
    <t>Decoració</t>
  </si>
  <si>
    <t>Preu total</t>
  </si>
  <si>
    <t>Arxivadors</t>
  </si>
  <si>
    <t>La inversió en mobiliaris'ha de dividir pels 4 anys de duració màxima del contracte</t>
  </si>
  <si>
    <t>Cost total</t>
  </si>
  <si>
    <t>Cost unitari</t>
  </si>
  <si>
    <t>Preu mig per mòvil/mes</t>
  </si>
  <si>
    <t>Lines mobils + Fibra optica</t>
  </si>
  <si>
    <t>MANTENIMENT SOFTWARE I SISTEMES</t>
  </si>
  <si>
    <t xml:space="preserve">Gestió administrativa, despesses generals, Assegurances, Despeses de gestió, finançament, ... </t>
  </si>
  <si>
    <t>Adquisicions de mobils</t>
  </si>
  <si>
    <t>unitats</t>
  </si>
  <si>
    <t>Preu mit/unitat</t>
  </si>
  <si>
    <t>la inversió en mobils es repartirà entre els 4 anys del contracte</t>
  </si>
  <si>
    <t>Cost anual</t>
  </si>
  <si>
    <t>la inversió en software  es repartirà entre els 4 anys del contracte</t>
  </si>
  <si>
    <t>2 anys més de prórroga (de 1-10-27 fins 30-9-29) (2+2)</t>
  </si>
  <si>
    <t>SALARI BRUT ANUAL JORNADA COMPLERTA
 2025</t>
  </si>
  <si>
    <t>SALARI SEGONS NECESSITATS HORES</t>
  </si>
  <si>
    <t>Cost total estimat (*)</t>
  </si>
  <si>
    <t>DESPESES EMMAGATZEMATGE DE DADES</t>
  </si>
  <si>
    <t>COMUNICACIONS FIBRA, WIFI, INTERNET</t>
  </si>
  <si>
    <r>
      <rPr>
        <u/>
        <sz val="14"/>
        <color rgb="FF0070C0"/>
        <rFont val="Arial"/>
        <family val="2"/>
      </rPr>
      <t>DESPESES</t>
    </r>
    <r>
      <rPr>
        <sz val="10"/>
        <color theme="1"/>
        <rFont val="Arial"/>
        <family val="2"/>
      </rPr>
      <t xml:space="preserve"> (despeses de cicle ecoòmic inferior a l'any)</t>
    </r>
  </si>
  <si>
    <r>
      <t>INVERSIONS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(despeses de cicle econòmic superior a l'any)</t>
    </r>
  </si>
  <si>
    <t>la inversió en adaptació del sistema a la normativa ISO  es repartirà entre els 4 anys del contracte</t>
  </si>
  <si>
    <t>(*) Cost estimat per l'IMI i pel servei.</t>
  </si>
  <si>
    <t>Quota mensual</t>
  </si>
  <si>
    <t>Quota anual</t>
  </si>
  <si>
    <t>Inversió en software (*)</t>
  </si>
  <si>
    <t>Implementació normativa ISO (*)</t>
  </si>
  <si>
    <t>Despeses emmagatzematge dades (Quota periodica) servidor extern dades (nùvol)) (*)</t>
  </si>
  <si>
    <t>Manteniment de l'aplicatiu i del sistema informàtic (*)</t>
  </si>
  <si>
    <t>Adaptació del sistema a modificacions de personal</t>
  </si>
  <si>
    <t>INVERSIÓ SOFTWARE APLICATIU</t>
  </si>
  <si>
    <t>ADAPTACIO DE LO'APLICATIU A MODIFICACIONS DE PERSONAL</t>
  </si>
  <si>
    <t>Conveni col·lectiu de treball d'establiments sanitaris d'hospitalització, assistència, consulta i laboratoris d'anàlisis clíniques de Catalunya per als anys 2023-2025 (codi núm. 79000815011994)</t>
  </si>
  <si>
    <t>HORES/ANY</t>
  </si>
  <si>
    <t xml:space="preserve">Estimació increments per absentisme </t>
  </si>
  <si>
    <t>Estimació  increments sou (2026, 2027, 2028,2029)</t>
  </si>
  <si>
    <t>Hores/any jornada segons conveni de treballadors social a jornada complerta</t>
  </si>
  <si>
    <t xml:space="preserve">Conveni col·lectiu de treball de Catalunya d’acció social amb infants, joves, famílies i d’altres en situació de risc. Cicle continuat (Acord parcial Resolució EMT2054/2023 de 8 de juny). </t>
  </si>
  <si>
    <t>Estimació per absentisme (d'acord amb el darrer informe)</t>
  </si>
  <si>
    <t>Estimació augment 2026-2029</t>
  </si>
  <si>
    <t xml:space="preserve">Estimació per absentisme </t>
  </si>
  <si>
    <t>Estimació  increment sou (2026, 2027, 2028,2029)</t>
  </si>
  <si>
    <t>IVA (10 %)</t>
  </si>
  <si>
    <t>HORES/ANY PERCATEGORIA</t>
  </si>
  <si>
    <t>SALARI PER CATEGORIA</t>
  </si>
  <si>
    <t>Hores/any jornada metge segons conveni a jornada complerta</t>
  </si>
  <si>
    <t>DESPESES D'ESTRUCTURA I FUNCIONAMENT</t>
  </si>
  <si>
    <t>SUBMINSTRAMENTS LOCAL AFECTE</t>
  </si>
  <si>
    <t>LLOGUER LOCAL AFECTE A L'ACTIVITAT</t>
  </si>
  <si>
    <t>IMPLEMENTACIO NORMATIVA ISO SISTEMA INFORMATIC</t>
  </si>
  <si>
    <t>Codi</t>
  </si>
  <si>
    <t>Descripció</t>
  </si>
  <si>
    <t>Import Proveïdor</t>
  </si>
  <si>
    <t>IMPORT</t>
  </si>
  <si>
    <t>TOTAL PROVEÏDOR</t>
  </si>
  <si>
    <t>TOTAL DESPESES ESTIMADES PER INCREMENT DE COSTOS DE PERSONAL</t>
  </si>
  <si>
    <t>Subtotal preu sortida</t>
  </si>
  <si>
    <t>Subtotal preu proveïdor</t>
  </si>
  <si>
    <t>TOTAL PREU SORTIDA</t>
  </si>
  <si>
    <t>TOTAL (Sense IVA)</t>
  </si>
  <si>
    <t>Preu sortida</t>
  </si>
  <si>
    <t>Preu global fixe</t>
  </si>
  <si>
    <t>Preu variable per personal complementari</t>
  </si>
  <si>
    <t>Part proporcfional de les despeses per increment de costos de personal</t>
  </si>
  <si>
    <t>Part aliquota de les despeses generals per a la gestió</t>
  </si>
  <si>
    <t>Part aliquota del marge empresarial</t>
  </si>
  <si>
    <t>Total cost personal complementari amb IVA</t>
  </si>
  <si>
    <t>Cost unitari per hora</t>
  </si>
  <si>
    <t>Contribució del personal complementari al preu global anual del servei</t>
  </si>
  <si>
    <t>Preu unitari hora</t>
  </si>
  <si>
    <t>Total cost  personal complementari (sense IVA) (*)</t>
  </si>
  <si>
    <t>Els ordinadors els proporcionarà l'IMSS.</t>
  </si>
  <si>
    <t>Preu u/t Proveïdor (2*)</t>
  </si>
  <si>
    <t>(1*) Mensualment el proveïdor facturarà les hores efectivament consumides del mòdul de personal complementari amb un màxim de 1.000 h./any</t>
  </si>
  <si>
    <t>Quantitat màxima per 2 anys en hores(1*)</t>
  </si>
  <si>
    <t>(*) Mensualment el proveïdor facturarà les hores efectivament consumides del mòdul de personal complementari amb un màxim de 1.000 h./any. A la factura constarà el preu hora sense IVA (24,38 €)  x número d'hores) + IVA</t>
  </si>
  <si>
    <t>GRUP l / GRUP II</t>
  </si>
  <si>
    <t>Complement Serveis Valoració i Diagnostic (Acord Conveni Acció Social 12 maig 2025)</t>
  </si>
  <si>
    <t>Conveni col·lectiu de treball de Catalunya d’acció social amb infants, joves, famílies i d’altres en situació de risc. Cicle continuat (Acord parcial Resolució EMT2054/2023 de 8 de juny) + Acord modificació conveni 12 maig 2025</t>
  </si>
  <si>
    <t>Sou aplicable a aquest personal per les 1000 h. màximes (incloent-hi complement)</t>
  </si>
  <si>
    <t>COST SOUS PER 
CATEGORIA 2025
 2025</t>
  </si>
  <si>
    <r>
      <rPr>
        <b/>
        <u/>
        <sz val="11"/>
        <color theme="1"/>
        <rFont val="Calibri"/>
        <family val="2"/>
        <scheme val="minor"/>
      </rPr>
      <t>Annex 3 bis:</t>
    </r>
    <r>
      <rPr>
        <b/>
        <sz val="11"/>
        <color theme="1"/>
        <rFont val="Calibri"/>
        <family val="2"/>
        <scheme val="minor"/>
      </rPr>
      <t xml:space="preserve"> Oferta econòmica full de càlcul</t>
    </r>
  </si>
  <si>
    <r>
      <t>EXP 015_P2500103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ANNEX-3 BIS</t>
    </r>
  </si>
  <si>
    <t>Les quantitats indicades per l’IMSS com a preu global constitueixen la xifra màxima per sobre de la qual s'estimarà que les ofertes dels licitadors excedeixen el tipus de la licitació i, per tant, seran excloses.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</si>
</sst>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0\ &quot;€&quot;"/>
    <numFmt numFmtId="166" formatCode="_-* #,##0\ _€_-;\-* #,##0\ _€_-;_-* &quot;-&quot;??\ _€_-;_-@_-"/>
    <numFmt numFmtId="167" formatCode="0.0%"/>
    <numFmt numFmtId="168" formatCode="0.0000"/>
    <numFmt numFmtId="169" formatCode="#,##0.00000\ &quot;€&quot;"/>
    <numFmt numFmtId="170" formatCode="0.000%"/>
  </numFmts>
  <fonts count="5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4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sz val="9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3.5"/>
      <name val="Arial"/>
      <family val="2"/>
    </font>
    <font>
      <sz val="13.5"/>
      <color theme="1"/>
      <name val="Arial"/>
      <family val="2"/>
    </font>
    <font>
      <u/>
      <sz val="14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name val="Calibri"/>
      <family val="2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38C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0" fillId="0" borderId="0"/>
    <xf numFmtId="0" fontId="9" fillId="0" borderId="0"/>
    <xf numFmtId="9" fontId="14" fillId="0" borderId="0" applyFont="0" applyFill="0" applyBorder="0" applyAlignment="0" applyProtection="0"/>
    <xf numFmtId="0" fontId="21" fillId="0" borderId="0"/>
  </cellStyleXfs>
  <cellXfs count="55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9" fillId="2" borderId="8" xfId="4" applyFill="1" applyBorder="1"/>
    <xf numFmtId="0" fontId="9" fillId="0" borderId="8" xfId="4" applyBorder="1"/>
    <xf numFmtId="4" fontId="9" fillId="0" borderId="8" xfId="4" applyNumberFormat="1" applyBorder="1"/>
    <xf numFmtId="0" fontId="15" fillId="0" borderId="8" xfId="4" applyFont="1" applyBorder="1"/>
    <xf numFmtId="4" fontId="15" fillId="0" borderId="8" xfId="4" applyNumberFormat="1" applyFont="1" applyBorder="1"/>
    <xf numFmtId="2" fontId="15" fillId="0" borderId="8" xfId="4" applyNumberFormat="1" applyFont="1" applyBorder="1"/>
    <xf numFmtId="9" fontId="12" fillId="0" borderId="6" xfId="0" applyNumberFormat="1" applyFont="1" applyBorder="1" applyAlignment="1">
      <alignment horizontal="center" vertical="center"/>
    </xf>
    <xf numFmtId="2" fontId="9" fillId="0" borderId="8" xfId="4" applyNumberFormat="1" applyBorder="1"/>
    <xf numFmtId="14" fontId="9" fillId="0" borderId="8" xfId="4" applyNumberFormat="1" applyBorder="1" applyAlignment="1">
      <alignment horizontal="center"/>
    </xf>
    <xf numFmtId="14" fontId="15" fillId="0" borderId="8" xfId="4" applyNumberFormat="1" applyFont="1" applyBorder="1" applyAlignment="1">
      <alignment horizontal="center"/>
    </xf>
    <xf numFmtId="0" fontId="9" fillId="0" borderId="9" xfId="4" applyBorder="1"/>
    <xf numFmtId="14" fontId="15" fillId="0" borderId="10" xfId="3" applyNumberFormat="1" applyFont="1" applyBorder="1" applyAlignment="1">
      <alignment horizontal="center" vertical="center"/>
    </xf>
    <xf numFmtId="4" fontId="9" fillId="0" borderId="9" xfId="4" applyNumberFormat="1" applyBorder="1"/>
    <xf numFmtId="44" fontId="12" fillId="0" borderId="11" xfId="2" applyFont="1" applyFill="1" applyBorder="1" applyAlignment="1">
      <alignment vertical="center"/>
    </xf>
    <xf numFmtId="44" fontId="12" fillId="0" borderId="11" xfId="0" applyNumberFormat="1" applyFont="1" applyBorder="1" applyAlignment="1">
      <alignment vertical="center"/>
    </xf>
    <xf numFmtId="9" fontId="12" fillId="0" borderId="8" xfId="0" applyNumberFormat="1" applyFont="1" applyBorder="1" applyAlignment="1">
      <alignment horizontal="center" vertical="center"/>
    </xf>
    <xf numFmtId="14" fontId="15" fillId="0" borderId="8" xfId="3" applyNumberFormat="1" applyFont="1" applyBorder="1" applyAlignment="1">
      <alignment horizontal="center" vertical="center"/>
    </xf>
    <xf numFmtId="44" fontId="12" fillId="0" borderId="8" xfId="2" applyFont="1" applyFill="1" applyBorder="1" applyAlignment="1">
      <alignment vertical="center"/>
    </xf>
    <xf numFmtId="44" fontId="12" fillId="0" borderId="8" xfId="0" applyNumberFormat="1" applyFont="1" applyBorder="1" applyAlignment="1">
      <alignment vertical="center"/>
    </xf>
    <xf numFmtId="10" fontId="12" fillId="0" borderId="8" xfId="0" applyNumberFormat="1" applyFont="1" applyBorder="1" applyAlignment="1">
      <alignment horizontal="center" vertical="center"/>
    </xf>
    <xf numFmtId="164" fontId="12" fillId="0" borderId="8" xfId="1" applyFont="1" applyFill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 wrapText="1"/>
    </xf>
    <xf numFmtId="0" fontId="8" fillId="0" borderId="8" xfId="4" applyFont="1" applyBorder="1"/>
    <xf numFmtId="0" fontId="8" fillId="0" borderId="9" xfId="4" applyFont="1" applyBorder="1"/>
    <xf numFmtId="0" fontId="12" fillId="0" borderId="3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0" fillId="0" borderId="0" xfId="1" applyFont="1"/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164" fontId="21" fillId="0" borderId="0" xfId="1" applyFont="1"/>
    <xf numFmtId="164" fontId="22" fillId="0" borderId="0" xfId="1" applyFont="1"/>
    <xf numFmtId="43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164" fontId="23" fillId="0" borderId="0" xfId="1" applyFont="1"/>
    <xf numFmtId="0" fontId="9" fillId="3" borderId="9" xfId="4" applyFill="1" applyBorder="1"/>
    <xf numFmtId="9" fontId="12" fillId="3" borderId="6" xfId="0" applyNumberFormat="1" applyFont="1" applyFill="1" applyBorder="1" applyAlignment="1">
      <alignment horizontal="left" vertical="center"/>
    </xf>
    <xf numFmtId="9" fontId="12" fillId="3" borderId="8" xfId="0" applyNumberFormat="1" applyFont="1" applyFill="1" applyBorder="1" applyAlignment="1">
      <alignment horizontal="center" vertical="center"/>
    </xf>
    <xf numFmtId="164" fontId="9" fillId="3" borderId="9" xfId="1" applyFont="1" applyFill="1" applyBorder="1"/>
    <xf numFmtId="14" fontId="15" fillId="3" borderId="10" xfId="3" applyNumberFormat="1" applyFont="1" applyFill="1" applyBorder="1" applyAlignment="1">
      <alignment horizontal="center" vertical="center"/>
    </xf>
    <xf numFmtId="4" fontId="9" fillId="3" borderId="9" xfId="4" applyNumberFormat="1" applyFill="1" applyBorder="1"/>
    <xf numFmtId="4" fontId="9" fillId="3" borderId="11" xfId="4" applyNumberFormat="1" applyFill="1" applyBorder="1"/>
    <xf numFmtId="44" fontId="12" fillId="3" borderId="11" xfId="2" applyFont="1" applyFill="1" applyBorder="1" applyAlignment="1">
      <alignment vertical="center"/>
    </xf>
    <xf numFmtId="44" fontId="12" fillId="3" borderId="11" xfId="0" applyNumberFormat="1" applyFont="1" applyFill="1" applyBorder="1" applyAlignment="1">
      <alignment vertical="center"/>
    </xf>
    <xf numFmtId="0" fontId="9" fillId="3" borderId="8" xfId="4" applyFill="1" applyBorder="1"/>
    <xf numFmtId="9" fontId="12" fillId="3" borderId="8" xfId="0" applyNumberFormat="1" applyFont="1" applyFill="1" applyBorder="1" applyAlignment="1">
      <alignment horizontal="left" vertical="center"/>
    </xf>
    <xf numFmtId="164" fontId="9" fillId="3" borderId="8" xfId="1" applyFont="1" applyFill="1" applyBorder="1"/>
    <xf numFmtId="14" fontId="15" fillId="3" borderId="8" xfId="3" applyNumberFormat="1" applyFont="1" applyFill="1" applyBorder="1" applyAlignment="1">
      <alignment horizontal="center" vertical="center"/>
    </xf>
    <xf numFmtId="4" fontId="9" fillId="3" borderId="8" xfId="4" applyNumberFormat="1" applyFill="1" applyBorder="1"/>
    <xf numFmtId="44" fontId="12" fillId="3" borderId="8" xfId="2" applyFont="1" applyFill="1" applyBorder="1" applyAlignment="1">
      <alignment vertical="center"/>
    </xf>
    <xf numFmtId="44" fontId="12" fillId="3" borderId="8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4" borderId="8" xfId="4" applyFill="1" applyBorder="1"/>
    <xf numFmtId="9" fontId="12" fillId="4" borderId="8" xfId="0" applyNumberFormat="1" applyFont="1" applyFill="1" applyBorder="1" applyAlignment="1">
      <alignment horizontal="left" vertical="center"/>
    </xf>
    <xf numFmtId="9" fontId="12" fillId="4" borderId="8" xfId="0" applyNumberFormat="1" applyFont="1" applyFill="1" applyBorder="1" applyAlignment="1">
      <alignment horizontal="center" vertical="center"/>
    </xf>
    <xf numFmtId="164" fontId="9" fillId="4" borderId="8" xfId="1" applyFont="1" applyFill="1" applyBorder="1"/>
    <xf numFmtId="14" fontId="15" fillId="4" borderId="8" xfId="3" applyNumberFormat="1" applyFont="1" applyFill="1" applyBorder="1" applyAlignment="1">
      <alignment horizontal="center" vertical="center"/>
    </xf>
    <xf numFmtId="4" fontId="9" fillId="4" borderId="8" xfId="4" applyNumberFormat="1" applyFill="1" applyBorder="1"/>
    <xf numFmtId="44" fontId="12" fillId="4" borderId="8" xfId="2" applyFont="1" applyFill="1" applyBorder="1" applyAlignment="1">
      <alignment vertical="center"/>
    </xf>
    <xf numFmtId="44" fontId="12" fillId="4" borderId="8" xfId="0" applyNumberFormat="1" applyFont="1" applyFill="1" applyBorder="1" applyAlignment="1">
      <alignment vertical="center"/>
    </xf>
    <xf numFmtId="0" fontId="0" fillId="4" borderId="8" xfId="0" applyFill="1" applyBorder="1"/>
    <xf numFmtId="164" fontId="0" fillId="4" borderId="8" xfId="1" applyFont="1" applyFill="1" applyBorder="1"/>
    <xf numFmtId="14" fontId="0" fillId="4" borderId="8" xfId="0" applyNumberFormat="1" applyFill="1" applyBorder="1"/>
    <xf numFmtId="2" fontId="0" fillId="4" borderId="8" xfId="0" applyNumberFormat="1" applyFill="1" applyBorder="1"/>
    <xf numFmtId="43" fontId="0" fillId="4" borderId="8" xfId="0" applyNumberFormat="1" applyFill="1" applyBorder="1"/>
    <xf numFmtId="44" fontId="0" fillId="0" borderId="0" xfId="0" applyNumberFormat="1"/>
    <xf numFmtId="14" fontId="0" fillId="0" borderId="0" xfId="0" applyNumberFormat="1"/>
    <xf numFmtId="164" fontId="21" fillId="5" borderId="0" xfId="1" applyFont="1" applyFill="1" applyAlignment="1">
      <alignment horizontal="left"/>
    </xf>
    <xf numFmtId="0" fontId="0" fillId="5" borderId="0" xfId="0" applyFill="1"/>
    <xf numFmtId="14" fontId="0" fillId="5" borderId="0" xfId="0" applyNumberFormat="1" applyFill="1"/>
    <xf numFmtId="164" fontId="0" fillId="5" borderId="0" xfId="1" applyFont="1" applyFill="1"/>
    <xf numFmtId="0" fontId="0" fillId="3" borderId="0" xfId="0" applyFill="1"/>
    <xf numFmtId="14" fontId="0" fillId="3" borderId="0" xfId="0" applyNumberFormat="1" applyFill="1"/>
    <xf numFmtId="164" fontId="0" fillId="3" borderId="0" xfId="1" applyFont="1" applyFill="1"/>
    <xf numFmtId="2" fontId="0" fillId="5" borderId="0" xfId="0" applyNumberFormat="1" applyFill="1"/>
    <xf numFmtId="2" fontId="0" fillId="3" borderId="0" xfId="0" applyNumberFormat="1" applyFill="1"/>
    <xf numFmtId="164" fontId="0" fillId="3" borderId="0" xfId="1" applyFont="1" applyFill="1" applyAlignment="1">
      <alignment horizontal="center" vertical="center"/>
    </xf>
    <xf numFmtId="10" fontId="0" fillId="0" borderId="0" xfId="0" applyNumberFormat="1"/>
    <xf numFmtId="43" fontId="0" fillId="3" borderId="0" xfId="0" applyNumberFormat="1" applyFill="1"/>
    <xf numFmtId="165" fontId="0" fillId="3" borderId="0" xfId="0" applyNumberFormat="1" applyFill="1"/>
    <xf numFmtId="43" fontId="0" fillId="5" borderId="0" xfId="0" applyNumberFormat="1" applyFill="1"/>
    <xf numFmtId="164" fontId="0" fillId="0" borderId="0" xfId="0" applyNumberFormat="1"/>
    <xf numFmtId="164" fontId="0" fillId="0" borderId="0" xfId="1" applyNumberFormat="1" applyFont="1"/>
    <xf numFmtId="7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6" borderId="0" xfId="0" applyFill="1" applyBorder="1" applyAlignment="1">
      <alignment vertical="center"/>
    </xf>
    <xf numFmtId="9" fontId="12" fillId="4" borderId="14" xfId="0" applyNumberFormat="1" applyFont="1" applyFill="1" applyBorder="1" applyAlignment="1">
      <alignment horizontal="left" vertical="center"/>
    </xf>
    <xf numFmtId="9" fontId="0" fillId="0" borderId="0" xfId="5" applyFont="1" applyBorder="1" applyAlignment="1">
      <alignment horizontal="center" vertical="center"/>
    </xf>
    <xf numFmtId="0" fontId="0" fillId="6" borderId="0" xfId="0" applyFill="1" applyBorder="1"/>
    <xf numFmtId="0" fontId="18" fillId="0" borderId="1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20" xfId="0" applyBorder="1"/>
    <xf numFmtId="0" fontId="0" fillId="0" borderId="17" xfId="0" applyBorder="1"/>
    <xf numFmtId="0" fontId="0" fillId="0" borderId="18" xfId="0" applyBorder="1"/>
    <xf numFmtId="0" fontId="22" fillId="8" borderId="3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vertical="center"/>
    </xf>
    <xf numFmtId="0" fontId="25" fillId="8" borderId="4" xfId="0" applyFont="1" applyFill="1" applyBorder="1"/>
    <xf numFmtId="0" fontId="25" fillId="8" borderId="5" xfId="0" applyFont="1" applyFill="1" applyBorder="1"/>
    <xf numFmtId="0" fontId="9" fillId="10" borderId="8" xfId="4" applyFill="1" applyBorder="1" applyAlignment="1">
      <alignment horizontal="center"/>
    </xf>
    <xf numFmtId="9" fontId="12" fillId="10" borderId="8" xfId="0" applyNumberFormat="1" applyFont="1" applyFill="1" applyBorder="1" applyAlignment="1">
      <alignment horizontal="center" vertical="center"/>
    </xf>
    <xf numFmtId="44" fontId="12" fillId="10" borderId="8" xfId="0" applyNumberFormat="1" applyFont="1" applyFill="1" applyBorder="1" applyAlignment="1">
      <alignment vertical="center"/>
    </xf>
    <xf numFmtId="0" fontId="25" fillId="11" borderId="2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10" fontId="0" fillId="0" borderId="8" xfId="5" applyNumberFormat="1" applyFont="1" applyBorder="1" applyAlignment="1">
      <alignment horizontal="center" vertical="center"/>
    </xf>
    <xf numFmtId="0" fontId="0" fillId="0" borderId="8" xfId="0" applyBorder="1"/>
    <xf numFmtId="165" fontId="0" fillId="0" borderId="8" xfId="0" applyNumberFormat="1" applyBorder="1" applyAlignment="1">
      <alignment vertical="center"/>
    </xf>
    <xf numFmtId="0" fontId="25" fillId="4" borderId="13" xfId="4" applyFont="1" applyFill="1" applyBorder="1" applyAlignment="1">
      <alignment horizontal="center"/>
    </xf>
    <xf numFmtId="44" fontId="24" fillId="4" borderId="8" xfId="0" applyNumberFormat="1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9" fontId="12" fillId="6" borderId="8" xfId="0" applyNumberFormat="1" applyFont="1" applyFill="1" applyBorder="1" applyAlignment="1">
      <alignment horizontal="center" vertical="center"/>
    </xf>
    <xf numFmtId="9" fontId="12" fillId="6" borderId="8" xfId="0" applyNumberFormat="1" applyFont="1" applyFill="1" applyBorder="1" applyAlignment="1">
      <alignment horizontal="left" vertical="center"/>
    </xf>
    <xf numFmtId="165" fontId="12" fillId="6" borderId="8" xfId="0" applyNumberFormat="1" applyFont="1" applyFill="1" applyBorder="1" applyAlignment="1">
      <alignment horizontal="right" vertical="center"/>
    </xf>
    <xf numFmtId="44" fontId="12" fillId="6" borderId="8" xfId="0" applyNumberFormat="1" applyFont="1" applyFill="1" applyBorder="1" applyAlignment="1">
      <alignment horizontal="left" vertical="center"/>
    </xf>
    <xf numFmtId="0" fontId="25" fillId="11" borderId="25" xfId="0" applyFont="1" applyFill="1" applyBorder="1" applyAlignment="1">
      <alignment horizontal="center" vertical="center"/>
    </xf>
    <xf numFmtId="0" fontId="25" fillId="12" borderId="14" xfId="0" applyFont="1" applyFill="1" applyBorder="1" applyAlignment="1">
      <alignment horizontal="center" vertical="center" wrapText="1"/>
    </xf>
    <xf numFmtId="0" fontId="25" fillId="12" borderId="15" xfId="0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 vertical="center"/>
    </xf>
    <xf numFmtId="165" fontId="0" fillId="0" borderId="0" xfId="0" applyNumberFormat="1"/>
    <xf numFmtId="165" fontId="0" fillId="0" borderId="8" xfId="0" applyNumberFormat="1" applyBorder="1"/>
    <xf numFmtId="9" fontId="0" fillId="0" borderId="0" xfId="5" applyFont="1"/>
    <xf numFmtId="0" fontId="0" fillId="0" borderId="8" xfId="0" applyFill="1" applyBorder="1"/>
    <xf numFmtId="10" fontId="0" fillId="0" borderId="12" xfId="5" applyNumberFormat="1" applyFont="1" applyBorder="1" applyAlignment="1">
      <alignment horizontal="left" vertical="center"/>
    </xf>
    <xf numFmtId="0" fontId="20" fillId="0" borderId="0" xfId="0" applyFont="1"/>
    <xf numFmtId="4" fontId="29" fillId="4" borderId="14" xfId="0" applyNumberFormat="1" applyFont="1" applyFill="1" applyBorder="1" applyAlignment="1">
      <alignment horizontal="center" vertical="center"/>
    </xf>
    <xf numFmtId="167" fontId="0" fillId="0" borderId="0" xfId="5" applyNumberFormat="1" applyFont="1"/>
    <xf numFmtId="10" fontId="0" fillId="0" borderId="0" xfId="5" applyNumberFormat="1" applyFont="1"/>
    <xf numFmtId="0" fontId="0" fillId="0" borderId="19" xfId="0" applyBorder="1"/>
    <xf numFmtId="0" fontId="0" fillId="0" borderId="8" xfId="0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0" fillId="0" borderId="8" xfId="0" applyBorder="1" applyAlignment="1">
      <alignment wrapText="1"/>
    </xf>
    <xf numFmtId="165" fontId="0" fillId="0" borderId="8" xfId="1" applyNumberFormat="1" applyFont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Fill="1" applyBorder="1"/>
    <xf numFmtId="0" fontId="0" fillId="14" borderId="8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/>
    </xf>
    <xf numFmtId="10" fontId="22" fillId="0" borderId="8" xfId="5" applyNumberFormat="1" applyFont="1" applyBorder="1" applyAlignment="1">
      <alignment horizontal="center" vertical="center"/>
    </xf>
    <xf numFmtId="10" fontId="22" fillId="0" borderId="8" xfId="5" applyNumberFormat="1" applyFont="1" applyBorder="1" applyAlignment="1">
      <alignment horizontal="center"/>
    </xf>
    <xf numFmtId="44" fontId="25" fillId="12" borderId="15" xfId="0" applyNumberFormat="1" applyFont="1" applyFill="1" applyBorder="1" applyAlignment="1">
      <alignment horizontal="center" vertical="center" wrapText="1"/>
    </xf>
    <xf numFmtId="0" fontId="0" fillId="0" borderId="0" xfId="0" applyBorder="1"/>
    <xf numFmtId="44" fontId="0" fillId="0" borderId="8" xfId="0" applyNumberFormat="1" applyBorder="1"/>
    <xf numFmtId="165" fontId="0" fillId="0" borderId="0" xfId="0" applyNumberFormat="1" applyAlignment="1">
      <alignment vertical="center"/>
    </xf>
    <xf numFmtId="0" fontId="32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right" vertical="center" wrapText="1"/>
    </xf>
    <xf numFmtId="165" fontId="31" fillId="6" borderId="0" xfId="0" applyNumberFormat="1" applyFont="1" applyFill="1" applyBorder="1" applyAlignment="1">
      <alignment horizontal="right" vertical="center" wrapText="1"/>
    </xf>
    <xf numFmtId="0" fontId="33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31" fillId="6" borderId="0" xfId="0" quotePrefix="1" applyFont="1" applyFill="1" applyBorder="1" applyAlignment="1">
      <alignment horizontal="right" vertical="center" wrapText="1"/>
    </xf>
    <xf numFmtId="0" fontId="34" fillId="6" borderId="0" xfId="0" applyFont="1" applyFill="1" applyBorder="1" applyAlignment="1">
      <alignment horizontal="justify" vertical="center" wrapText="1"/>
    </xf>
    <xf numFmtId="165" fontId="35" fillId="6" borderId="0" xfId="0" applyNumberFormat="1" applyFont="1" applyFill="1" applyBorder="1" applyAlignment="1">
      <alignment horizontal="right" vertical="center" wrapText="1"/>
    </xf>
    <xf numFmtId="8" fontId="35" fillId="6" borderId="0" xfId="0" applyNumberFormat="1" applyFont="1" applyFill="1" applyBorder="1" applyAlignment="1">
      <alignment horizontal="right" vertical="center" wrapText="1"/>
    </xf>
    <xf numFmtId="8" fontId="34" fillId="6" borderId="0" xfId="0" applyNumberFormat="1" applyFont="1" applyFill="1" applyBorder="1" applyAlignment="1">
      <alignment horizontal="right" vertical="center" wrapText="1"/>
    </xf>
    <xf numFmtId="165" fontId="35" fillId="6" borderId="0" xfId="0" applyNumberFormat="1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justify" vertical="center" wrapText="1"/>
    </xf>
    <xf numFmtId="165" fontId="36" fillId="6" borderId="0" xfId="0" applyNumberFormat="1" applyFont="1" applyFill="1" applyBorder="1" applyAlignment="1">
      <alignment horizontal="right" vertical="center" wrapText="1"/>
    </xf>
    <xf numFmtId="8" fontId="36" fillId="6" borderId="0" xfId="0" applyNumberFormat="1" applyFont="1" applyFill="1" applyBorder="1" applyAlignment="1">
      <alignment horizontal="right" vertical="center" wrapText="1"/>
    </xf>
    <xf numFmtId="0" fontId="37" fillId="0" borderId="0" xfId="0" applyFont="1" applyBorder="1"/>
    <xf numFmtId="0" fontId="30" fillId="0" borderId="0" xfId="0" applyFont="1" applyBorder="1"/>
    <xf numFmtId="170" fontId="30" fillId="0" borderId="0" xfId="0" applyNumberFormat="1" applyFont="1" applyBorder="1"/>
    <xf numFmtId="0" fontId="21" fillId="6" borderId="0" xfId="0" applyFont="1" applyFill="1" applyBorder="1"/>
    <xf numFmtId="165" fontId="24" fillId="4" borderId="8" xfId="0" applyNumberFormat="1" applyFont="1" applyFill="1" applyBorder="1" applyAlignment="1">
      <alignment horizontal="right" vertical="center"/>
    </xf>
    <xf numFmtId="165" fontId="24" fillId="0" borderId="0" xfId="0" applyNumberFormat="1" applyFont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0" fontId="0" fillId="0" borderId="23" xfId="5" applyNumberFormat="1" applyFont="1" applyBorder="1" applyAlignment="1">
      <alignment horizontal="left" vertical="center"/>
    </xf>
    <xf numFmtId="0" fontId="7" fillId="10" borderId="8" xfId="4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165" fontId="0" fillId="0" borderId="0" xfId="1" applyNumberFormat="1" applyFont="1" applyAlignment="1">
      <alignment horizontal="left"/>
    </xf>
    <xf numFmtId="0" fontId="0" fillId="7" borderId="8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165" fontId="13" fillId="0" borderId="8" xfId="0" applyNumberFormat="1" applyFont="1" applyBorder="1" applyAlignment="1">
      <alignment horizontal="right" vertical="center"/>
    </xf>
    <xf numFmtId="0" fontId="0" fillId="7" borderId="8" xfId="0" applyFill="1" applyBorder="1"/>
    <xf numFmtId="0" fontId="0" fillId="6" borderId="8" xfId="0" applyFill="1" applyBorder="1" applyAlignment="1">
      <alignment horizontal="left" vertical="center"/>
    </xf>
    <xf numFmtId="0" fontId="0" fillId="0" borderId="15" xfId="0" applyBorder="1"/>
    <xf numFmtId="0" fontId="21" fillId="0" borderId="8" xfId="0" applyFont="1" applyBorder="1" applyAlignment="1"/>
    <xf numFmtId="0" fontId="21" fillId="0" borderId="8" xfId="0" applyFont="1" applyBorder="1" applyAlignment="1">
      <alignment wrapText="1"/>
    </xf>
    <xf numFmtId="165" fontId="40" fillId="0" borderId="0" xfId="0" applyNumberFormat="1" applyFont="1"/>
    <xf numFmtId="0" fontId="39" fillId="0" borderId="0" xfId="0" applyFont="1" applyAlignment="1">
      <alignment vertical="center" wrapText="1"/>
    </xf>
    <xf numFmtId="165" fontId="13" fillId="0" borderId="8" xfId="0" applyNumberFormat="1" applyFont="1" applyBorder="1" applyAlignment="1">
      <alignment horizontal="center" vertical="center"/>
    </xf>
    <xf numFmtId="165" fontId="22" fillId="7" borderId="8" xfId="0" applyNumberFormat="1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right" vertical="center"/>
    </xf>
    <xf numFmtId="165" fontId="22" fillId="7" borderId="13" xfId="0" applyNumberFormat="1" applyFont="1" applyFill="1" applyBorder="1" applyAlignment="1">
      <alignment horizontal="center" vertical="center"/>
    </xf>
    <xf numFmtId="165" fontId="23" fillId="7" borderId="15" xfId="0" applyNumberFormat="1" applyFont="1" applyFill="1" applyBorder="1" applyAlignment="1">
      <alignment horizontal="center" vertical="center"/>
    </xf>
    <xf numFmtId="165" fontId="22" fillId="7" borderId="15" xfId="0" applyNumberFormat="1" applyFont="1" applyFill="1" applyBorder="1" applyAlignment="1">
      <alignment horizontal="center" vertical="center"/>
    </xf>
    <xf numFmtId="165" fontId="41" fillId="0" borderId="34" xfId="0" applyNumberFormat="1" applyFont="1" applyBorder="1"/>
    <xf numFmtId="165" fontId="0" fillId="0" borderId="0" xfId="0" applyNumberFormat="1" applyAlignment="1">
      <alignment horizontal="center"/>
    </xf>
    <xf numFmtId="0" fontId="42" fillId="0" borderId="0" xfId="0" applyFont="1"/>
    <xf numFmtId="0" fontId="27" fillId="0" borderId="0" xfId="0" applyFont="1"/>
    <xf numFmtId="0" fontId="0" fillId="0" borderId="0" xfId="0" applyBorder="1" applyAlignment="1"/>
    <xf numFmtId="10" fontId="0" fillId="0" borderId="8" xfId="5" applyNumberFormat="1" applyFont="1" applyBorder="1" applyAlignment="1"/>
    <xf numFmtId="9" fontId="13" fillId="0" borderId="8" xfId="5" applyFont="1" applyBorder="1" applyAlignment="1"/>
    <xf numFmtId="165" fontId="13" fillId="0" borderId="8" xfId="0" applyNumberFormat="1" applyFont="1" applyBorder="1" applyAlignment="1"/>
    <xf numFmtId="10" fontId="13" fillId="0" borderId="9" xfId="0" applyNumberFormat="1" applyFont="1" applyBorder="1" applyAlignment="1"/>
    <xf numFmtId="10" fontId="13" fillId="0" borderId="19" xfId="0" applyNumberFormat="1" applyFont="1" applyBorder="1" applyAlignment="1"/>
    <xf numFmtId="165" fontId="23" fillId="6" borderId="15" xfId="0" applyNumberFormat="1" applyFont="1" applyFill="1" applyBorder="1" applyAlignment="1">
      <alignment horizontal="center" vertical="center"/>
    </xf>
    <xf numFmtId="165" fontId="22" fillId="6" borderId="8" xfId="0" applyNumberFormat="1" applyFont="1" applyFill="1" applyBorder="1" applyAlignment="1">
      <alignment horizontal="center" vertical="center"/>
    </xf>
    <xf numFmtId="9" fontId="21" fillId="6" borderId="8" xfId="5" applyFont="1" applyFill="1" applyBorder="1" applyAlignment="1"/>
    <xf numFmtId="10" fontId="21" fillId="6" borderId="8" xfId="5" applyNumberFormat="1" applyFont="1" applyFill="1" applyBorder="1" applyAlignment="1"/>
    <xf numFmtId="10" fontId="43" fillId="7" borderId="8" xfId="5" applyNumberFormat="1" applyFont="1" applyFill="1" applyBorder="1" applyAlignment="1">
      <alignment horizontal="right" vertical="center"/>
    </xf>
    <xf numFmtId="10" fontId="44" fillId="7" borderId="8" xfId="5" applyNumberFormat="1" applyFont="1" applyFill="1" applyBorder="1" applyAlignment="1"/>
    <xf numFmtId="10" fontId="43" fillId="7" borderId="8" xfId="5" applyNumberFormat="1" applyFont="1" applyFill="1" applyBorder="1" applyAlignment="1"/>
    <xf numFmtId="9" fontId="45" fillId="7" borderId="8" xfId="5" applyFont="1" applyFill="1" applyBorder="1" applyAlignment="1"/>
    <xf numFmtId="10" fontId="45" fillId="7" borderId="8" xfId="5" applyNumberFormat="1" applyFont="1" applyFill="1" applyBorder="1" applyAlignment="1"/>
    <xf numFmtId="10" fontId="46" fillId="0" borderId="0" xfId="5" applyNumberFormat="1" applyFont="1"/>
    <xf numFmtId="0" fontId="0" fillId="11" borderId="9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 wrapText="1"/>
    </xf>
    <xf numFmtId="10" fontId="21" fillId="6" borderId="8" xfId="5" applyNumberFormat="1" applyFont="1" applyFill="1" applyBorder="1" applyAlignment="1">
      <alignment vertical="center"/>
    </xf>
    <xf numFmtId="0" fontId="6" fillId="10" borderId="8" xfId="4" applyFont="1" applyFill="1" applyBorder="1"/>
    <xf numFmtId="0" fontId="6" fillId="10" borderId="8" xfId="4" applyFont="1" applyFill="1" applyBorder="1" applyAlignment="1">
      <alignment horizontal="center" vertical="center"/>
    </xf>
    <xf numFmtId="15" fontId="26" fillId="0" borderId="12" xfId="0" applyNumberFormat="1" applyFont="1" applyBorder="1" applyAlignment="1">
      <alignment horizontal="left" vertical="center"/>
    </xf>
    <xf numFmtId="0" fontId="6" fillId="6" borderId="8" xfId="4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167" fontId="0" fillId="0" borderId="12" xfId="5" applyNumberFormat="1" applyFont="1" applyBorder="1" applyAlignment="1">
      <alignment horizontal="left" vertical="center"/>
    </xf>
    <xf numFmtId="0" fontId="23" fillId="13" borderId="0" xfId="0" applyFont="1" applyFill="1" applyAlignment="1">
      <alignment horizontal="center" vertical="center"/>
    </xf>
    <xf numFmtId="0" fontId="0" fillId="13" borderId="8" xfId="0" applyFill="1" applyBorder="1" applyAlignment="1">
      <alignment vertical="center"/>
    </xf>
    <xf numFmtId="165" fontId="9" fillId="10" borderId="8" xfId="4" applyNumberFormat="1" applyFill="1" applyBorder="1"/>
    <xf numFmtId="0" fontId="22" fillId="8" borderId="3" xfId="0" applyFont="1" applyFill="1" applyBorder="1" applyAlignment="1">
      <alignment vertical="center"/>
    </xf>
    <xf numFmtId="165" fontId="5" fillId="10" borderId="8" xfId="4" applyNumberFormat="1" applyFont="1" applyFill="1" applyBorder="1"/>
    <xf numFmtId="165" fontId="12" fillId="10" borderId="8" xfId="2" applyNumberFormat="1" applyFont="1" applyFill="1" applyBorder="1" applyAlignment="1">
      <alignment vertical="center"/>
    </xf>
    <xf numFmtId="0" fontId="23" fillId="17" borderId="8" xfId="0" applyFont="1" applyFill="1" applyBorder="1"/>
    <xf numFmtId="165" fontId="23" fillId="0" borderId="8" xfId="0" applyNumberFormat="1" applyFont="1" applyBorder="1" applyAlignment="1">
      <alignment horizontal="right" vertical="center"/>
    </xf>
    <xf numFmtId="165" fontId="23" fillId="0" borderId="8" xfId="0" applyNumberFormat="1" applyFont="1" applyBorder="1"/>
    <xf numFmtId="44" fontId="23" fillId="0" borderId="8" xfId="0" applyNumberFormat="1" applyFont="1" applyBorder="1"/>
    <xf numFmtId="0" fontId="23" fillId="17" borderId="8" xfId="0" applyFont="1" applyFill="1" applyBorder="1" applyAlignment="1">
      <alignment horizontal="center" vertical="center"/>
    </xf>
    <xf numFmtId="6" fontId="23" fillId="0" borderId="8" xfId="0" applyNumberFormat="1" applyFont="1" applyBorder="1"/>
    <xf numFmtId="0" fontId="0" fillId="0" borderId="0" xfId="0" applyBorder="1"/>
    <xf numFmtId="0" fontId="0" fillId="0" borderId="0" xfId="0"/>
    <xf numFmtId="44" fontId="0" fillId="0" borderId="0" xfId="0" applyNumberFormat="1" applyBorder="1"/>
    <xf numFmtId="44" fontId="23" fillId="0" borderId="0" xfId="0" applyNumberFormat="1" applyFont="1" applyBorder="1"/>
    <xf numFmtId="0" fontId="47" fillId="0" borderId="0" xfId="0" applyFont="1"/>
    <xf numFmtId="0" fontId="0" fillId="0" borderId="0" xfId="0" applyBorder="1" applyAlignment="1">
      <alignment horizontal="left" vertical="top" wrapText="1"/>
    </xf>
    <xf numFmtId="2" fontId="23" fillId="0" borderId="8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left" vertical="center"/>
    </xf>
    <xf numFmtId="165" fontId="15" fillId="10" borderId="8" xfId="4" applyNumberFormat="1" applyFont="1" applyFill="1" applyBorder="1"/>
    <xf numFmtId="3" fontId="15" fillId="10" borderId="8" xfId="3" applyNumberFormat="1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wrapText="1"/>
    </xf>
    <xf numFmtId="0" fontId="4" fillId="6" borderId="8" xfId="4" applyFont="1" applyFill="1" applyBorder="1" applyAlignment="1">
      <alignment horizontal="left"/>
    </xf>
    <xf numFmtId="4" fontId="12" fillId="4" borderId="14" xfId="0" applyNumberFormat="1" applyFont="1" applyFill="1" applyBorder="1" applyAlignment="1">
      <alignment horizontal="center" vertical="center"/>
    </xf>
    <xf numFmtId="165" fontId="21" fillId="0" borderId="8" xfId="0" applyNumberFormat="1" applyFont="1" applyBorder="1" applyAlignment="1">
      <alignment horizontal="center" vertical="center"/>
    </xf>
    <xf numFmtId="165" fontId="21" fillId="0" borderId="8" xfId="0" applyNumberFormat="1" applyFont="1" applyBorder="1" applyAlignment="1">
      <alignment vertical="center"/>
    </xf>
    <xf numFmtId="165" fontId="21" fillId="0" borderId="8" xfId="0" applyNumberFormat="1" applyFont="1" applyBorder="1" applyAlignment="1">
      <alignment horizontal="right" vertical="center"/>
    </xf>
    <xf numFmtId="0" fontId="21" fillId="4" borderId="8" xfId="0" applyFont="1" applyFill="1" applyBorder="1"/>
    <xf numFmtId="165" fontId="12" fillId="4" borderId="8" xfId="0" applyNumberFormat="1" applyFont="1" applyFill="1" applyBorder="1" applyAlignment="1">
      <alignment horizontal="right" vertical="center"/>
    </xf>
    <xf numFmtId="166" fontId="14" fillId="0" borderId="12" xfId="1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65" fontId="24" fillId="4" borderId="8" xfId="0" applyNumberFormat="1" applyFont="1" applyFill="1" applyBorder="1" applyAlignment="1">
      <alignment vertical="center"/>
    </xf>
    <xf numFmtId="0" fontId="25" fillId="8" borderId="4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5" fillId="8" borderId="4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25" fillId="8" borderId="5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5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5" fillId="4" borderId="13" xfId="4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3" fillId="13" borderId="12" xfId="0" applyFont="1" applyFill="1" applyBorder="1" applyAlignment="1">
      <alignment horizontal="center" vertical="center"/>
    </xf>
    <xf numFmtId="0" fontId="0" fillId="13" borderId="11" xfId="0" applyFill="1" applyBorder="1" applyAlignment="1">
      <alignment vertical="center"/>
    </xf>
    <xf numFmtId="165" fontId="23" fillId="13" borderId="32" xfId="0" applyNumberFormat="1" applyFont="1" applyFill="1" applyBorder="1" applyAlignment="1">
      <alignment vertical="center"/>
    </xf>
    <xf numFmtId="0" fontId="0" fillId="16" borderId="14" xfId="0" applyFill="1" applyBorder="1" applyAlignment="1">
      <alignment vertical="center"/>
    </xf>
    <xf numFmtId="165" fontId="0" fillId="16" borderId="14" xfId="0" applyNumberFormat="1" applyFill="1" applyBorder="1" applyAlignment="1">
      <alignment vertical="center"/>
    </xf>
    <xf numFmtId="165" fontId="23" fillId="16" borderId="15" xfId="0" applyNumberFormat="1" applyFont="1" applyFill="1" applyBorder="1" applyAlignment="1">
      <alignment horizontal="right" vertical="center"/>
    </xf>
    <xf numFmtId="0" fontId="22" fillId="15" borderId="8" xfId="0" applyFont="1" applyFill="1" applyBorder="1" applyAlignment="1">
      <alignment vertical="center"/>
    </xf>
    <xf numFmtId="168" fontId="22" fillId="15" borderId="8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165" fontId="12" fillId="10" borderId="8" xfId="0" applyNumberFormat="1" applyFont="1" applyFill="1" applyBorder="1" applyAlignment="1">
      <alignment vertical="center"/>
    </xf>
    <xf numFmtId="44" fontId="24" fillId="4" borderId="8" xfId="0" applyNumberFormat="1" applyFont="1" applyFill="1" applyBorder="1" applyAlignment="1">
      <alignment horizontal="right" vertical="center"/>
    </xf>
    <xf numFmtId="0" fontId="23" fillId="13" borderId="8" xfId="0" applyFont="1" applyFill="1" applyBorder="1" applyAlignment="1">
      <alignment horizontal="center" vertical="center"/>
    </xf>
    <xf numFmtId="0" fontId="23" fillId="13" borderId="8" xfId="0" applyFont="1" applyFill="1" applyBorder="1" applyAlignment="1">
      <alignment vertical="center"/>
    </xf>
    <xf numFmtId="0" fontId="23" fillId="16" borderId="13" xfId="0" applyFont="1" applyFill="1" applyBorder="1" applyAlignment="1">
      <alignment horizontal="center" vertical="center"/>
    </xf>
    <xf numFmtId="0" fontId="22" fillId="16" borderId="8" xfId="0" applyFont="1" applyFill="1" applyBorder="1" applyAlignment="1">
      <alignment vertical="center"/>
    </xf>
    <xf numFmtId="168" fontId="22" fillId="16" borderId="8" xfId="0" applyNumberFormat="1" applyFont="1" applyFill="1" applyBorder="1" applyAlignment="1">
      <alignment vertical="center"/>
    </xf>
    <xf numFmtId="165" fontId="22" fillId="16" borderId="31" xfId="0" applyNumberFormat="1" applyFont="1" applyFill="1" applyBorder="1" applyAlignment="1">
      <alignment vertical="center"/>
    </xf>
    <xf numFmtId="0" fontId="22" fillId="16" borderId="45" xfId="0" applyFont="1" applyFill="1" applyBorder="1" applyAlignment="1">
      <alignment horizontal="center" vertical="center"/>
    </xf>
    <xf numFmtId="0" fontId="18" fillId="16" borderId="8" xfId="0" applyFont="1" applyFill="1" applyBorder="1" applyAlignment="1">
      <alignment horizontal="center" vertical="center"/>
    </xf>
    <xf numFmtId="165" fontId="22" fillId="16" borderId="8" xfId="0" applyNumberFormat="1" applyFont="1" applyFill="1" applyBorder="1" applyAlignment="1">
      <alignment vertical="center"/>
    </xf>
    <xf numFmtId="0" fontId="22" fillId="15" borderId="45" xfId="0" applyFont="1" applyFill="1" applyBorder="1" applyAlignment="1">
      <alignment vertical="center"/>
    </xf>
    <xf numFmtId="165" fontId="22" fillId="15" borderId="8" xfId="0" applyNumberFormat="1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168" fontId="0" fillId="0" borderId="8" xfId="0" applyNumberForma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169" fontId="0" fillId="0" borderId="31" xfId="0" applyNumberFormat="1" applyBorder="1" applyAlignment="1">
      <alignment vertical="center"/>
    </xf>
    <xf numFmtId="0" fontId="22" fillId="15" borderId="8" xfId="0" applyFont="1" applyFill="1" applyBorder="1" applyAlignment="1">
      <alignment horizontal="center" vertical="center"/>
    </xf>
    <xf numFmtId="0" fontId="25" fillId="16" borderId="35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 vertical="center" wrapText="1"/>
    </xf>
    <xf numFmtId="0" fontId="25" fillId="16" borderId="36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0" xfId="0" applyBorder="1"/>
    <xf numFmtId="0" fontId="25" fillId="7" borderId="38" xfId="0" applyFont="1" applyFill="1" applyBorder="1"/>
    <xf numFmtId="0" fontId="0" fillId="0" borderId="38" xfId="0" applyBorder="1" applyAlignment="1">
      <alignment horizontal="center"/>
    </xf>
    <xf numFmtId="165" fontId="0" fillId="0" borderId="37" xfId="0" applyNumberFormat="1" applyBorder="1"/>
    <xf numFmtId="165" fontId="23" fillId="7" borderId="40" xfId="0" applyNumberFormat="1" applyFont="1" applyFill="1" applyBorder="1"/>
    <xf numFmtId="165" fontId="23" fillId="0" borderId="36" xfId="0" applyNumberFormat="1" applyFont="1" applyBorder="1"/>
    <xf numFmtId="165" fontId="0" fillId="0" borderId="49" xfId="0" applyNumberFormat="1" applyBorder="1"/>
    <xf numFmtId="165" fontId="25" fillId="7" borderId="50" xfId="0" applyNumberFormat="1" applyFont="1" applyFill="1" applyBorder="1"/>
    <xf numFmtId="0" fontId="25" fillId="16" borderId="51" xfId="0" applyFont="1" applyFill="1" applyBorder="1" applyAlignment="1">
      <alignment horizontal="center" vertical="center"/>
    </xf>
    <xf numFmtId="165" fontId="0" fillId="0" borderId="53" xfId="0" applyNumberFormat="1" applyBorder="1"/>
    <xf numFmtId="0" fontId="25" fillId="7" borderId="52" xfId="0" applyFont="1" applyFill="1" applyBorder="1"/>
    <xf numFmtId="165" fontId="49" fillId="15" borderId="31" xfId="0" applyNumberFormat="1" applyFont="1" applyFill="1" applyBorder="1" applyAlignment="1">
      <alignment vertical="center"/>
    </xf>
    <xf numFmtId="0" fontId="54" fillId="10" borderId="8" xfId="4" applyFont="1" applyFill="1" applyBorder="1" applyAlignment="1">
      <alignment vertical="center"/>
    </xf>
    <xf numFmtId="0" fontId="54" fillId="10" borderId="8" xfId="4" applyFont="1" applyFill="1" applyBorder="1" applyAlignment="1">
      <alignment horizontal="center" vertical="center"/>
    </xf>
    <xf numFmtId="3" fontId="41" fillId="10" borderId="8" xfId="3" applyNumberFormat="1" applyFont="1" applyFill="1" applyBorder="1" applyAlignment="1">
      <alignment horizontal="center" vertical="center"/>
    </xf>
    <xf numFmtId="165" fontId="55" fillId="10" borderId="8" xfId="4" applyNumberFormat="1" applyFont="1" applyFill="1" applyBorder="1" applyAlignment="1">
      <alignment vertical="center"/>
    </xf>
    <xf numFmtId="165" fontId="41" fillId="10" borderId="8" xfId="4" applyNumberFormat="1" applyFont="1" applyFill="1" applyBorder="1" applyAlignment="1">
      <alignment vertical="center"/>
    </xf>
    <xf numFmtId="165" fontId="54" fillId="10" borderId="8" xfId="4" applyNumberFormat="1" applyFont="1" applyFill="1" applyBorder="1" applyAlignment="1">
      <alignment vertical="center"/>
    </xf>
    <xf numFmtId="0" fontId="56" fillId="0" borderId="8" xfId="0" applyFont="1" applyBorder="1" applyAlignment="1">
      <alignment vertical="center"/>
    </xf>
    <xf numFmtId="165" fontId="56" fillId="0" borderId="8" xfId="0" applyNumberFormat="1" applyFont="1" applyBorder="1" applyAlignment="1">
      <alignment vertical="center"/>
    </xf>
    <xf numFmtId="0" fontId="54" fillId="8" borderId="8" xfId="4" applyFont="1" applyFill="1" applyBorder="1" applyAlignment="1">
      <alignment horizontal="left" vertical="center"/>
    </xf>
    <xf numFmtId="9" fontId="12" fillId="8" borderId="8" xfId="0" applyNumberFormat="1" applyFont="1" applyFill="1" applyBorder="1" applyAlignment="1">
      <alignment horizontal="center" vertical="center"/>
    </xf>
    <xf numFmtId="9" fontId="12" fillId="8" borderId="8" xfId="0" applyNumberFormat="1" applyFont="1" applyFill="1" applyBorder="1" applyAlignment="1">
      <alignment horizontal="left" vertical="center"/>
    </xf>
    <xf numFmtId="44" fontId="12" fillId="8" borderId="8" xfId="0" applyNumberFormat="1" applyFont="1" applyFill="1" applyBorder="1" applyAlignment="1">
      <alignment horizontal="left" vertical="center"/>
    </xf>
    <xf numFmtId="165" fontId="12" fillId="8" borderId="8" xfId="0" applyNumberFormat="1" applyFont="1" applyFill="1" applyBorder="1" applyAlignment="1">
      <alignment horizontal="right" vertical="center"/>
    </xf>
    <xf numFmtId="10" fontId="13" fillId="8" borderId="8" xfId="5" applyNumberFormat="1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vertical="center"/>
    </xf>
    <xf numFmtId="0" fontId="13" fillId="8" borderId="8" xfId="0" applyFont="1" applyFill="1" applyBorder="1" applyAlignment="1">
      <alignment horizontal="left" vertical="center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8" xfId="0" applyNumberFormat="1" applyFont="1" applyFill="1" applyBorder="1" applyAlignment="1">
      <alignment vertical="center"/>
    </xf>
    <xf numFmtId="165" fontId="13" fillId="8" borderId="8" xfId="0" applyNumberFormat="1" applyFont="1" applyFill="1" applyBorder="1" applyAlignment="1">
      <alignment horizontal="right" vertical="center"/>
    </xf>
    <xf numFmtId="43" fontId="13" fillId="8" borderId="8" xfId="0" applyNumberFormat="1" applyFont="1" applyFill="1" applyBorder="1" applyAlignment="1">
      <alignment horizontal="left" vertical="center"/>
    </xf>
    <xf numFmtId="0" fontId="54" fillId="8" borderId="8" xfId="0" applyFont="1" applyFill="1" applyBorder="1" applyAlignment="1">
      <alignment vertical="center"/>
    </xf>
    <xf numFmtId="44" fontId="54" fillId="8" borderId="8" xfId="0" applyNumberFormat="1" applyFont="1" applyFill="1" applyBorder="1" applyAlignment="1">
      <alignment vertical="center"/>
    </xf>
    <xf numFmtId="165" fontId="54" fillId="8" borderId="8" xfId="0" applyNumberFormat="1" applyFont="1" applyFill="1" applyBorder="1" applyAlignment="1">
      <alignment vertical="center"/>
    </xf>
    <xf numFmtId="165" fontId="54" fillId="8" borderId="8" xfId="0" applyNumberFormat="1" applyFont="1" applyFill="1" applyBorder="1" applyAlignment="1">
      <alignment horizontal="right" vertical="center"/>
    </xf>
    <xf numFmtId="4" fontId="54" fillId="8" borderId="8" xfId="0" applyNumberFormat="1" applyFont="1" applyFill="1" applyBorder="1" applyAlignment="1">
      <alignment vertical="center" wrapText="1"/>
    </xf>
    <xf numFmtId="164" fontId="54" fillId="8" borderId="8" xfId="1" applyFont="1" applyFill="1" applyBorder="1" applyAlignment="1">
      <alignment vertical="center"/>
    </xf>
    <xf numFmtId="0" fontId="50" fillId="0" borderId="45" xfId="0" applyFont="1" applyBorder="1" applyAlignment="1">
      <alignment vertical="center"/>
    </xf>
    <xf numFmtId="10" fontId="38" fillId="0" borderId="8" xfId="0" applyNumberFormat="1" applyFont="1" applyBorder="1" applyAlignment="1">
      <alignment horizontal="center" vertical="center"/>
    </xf>
    <xf numFmtId="9" fontId="57" fillId="0" borderId="8" xfId="0" applyNumberFormat="1" applyFont="1" applyBorder="1" applyAlignment="1">
      <alignment horizontal="center" vertical="center"/>
    </xf>
    <xf numFmtId="9" fontId="50" fillId="0" borderId="8" xfId="0" applyNumberFormat="1" applyFont="1" applyBorder="1" applyAlignment="1">
      <alignment vertical="center"/>
    </xf>
    <xf numFmtId="168" fontId="50" fillId="0" borderId="8" xfId="0" applyNumberFormat="1" applyFont="1" applyBorder="1" applyAlignment="1">
      <alignment vertical="center"/>
    </xf>
    <xf numFmtId="165" fontId="38" fillId="0" borderId="8" xfId="0" applyNumberFormat="1" applyFont="1" applyBorder="1" applyAlignment="1">
      <alignment vertical="center"/>
    </xf>
    <xf numFmtId="165" fontId="50" fillId="0" borderId="31" xfId="0" applyNumberFormat="1" applyFont="1" applyBorder="1" applyAlignment="1">
      <alignment vertical="center"/>
    </xf>
    <xf numFmtId="0" fontId="38" fillId="0" borderId="9" xfId="0" applyFont="1" applyBorder="1" applyAlignment="1">
      <alignment vertical="center" wrapText="1"/>
    </xf>
    <xf numFmtId="0" fontId="38" fillId="0" borderId="46" xfId="0" applyFont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38" fillId="0" borderId="47" xfId="0" applyFont="1" applyBorder="1" applyAlignment="1">
      <alignment vertical="center" wrapText="1"/>
    </xf>
    <xf numFmtId="0" fontId="50" fillId="0" borderId="8" xfId="0" applyFont="1" applyBorder="1" applyAlignment="1">
      <alignment vertical="center"/>
    </xf>
    <xf numFmtId="9" fontId="58" fillId="0" borderId="8" xfId="0" applyNumberFormat="1" applyFont="1" applyBorder="1" applyAlignment="1">
      <alignment horizontal="center" vertical="center"/>
    </xf>
    <xf numFmtId="165" fontId="50" fillId="0" borderId="8" xfId="0" applyNumberFormat="1" applyFont="1" applyBorder="1" applyAlignment="1">
      <alignment vertical="center"/>
    </xf>
    <xf numFmtId="0" fontId="57" fillId="0" borderId="8" xfId="0" applyFont="1" applyBorder="1" applyAlignment="1">
      <alignment horizontal="center" vertical="center"/>
    </xf>
    <xf numFmtId="0" fontId="56" fillId="0" borderId="45" xfId="0" applyFont="1" applyBorder="1" applyAlignment="1">
      <alignment vertical="center"/>
    </xf>
    <xf numFmtId="168" fontId="56" fillId="0" borderId="8" xfId="0" applyNumberFormat="1" applyFont="1" applyBorder="1" applyAlignment="1">
      <alignment vertical="center"/>
    </xf>
    <xf numFmtId="165" fontId="56" fillId="0" borderId="31" xfId="0" applyNumberFormat="1" applyFont="1" applyBorder="1" applyAlignment="1">
      <alignment vertical="center"/>
    </xf>
    <xf numFmtId="9" fontId="38" fillId="0" borderId="8" xfId="0" applyNumberFormat="1" applyFont="1" applyBorder="1" applyAlignment="1">
      <alignment horizontal="center" vertical="center"/>
    </xf>
    <xf numFmtId="165" fontId="38" fillId="0" borderId="31" xfId="0" applyNumberFormat="1" applyFont="1" applyBorder="1" applyAlignment="1">
      <alignment vertical="center"/>
    </xf>
    <xf numFmtId="0" fontId="50" fillId="0" borderId="45" xfId="0" applyFont="1" applyFill="1" applyBorder="1" applyAlignment="1">
      <alignment vertical="center"/>
    </xf>
    <xf numFmtId="0" fontId="57" fillId="0" borderId="8" xfId="0" applyFont="1" applyFill="1" applyBorder="1" applyAlignment="1">
      <alignment horizontal="center" vertical="center"/>
    </xf>
    <xf numFmtId="0" fontId="50" fillId="0" borderId="8" xfId="0" applyFont="1" applyFill="1" applyBorder="1" applyAlignment="1">
      <alignment vertical="center"/>
    </xf>
    <xf numFmtId="168" fontId="50" fillId="0" borderId="8" xfId="0" applyNumberFormat="1" applyFont="1" applyFill="1" applyBorder="1" applyAlignment="1">
      <alignment vertical="center"/>
    </xf>
    <xf numFmtId="165" fontId="50" fillId="0" borderId="8" xfId="0" applyNumberFormat="1" applyFont="1" applyFill="1" applyBorder="1" applyAlignment="1">
      <alignment vertical="center"/>
    </xf>
    <xf numFmtId="165" fontId="38" fillId="0" borderId="31" xfId="0" applyNumberFormat="1" applyFont="1" applyFill="1" applyBorder="1" applyAlignment="1">
      <alignment vertical="center"/>
    </xf>
    <xf numFmtId="0" fontId="0" fillId="0" borderId="51" xfId="0" applyFill="1" applyBorder="1"/>
    <xf numFmtId="0" fontId="0" fillId="0" borderId="0" xfId="0"/>
    <xf numFmtId="0" fontId="25" fillId="7" borderId="43" xfId="0" applyFont="1" applyFill="1" applyBorder="1" applyAlignment="1">
      <alignment horizontal="right"/>
    </xf>
    <xf numFmtId="165" fontId="25" fillId="7" borderId="56" xfId="0" applyNumberFormat="1" applyFont="1" applyFill="1" applyBorder="1"/>
    <xf numFmtId="165" fontId="25" fillId="7" borderId="55" xfId="0" applyNumberFormat="1" applyFont="1" applyFill="1" applyBorder="1"/>
    <xf numFmtId="165" fontId="23" fillId="7" borderId="44" xfId="0" applyNumberFormat="1" applyFont="1" applyFill="1" applyBorder="1"/>
    <xf numFmtId="0" fontId="0" fillId="0" borderId="41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42" xfId="0" applyNumberFormat="1" applyBorder="1"/>
    <xf numFmtId="10" fontId="12" fillId="6" borderId="15" xfId="0" applyNumberFormat="1" applyFont="1" applyFill="1" applyBorder="1" applyAlignment="1">
      <alignment horizontal="center" vertical="center"/>
    </xf>
    <xf numFmtId="44" fontId="0" fillId="0" borderId="61" xfId="0" applyNumberFormat="1" applyBorder="1"/>
    <xf numFmtId="0" fontId="6" fillId="9" borderId="68" xfId="4" applyFont="1" applyFill="1" applyBorder="1" applyAlignment="1">
      <alignment horizontal="right"/>
    </xf>
    <xf numFmtId="0" fontId="4" fillId="9" borderId="68" xfId="4" applyFont="1" applyFill="1" applyBorder="1" applyAlignment="1">
      <alignment horizontal="right"/>
    </xf>
    <xf numFmtId="10" fontId="0" fillId="0" borderId="15" xfId="0" applyNumberFormat="1" applyBorder="1" applyAlignment="1">
      <alignment horizontal="center"/>
    </xf>
    <xf numFmtId="9" fontId="0" fillId="0" borderId="67" xfId="0" applyNumberFormat="1" applyBorder="1" applyAlignment="1">
      <alignment horizontal="center"/>
    </xf>
    <xf numFmtId="44" fontId="23" fillId="0" borderId="62" xfId="0" applyNumberFormat="1" applyFont="1" applyBorder="1"/>
    <xf numFmtId="10" fontId="0" fillId="0" borderId="27" xfId="0" applyNumberFormat="1" applyBorder="1" applyAlignment="1">
      <alignment horizontal="center"/>
    </xf>
    <xf numFmtId="44" fontId="0" fillId="0" borderId="9" xfId="0" applyNumberFormat="1" applyBorder="1"/>
    <xf numFmtId="44" fontId="0" fillId="0" borderId="72" xfId="0" applyNumberFormat="1" applyBorder="1"/>
    <xf numFmtId="44" fontId="23" fillId="0" borderId="63" xfId="0" applyNumberFormat="1" applyFont="1" applyBorder="1"/>
    <xf numFmtId="0" fontId="0" fillId="9" borderId="14" xfId="0" applyFill="1" applyBorder="1" applyAlignment="1"/>
    <xf numFmtId="0" fontId="0" fillId="9" borderId="70" xfId="0" applyFill="1" applyBorder="1" applyAlignment="1"/>
    <xf numFmtId="0" fontId="23" fillId="9" borderId="68" xfId="0" applyFont="1" applyFill="1" applyBorder="1"/>
    <xf numFmtId="0" fontId="23" fillId="0" borderId="15" xfId="0" applyFont="1" applyBorder="1"/>
    <xf numFmtId="0" fontId="25" fillId="9" borderId="68" xfId="4" applyFont="1" applyFill="1" applyBorder="1" applyAlignment="1">
      <alignment horizontal="left"/>
    </xf>
    <xf numFmtId="0" fontId="25" fillId="9" borderId="71" xfId="4" applyFont="1" applyFill="1" applyBorder="1" applyAlignment="1">
      <alignment horizontal="left"/>
    </xf>
    <xf numFmtId="0" fontId="25" fillId="9" borderId="66" xfId="4" applyFont="1" applyFill="1" applyBorder="1" applyAlignment="1">
      <alignment horizontal="left"/>
    </xf>
    <xf numFmtId="44" fontId="23" fillId="18" borderId="75" xfId="0" applyNumberFormat="1" applyFont="1" applyFill="1" applyBorder="1"/>
    <xf numFmtId="0" fontId="23" fillId="18" borderId="59" xfId="0" applyFont="1" applyFill="1" applyBorder="1" applyAlignment="1">
      <alignment horizontal="center" vertical="center"/>
    </xf>
    <xf numFmtId="0" fontId="23" fillId="18" borderId="60" xfId="0" applyFont="1" applyFill="1" applyBorder="1" applyAlignment="1">
      <alignment horizontal="center" vertical="center"/>
    </xf>
    <xf numFmtId="0" fontId="25" fillId="16" borderId="49" xfId="0" applyFont="1" applyFill="1" applyBorder="1" applyAlignment="1">
      <alignment horizontal="center" vertical="center" wrapText="1"/>
    </xf>
    <xf numFmtId="44" fontId="0" fillId="0" borderId="39" xfId="0" applyNumberFormat="1" applyFont="1" applyFill="1" applyBorder="1"/>
    <xf numFmtId="165" fontId="23" fillId="0" borderId="40" xfId="0" applyNumberFormat="1" applyFont="1" applyBorder="1"/>
    <xf numFmtId="0" fontId="0" fillId="0" borderId="0" xfId="0"/>
    <xf numFmtId="0" fontId="25" fillId="18" borderId="73" xfId="4" applyFont="1" applyFill="1" applyBorder="1" applyAlignment="1">
      <alignment horizontal="left"/>
    </xf>
    <xf numFmtId="0" fontId="0" fillId="18" borderId="74" xfId="0" applyFill="1" applyBorder="1" applyAlignment="1">
      <alignment horizontal="center"/>
    </xf>
    <xf numFmtId="44" fontId="23" fillId="18" borderId="33" xfId="0" applyNumberFormat="1" applyFont="1" applyFill="1" applyBorder="1"/>
    <xf numFmtId="0" fontId="23" fillId="0" borderId="9" xfId="0" applyFont="1" applyBorder="1"/>
    <xf numFmtId="0" fontId="23" fillId="0" borderId="0" xfId="0" applyFont="1" applyBorder="1" applyAlignment="1">
      <alignment horizontal="left" vertical="center" wrapText="1"/>
    </xf>
    <xf numFmtId="165" fontId="23" fillId="0" borderId="0" xfId="0" applyNumberFormat="1" applyFont="1" applyBorder="1" applyAlignment="1">
      <alignment horizontal="right" vertical="center"/>
    </xf>
    <xf numFmtId="0" fontId="0" fillId="0" borderId="0" xfId="0"/>
    <xf numFmtId="3" fontId="0" fillId="0" borderId="39" xfId="0" applyNumberFormat="1" applyBorder="1" applyAlignment="1">
      <alignment horizontal="center"/>
    </xf>
    <xf numFmtId="0" fontId="23" fillId="0" borderId="39" xfId="0" applyFont="1" applyBorder="1"/>
    <xf numFmtId="0" fontId="6" fillId="10" borderId="14" xfId="4" applyFont="1" applyFill="1" applyBorder="1" applyAlignment="1">
      <alignment horizontal="center" vertical="center"/>
    </xf>
    <xf numFmtId="9" fontId="12" fillId="10" borderId="15" xfId="0" applyNumberFormat="1" applyFont="1" applyFill="1" applyBorder="1" applyAlignment="1">
      <alignment horizontal="center" vertical="center"/>
    </xf>
    <xf numFmtId="2" fontId="9" fillId="10" borderId="8" xfId="4" applyNumberFormat="1" applyFill="1" applyBorder="1" applyAlignment="1">
      <alignment horizontal="center"/>
    </xf>
    <xf numFmtId="0" fontId="2" fillId="10" borderId="8" xfId="4" applyFont="1" applyFill="1" applyBorder="1"/>
    <xf numFmtId="2" fontId="54" fillId="10" borderId="8" xfId="4" applyNumberFormat="1" applyFont="1" applyFill="1" applyBorder="1" applyAlignment="1">
      <alignment horizontal="center" vertical="center"/>
    </xf>
    <xf numFmtId="0" fontId="21" fillId="0" borderId="0" xfId="0" applyFont="1" applyBorder="1" applyAlignment="1"/>
    <xf numFmtId="165" fontId="0" fillId="0" borderId="13" xfId="0" applyNumberForma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0" xfId="0" applyAlignment="1">
      <alignment horizontal="left"/>
    </xf>
    <xf numFmtId="0" fontId="38" fillId="0" borderId="45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2" fillId="7" borderId="21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3" fillId="9" borderId="69" xfId="0" applyFont="1" applyFill="1" applyBorder="1" applyAlignment="1">
      <alignment horizontal="left"/>
    </xf>
    <xf numFmtId="0" fontId="23" fillId="9" borderId="14" xfId="0" applyFont="1" applyFill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21" fillId="0" borderId="12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20" xfId="0" applyFont="1" applyBorder="1" applyAlignment="1">
      <alignment horizontal="left" wrapText="1"/>
    </xf>
    <xf numFmtId="0" fontId="23" fillId="8" borderId="64" xfId="0" applyFont="1" applyFill="1" applyBorder="1" applyAlignment="1">
      <alignment horizontal="center"/>
    </xf>
    <xf numFmtId="0" fontId="23" fillId="8" borderId="65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/>
    </xf>
    <xf numFmtId="0" fontId="23" fillId="17" borderId="8" xfId="0" applyFont="1" applyFill="1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3" fillId="0" borderId="4" xfId="0" applyFont="1" applyBorder="1"/>
    <xf numFmtId="0" fontId="13" fillId="0" borderId="5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8" xfId="0" applyBorder="1" applyAlignment="1">
      <alignment horizontal="center"/>
    </xf>
    <xf numFmtId="165" fontId="0" fillId="0" borderId="8" xfId="1" applyNumberFormat="1" applyFont="1" applyBorder="1" applyAlignment="1">
      <alignment horizontal="center" vertical="center"/>
    </xf>
    <xf numFmtId="10" fontId="22" fillId="0" borderId="9" xfId="5" applyNumberFormat="1" applyFont="1" applyBorder="1" applyAlignment="1">
      <alignment horizontal="center" vertical="center"/>
    </xf>
    <xf numFmtId="10" fontId="22" fillId="0" borderId="11" xfId="5" applyNumberFormat="1" applyFont="1" applyBorder="1" applyAlignment="1">
      <alignment horizontal="center" vertical="center"/>
    </xf>
    <xf numFmtId="10" fontId="22" fillId="0" borderId="19" xfId="5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0" fontId="22" fillId="0" borderId="9" xfId="5" applyNumberFormat="1" applyFont="1" applyBorder="1" applyAlignment="1">
      <alignment horizontal="center"/>
    </xf>
    <xf numFmtId="10" fontId="22" fillId="0" borderId="19" xfId="5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9" fontId="22" fillId="0" borderId="9" xfId="5" applyFont="1" applyBorder="1" applyAlignment="1">
      <alignment horizontal="center"/>
    </xf>
    <xf numFmtId="9" fontId="22" fillId="0" borderId="19" xfId="5" applyFont="1" applyBorder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center"/>
    </xf>
    <xf numFmtId="0" fontId="25" fillId="16" borderId="49" xfId="0" applyFont="1" applyFill="1" applyBorder="1" applyAlignment="1">
      <alignment horizontal="center" vertical="center"/>
    </xf>
    <xf numFmtId="0" fontId="25" fillId="16" borderId="54" xfId="0" applyFont="1" applyFill="1" applyBorder="1" applyAlignment="1">
      <alignment horizontal="center" vertical="center"/>
    </xf>
    <xf numFmtId="165" fontId="3" fillId="0" borderId="50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0" fontId="25" fillId="7" borderId="0" xfId="0" applyFont="1" applyFill="1" applyBorder="1"/>
    <xf numFmtId="165" fontId="25" fillId="7" borderId="0" xfId="0" applyNumberFormat="1" applyFont="1" applyFill="1" applyBorder="1"/>
    <xf numFmtId="165" fontId="23" fillId="7" borderId="0" xfId="0" applyNumberFormat="1" applyFont="1" applyFill="1" applyBorder="1"/>
    <xf numFmtId="44" fontId="0" fillId="0" borderId="0" xfId="0" applyNumberForma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5" fillId="0" borderId="0" xfId="0" applyFont="1" applyAlignment="1">
      <alignment horizontal="center"/>
    </xf>
    <xf numFmtId="0" fontId="52" fillId="0" borderId="0" xfId="0" applyFont="1" applyAlignment="1"/>
    <xf numFmtId="165" fontId="1" fillId="0" borderId="26" xfId="0" applyNumberFormat="1" applyFont="1" applyBorder="1" applyAlignment="1">
      <alignment horizontal="right"/>
    </xf>
    <xf numFmtId="44" fontId="1" fillId="0" borderId="57" xfId="0" applyNumberFormat="1" applyFont="1" applyBorder="1" applyAlignment="1">
      <alignment horizontal="right"/>
    </xf>
    <xf numFmtId="165" fontId="0" fillId="17" borderId="58" xfId="0" applyNumberFormat="1" applyFill="1" applyBorder="1" applyProtection="1">
      <protection locked="0"/>
    </xf>
    <xf numFmtId="165" fontId="0" fillId="17" borderId="38" xfId="0" applyNumberFormat="1" applyFill="1" applyBorder="1" applyProtection="1">
      <protection locked="0"/>
    </xf>
    <xf numFmtId="10" fontId="0" fillId="0" borderId="48" xfId="0" applyNumberFormat="1" applyFill="1" applyBorder="1" applyProtection="1">
      <protection locked="0"/>
    </xf>
  </cellXfs>
  <cellStyles count="7">
    <cellStyle name="Coma" xfId="1" builtinId="3"/>
    <cellStyle name="Moneda" xfId="2" builtinId="4"/>
    <cellStyle name="Normal" xfId="0" builtinId="0"/>
    <cellStyle name="Normal 2" xfId="3"/>
    <cellStyle name="Normal 3" xfId="4"/>
    <cellStyle name="Normal 4" xfId="6"/>
    <cellStyle name="Percentatge" xfId="5" builtinId="5"/>
  </cellStyles>
  <dxfs count="0"/>
  <tableStyles count="0" defaultTableStyle="TableStyleMedium9" defaultPivotStyle="PivotStyleLight16"/>
  <colors>
    <mruColors>
      <color rgb="FFD7D7D7"/>
      <color rgb="FF21C5FF"/>
      <color rgb="FF0099CC"/>
      <color rgb="FFE4E4E4"/>
      <color rgb="FFC0C0C0"/>
      <color rgb="FFF38C89"/>
      <color rgb="FFFF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tmp"/><Relationship Id="rId1" Type="http://schemas.openxmlformats.org/officeDocument/2006/relationships/image" Target="../media/image7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tmp"/><Relationship Id="rId1" Type="http://schemas.openxmlformats.org/officeDocument/2006/relationships/image" Target="../media/image9.tm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8.png"/><Relationship Id="rId1" Type="http://schemas.openxmlformats.org/officeDocument/2006/relationships/image" Target="../media/image19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1134436</xdr:colOff>
      <xdr:row>29</xdr:row>
      <xdr:rowOff>10182</xdr:rowOff>
    </xdr:to>
    <xdr:pic>
      <xdr:nvPicPr>
        <xdr:cNvPr id="2" name="Imatge 1" descr="Retallat de pantall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87536" cy="47060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28</xdr:row>
      <xdr:rowOff>114300</xdr:rowOff>
    </xdr:from>
    <xdr:to>
      <xdr:col>2</xdr:col>
      <xdr:colOff>1086778</xdr:colOff>
      <xdr:row>67</xdr:row>
      <xdr:rowOff>96129</xdr:rowOff>
    </xdr:to>
    <xdr:pic>
      <xdr:nvPicPr>
        <xdr:cNvPr id="3" name="Imatge 2" descr="Retallat de pantalla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648200"/>
          <a:ext cx="6649378" cy="629690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97</xdr:row>
      <xdr:rowOff>28576</xdr:rowOff>
    </xdr:from>
    <xdr:to>
      <xdr:col>9</xdr:col>
      <xdr:colOff>1000125</xdr:colOff>
      <xdr:row>109</xdr:row>
      <xdr:rowOff>64907</xdr:rowOff>
    </xdr:to>
    <xdr:pic>
      <xdr:nvPicPr>
        <xdr:cNvPr id="6" name="Imatge 5" descr="Retallat de pantalla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17954626"/>
          <a:ext cx="7058025" cy="197943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93</xdr:row>
      <xdr:rowOff>66676</xdr:rowOff>
    </xdr:from>
    <xdr:to>
      <xdr:col>2</xdr:col>
      <xdr:colOff>733426</xdr:colOff>
      <xdr:row>113</xdr:row>
      <xdr:rowOff>1763</xdr:rowOff>
    </xdr:to>
    <xdr:pic>
      <xdr:nvPicPr>
        <xdr:cNvPr id="5" name="Imatge 4" descr="Retallat de pantalla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7097376"/>
          <a:ext cx="5695950" cy="3364087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1257301</xdr:colOff>
      <xdr:row>112</xdr:row>
      <xdr:rowOff>133350</xdr:rowOff>
    </xdr:from>
    <xdr:to>
      <xdr:col>2</xdr:col>
      <xdr:colOff>685800</xdr:colOff>
      <xdr:row>118</xdr:row>
      <xdr:rowOff>105143</xdr:rowOff>
    </xdr:to>
    <xdr:pic>
      <xdr:nvPicPr>
        <xdr:cNvPr id="7" name="Imatge 6" descr="Retallat de pantalla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20678775"/>
          <a:ext cx="4571999" cy="943343"/>
        </a:xfrm>
        <a:prstGeom prst="rect">
          <a:avLst/>
        </a:prstGeom>
      </xdr:spPr>
    </xdr:pic>
    <xdr:clientData/>
  </xdr:twoCellAnchor>
  <xdr:twoCellAnchor editAs="oneCell">
    <xdr:from>
      <xdr:col>3</xdr:col>
      <xdr:colOff>112259</xdr:colOff>
      <xdr:row>114</xdr:row>
      <xdr:rowOff>19051</xdr:rowOff>
    </xdr:from>
    <xdr:to>
      <xdr:col>8</xdr:col>
      <xdr:colOff>85374</xdr:colOff>
      <xdr:row>119</xdr:row>
      <xdr:rowOff>142875</xdr:rowOff>
    </xdr:to>
    <xdr:pic>
      <xdr:nvPicPr>
        <xdr:cNvPr id="8" name="Imatge 7" descr="Retallat de pantalla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534" y="20450176"/>
          <a:ext cx="6011965" cy="933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448620</xdr:colOff>
      <xdr:row>21</xdr:row>
      <xdr:rowOff>67159</xdr:rowOff>
    </xdr:to>
    <xdr:pic>
      <xdr:nvPicPr>
        <xdr:cNvPr id="2" name="Imatge 1" descr="Retallat de pantall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3220" cy="3467584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0</xdr:row>
      <xdr:rowOff>0</xdr:rowOff>
    </xdr:from>
    <xdr:to>
      <xdr:col>20</xdr:col>
      <xdr:colOff>410709</xdr:colOff>
      <xdr:row>28</xdr:row>
      <xdr:rowOff>153054</xdr:rowOff>
    </xdr:to>
    <xdr:pic>
      <xdr:nvPicPr>
        <xdr:cNvPr id="4" name="Imatge 3" descr="Retallat de pantalla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0"/>
          <a:ext cx="8125959" cy="46869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104776</xdr:rowOff>
    </xdr:from>
    <xdr:to>
      <xdr:col>5</xdr:col>
      <xdr:colOff>2105025</xdr:colOff>
      <xdr:row>13</xdr:row>
      <xdr:rowOff>108093</xdr:rowOff>
    </xdr:to>
    <xdr:pic>
      <xdr:nvPicPr>
        <xdr:cNvPr id="2" name="Imatge 1" descr="Retallat de pantall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04776"/>
          <a:ext cx="5562600" cy="210834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13</xdr:row>
      <xdr:rowOff>95251</xdr:rowOff>
    </xdr:from>
    <xdr:to>
      <xdr:col>5</xdr:col>
      <xdr:colOff>2114550</xdr:colOff>
      <xdr:row>22</xdr:row>
      <xdr:rowOff>53300</xdr:rowOff>
    </xdr:to>
    <xdr:pic>
      <xdr:nvPicPr>
        <xdr:cNvPr id="3" name="Imatge 2" descr="Retallat de pantalla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2200276"/>
          <a:ext cx="5543550" cy="1415374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23</xdr:row>
      <xdr:rowOff>133350</xdr:rowOff>
    </xdr:from>
    <xdr:to>
      <xdr:col>6</xdr:col>
      <xdr:colOff>1047750</xdr:colOff>
      <xdr:row>26</xdr:row>
      <xdr:rowOff>57150</xdr:rowOff>
    </xdr:to>
    <xdr:sp macro="" textlink="">
      <xdr:nvSpPr>
        <xdr:cNvPr id="4" name="QuadreDeText 3"/>
        <xdr:cNvSpPr txBox="1"/>
      </xdr:nvSpPr>
      <xdr:spPr>
        <a:xfrm>
          <a:off x="1847850" y="3857625"/>
          <a:ext cx="681037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200">
              <a:solidFill>
                <a:srgbClr val="FF0000"/>
              </a:solidFill>
            </a:rPr>
            <a:t>IMI valora el cost del hardware, software i d'altres</a:t>
          </a:r>
          <a:r>
            <a:rPr lang="ca-ES" sz="1200" baseline="0">
              <a:solidFill>
                <a:srgbClr val="FF0000"/>
              </a:solidFill>
            </a:rPr>
            <a:t> necessitatrs informàtiques i de comunicacions</a:t>
          </a:r>
          <a:endParaRPr lang="ca-ES" sz="12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65047</xdr:colOff>
      <xdr:row>30</xdr:row>
      <xdr:rowOff>37508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13019047" cy="47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19</xdr:col>
      <xdr:colOff>84095</xdr:colOff>
      <xdr:row>62</xdr:row>
      <xdr:rowOff>123223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5343525"/>
          <a:ext cx="13038095" cy="4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11</xdr:col>
      <xdr:colOff>760952</xdr:colOff>
      <xdr:row>75</xdr:row>
      <xdr:rowOff>56961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0687050"/>
          <a:ext cx="8380952" cy="1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31750</xdr:rowOff>
    </xdr:from>
    <xdr:to>
      <xdr:col>17</xdr:col>
      <xdr:colOff>1550</xdr:colOff>
      <xdr:row>112</xdr:row>
      <xdr:rowOff>88164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122150"/>
          <a:ext cx="13603250" cy="57714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489296</xdr:colOff>
      <xdr:row>30</xdr:row>
      <xdr:rowOff>152400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7500"/>
          <a:ext cx="6731346" cy="4597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139926</xdr:colOff>
      <xdr:row>14</xdr:row>
      <xdr:rowOff>152506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7500"/>
          <a:ext cx="4407126" cy="205750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17</xdr:col>
      <xdr:colOff>158977</xdr:colOff>
      <xdr:row>27</xdr:row>
      <xdr:rowOff>101801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476250"/>
          <a:ext cx="4426177" cy="39118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8</xdr:col>
      <xdr:colOff>451092</xdr:colOff>
      <xdr:row>32</xdr:row>
      <xdr:rowOff>38100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98750"/>
          <a:ext cx="4718292" cy="2419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20</xdr:col>
      <xdr:colOff>203492</xdr:colOff>
      <xdr:row>3</xdr:row>
      <xdr:rowOff>1257365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0" y="476250"/>
          <a:ext cx="5689892" cy="125736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4718292</xdr:colOff>
      <xdr:row>23</xdr:row>
      <xdr:rowOff>76237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8550" y="5784850"/>
          <a:ext cx="4718292" cy="71123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31750</xdr:rowOff>
    </xdr:from>
    <xdr:to>
      <xdr:col>7</xdr:col>
      <xdr:colOff>8255424</xdr:colOff>
      <xdr:row>30</xdr:row>
      <xdr:rowOff>133350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48550" y="6610350"/>
          <a:ext cx="8255424" cy="10541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1257300</xdr:colOff>
      <xdr:row>34</xdr:row>
      <xdr:rowOff>127000</xdr:rowOff>
    </xdr:from>
    <xdr:to>
      <xdr:col>7</xdr:col>
      <xdr:colOff>1448004</xdr:colOff>
      <xdr:row>51</xdr:row>
      <xdr:rowOff>57150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21250" y="8293100"/>
          <a:ext cx="3975304" cy="2628900"/>
        </a:xfrm>
        <a:prstGeom prst="rect">
          <a:avLst/>
        </a:prstGeom>
      </xdr:spPr>
    </xdr:pic>
    <xdr:clientData/>
  </xdr:twoCellAnchor>
  <xdr:twoCellAnchor editAs="oneCell">
    <xdr:from>
      <xdr:col>7</xdr:col>
      <xdr:colOff>1974850</xdr:colOff>
      <xdr:row>32</xdr:row>
      <xdr:rowOff>50800</xdr:rowOff>
    </xdr:from>
    <xdr:to>
      <xdr:col>7</xdr:col>
      <xdr:colOff>7982259</xdr:colOff>
      <xdr:row>58</xdr:row>
      <xdr:rowOff>152617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23400" y="7899400"/>
          <a:ext cx="6007409" cy="422931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6070912</xdr:colOff>
      <xdr:row>92</xdr:row>
      <xdr:rowOff>108192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42200" y="12769850"/>
          <a:ext cx="6070912" cy="4711942"/>
        </a:xfrm>
        <a:prstGeom prst="rect">
          <a:avLst/>
        </a:prstGeom>
      </xdr:spPr>
    </xdr:pic>
    <xdr:clientData/>
  </xdr:twoCellAnchor>
  <xdr:twoCellAnchor editAs="oneCell">
    <xdr:from>
      <xdr:col>3</xdr:col>
      <xdr:colOff>69850</xdr:colOff>
      <xdr:row>52</xdr:row>
      <xdr:rowOff>114300</xdr:rowOff>
    </xdr:from>
    <xdr:to>
      <xdr:col>7</xdr:col>
      <xdr:colOff>1156035</xdr:colOff>
      <xdr:row>64</xdr:row>
      <xdr:rowOff>152400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82800" y="11137900"/>
          <a:ext cx="6515435" cy="1943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10</xdr:col>
      <xdr:colOff>279400</xdr:colOff>
      <xdr:row>40</xdr:row>
      <xdr:rowOff>92586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17500"/>
          <a:ext cx="6203950" cy="6125086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</xdr:row>
      <xdr:rowOff>0</xdr:rowOff>
    </xdr:from>
    <xdr:to>
      <xdr:col>22</xdr:col>
      <xdr:colOff>445982</xdr:colOff>
      <xdr:row>33</xdr:row>
      <xdr:rowOff>12700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1349" y="476250"/>
          <a:ext cx="5932383" cy="4775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51</xdr:row>
      <xdr:rowOff>0</xdr:rowOff>
    </xdr:from>
    <xdr:to>
      <xdr:col>19</xdr:col>
      <xdr:colOff>208114</xdr:colOff>
      <xdr:row>69</xdr:row>
      <xdr:rowOff>105833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5944" y="12925778"/>
          <a:ext cx="7475337" cy="37112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i%20Costos%20Contracte%20SARVIS%20-%20Antic%20SAU%20-%2023%20maig%202025-%20sense%20quadr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 MARE"/>
      <sheetName val="Costos personal"/>
      <sheetName val="Costos local + mobiliari"/>
      <sheetName val="Costos informat + Comunicacions"/>
      <sheetName val="COSTOS DIRECTES I INDIRECTES"/>
      <sheetName val="PBL VEC"/>
      <sheetName val="SETEMBRE 2024 XV"/>
      <sheetName val="GENER 2025 ACC SOC"/>
      <sheetName val="Dades conveni"/>
      <sheetName val="Full1"/>
      <sheetName val="CONV DISCAPC"/>
      <sheetName val="Full5"/>
      <sheetName val="Full6"/>
      <sheetName val="Full8"/>
      <sheetName val="Full2"/>
      <sheetName val="Full3"/>
      <sheetName val="Comparatiu"/>
      <sheetName val="ANNEX 3"/>
      <sheetName val="ANNEX 3 bis"/>
      <sheetName val="Annex_3 bis"/>
    </sheetNames>
    <sheetDataSet>
      <sheetData sheetId="0"/>
      <sheetData sheetId="1"/>
      <sheetData sheetId="2"/>
      <sheetData sheetId="3"/>
      <sheetData sheetId="4"/>
      <sheetData sheetId="5">
        <row r="15">
          <cell r="M15">
            <v>576361.62227581907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5"/>
  <sheetViews>
    <sheetView showGridLines="0" topLeftCell="A16" zoomScaleNormal="100" workbookViewId="0">
      <selection activeCell="K27" sqref="K27"/>
    </sheetView>
  </sheetViews>
  <sheetFormatPr defaultColWidth="8.7265625" defaultRowHeight="12.5" x14ac:dyDescent="0.25"/>
  <cols>
    <col min="1" max="1" width="8.7265625" style="7"/>
    <col min="2" max="2" width="68.1796875" style="7" customWidth="1"/>
    <col min="3" max="3" width="18" style="7" customWidth="1"/>
    <col min="4" max="4" width="17.54296875" style="7" customWidth="1"/>
    <col min="5" max="5" width="14.81640625" style="7" customWidth="1"/>
    <col min="6" max="6" width="16.1796875" style="7" hidden="1" customWidth="1"/>
    <col min="7" max="7" width="14.81640625" style="7" hidden="1" customWidth="1"/>
    <col min="8" max="8" width="13.453125" style="7" customWidth="1"/>
    <col min="9" max="9" width="20.1796875" style="7" customWidth="1"/>
    <col min="10" max="10" width="15.54296875" style="7" customWidth="1"/>
    <col min="11" max="11" width="28" style="7" customWidth="1"/>
    <col min="12" max="12" width="11.453125" style="7" bestFit="1" customWidth="1"/>
    <col min="13" max="13" width="10.453125" style="7" bestFit="1" customWidth="1"/>
    <col min="14" max="14" width="11.54296875" style="7" bestFit="1" customWidth="1"/>
    <col min="15" max="16384" width="8.7265625" style="7"/>
  </cols>
  <sheetData>
    <row r="1" spans="2:11" ht="13" thickBot="1" x14ac:dyDescent="0.3"/>
    <row r="2" spans="2:11" ht="25.5" customHeight="1" x14ac:dyDescent="0.25">
      <c r="B2" s="441" t="s">
        <v>194</v>
      </c>
      <c r="C2" s="442"/>
      <c r="D2" s="442"/>
      <c r="E2" s="442"/>
      <c r="F2" s="442"/>
      <c r="G2" s="442"/>
      <c r="H2" s="442"/>
      <c r="I2" s="442"/>
      <c r="J2" s="442"/>
      <c r="K2" s="443"/>
    </row>
    <row r="3" spans="2:11" ht="25.5" customHeight="1" thickBot="1" x14ac:dyDescent="0.3">
      <c r="B3" s="444" t="s">
        <v>146</v>
      </c>
      <c r="C3" s="445"/>
      <c r="D3" s="445"/>
      <c r="E3" s="445"/>
      <c r="F3" s="445"/>
      <c r="G3" s="445"/>
      <c r="H3" s="445"/>
      <c r="I3" s="445"/>
      <c r="J3" s="445"/>
      <c r="K3" s="446"/>
    </row>
    <row r="4" spans="2:11" ht="20.149999999999999" customHeight="1" x14ac:dyDescent="0.25">
      <c r="B4" s="111" t="s">
        <v>102</v>
      </c>
      <c r="C4" s="447"/>
      <c r="D4" s="448"/>
      <c r="E4" s="448"/>
      <c r="F4" s="106"/>
      <c r="G4" s="106"/>
      <c r="H4" s="106"/>
      <c r="I4" s="106"/>
      <c r="J4" s="106"/>
      <c r="K4" s="107"/>
    </row>
    <row r="5" spans="2:11" ht="20.149999999999999" customHeight="1" x14ac:dyDescent="0.25">
      <c r="B5" s="125" t="s">
        <v>113</v>
      </c>
      <c r="C5" s="126" t="s">
        <v>200</v>
      </c>
      <c r="D5" s="127"/>
      <c r="E5" s="127"/>
      <c r="F5" s="128"/>
      <c r="G5" s="128"/>
      <c r="H5" s="128"/>
      <c r="I5" s="128"/>
      <c r="J5" s="128"/>
      <c r="K5" s="129"/>
    </row>
    <row r="6" spans="2:11" ht="20.149999999999999" customHeight="1" x14ac:dyDescent="0.25">
      <c r="B6" s="125" t="s">
        <v>199</v>
      </c>
      <c r="C6" s="235">
        <v>45931</v>
      </c>
      <c r="D6" s="127"/>
      <c r="E6" s="127"/>
      <c r="F6" s="128"/>
      <c r="G6" s="128"/>
      <c r="H6" s="128"/>
      <c r="I6" s="128"/>
      <c r="J6" s="128"/>
      <c r="K6" s="129"/>
    </row>
    <row r="7" spans="2:11" ht="20.149999999999999" customHeight="1" x14ac:dyDescent="0.25">
      <c r="B7" s="125" t="s">
        <v>203</v>
      </c>
      <c r="C7" s="235">
        <v>46660</v>
      </c>
      <c r="D7" s="127"/>
      <c r="E7" s="127"/>
      <c r="F7" s="128"/>
      <c r="G7" s="128"/>
      <c r="H7" s="128"/>
      <c r="I7" s="128"/>
      <c r="J7" s="128"/>
      <c r="K7" s="129"/>
    </row>
    <row r="8" spans="2:11" ht="20.149999999999999" customHeight="1" thickBot="1" x14ac:dyDescent="0.3">
      <c r="B8" s="125" t="s">
        <v>114</v>
      </c>
      <c r="C8" s="126" t="s">
        <v>234</v>
      </c>
      <c r="D8" s="127"/>
      <c r="E8" s="127"/>
      <c r="F8" s="128"/>
      <c r="G8" s="128"/>
      <c r="H8" s="128"/>
      <c r="I8" s="128"/>
      <c r="J8" s="128"/>
      <c r="K8" s="129"/>
    </row>
    <row r="9" spans="2:11" ht="17.25" customHeight="1" x14ac:dyDescent="0.25">
      <c r="B9" s="244" t="s">
        <v>197</v>
      </c>
      <c r="C9" s="449" t="s">
        <v>258</v>
      </c>
      <c r="D9" s="450"/>
      <c r="E9" s="450"/>
      <c r="F9" s="450"/>
      <c r="G9" s="450"/>
      <c r="H9" s="450"/>
      <c r="I9" s="450"/>
      <c r="J9" s="450"/>
      <c r="K9" s="451"/>
    </row>
    <row r="10" spans="2:11" ht="30" customHeight="1" x14ac:dyDescent="0.25">
      <c r="B10" s="112" t="s">
        <v>198</v>
      </c>
      <c r="C10" s="452" t="s">
        <v>253</v>
      </c>
      <c r="D10" s="453"/>
      <c r="E10" s="453"/>
      <c r="F10" s="453"/>
      <c r="G10" s="453"/>
      <c r="H10" s="453"/>
      <c r="I10" s="453"/>
      <c r="J10" s="453"/>
      <c r="K10" s="454"/>
    </row>
    <row r="11" spans="2:11" ht="26.25" customHeight="1" x14ac:dyDescent="0.25">
      <c r="B11" s="275" t="s">
        <v>257</v>
      </c>
      <c r="C11" s="271">
        <v>1701</v>
      </c>
      <c r="D11" s="260"/>
      <c r="E11" s="260"/>
      <c r="F11" s="276"/>
      <c r="G11" s="276"/>
      <c r="H11" s="276"/>
      <c r="I11" s="276"/>
      <c r="J11" s="276"/>
      <c r="K11" s="277"/>
    </row>
    <row r="12" spans="2:11" ht="33" customHeight="1" x14ac:dyDescent="0.25">
      <c r="B12" s="275" t="s">
        <v>266</v>
      </c>
      <c r="C12" s="271">
        <v>1726</v>
      </c>
      <c r="D12" s="260"/>
      <c r="E12" s="260"/>
      <c r="F12" s="276"/>
      <c r="G12" s="276"/>
      <c r="H12" s="276"/>
      <c r="I12" s="276"/>
      <c r="J12" s="276"/>
      <c r="K12" s="277"/>
    </row>
    <row r="13" spans="2:11" ht="20.149999999999999" customHeight="1" x14ac:dyDescent="0.25">
      <c r="B13" s="278" t="s">
        <v>201</v>
      </c>
      <c r="C13" s="144">
        <v>0.31969999999999998</v>
      </c>
      <c r="D13" s="101"/>
      <c r="E13" s="101"/>
      <c r="F13" s="439"/>
      <c r="G13" s="439"/>
      <c r="H13" s="101"/>
      <c r="I13" s="101"/>
      <c r="J13" s="279"/>
      <c r="K13" s="280"/>
    </row>
    <row r="14" spans="2:11" ht="20.149999999999999" customHeight="1" x14ac:dyDescent="0.25">
      <c r="B14" s="278" t="s">
        <v>259</v>
      </c>
      <c r="C14" s="240">
        <v>3.1E-2</v>
      </c>
      <c r="D14" s="101"/>
      <c r="E14" s="101"/>
      <c r="F14" s="440"/>
      <c r="G14" s="440"/>
      <c r="H14" s="279"/>
      <c r="I14" s="279"/>
      <c r="J14" s="279"/>
      <c r="K14" s="280"/>
    </row>
    <row r="15" spans="2:11" ht="20.149999999999999" customHeight="1" thickBot="1" x14ac:dyDescent="0.3">
      <c r="B15" s="281" t="s">
        <v>260</v>
      </c>
      <c r="C15" s="186">
        <v>4.7300000000000002E-2</v>
      </c>
      <c r="D15" s="282"/>
      <c r="E15" s="282"/>
      <c r="F15" s="282"/>
      <c r="G15" s="282"/>
      <c r="H15" s="282"/>
      <c r="I15" s="282"/>
      <c r="J15" s="282"/>
      <c r="K15" s="283"/>
    </row>
    <row r="16" spans="2:11" ht="28.4" customHeight="1" thickBot="1" x14ac:dyDescent="0.3">
      <c r="B16" s="284"/>
      <c r="C16" s="104"/>
      <c r="D16" s="279"/>
      <c r="E16" s="279"/>
      <c r="F16" s="279"/>
      <c r="G16" s="279"/>
      <c r="H16" s="279"/>
      <c r="I16" s="285"/>
      <c r="J16" s="285"/>
      <c r="K16" s="285"/>
    </row>
    <row r="17" spans="2:11" ht="44.25" customHeight="1" x14ac:dyDescent="0.25">
      <c r="B17" s="136" t="s">
        <v>103</v>
      </c>
      <c r="C17" s="118" t="s">
        <v>107</v>
      </c>
      <c r="D17" s="118" t="s">
        <v>112</v>
      </c>
      <c r="E17" s="118" t="s">
        <v>264</v>
      </c>
      <c r="F17" s="118" t="s">
        <v>105</v>
      </c>
      <c r="G17" s="118" t="s">
        <v>106</v>
      </c>
      <c r="H17" s="118" t="s">
        <v>265</v>
      </c>
      <c r="I17" s="118" t="s">
        <v>301</v>
      </c>
      <c r="J17" s="118" t="s">
        <v>109</v>
      </c>
      <c r="K17" s="118" t="s">
        <v>110</v>
      </c>
    </row>
    <row r="18" spans="2:11" ht="23.15" customHeight="1" x14ac:dyDescent="0.25">
      <c r="B18" s="139" t="s">
        <v>115</v>
      </c>
      <c r="C18" s="137"/>
      <c r="D18" s="137"/>
      <c r="E18" s="137"/>
      <c r="F18" s="137"/>
      <c r="G18" s="137"/>
      <c r="H18" s="137"/>
      <c r="I18" s="137"/>
      <c r="J18" s="137"/>
      <c r="K18" s="138"/>
    </row>
    <row r="19" spans="2:11" s="102" customFormat="1" ht="20.149999999999999" customHeight="1" x14ac:dyDescent="0.25">
      <c r="B19" s="333" t="s">
        <v>205</v>
      </c>
      <c r="C19" s="116" t="s">
        <v>100</v>
      </c>
      <c r="D19" s="334">
        <v>1</v>
      </c>
      <c r="E19" s="335">
        <v>1701</v>
      </c>
      <c r="F19" s="335">
        <v>1701</v>
      </c>
      <c r="G19" s="336">
        <v>33951.26</v>
      </c>
      <c r="H19" s="337">
        <v>33951.26</v>
      </c>
      <c r="I19" s="338">
        <f>H19*D19</f>
        <v>33951.26</v>
      </c>
      <c r="J19" s="117">
        <f>I19*$C$13</f>
        <v>10854.217822000001</v>
      </c>
      <c r="K19" s="298">
        <f>SUM(I19:J19)</f>
        <v>44805.477822000001</v>
      </c>
    </row>
    <row r="20" spans="2:11" s="102" customFormat="1" ht="20.149999999999999" customHeight="1" x14ac:dyDescent="0.25">
      <c r="B20" s="333" t="s">
        <v>195</v>
      </c>
      <c r="C20" s="116" t="s">
        <v>101</v>
      </c>
      <c r="D20" s="334">
        <v>3</v>
      </c>
      <c r="E20" s="335">
        <v>1701</v>
      </c>
      <c r="F20" s="335">
        <v>1701</v>
      </c>
      <c r="G20" s="336">
        <v>26007.66</v>
      </c>
      <c r="H20" s="337">
        <v>26007.66</v>
      </c>
      <c r="I20" s="338">
        <f>H20*D20</f>
        <v>78022.98</v>
      </c>
      <c r="J20" s="117">
        <f t="shared" ref="J20:J23" si="0">I20*$C$13</f>
        <v>24943.946705999999</v>
      </c>
      <c r="K20" s="298">
        <f t="shared" ref="K20:K23" si="1">SUM(I20:J20)</f>
        <v>102966.926706</v>
      </c>
    </row>
    <row r="21" spans="2:11" s="102" customFormat="1" ht="20.149999999999999" customHeight="1" x14ac:dyDescent="0.25">
      <c r="B21" s="333" t="s">
        <v>206</v>
      </c>
      <c r="C21" s="116" t="s">
        <v>101</v>
      </c>
      <c r="D21" s="334">
        <v>1</v>
      </c>
      <c r="E21" s="335">
        <v>1000</v>
      </c>
      <c r="F21" s="335">
        <v>1000</v>
      </c>
      <c r="G21" s="336">
        <v>26007.66</v>
      </c>
      <c r="H21" s="337">
        <v>26007.66</v>
      </c>
      <c r="I21" s="338">
        <f>H21*D21*(E21/C11)</f>
        <v>15289.62962962963</v>
      </c>
      <c r="J21" s="117">
        <f t="shared" si="0"/>
        <v>4888.0945925925926</v>
      </c>
      <c r="K21" s="298">
        <f t="shared" si="1"/>
        <v>20177.724222222223</v>
      </c>
    </row>
    <row r="22" spans="2:11" s="102" customFormat="1" ht="20.149999999999999" customHeight="1" x14ac:dyDescent="0.25">
      <c r="B22" s="333" t="s">
        <v>196</v>
      </c>
      <c r="C22" s="116" t="s">
        <v>100</v>
      </c>
      <c r="D22" s="334">
        <v>1</v>
      </c>
      <c r="E22" s="335">
        <v>208</v>
      </c>
      <c r="F22" s="335">
        <v>208</v>
      </c>
      <c r="G22" s="336">
        <f>2320.83*14</f>
        <v>32491.62</v>
      </c>
      <c r="H22" s="337">
        <f>2320.83*14</f>
        <v>32491.62</v>
      </c>
      <c r="I22" s="338">
        <f>H22*D22*(E22/C12)</f>
        <v>3915.5602317497101</v>
      </c>
      <c r="J22" s="117">
        <f t="shared" si="0"/>
        <v>1251.8046060903823</v>
      </c>
      <c r="K22" s="298">
        <f t="shared" si="1"/>
        <v>5167.3648378400922</v>
      </c>
    </row>
    <row r="23" spans="2:11" s="102" customFormat="1" ht="20.149999999999999" customHeight="1" x14ac:dyDescent="0.25">
      <c r="B23" s="333" t="s">
        <v>298</v>
      </c>
      <c r="C23" s="429" t="s">
        <v>297</v>
      </c>
      <c r="D23" s="432">
        <f>4+(1000/1701)</f>
        <v>4.5878894767783658</v>
      </c>
      <c r="E23" s="335"/>
      <c r="F23" s="335"/>
      <c r="G23" s="336"/>
      <c r="H23" s="337">
        <v>1300.8800000000001</v>
      </c>
      <c r="I23" s="338">
        <f>H23*D23</f>
        <v>5968.2936625514412</v>
      </c>
      <c r="J23" s="117">
        <f t="shared" si="0"/>
        <v>1908.0634839176957</v>
      </c>
      <c r="K23" s="298">
        <f t="shared" si="1"/>
        <v>7876.3571464691368</v>
      </c>
    </row>
    <row r="24" spans="2:11" s="279" customFormat="1" ht="20.149999999999999" customHeight="1" x14ac:dyDescent="0.25">
      <c r="B24" s="286" t="s">
        <v>111</v>
      </c>
      <c r="C24" s="103"/>
      <c r="D24" s="103"/>
      <c r="E24" s="103"/>
      <c r="F24" s="103"/>
      <c r="G24" s="103"/>
      <c r="H24" s="146"/>
      <c r="I24" s="183">
        <f>SUM(I19:I23)</f>
        <v>137147.72352393076</v>
      </c>
      <c r="J24" s="299">
        <f>SUM(J19:J23)</f>
        <v>43846.127210600665</v>
      </c>
      <c r="K24" s="183">
        <f>SUM(K19:K23)</f>
        <v>180993.85073453144</v>
      </c>
    </row>
    <row r="25" spans="2:11" s="279" customFormat="1" ht="20.149999999999999" customHeight="1" x14ac:dyDescent="0.25">
      <c r="B25" s="341" t="s">
        <v>202</v>
      </c>
      <c r="C25" s="342">
        <v>0.02</v>
      </c>
      <c r="D25" s="343"/>
      <c r="E25" s="343"/>
      <c r="F25" s="343"/>
      <c r="G25" s="343"/>
      <c r="H25" s="343"/>
      <c r="I25" s="343"/>
      <c r="J25" s="344"/>
      <c r="K25" s="345">
        <f>$K$24*C25</f>
        <v>3619.877014690629</v>
      </c>
    </row>
    <row r="26" spans="2:11" ht="20.149999999999999" customHeight="1" x14ac:dyDescent="0.25">
      <c r="B26" s="341" t="s">
        <v>255</v>
      </c>
      <c r="C26" s="346">
        <v>3.1E-2</v>
      </c>
      <c r="D26" s="347"/>
      <c r="E26" s="348"/>
      <c r="F26" s="348"/>
      <c r="G26" s="348"/>
      <c r="H26" s="349"/>
      <c r="I26" s="350"/>
      <c r="J26" s="351"/>
      <c r="K26" s="345">
        <f t="shared" ref="K26:K27" si="2">$K$24*C26</f>
        <v>5610.8093727704745</v>
      </c>
    </row>
    <row r="27" spans="2:11" ht="20.149999999999999" customHeight="1" x14ac:dyDescent="0.25">
      <c r="B27" s="341" t="s">
        <v>256</v>
      </c>
      <c r="C27" s="346">
        <v>4.7300000000000002E-2</v>
      </c>
      <c r="D27" s="347"/>
      <c r="E27" s="348"/>
      <c r="F27" s="352"/>
      <c r="G27" s="348"/>
      <c r="H27" s="349"/>
      <c r="I27" s="350"/>
      <c r="J27" s="351"/>
      <c r="K27" s="345">
        <f t="shared" si="2"/>
        <v>8561.0091397433371</v>
      </c>
    </row>
    <row r="28" spans="2:11" ht="20.149999999999999" customHeight="1" x14ac:dyDescent="0.25">
      <c r="B28" s="286" t="s">
        <v>276</v>
      </c>
      <c r="C28" s="288"/>
      <c r="D28" s="288"/>
      <c r="E28" s="288"/>
      <c r="F28" s="288"/>
      <c r="G28" s="288"/>
      <c r="H28" s="288"/>
      <c r="I28" s="288"/>
      <c r="J28" s="270"/>
      <c r="K28" s="183">
        <f>SUM(K25:K27)</f>
        <v>17791.695527204443</v>
      </c>
    </row>
    <row r="29" spans="2:11" ht="15.5" x14ac:dyDescent="0.25">
      <c r="B29" s="139" t="s">
        <v>137</v>
      </c>
      <c r="C29" s="137"/>
      <c r="D29" s="137"/>
      <c r="E29" s="137"/>
      <c r="F29" s="137"/>
      <c r="G29" s="137"/>
      <c r="H29" s="137"/>
      <c r="I29" s="137"/>
      <c r="J29" s="137"/>
      <c r="K29" s="161">
        <f>K24+K28</f>
        <v>198785.5462617359</v>
      </c>
    </row>
    <row r="30" spans="2:11" ht="25" customHeight="1" x14ac:dyDescent="0.25">
      <c r="B30" s="241" t="s">
        <v>267</v>
      </c>
      <c r="C30" s="242"/>
      <c r="D30" s="300" t="s">
        <v>144</v>
      </c>
      <c r="E30" s="300" t="s">
        <v>213</v>
      </c>
      <c r="F30" s="300"/>
      <c r="G30" s="300"/>
      <c r="H30" s="300" t="s">
        <v>223</v>
      </c>
      <c r="I30" s="300" t="s">
        <v>222</v>
      </c>
      <c r="J30" s="301"/>
      <c r="K30" s="300" t="s">
        <v>110</v>
      </c>
    </row>
    <row r="31" spans="2:11" ht="25" customHeight="1" x14ac:dyDescent="0.25">
      <c r="B31" s="353" t="s">
        <v>269</v>
      </c>
      <c r="C31" s="353"/>
      <c r="D31" s="353">
        <v>12</v>
      </c>
      <c r="E31" s="353"/>
      <c r="F31" s="353"/>
      <c r="G31" s="353"/>
      <c r="H31" s="354">
        <f>'Costos local + mobiliari'!D26</f>
        <v>1470</v>
      </c>
      <c r="I31" s="355">
        <f>'Costos local + mobiliari'!E26</f>
        <v>17640</v>
      </c>
      <c r="J31" s="353"/>
      <c r="K31" s="356">
        <f t="shared" ref="K31:K40" si="3">I31</f>
        <v>17640</v>
      </c>
    </row>
    <row r="32" spans="2:11" ht="25" customHeight="1" x14ac:dyDescent="0.25">
      <c r="B32" s="353" t="s">
        <v>204</v>
      </c>
      <c r="C32" s="353"/>
      <c r="D32" s="353"/>
      <c r="E32" s="353"/>
      <c r="F32" s="353"/>
      <c r="G32" s="353"/>
      <c r="H32" s="354"/>
      <c r="I32" s="355">
        <f>'Costos local + mobiliari'!E39</f>
        <v>1275</v>
      </c>
      <c r="J32" s="353"/>
      <c r="K32" s="356">
        <f t="shared" si="3"/>
        <v>1275</v>
      </c>
    </row>
    <row r="33" spans="2:14" ht="25" customHeight="1" x14ac:dyDescent="0.25">
      <c r="B33" s="353" t="s">
        <v>268</v>
      </c>
      <c r="C33" s="353"/>
      <c r="D33" s="353">
        <v>12</v>
      </c>
      <c r="E33" s="353"/>
      <c r="F33" s="353"/>
      <c r="G33" s="353"/>
      <c r="H33" s="354">
        <v>500</v>
      </c>
      <c r="I33" s="355">
        <f>D33*H33</f>
        <v>6000</v>
      </c>
      <c r="J33" s="353"/>
      <c r="K33" s="356">
        <f t="shared" si="3"/>
        <v>6000</v>
      </c>
    </row>
    <row r="34" spans="2:14" ht="25" customHeight="1" x14ac:dyDescent="0.25">
      <c r="B34" s="353" t="s">
        <v>212</v>
      </c>
      <c r="C34" s="353"/>
      <c r="D34" s="353"/>
      <c r="E34" s="353">
        <v>6</v>
      </c>
      <c r="F34" s="353"/>
      <c r="G34" s="353"/>
      <c r="H34" s="354"/>
      <c r="I34" s="355">
        <f>'Costos informat + Comunicacions'!G40</f>
        <v>450</v>
      </c>
      <c r="J34" s="353"/>
      <c r="K34" s="356">
        <f t="shared" si="3"/>
        <v>450</v>
      </c>
    </row>
    <row r="35" spans="2:14" ht="25" customHeight="1" x14ac:dyDescent="0.25">
      <c r="B35" s="353" t="s">
        <v>251</v>
      </c>
      <c r="C35" s="353"/>
      <c r="D35" s="353"/>
      <c r="E35" s="353"/>
      <c r="F35" s="353"/>
      <c r="G35" s="353"/>
      <c r="H35" s="354"/>
      <c r="I35" s="355">
        <f>'Costos informat + Comunicacions'!G35</f>
        <v>20000</v>
      </c>
      <c r="J35" s="353"/>
      <c r="K35" s="356">
        <f t="shared" si="3"/>
        <v>20000</v>
      </c>
    </row>
    <row r="36" spans="2:14" ht="25" customHeight="1" x14ac:dyDescent="0.25">
      <c r="B36" s="353" t="s">
        <v>270</v>
      </c>
      <c r="C36" s="353"/>
      <c r="D36" s="353"/>
      <c r="E36" s="353"/>
      <c r="F36" s="353"/>
      <c r="G36" s="353"/>
      <c r="H36" s="354"/>
      <c r="I36" s="355">
        <f>'Costos informat + Comunicacions'!G45</f>
        <v>4000</v>
      </c>
      <c r="J36" s="353"/>
      <c r="K36" s="356">
        <f t="shared" si="3"/>
        <v>4000</v>
      </c>
    </row>
    <row r="37" spans="2:14" ht="25" customHeight="1" x14ac:dyDescent="0.25">
      <c r="B37" s="353" t="s">
        <v>238</v>
      </c>
      <c r="C37" s="353"/>
      <c r="D37" s="353"/>
      <c r="E37" s="353"/>
      <c r="F37" s="353"/>
      <c r="G37" s="353"/>
      <c r="H37" s="354"/>
      <c r="I37" s="355">
        <f>'Costos informat + Comunicacions'!G57</f>
        <v>1752</v>
      </c>
      <c r="J37" s="353"/>
      <c r="K37" s="356">
        <f t="shared" si="3"/>
        <v>1752</v>
      </c>
    </row>
    <row r="38" spans="2:14" ht="25" customHeight="1" x14ac:dyDescent="0.25">
      <c r="B38" s="353" t="s">
        <v>239</v>
      </c>
      <c r="C38" s="353"/>
      <c r="D38" s="353">
        <v>12</v>
      </c>
      <c r="E38" s="353">
        <v>6</v>
      </c>
      <c r="F38" s="353"/>
      <c r="G38" s="353"/>
      <c r="H38" s="354">
        <v>40</v>
      </c>
      <c r="I38" s="355">
        <f>D38*E38*H38</f>
        <v>2880</v>
      </c>
      <c r="J38" s="353"/>
      <c r="K38" s="356">
        <f t="shared" si="3"/>
        <v>2880</v>
      </c>
    </row>
    <row r="39" spans="2:14" ht="25" customHeight="1" x14ac:dyDescent="0.25">
      <c r="B39" s="353" t="s">
        <v>252</v>
      </c>
      <c r="C39" s="353"/>
      <c r="D39" s="353"/>
      <c r="E39" s="353"/>
      <c r="F39" s="353"/>
      <c r="G39" s="353"/>
      <c r="H39" s="354"/>
      <c r="I39" s="355">
        <f>'Costos informat + Comunicacions'!G65</f>
        <v>3500</v>
      </c>
      <c r="J39" s="353"/>
      <c r="K39" s="356">
        <f t="shared" si="3"/>
        <v>3500</v>
      </c>
    </row>
    <row r="40" spans="2:14" ht="20.149999999999999" customHeight="1" x14ac:dyDescent="0.25">
      <c r="B40" s="357" t="s">
        <v>226</v>
      </c>
      <c r="C40" s="353"/>
      <c r="D40" s="353"/>
      <c r="E40" s="358"/>
      <c r="F40" s="353"/>
      <c r="G40" s="353"/>
      <c r="H40" s="354"/>
      <c r="I40" s="355">
        <f>'Costos informat + Comunicacions'!G61</f>
        <v>5700</v>
      </c>
      <c r="J40" s="353"/>
      <c r="K40" s="356">
        <f t="shared" si="3"/>
        <v>5700</v>
      </c>
    </row>
    <row r="41" spans="2:14" ht="20.149999999999999" customHeight="1" x14ac:dyDescent="0.25">
      <c r="B41" s="289" t="s">
        <v>142</v>
      </c>
      <c r="C41" s="290"/>
      <c r="D41" s="290"/>
      <c r="E41" s="290"/>
      <c r="F41" s="290"/>
      <c r="G41" s="290"/>
      <c r="H41" s="290"/>
      <c r="I41" s="290"/>
      <c r="J41" s="290"/>
      <c r="K41" s="291">
        <f>SUM(K31:K40)</f>
        <v>63197</v>
      </c>
    </row>
    <row r="42" spans="2:14" ht="20.149999999999999" customHeight="1" x14ac:dyDescent="0.25">
      <c r="B42" s="302" t="s">
        <v>143</v>
      </c>
      <c r="C42" s="292"/>
      <c r="D42" s="292"/>
      <c r="E42" s="292"/>
      <c r="F42" s="292"/>
      <c r="G42" s="292"/>
      <c r="H42" s="292"/>
      <c r="I42" s="293"/>
      <c r="J42" s="292"/>
      <c r="K42" s="294">
        <f>K41+K29</f>
        <v>261982.5462617359</v>
      </c>
    </row>
    <row r="43" spans="2:14" ht="23.5" customHeight="1" x14ac:dyDescent="0.25">
      <c r="B43" s="359" t="s">
        <v>138</v>
      </c>
      <c r="C43" s="360">
        <v>0.06</v>
      </c>
      <c r="D43" s="361"/>
      <c r="E43" s="361"/>
      <c r="F43" s="362"/>
      <c r="G43" s="363"/>
      <c r="H43" s="363"/>
      <c r="I43" s="363"/>
      <c r="J43" s="364"/>
      <c r="K43" s="378">
        <f>K42*C43</f>
        <v>15718.952775704154</v>
      </c>
    </row>
    <row r="44" spans="2:14" ht="21" customHeight="1" x14ac:dyDescent="0.25">
      <c r="B44" s="438" t="s">
        <v>227</v>
      </c>
      <c r="C44" s="366"/>
      <c r="D44" s="366"/>
      <c r="E44" s="366"/>
      <c r="F44" s="366"/>
      <c r="G44" s="366"/>
      <c r="H44" s="366"/>
      <c r="I44" s="366"/>
      <c r="J44" s="366"/>
      <c r="K44" s="367"/>
    </row>
    <row r="45" spans="2:14" ht="8.25" customHeight="1" x14ac:dyDescent="0.25">
      <c r="B45" s="438"/>
      <c r="C45" s="368"/>
      <c r="D45" s="368"/>
      <c r="E45" s="368"/>
      <c r="F45" s="368"/>
      <c r="G45" s="368"/>
      <c r="H45" s="368"/>
      <c r="I45" s="368"/>
      <c r="J45" s="368"/>
      <c r="K45" s="369"/>
      <c r="N45" s="164"/>
    </row>
    <row r="46" spans="2:14" x14ac:dyDescent="0.25">
      <c r="B46" s="359" t="s">
        <v>139</v>
      </c>
      <c r="C46" s="360">
        <v>0.04</v>
      </c>
      <c r="D46" s="361"/>
      <c r="E46" s="361"/>
      <c r="F46" s="370"/>
      <c r="G46" s="363"/>
      <c r="H46" s="363"/>
      <c r="I46" s="363"/>
      <c r="J46" s="364"/>
      <c r="K46" s="378">
        <f>K42*C46</f>
        <v>10479.301850469436</v>
      </c>
      <c r="L46" s="164"/>
    </row>
    <row r="47" spans="2:14" x14ac:dyDescent="0.25">
      <c r="B47" s="359"/>
      <c r="C47" s="371"/>
      <c r="D47" s="361"/>
      <c r="E47" s="361"/>
      <c r="F47" s="370"/>
      <c r="G47" s="363"/>
      <c r="H47" s="363"/>
      <c r="I47" s="363"/>
      <c r="J47" s="372"/>
      <c r="K47" s="365"/>
    </row>
    <row r="48" spans="2:14" ht="13" x14ac:dyDescent="0.25">
      <c r="B48" s="306" t="s">
        <v>140</v>
      </c>
      <c r="C48" s="307"/>
      <c r="D48" s="307"/>
      <c r="E48" s="307"/>
      <c r="F48" s="303"/>
      <c r="G48" s="304"/>
      <c r="H48" s="304"/>
      <c r="I48" s="304"/>
      <c r="J48" s="308"/>
      <c r="K48" s="305">
        <f>SUM(K43:K46)</f>
        <v>26198.254626173592</v>
      </c>
    </row>
    <row r="49" spans="2:11" x14ac:dyDescent="0.25">
      <c r="B49" s="359"/>
      <c r="C49" s="373"/>
      <c r="D49" s="373"/>
      <c r="E49" s="373"/>
      <c r="F49" s="370"/>
      <c r="G49" s="363"/>
      <c r="H49" s="363"/>
      <c r="I49" s="363"/>
      <c r="J49" s="372"/>
      <c r="K49" s="378"/>
    </row>
    <row r="50" spans="2:11" x14ac:dyDescent="0.25">
      <c r="B50" s="379" t="s">
        <v>280</v>
      </c>
      <c r="C50" s="380"/>
      <c r="D50" s="380"/>
      <c r="E50" s="380"/>
      <c r="F50" s="381"/>
      <c r="G50" s="382"/>
      <c r="H50" s="382"/>
      <c r="I50" s="382"/>
      <c r="J50" s="383"/>
      <c r="K50" s="384">
        <f>(K42+K48)</f>
        <v>288180.80088790949</v>
      </c>
    </row>
    <row r="51" spans="2:11" x14ac:dyDescent="0.25">
      <c r="B51" s="374"/>
      <c r="C51" s="373"/>
      <c r="D51" s="373"/>
      <c r="E51" s="373"/>
      <c r="F51" s="339"/>
      <c r="G51" s="375"/>
      <c r="H51" s="375"/>
      <c r="I51" s="375"/>
      <c r="J51" s="340"/>
      <c r="K51" s="376"/>
    </row>
    <row r="52" spans="2:11" x14ac:dyDescent="0.25">
      <c r="B52" s="359" t="s">
        <v>263</v>
      </c>
      <c r="C52" s="377">
        <v>0.1</v>
      </c>
      <c r="D52" s="361"/>
      <c r="E52" s="361"/>
      <c r="F52" s="362"/>
      <c r="G52" s="363"/>
      <c r="H52" s="363"/>
      <c r="I52" s="363"/>
      <c r="J52" s="372"/>
      <c r="K52" s="378">
        <f>K50*0.1</f>
        <v>28818.08008879095</v>
      </c>
    </row>
    <row r="53" spans="2:11" ht="13" x14ac:dyDescent="0.25">
      <c r="B53" s="311"/>
      <c r="C53" s="313"/>
      <c r="D53" s="313"/>
      <c r="E53" s="313"/>
      <c r="F53" s="287"/>
      <c r="G53" s="312"/>
      <c r="H53" s="312"/>
      <c r="I53" s="312"/>
      <c r="J53" s="122"/>
      <c r="K53" s="314"/>
    </row>
    <row r="54" spans="2:11" ht="18" x14ac:dyDescent="0.25">
      <c r="B54" s="309" t="s">
        <v>141</v>
      </c>
      <c r="C54" s="315"/>
      <c r="D54" s="315"/>
      <c r="E54" s="315"/>
      <c r="F54" s="295"/>
      <c r="G54" s="296"/>
      <c r="H54" s="296"/>
      <c r="I54" s="296"/>
      <c r="J54" s="310"/>
      <c r="K54" s="332">
        <f>K50+K52</f>
        <v>316998.88097670046</v>
      </c>
    </row>
    <row r="56" spans="2:11" x14ac:dyDescent="0.25">
      <c r="K56" s="164"/>
    </row>
    <row r="57" spans="2:11" x14ac:dyDescent="0.25">
      <c r="K57" s="184"/>
    </row>
    <row r="59" spans="2:11" x14ac:dyDescent="0.25">
      <c r="K59" s="164"/>
    </row>
    <row r="68" spans="5:5" x14ac:dyDescent="0.25">
      <c r="E68" s="297"/>
    </row>
    <row r="69" spans="5:5" x14ac:dyDescent="0.25">
      <c r="E69" s="297"/>
    </row>
    <row r="70" spans="5:5" x14ac:dyDescent="0.25">
      <c r="E70" s="297"/>
    </row>
    <row r="71" spans="5:5" x14ac:dyDescent="0.25">
      <c r="E71" s="297"/>
    </row>
    <row r="72" spans="5:5" x14ac:dyDescent="0.25">
      <c r="E72" s="297"/>
    </row>
    <row r="73" spans="5:5" x14ac:dyDescent="0.25">
      <c r="E73" s="297"/>
    </row>
    <row r="74" spans="5:5" x14ac:dyDescent="0.25">
      <c r="E74" s="297"/>
    </row>
    <row r="75" spans="5:5" x14ac:dyDescent="0.25">
      <c r="E75" s="297"/>
    </row>
    <row r="76" spans="5:5" x14ac:dyDescent="0.25">
      <c r="E76" s="297"/>
    </row>
    <row r="77" spans="5:5" x14ac:dyDescent="0.25">
      <c r="E77" s="297"/>
    </row>
    <row r="78" spans="5:5" x14ac:dyDescent="0.25">
      <c r="E78" s="297"/>
    </row>
    <row r="79" spans="5:5" x14ac:dyDescent="0.25">
      <c r="E79" s="297"/>
    </row>
    <row r="80" spans="5:5" x14ac:dyDescent="0.25">
      <c r="E80" s="297"/>
    </row>
    <row r="81" spans="5:5" x14ac:dyDescent="0.25">
      <c r="E81" s="297"/>
    </row>
    <row r="82" spans="5:5" x14ac:dyDescent="0.25">
      <c r="E82" s="297"/>
    </row>
    <row r="83" spans="5:5" x14ac:dyDescent="0.25">
      <c r="E83" s="297"/>
    </row>
    <row r="84" spans="5:5" x14ac:dyDescent="0.25">
      <c r="E84" s="297"/>
    </row>
    <row r="85" spans="5:5" x14ac:dyDescent="0.25">
      <c r="E85" s="297"/>
    </row>
  </sheetData>
  <mergeCells count="8">
    <mergeCell ref="B44:B45"/>
    <mergeCell ref="F13:G13"/>
    <mergeCell ref="F14:G14"/>
    <mergeCell ref="B2:K2"/>
    <mergeCell ref="B3:K3"/>
    <mergeCell ref="C4:E4"/>
    <mergeCell ref="C9:K9"/>
    <mergeCell ref="C10:K10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40"/>
  <sheetViews>
    <sheetView workbookViewId="0">
      <selection activeCell="O49" sqref="O49"/>
    </sheetView>
  </sheetViews>
  <sheetFormatPr defaultRowHeight="12.5" x14ac:dyDescent="0.25"/>
  <cols>
    <col min="21" max="21" width="21.54296875" customWidth="1"/>
  </cols>
  <sheetData>
    <row r="4" spans="21:22" x14ac:dyDescent="0.25">
      <c r="U4" s="35" t="s">
        <v>120</v>
      </c>
      <c r="V4" s="35">
        <v>1</v>
      </c>
    </row>
    <row r="5" spans="21:22" x14ac:dyDescent="0.25">
      <c r="U5" s="35" t="s">
        <v>121</v>
      </c>
      <c r="V5" s="35">
        <v>50</v>
      </c>
    </row>
    <row r="6" spans="21:22" x14ac:dyDescent="0.25">
      <c r="U6" s="35" t="s">
        <v>122</v>
      </c>
      <c r="V6" s="35">
        <v>3.5</v>
      </c>
    </row>
    <row r="7" spans="21:22" x14ac:dyDescent="0.25">
      <c r="U7" s="35"/>
      <c r="V7" s="35"/>
    </row>
    <row r="33" spans="2:15" ht="13" x14ac:dyDescent="0.3">
      <c r="N33" s="130" t="s">
        <v>117</v>
      </c>
    </row>
    <row r="37" spans="2:15" x14ac:dyDescent="0.25">
      <c r="B37" s="145"/>
      <c r="J37">
        <f>8494.98-7489.93</f>
        <v>1005.0499999999993</v>
      </c>
      <c r="M37">
        <f>8494.98-7553.47</f>
        <v>941.50999999999931</v>
      </c>
      <c r="O37">
        <f>7489.93*M38</f>
        <v>941.50999999999931</v>
      </c>
    </row>
    <row r="38" spans="2:15" x14ac:dyDescent="0.25">
      <c r="J38" s="147">
        <f>J37/8494.98</f>
        <v>0.11831104958457811</v>
      </c>
      <c r="M38" s="147">
        <f>M37/7489.93</f>
        <v>0.12570344449147045</v>
      </c>
      <c r="O38">
        <f>7489.93+O37</f>
        <v>8431.4399999999987</v>
      </c>
    </row>
    <row r="40" spans="2:15" x14ac:dyDescent="0.25">
      <c r="J40" s="148"/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I45" workbookViewId="0">
      <selection activeCell="F10" sqref="F10"/>
    </sheetView>
  </sheetViews>
  <sheetFormatPr defaultRowHeight="12.5" x14ac:dyDescent="0.25"/>
  <cols>
    <col min="1" max="1" width="4.54296875" style="130" customWidth="1"/>
    <col min="2" max="2" width="8.7265625" style="130"/>
    <col min="3" max="3" width="15.54296875" customWidth="1"/>
    <col min="4" max="4" width="23.54296875" customWidth="1"/>
    <col min="5" max="5" width="22.453125" customWidth="1"/>
    <col min="6" max="6" width="23" customWidth="1"/>
    <col min="8" max="8" width="165.7265625" customWidth="1"/>
    <col min="9" max="9" width="69.54296875" style="130" customWidth="1"/>
  </cols>
  <sheetData>
    <row r="1" spans="2:14" s="130" customFormat="1" x14ac:dyDescent="0.25"/>
    <row r="2" spans="2:14" s="130" customFormat="1" x14ac:dyDescent="0.25"/>
    <row r="3" spans="2:14" x14ac:dyDescent="0.25">
      <c r="D3" s="157" t="s">
        <v>123</v>
      </c>
      <c r="E3" s="157" t="s">
        <v>124</v>
      </c>
      <c r="F3" s="158" t="s">
        <v>127</v>
      </c>
    </row>
    <row r="4" spans="2:14" ht="115" customHeight="1" x14ac:dyDescent="0.25">
      <c r="B4" s="512" t="s">
        <v>125</v>
      </c>
      <c r="C4" s="513"/>
      <c r="D4" s="154">
        <v>9151.5</v>
      </c>
      <c r="E4" s="154" t="e">
        <f>'TAULA MARE'!#REF!</f>
        <v>#REF!</v>
      </c>
      <c r="F4" s="159" t="e">
        <f>(D4-E4)/D4</f>
        <v>#REF!</v>
      </c>
      <c r="H4" s="150" t="s">
        <v>151</v>
      </c>
      <c r="I4" s="131" t="s">
        <v>128</v>
      </c>
    </row>
    <row r="5" spans="2:14" ht="13" customHeight="1" x14ac:dyDescent="0.25">
      <c r="B5" s="514" t="s">
        <v>126</v>
      </c>
      <c r="C5" s="515"/>
      <c r="D5" s="517">
        <v>123417.97</v>
      </c>
      <c r="E5" s="517">
        <v>29824</v>
      </c>
      <c r="F5" s="518">
        <f>(D5-E5)/D5</f>
        <v>0.75834961472790385</v>
      </c>
      <c r="H5" s="151" t="s">
        <v>130</v>
      </c>
      <c r="I5" s="130" t="s">
        <v>129</v>
      </c>
    </row>
    <row r="6" spans="2:14" ht="13" customHeight="1" x14ac:dyDescent="0.25">
      <c r="B6" s="514"/>
      <c r="C6" s="515"/>
      <c r="D6" s="517"/>
      <c r="E6" s="517"/>
      <c r="F6" s="519"/>
      <c r="H6" s="152" t="s">
        <v>152</v>
      </c>
    </row>
    <row r="7" spans="2:14" ht="13" customHeight="1" x14ac:dyDescent="0.25">
      <c r="B7" s="514"/>
      <c r="C7" s="515"/>
      <c r="D7" s="517"/>
      <c r="E7" s="517"/>
      <c r="F7" s="519"/>
      <c r="H7" s="152" t="s">
        <v>131</v>
      </c>
    </row>
    <row r="8" spans="2:14" ht="29.5" customHeight="1" x14ac:dyDescent="0.25">
      <c r="B8" s="514"/>
      <c r="C8" s="515"/>
      <c r="D8" s="517"/>
      <c r="E8" s="517"/>
      <c r="F8" s="520"/>
      <c r="H8" s="149" t="s">
        <v>147</v>
      </c>
    </row>
    <row r="9" spans="2:14" ht="59.5" customHeight="1" x14ac:dyDescent="0.3">
      <c r="B9" s="516" t="s">
        <v>132</v>
      </c>
      <c r="C9" s="505"/>
      <c r="D9" s="155">
        <v>17048.02</v>
      </c>
      <c r="E9" s="155" t="e">
        <f>'TAULA MARE'!#REF!</f>
        <v>#REF!</v>
      </c>
      <c r="F9" s="160" t="e">
        <f t="shared" ref="F9" si="0">(D9-E9)/D9</f>
        <v>#REF!</v>
      </c>
      <c r="H9" s="153" t="s">
        <v>148</v>
      </c>
    </row>
    <row r="10" spans="2:14" ht="37.5" customHeight="1" x14ac:dyDescent="0.3">
      <c r="B10" s="516" t="s">
        <v>116</v>
      </c>
      <c r="C10" s="505"/>
      <c r="D10" s="185">
        <v>215299.7</v>
      </c>
      <c r="E10" s="155" t="e">
        <f>'TAULA MARE'!#REF!</f>
        <v>#REF!</v>
      </c>
      <c r="F10" s="160" t="e">
        <f>(D10-E10)/D10</f>
        <v>#REF!</v>
      </c>
      <c r="H10" s="153" t="s">
        <v>133</v>
      </c>
    </row>
    <row r="11" spans="2:14" x14ac:dyDescent="0.25">
      <c r="B11" s="521" t="s">
        <v>135</v>
      </c>
      <c r="C11" s="522"/>
      <c r="D11" s="525">
        <v>38504</v>
      </c>
      <c r="E11" s="525" t="e">
        <f>'TAULA MARE'!#REF!</f>
        <v>#REF!</v>
      </c>
      <c r="F11" s="527" t="e">
        <f>(D11-E11)/D11</f>
        <v>#REF!</v>
      </c>
      <c r="H11" s="156"/>
    </row>
    <row r="12" spans="2:14" ht="25.5" customHeight="1" x14ac:dyDescent="0.25">
      <c r="B12" s="523"/>
      <c r="C12" s="524"/>
      <c r="D12" s="526"/>
      <c r="E12" s="526"/>
      <c r="F12" s="528"/>
      <c r="H12" s="149" t="s">
        <v>136</v>
      </c>
    </row>
    <row r="13" spans="2:14" x14ac:dyDescent="0.25">
      <c r="B13" s="516" t="s">
        <v>134</v>
      </c>
      <c r="C13" s="516"/>
      <c r="D13" s="529">
        <v>102595.14</v>
      </c>
      <c r="E13" s="529">
        <v>96000</v>
      </c>
      <c r="F13" s="530">
        <f>(D13-E13)/D13</f>
        <v>6.4283161950946216E-2</v>
      </c>
      <c r="H13" s="510" t="s">
        <v>150</v>
      </c>
      <c r="N13" t="e">
        <f>#REF!+#REF!</f>
        <v>#REF!</v>
      </c>
    </row>
    <row r="14" spans="2:14" ht="24.65" customHeight="1" x14ac:dyDescent="0.25">
      <c r="B14" s="516"/>
      <c r="C14" s="516"/>
      <c r="D14" s="529"/>
      <c r="E14" s="529"/>
      <c r="F14" s="531"/>
      <c r="H14" s="511"/>
    </row>
    <row r="15" spans="2:14" x14ac:dyDescent="0.25">
      <c r="E15">
        <v>61752</v>
      </c>
      <c r="H15" t="s">
        <v>149</v>
      </c>
    </row>
    <row r="17" spans="3:9" x14ac:dyDescent="0.25">
      <c r="H17" s="45"/>
    </row>
    <row r="18" spans="3:9" x14ac:dyDescent="0.25">
      <c r="H18" s="45"/>
    </row>
    <row r="19" spans="3:9" x14ac:dyDescent="0.25">
      <c r="H19" s="45"/>
      <c r="I19" s="45"/>
    </row>
    <row r="20" spans="3:9" x14ac:dyDescent="0.25">
      <c r="I20" s="45"/>
    </row>
    <row r="21" spans="3:9" x14ac:dyDescent="0.25">
      <c r="C21">
        <v>2</v>
      </c>
    </row>
    <row r="28" spans="3:9" x14ac:dyDescent="0.25">
      <c r="C28" s="40"/>
    </row>
    <row r="29" spans="3:9" x14ac:dyDescent="0.25">
      <c r="C29" s="40"/>
      <c r="D29" s="45"/>
    </row>
    <row r="66" spans="8:8" x14ac:dyDescent="0.25">
      <c r="H66">
        <f>1259661.97</f>
        <v>1259661.97</v>
      </c>
    </row>
    <row r="71" spans="8:8" x14ac:dyDescent="0.25">
      <c r="H71" s="142">
        <f>(2159661.97-1782822.06)/1259661.97</f>
        <v>0.29915955151047402</v>
      </c>
    </row>
  </sheetData>
  <mergeCells count="16">
    <mergeCell ref="H13:H14"/>
    <mergeCell ref="B4:C4"/>
    <mergeCell ref="B5:C8"/>
    <mergeCell ref="B9:C9"/>
    <mergeCell ref="B10:C10"/>
    <mergeCell ref="D5:D8"/>
    <mergeCell ref="E5:E8"/>
    <mergeCell ref="F5:F8"/>
    <mergeCell ref="B11:C12"/>
    <mergeCell ref="D11:D12"/>
    <mergeCell ref="E11:E12"/>
    <mergeCell ref="F11:F12"/>
    <mergeCell ref="B13:C14"/>
    <mergeCell ref="D13:D14"/>
    <mergeCell ref="E13:E14"/>
    <mergeCell ref="F13:F14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3"/>
  <sheetViews>
    <sheetView workbookViewId="0">
      <selection activeCell="J25" sqref="J25"/>
    </sheetView>
  </sheetViews>
  <sheetFormatPr defaultRowHeight="12.5" x14ac:dyDescent="0.25"/>
  <sheetData>
    <row r="3" spans="2:20" ht="13" x14ac:dyDescent="0.25">
      <c r="B3" s="165"/>
      <c r="C3" s="165"/>
      <c r="D3" s="165"/>
      <c r="E3" s="165"/>
      <c r="F3" s="165"/>
      <c r="G3" s="165"/>
      <c r="H3" s="165"/>
      <c r="I3" s="165"/>
      <c r="J3" s="165"/>
      <c r="K3" s="105"/>
      <c r="L3" s="168"/>
      <c r="M3" s="168"/>
      <c r="N3" s="168"/>
      <c r="O3" s="168"/>
      <c r="P3" s="168"/>
      <c r="Q3" s="168"/>
      <c r="R3" s="168"/>
      <c r="S3" s="162"/>
      <c r="T3" s="162"/>
    </row>
    <row r="4" spans="2:20" ht="13" x14ac:dyDescent="0.25">
      <c r="B4" s="169"/>
      <c r="C4" s="169"/>
      <c r="D4" s="170"/>
      <c r="E4" s="166"/>
      <c r="F4" s="166"/>
      <c r="G4" s="167"/>
      <c r="H4" s="166"/>
      <c r="I4" s="167"/>
      <c r="J4" s="167"/>
      <c r="K4" s="105"/>
      <c r="L4" s="171"/>
      <c r="M4" s="172"/>
      <c r="N4" s="173"/>
      <c r="O4" s="174"/>
      <c r="P4" s="173"/>
      <c r="Q4" s="174"/>
      <c r="R4" s="173"/>
      <c r="S4" s="162"/>
      <c r="T4" s="162"/>
    </row>
    <row r="5" spans="2:20" ht="13" x14ac:dyDescent="0.25">
      <c r="B5" s="169"/>
      <c r="C5" s="169"/>
      <c r="D5" s="170"/>
      <c r="E5" s="166"/>
      <c r="F5" s="166"/>
      <c r="G5" s="167"/>
      <c r="H5" s="166"/>
      <c r="I5" s="167"/>
      <c r="J5" s="167"/>
      <c r="K5" s="105"/>
      <c r="L5" s="171"/>
      <c r="M5" s="175"/>
      <c r="N5" s="173"/>
      <c r="O5" s="174"/>
      <c r="P5" s="173"/>
      <c r="Q5" s="174"/>
      <c r="R5" s="173"/>
      <c r="S5" s="162"/>
      <c r="T5" s="162"/>
    </row>
    <row r="6" spans="2:20" ht="13" x14ac:dyDescent="0.25">
      <c r="B6" s="169"/>
      <c r="C6" s="169"/>
      <c r="D6" s="170"/>
      <c r="E6" s="166"/>
      <c r="F6" s="166"/>
      <c r="G6" s="167"/>
      <c r="H6" s="166"/>
      <c r="I6" s="167"/>
      <c r="J6" s="167"/>
      <c r="K6" s="105"/>
      <c r="L6" s="171"/>
      <c r="M6" s="175"/>
      <c r="N6" s="173"/>
      <c r="O6" s="174"/>
      <c r="P6" s="173"/>
      <c r="Q6" s="174"/>
      <c r="R6" s="173"/>
      <c r="S6" s="162"/>
      <c r="T6" s="162"/>
    </row>
    <row r="7" spans="2:20" ht="13" x14ac:dyDescent="0.25">
      <c r="B7" s="165"/>
      <c r="C7" s="165"/>
      <c r="D7" s="166"/>
      <c r="E7" s="166"/>
      <c r="F7" s="166"/>
      <c r="G7" s="167"/>
      <c r="H7" s="166"/>
      <c r="I7" s="167"/>
      <c r="J7" s="167"/>
      <c r="K7" s="105"/>
      <c r="L7" s="171"/>
      <c r="M7" s="173"/>
      <c r="N7" s="173"/>
      <c r="O7" s="174"/>
      <c r="P7" s="173"/>
      <c r="Q7" s="174"/>
      <c r="R7" s="173"/>
      <c r="S7" s="162"/>
      <c r="T7" s="162"/>
    </row>
    <row r="8" spans="2:20" ht="13" x14ac:dyDescent="0.25">
      <c r="B8" s="165"/>
      <c r="C8" s="165"/>
      <c r="D8" s="166"/>
      <c r="E8" s="166"/>
      <c r="F8" s="166"/>
      <c r="G8" s="167"/>
      <c r="H8" s="166"/>
      <c r="I8" s="167"/>
      <c r="J8" s="167"/>
      <c r="K8" s="105"/>
      <c r="L8" s="171"/>
      <c r="M8" s="173"/>
      <c r="N8" s="173"/>
      <c r="O8" s="174"/>
      <c r="P8" s="173"/>
      <c r="Q8" s="174"/>
      <c r="R8" s="173"/>
      <c r="S8" s="162"/>
      <c r="T8" s="162"/>
    </row>
    <row r="9" spans="2:20" x14ac:dyDescent="0.25"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76"/>
      <c r="M9" s="173"/>
      <c r="N9" s="173"/>
      <c r="O9" s="177"/>
      <c r="P9" s="178"/>
      <c r="Q9" s="178"/>
      <c r="R9" s="178"/>
      <c r="S9" s="162"/>
      <c r="T9" s="162"/>
    </row>
    <row r="10" spans="2:20" x14ac:dyDescent="0.25"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79"/>
      <c r="M10" s="180"/>
      <c r="N10" s="180"/>
      <c r="O10" s="181"/>
      <c r="P10" s="180"/>
      <c r="Q10" s="180"/>
      <c r="R10" s="180"/>
      <c r="S10" s="162"/>
      <c r="T10" s="162"/>
    </row>
    <row r="11" spans="2:20" x14ac:dyDescent="0.25"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79"/>
      <c r="M11" s="180"/>
      <c r="N11" s="180"/>
      <c r="O11" s="180"/>
      <c r="P11" s="180"/>
      <c r="Q11" s="180"/>
      <c r="R11" s="180"/>
      <c r="S11" s="162"/>
      <c r="T11" s="162"/>
    </row>
    <row r="12" spans="2:20" x14ac:dyDescent="0.25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</row>
    <row r="13" spans="2:20" x14ac:dyDescent="0.25"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42:P43"/>
  <sheetViews>
    <sheetView topLeftCell="C1" workbookViewId="0">
      <selection activeCell="P43" sqref="P43"/>
    </sheetView>
  </sheetViews>
  <sheetFormatPr defaultRowHeight="12.5" x14ac:dyDescent="0.25"/>
  <cols>
    <col min="6" max="6" width="49.81640625" bestFit="1" customWidth="1"/>
  </cols>
  <sheetData>
    <row r="42" spans="14:16" x14ac:dyDescent="0.25">
      <c r="N42">
        <f>89965.64</f>
        <v>89965.64</v>
      </c>
      <c r="O42">
        <v>774503.13</v>
      </c>
      <c r="P42">
        <f>(O42-N42)/N42</f>
        <v>7.6088770112678574</v>
      </c>
    </row>
    <row r="43" spans="14:16" x14ac:dyDescent="0.25">
      <c r="N43">
        <v>383556.7</v>
      </c>
      <c r="O43">
        <v>243148.44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4"/>
  <sheetViews>
    <sheetView topLeftCell="A22" zoomScale="90" zoomScaleNormal="90" workbookViewId="0">
      <selection activeCell="B34" sqref="B34"/>
    </sheetView>
  </sheetViews>
  <sheetFormatPr defaultRowHeight="12.5" x14ac:dyDescent="0.25"/>
  <cols>
    <col min="2" max="2" width="60.54296875" bestFit="1" customWidth="1"/>
    <col min="3" max="3" width="20.54296875" customWidth="1"/>
    <col min="4" max="4" width="20.453125" customWidth="1"/>
    <col min="5" max="5" width="18" style="189" customWidth="1"/>
    <col min="6" max="6" width="2.81640625" style="189" customWidth="1"/>
    <col min="9" max="11" width="13.1796875" bestFit="1" customWidth="1"/>
    <col min="12" max="12" width="11.54296875" bestFit="1" customWidth="1"/>
    <col min="14" max="15" width="10.453125" bestFit="1" customWidth="1"/>
    <col min="18" max="18" width="10.453125" bestFit="1" customWidth="1"/>
  </cols>
  <sheetData>
    <row r="1" spans="2:16" s="192" customFormat="1" x14ac:dyDescent="0.25"/>
    <row r="2" spans="2:16" s="192" customFormat="1" x14ac:dyDescent="0.25"/>
    <row r="4" spans="2:16" ht="23.5" customHeight="1" x14ac:dyDescent="0.35">
      <c r="B4" s="212" t="s">
        <v>145</v>
      </c>
      <c r="C4" s="213"/>
      <c r="D4" s="213"/>
      <c r="E4" s="213"/>
      <c r="F4" s="213"/>
      <c r="G4" s="213"/>
      <c r="H4" s="213"/>
      <c r="I4" s="213"/>
    </row>
    <row r="5" spans="2:16" s="192" customFormat="1" ht="23.5" customHeight="1" x14ac:dyDescent="0.35">
      <c r="B5" s="212"/>
      <c r="C5" s="213"/>
      <c r="D5" s="213"/>
      <c r="E5" s="213"/>
      <c r="F5" s="213"/>
      <c r="G5" s="213"/>
      <c r="H5" s="213"/>
      <c r="I5" s="213"/>
    </row>
    <row r="6" spans="2:16" s="192" customFormat="1" ht="23.5" customHeight="1" x14ac:dyDescent="0.35">
      <c r="B6" s="212" t="s">
        <v>188</v>
      </c>
      <c r="C6" s="213" t="s">
        <v>189</v>
      </c>
      <c r="D6" s="213"/>
      <c r="E6" s="213"/>
      <c r="F6" s="213"/>
      <c r="G6" s="213"/>
      <c r="H6" s="213"/>
      <c r="I6" s="213"/>
    </row>
    <row r="7" spans="2:16" s="192" customFormat="1" x14ac:dyDescent="0.25"/>
    <row r="8" spans="2:16" s="192" customFormat="1" x14ac:dyDescent="0.25">
      <c r="E8" s="140"/>
    </row>
    <row r="9" spans="2:16" s="192" customFormat="1" x14ac:dyDescent="0.25">
      <c r="E9" s="140"/>
    </row>
    <row r="11" spans="2:16" ht="45.65" customHeight="1" x14ac:dyDescent="0.25">
      <c r="C11" s="230" t="s">
        <v>154</v>
      </c>
      <c r="D11" s="230" t="s">
        <v>155</v>
      </c>
      <c r="E11" s="231" t="s">
        <v>192</v>
      </c>
      <c r="F11" s="188"/>
    </row>
    <row r="12" spans="2:16" s="192" customFormat="1" ht="25" customHeight="1" x14ac:dyDescent="0.25">
      <c r="B12" s="192" t="s">
        <v>115</v>
      </c>
      <c r="C12" s="208">
        <f>C13</f>
        <v>639261.17000000004</v>
      </c>
      <c r="D12" s="205">
        <f>D13</f>
        <v>1053782.7171558395</v>
      </c>
      <c r="E12" s="224">
        <f>(D12-C12)/C12</f>
        <v>0.64843848900730117</v>
      </c>
      <c r="F12" s="191"/>
    </row>
    <row r="13" spans="2:16" ht="28.5" customHeight="1" x14ac:dyDescent="0.3">
      <c r="B13" s="153" t="s">
        <v>156</v>
      </c>
      <c r="C13" s="220">
        <v>639261.17000000004</v>
      </c>
      <c r="D13" s="221">
        <v>1053782.7171558395</v>
      </c>
      <c r="E13" s="215">
        <f>(D13-C13)/C13</f>
        <v>0.64843848900730117</v>
      </c>
      <c r="F13" s="193"/>
      <c r="G13" s="535" t="s">
        <v>183</v>
      </c>
      <c r="H13" s="536"/>
      <c r="I13" s="536"/>
      <c r="J13" s="536"/>
      <c r="K13" s="536"/>
      <c r="L13" s="536"/>
      <c r="M13" s="536"/>
      <c r="N13" s="536"/>
      <c r="O13" s="536"/>
      <c r="P13" s="536"/>
    </row>
    <row r="14" spans="2:16" ht="20.149999999999999" customHeight="1" x14ac:dyDescent="0.25">
      <c r="B14" s="121"/>
      <c r="C14" s="199"/>
      <c r="D14" s="121"/>
      <c r="E14" s="214"/>
    </row>
    <row r="15" spans="2:16" s="189" customFormat="1" ht="20.149999999999999" customHeight="1" x14ac:dyDescent="0.35">
      <c r="B15" s="194" t="s">
        <v>174</v>
      </c>
      <c r="C15" s="205">
        <f>SUM(C16:C22)</f>
        <v>198940</v>
      </c>
      <c r="D15" s="205">
        <f>SUM(D16:D21)</f>
        <v>121462.5</v>
      </c>
      <c r="E15" s="225">
        <f>(D15-C15)/C15</f>
        <v>-0.38945159344525987</v>
      </c>
    </row>
    <row r="16" spans="2:16" ht="20.149999999999999" customHeight="1" x14ac:dyDescent="0.25">
      <c r="B16" s="195" t="s">
        <v>175</v>
      </c>
      <c r="C16" s="196">
        <f>D16</f>
        <v>80000</v>
      </c>
      <c r="D16" s="196">
        <v>80000</v>
      </c>
      <c r="E16" s="215">
        <f>(D16-C16)/C16</f>
        <v>0</v>
      </c>
      <c r="F16" s="140"/>
      <c r="G16" s="538" t="s">
        <v>181</v>
      </c>
      <c r="H16" s="538"/>
      <c r="I16" s="538"/>
      <c r="J16" s="538"/>
      <c r="K16" s="538"/>
      <c r="L16" s="538"/>
      <c r="M16" s="538"/>
      <c r="N16" s="538"/>
      <c r="O16" s="538"/>
      <c r="P16" s="538"/>
    </row>
    <row r="17" spans="2:17" s="189" customFormat="1" ht="20.149999999999999" customHeight="1" x14ac:dyDescent="0.25">
      <c r="B17" s="195" t="s">
        <v>169</v>
      </c>
      <c r="C17" s="196">
        <v>43360</v>
      </c>
      <c r="D17" s="196">
        <v>31000</v>
      </c>
      <c r="E17" s="215">
        <f t="shared" ref="E17:E22" si="0">(D17-C17)/C17</f>
        <v>-0.28505535055350556</v>
      </c>
      <c r="F17" s="140"/>
      <c r="G17" s="538"/>
      <c r="H17" s="538"/>
      <c r="I17" s="538"/>
      <c r="J17" s="538"/>
      <c r="K17" s="538"/>
      <c r="L17" s="538"/>
      <c r="M17" s="538"/>
      <c r="N17" s="538"/>
      <c r="O17" s="538"/>
      <c r="P17" s="538"/>
    </row>
    <row r="18" spans="2:17" ht="20.149999999999999" customHeight="1" x14ac:dyDescent="0.25">
      <c r="B18" s="121" t="s">
        <v>170</v>
      </c>
      <c r="C18" s="196">
        <v>1575</v>
      </c>
      <c r="D18" s="196">
        <v>1200</v>
      </c>
      <c r="E18" s="215">
        <f t="shared" si="0"/>
        <v>-0.23809523809523808</v>
      </c>
      <c r="F18" s="140"/>
      <c r="G18" s="538"/>
      <c r="H18" s="538"/>
      <c r="I18" s="538"/>
      <c r="J18" s="538"/>
      <c r="K18" s="538"/>
      <c r="L18" s="538"/>
      <c r="M18" s="538"/>
      <c r="N18" s="538"/>
      <c r="O18" s="538"/>
      <c r="P18" s="538"/>
    </row>
    <row r="19" spans="2:17" ht="20.149999999999999" customHeight="1" x14ac:dyDescent="0.25">
      <c r="B19" s="121" t="s">
        <v>171</v>
      </c>
      <c r="C19" s="196"/>
      <c r="D19" s="196">
        <v>4812.5</v>
      </c>
      <c r="E19" s="215"/>
      <c r="F19" s="140"/>
      <c r="G19" s="538"/>
      <c r="H19" s="538"/>
      <c r="I19" s="538"/>
      <c r="J19" s="538"/>
      <c r="K19" s="538"/>
      <c r="L19" s="538"/>
      <c r="M19" s="538"/>
      <c r="N19" s="538"/>
      <c r="O19" s="538"/>
      <c r="P19" s="538"/>
    </row>
    <row r="20" spans="2:17" ht="20.149999999999999" customHeight="1" x14ac:dyDescent="0.25">
      <c r="B20" s="121" t="s">
        <v>172</v>
      </c>
      <c r="C20" s="196">
        <v>12985</v>
      </c>
      <c r="D20" s="196">
        <v>3850</v>
      </c>
      <c r="E20" s="215">
        <f t="shared" si="0"/>
        <v>-0.70350404312668469</v>
      </c>
      <c r="F20" s="140"/>
      <c r="G20" s="538"/>
      <c r="H20" s="538"/>
      <c r="I20" s="538"/>
      <c r="J20" s="538"/>
      <c r="K20" s="538"/>
      <c r="L20" s="538"/>
      <c r="M20" s="538"/>
      <c r="N20" s="538"/>
      <c r="O20" s="538"/>
      <c r="P20" s="538"/>
    </row>
    <row r="21" spans="2:17" ht="20.149999999999999" customHeight="1" x14ac:dyDescent="0.25">
      <c r="B21" s="121" t="s">
        <v>173</v>
      </c>
      <c r="C21" s="196"/>
      <c r="D21" s="196">
        <v>600</v>
      </c>
      <c r="E21" s="215"/>
      <c r="F21" s="140"/>
      <c r="G21" s="538"/>
      <c r="H21" s="538"/>
      <c r="I21" s="538"/>
      <c r="J21" s="538"/>
      <c r="K21" s="538"/>
      <c r="L21" s="538"/>
      <c r="M21" s="538"/>
      <c r="N21" s="538"/>
      <c r="O21" s="538"/>
      <c r="P21" s="538"/>
    </row>
    <row r="22" spans="2:17" ht="20.149999999999999" customHeight="1" x14ac:dyDescent="0.25">
      <c r="B22" s="121" t="s">
        <v>186</v>
      </c>
      <c r="C22" s="196">
        <v>61020</v>
      </c>
      <c r="D22" s="121"/>
      <c r="E22" s="215">
        <f t="shared" si="0"/>
        <v>-1</v>
      </c>
      <c r="F22" s="140"/>
    </row>
    <row r="23" spans="2:17" s="189" customFormat="1" ht="20.149999999999999" customHeight="1" x14ac:dyDescent="0.35">
      <c r="B23" s="194" t="s">
        <v>118</v>
      </c>
      <c r="C23" s="205">
        <f>SUM(C24:C28)</f>
        <v>107880</v>
      </c>
      <c r="D23" s="207">
        <f>SUM(D24:D27)</f>
        <v>73710.17</v>
      </c>
      <c r="E23" s="225">
        <f>(D23-C23)/C23</f>
        <v>-0.31673924731182795</v>
      </c>
      <c r="F23" s="140"/>
    </row>
    <row r="24" spans="2:17" ht="20.149999999999999" customHeight="1" x14ac:dyDescent="0.25">
      <c r="B24" s="121" t="s">
        <v>158</v>
      </c>
      <c r="C24" s="196">
        <v>107880</v>
      </c>
      <c r="D24" s="206">
        <v>49318.92</v>
      </c>
      <c r="E24" s="223">
        <f>(D24-C24)/C24</f>
        <v>-0.54283537263626258</v>
      </c>
      <c r="F24" s="140"/>
      <c r="G24" s="537" t="s">
        <v>157</v>
      </c>
      <c r="H24" s="537"/>
      <c r="I24" s="537"/>
      <c r="J24" s="537"/>
      <c r="K24" s="537"/>
      <c r="L24" s="537"/>
      <c r="M24" s="537"/>
      <c r="N24" s="537"/>
      <c r="O24" s="537"/>
      <c r="P24" s="537"/>
      <c r="Q24" s="537"/>
    </row>
    <row r="25" spans="2:17" ht="20.149999999999999" customHeight="1" x14ac:dyDescent="0.25">
      <c r="B25" s="121" t="s">
        <v>159</v>
      </c>
      <c r="C25" s="196"/>
      <c r="D25" s="206">
        <v>7391.25</v>
      </c>
      <c r="E25" s="223"/>
      <c r="F25" s="140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537"/>
    </row>
    <row r="26" spans="2:17" ht="20.149999999999999" customHeight="1" x14ac:dyDescent="0.25">
      <c r="B26" s="121" t="s">
        <v>160</v>
      </c>
      <c r="C26" s="196"/>
      <c r="D26" s="206">
        <v>2000</v>
      </c>
      <c r="E26" s="223"/>
      <c r="F26" s="140"/>
      <c r="G26" s="537"/>
      <c r="H26" s="537"/>
      <c r="I26" s="537"/>
      <c r="J26" s="537"/>
      <c r="K26" s="537"/>
      <c r="L26" s="537"/>
      <c r="M26" s="537"/>
      <c r="N26" s="537"/>
      <c r="O26" s="537"/>
      <c r="P26" s="537"/>
      <c r="Q26" s="537"/>
    </row>
    <row r="27" spans="2:17" ht="20.149999999999999" customHeight="1" x14ac:dyDescent="0.3">
      <c r="B27" s="121" t="s">
        <v>161</v>
      </c>
      <c r="C27" s="210"/>
      <c r="D27" s="206">
        <v>15000</v>
      </c>
      <c r="E27" s="223"/>
      <c r="F27" s="140"/>
      <c r="G27" s="537"/>
      <c r="H27" s="537"/>
      <c r="I27" s="537"/>
      <c r="J27" s="537"/>
      <c r="K27" s="537"/>
      <c r="L27" s="537"/>
      <c r="M27" s="537"/>
      <c r="N27" s="537"/>
      <c r="O27" s="537"/>
      <c r="P27" s="537"/>
      <c r="Q27" s="537"/>
    </row>
    <row r="28" spans="2:17" s="189" customFormat="1" ht="20.149999999999999" customHeight="1" x14ac:dyDescent="0.25">
      <c r="B28" s="121"/>
      <c r="C28" s="196"/>
      <c r="D28" s="206"/>
      <c r="E28" s="217"/>
      <c r="F28" s="140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</row>
    <row r="29" spans="2:17" s="189" customFormat="1" ht="20.149999999999999" customHeight="1" x14ac:dyDescent="0.35">
      <c r="B29" s="197" t="s">
        <v>162</v>
      </c>
      <c r="C29" s="205">
        <f>SUM(C30:C33)</f>
        <v>9755</v>
      </c>
      <c r="D29" s="207">
        <f>D31+D32+D33</f>
        <v>15457.5</v>
      </c>
      <c r="E29" s="226">
        <f>(D29-C29)/C29</f>
        <v>0.58457201435161454</v>
      </c>
      <c r="F29" s="140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</row>
    <row r="30" spans="2:17" s="189" customFormat="1" ht="20.149999999999999" customHeight="1" x14ac:dyDescent="0.25">
      <c r="C30" s="199"/>
      <c r="E30" s="217"/>
      <c r="F30" s="140"/>
      <c r="G30" s="537" t="s">
        <v>182</v>
      </c>
      <c r="H30" s="537"/>
      <c r="I30" s="537"/>
      <c r="J30" s="537"/>
      <c r="K30" s="537"/>
      <c r="L30" s="537"/>
      <c r="M30" s="537"/>
      <c r="N30" s="537"/>
      <c r="O30" s="537"/>
      <c r="P30" s="537"/>
      <c r="Q30" s="537"/>
    </row>
    <row r="31" spans="2:17" ht="20.149999999999999" customHeight="1" x14ac:dyDescent="0.25">
      <c r="B31" s="121" t="s">
        <v>187</v>
      </c>
      <c r="C31" s="204">
        <v>3175</v>
      </c>
      <c r="D31" s="206">
        <v>4927.5</v>
      </c>
      <c r="E31" s="222">
        <f>(D31-C31)/C31</f>
        <v>0.55196850393700791</v>
      </c>
      <c r="F31" s="140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</row>
    <row r="32" spans="2:17" ht="20.149999999999999" customHeight="1" x14ac:dyDescent="0.25">
      <c r="B32" s="121" t="s">
        <v>163</v>
      </c>
      <c r="C32" s="199"/>
      <c r="D32" s="206">
        <v>2250</v>
      </c>
      <c r="E32" s="222"/>
      <c r="F32" s="140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</row>
    <row r="33" spans="2:18" ht="20.149999999999999" customHeight="1" x14ac:dyDescent="0.25">
      <c r="B33" s="121" t="s">
        <v>164</v>
      </c>
      <c r="C33" s="204">
        <v>6580</v>
      </c>
      <c r="D33" s="206">
        <v>8280</v>
      </c>
      <c r="E33" s="222">
        <f t="shared" ref="E33" si="1">(D33-C33)/C33</f>
        <v>0.25835866261398177</v>
      </c>
      <c r="F33" s="140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</row>
    <row r="34" spans="2:18" s="189" customFormat="1" ht="20.149999999999999" customHeight="1" x14ac:dyDescent="0.25">
      <c r="B34" s="121"/>
      <c r="D34" s="206"/>
      <c r="E34" s="217"/>
      <c r="F34" s="140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</row>
    <row r="35" spans="2:18" s="189" customFormat="1" ht="20.149999999999999" customHeight="1" x14ac:dyDescent="0.4">
      <c r="B35" s="197" t="s">
        <v>177</v>
      </c>
      <c r="C35" s="209">
        <f>C36</f>
        <v>14271.199000000001</v>
      </c>
      <c r="D35" s="207">
        <f>D36</f>
        <v>6000</v>
      </c>
      <c r="E35" s="227">
        <f>(D35-C35)/D35</f>
        <v>-1.3785331666666667</v>
      </c>
      <c r="F35" s="140"/>
      <c r="G35" s="534" t="s">
        <v>190</v>
      </c>
      <c r="H35" s="534"/>
      <c r="I35" s="534"/>
      <c r="J35" s="534"/>
      <c r="K35" s="534"/>
      <c r="L35" s="534"/>
    </row>
    <row r="36" spans="2:18" ht="20.149999999999999" customHeight="1" x14ac:dyDescent="0.25">
      <c r="B36" s="121" t="s">
        <v>178</v>
      </c>
      <c r="C36" s="196">
        <v>14271.199000000001</v>
      </c>
      <c r="D36" s="206">
        <v>6000</v>
      </c>
      <c r="E36" s="217"/>
      <c r="F36" s="140"/>
    </row>
    <row r="37" spans="2:18" ht="20.149999999999999" customHeight="1" x14ac:dyDescent="0.4">
      <c r="B37" s="194" t="s">
        <v>116</v>
      </c>
      <c r="C37" s="205">
        <f>C38</f>
        <v>191078.6</v>
      </c>
      <c r="D37" s="207">
        <v>209583.00000000003</v>
      </c>
      <c r="E37" s="228">
        <f>(D37-C37)/C37</f>
        <v>9.684182320783187E-2</v>
      </c>
      <c r="F37" s="140"/>
    </row>
    <row r="38" spans="2:18" s="189" customFormat="1" ht="53.5" customHeight="1" x14ac:dyDescent="0.25">
      <c r="B38" s="198" t="s">
        <v>176</v>
      </c>
      <c r="C38" s="204">
        <v>191078.6</v>
      </c>
      <c r="D38" s="206">
        <v>250583</v>
      </c>
      <c r="E38" s="232">
        <f>(D38-C38)/C38</f>
        <v>0.31141320901451019</v>
      </c>
      <c r="F38" s="140"/>
      <c r="G38" s="537" t="s">
        <v>184</v>
      </c>
      <c r="H38" s="537"/>
      <c r="I38" s="537"/>
      <c r="J38" s="537"/>
      <c r="K38" s="537"/>
      <c r="L38" s="537"/>
      <c r="M38" s="537"/>
      <c r="N38" s="537"/>
      <c r="O38" s="537"/>
      <c r="P38" s="537"/>
      <c r="Q38" s="537"/>
    </row>
    <row r="39" spans="2:18" s="189" customFormat="1" ht="20.149999999999999" customHeight="1" x14ac:dyDescent="0.4">
      <c r="B39" s="197" t="s">
        <v>165</v>
      </c>
      <c r="C39" s="205">
        <f>C40+C41+C42</f>
        <v>21966.080000000002</v>
      </c>
      <c r="D39" s="205">
        <f>D40+D41+D42</f>
        <v>4828.76</v>
      </c>
      <c r="E39" s="227">
        <f>(D39-C39)/C39</f>
        <v>-0.78017197424392515</v>
      </c>
      <c r="F39" s="140"/>
      <c r="G39" s="190"/>
      <c r="H39" s="190"/>
      <c r="I39" s="190"/>
      <c r="J39" s="190"/>
      <c r="K39" s="190"/>
      <c r="L39" s="190"/>
      <c r="M39" s="190"/>
      <c r="N39" s="211"/>
      <c r="O39" s="211"/>
      <c r="P39" s="190"/>
      <c r="Q39" s="190"/>
    </row>
    <row r="40" spans="2:18" ht="20.149999999999999" customHeight="1" x14ac:dyDescent="0.25">
      <c r="B40" s="121" t="s">
        <v>168</v>
      </c>
      <c r="C40" s="196">
        <v>10744.98</v>
      </c>
      <c r="D40" s="196">
        <v>1800</v>
      </c>
      <c r="E40" s="216">
        <f>(D40-C40)/C40</f>
        <v>-0.83247991154939327</v>
      </c>
      <c r="F40" s="140"/>
    </row>
    <row r="41" spans="2:18" ht="20.149999999999999" customHeight="1" x14ac:dyDescent="0.25">
      <c r="B41" s="121" t="s">
        <v>166</v>
      </c>
      <c r="C41" s="196">
        <v>2040.2</v>
      </c>
      <c r="D41" s="196">
        <v>1028.76</v>
      </c>
      <c r="E41" s="216">
        <f t="shared" ref="E41:E42" si="2">(D41-C41)/C41</f>
        <v>-0.49575531810606804</v>
      </c>
      <c r="F41" s="140"/>
    </row>
    <row r="42" spans="2:18" ht="20.149999999999999" customHeight="1" x14ac:dyDescent="0.25">
      <c r="B42" s="121" t="s">
        <v>167</v>
      </c>
      <c r="C42" s="196">
        <v>9180.9</v>
      </c>
      <c r="D42" s="196">
        <v>2000</v>
      </c>
      <c r="E42" s="216">
        <f t="shared" si="2"/>
        <v>-0.78215643346512864</v>
      </c>
      <c r="F42" s="140"/>
      <c r="L42" s="140"/>
    </row>
    <row r="43" spans="2:18" ht="20.149999999999999" customHeight="1" x14ac:dyDescent="0.4">
      <c r="B43" s="197" t="s">
        <v>179</v>
      </c>
      <c r="C43" s="205">
        <f>SUM(C44:C45)</f>
        <v>93510.47</v>
      </c>
      <c r="D43" s="205">
        <f>D44+D45</f>
        <v>148482.45945710695</v>
      </c>
      <c r="E43" s="227">
        <f>(D43-C43)/C43</f>
        <v>0.58786988726617395</v>
      </c>
      <c r="R43" s="140"/>
    </row>
    <row r="44" spans="2:18" ht="20.149999999999999" customHeight="1" x14ac:dyDescent="0.25">
      <c r="B44" s="200" t="s">
        <v>138</v>
      </c>
      <c r="C44" s="196">
        <v>58444.04</v>
      </c>
      <c r="D44" s="196">
        <v>89089.478829350366</v>
      </c>
      <c r="E44" s="218">
        <f>(D44-C44)/C44</f>
        <v>0.52435524356889707</v>
      </c>
      <c r="G44" s="537" t="s">
        <v>185</v>
      </c>
      <c r="H44" s="539"/>
      <c r="I44" s="539"/>
      <c r="J44" s="539"/>
      <c r="K44" s="539"/>
      <c r="L44" s="539"/>
      <c r="M44" s="539"/>
      <c r="N44" s="539"/>
      <c r="O44" s="539"/>
      <c r="P44" s="539"/>
    </row>
    <row r="45" spans="2:18" ht="20.149999999999999" customHeight="1" x14ac:dyDescent="0.25">
      <c r="B45" s="201" t="s">
        <v>180</v>
      </c>
      <c r="C45" s="196">
        <v>35066.43</v>
      </c>
      <c r="D45" s="196">
        <v>59392.98062775658</v>
      </c>
      <c r="E45" s="219">
        <f>(D45-C45)/C45</f>
        <v>0.6937276086489722</v>
      </c>
      <c r="G45" s="539"/>
      <c r="H45" s="539"/>
      <c r="I45" s="539"/>
      <c r="J45" s="539"/>
      <c r="K45" s="539"/>
      <c r="L45" s="539"/>
      <c r="M45" s="539"/>
      <c r="N45" s="539"/>
      <c r="O45" s="539"/>
      <c r="P45" s="539"/>
    </row>
    <row r="47" spans="2:18" ht="18" x14ac:dyDescent="0.4">
      <c r="C47" s="202">
        <f>C13+C15+C23+C29+C37+C39+C43</f>
        <v>1262391.32</v>
      </c>
      <c r="D47" s="202">
        <f>D13+D15+D23+D29+D35+D37+D39+D43</f>
        <v>1633307.1066129464</v>
      </c>
      <c r="E47" s="229">
        <f>(D47-C47)/C47</f>
        <v>0.29381997542009897</v>
      </c>
    </row>
    <row r="49" spans="2:11" ht="17" x14ac:dyDescent="0.35">
      <c r="D49" s="140"/>
      <c r="E49" s="229"/>
    </row>
    <row r="51" spans="2:11" x14ac:dyDescent="0.25">
      <c r="I51" s="140"/>
      <c r="J51" s="140" t="s">
        <v>193</v>
      </c>
    </row>
    <row r="52" spans="2:11" ht="66.650000000000006" customHeight="1" x14ac:dyDescent="0.25">
      <c r="B52" s="532" t="s">
        <v>191</v>
      </c>
      <c r="C52" s="533"/>
      <c r="D52" s="533"/>
      <c r="E52" s="533"/>
      <c r="I52" s="140"/>
      <c r="J52" s="140"/>
    </row>
    <row r="53" spans="2:11" x14ac:dyDescent="0.25">
      <c r="B53" s="533"/>
      <c r="C53" s="533"/>
      <c r="D53" s="533"/>
      <c r="E53" s="533"/>
      <c r="I53" s="140"/>
      <c r="J53" s="140"/>
    </row>
    <row r="54" spans="2:11" x14ac:dyDescent="0.25">
      <c r="B54" s="533"/>
      <c r="C54" s="533"/>
      <c r="D54" s="533"/>
      <c r="E54" s="533"/>
      <c r="I54" s="140"/>
      <c r="K54" s="140"/>
    </row>
    <row r="55" spans="2:11" x14ac:dyDescent="0.25">
      <c r="B55" s="533"/>
      <c r="C55" s="533"/>
      <c r="D55" s="533"/>
      <c r="E55" s="533"/>
      <c r="I55" s="140"/>
      <c r="J55" s="140"/>
      <c r="K55" s="140"/>
    </row>
    <row r="56" spans="2:11" x14ac:dyDescent="0.25">
      <c r="B56" s="533"/>
      <c r="C56" s="533"/>
      <c r="D56" s="533"/>
      <c r="E56" s="533"/>
      <c r="I56" s="140"/>
      <c r="J56" s="140"/>
    </row>
    <row r="57" spans="2:11" x14ac:dyDescent="0.25">
      <c r="D57" s="140"/>
      <c r="E57" s="140"/>
    </row>
    <row r="58" spans="2:11" x14ac:dyDescent="0.25">
      <c r="D58" s="140"/>
    </row>
    <row r="61" spans="2:11" x14ac:dyDescent="0.25">
      <c r="I61" s="140"/>
      <c r="J61" s="140"/>
    </row>
    <row r="62" spans="2:11" x14ac:dyDescent="0.25">
      <c r="C62" s="140"/>
      <c r="J62" s="140"/>
    </row>
    <row r="63" spans="2:11" x14ac:dyDescent="0.25">
      <c r="J63" s="140"/>
    </row>
    <row r="64" spans="2:11" x14ac:dyDescent="0.25">
      <c r="J64" s="140"/>
    </row>
  </sheetData>
  <mergeCells count="8">
    <mergeCell ref="B52:E56"/>
    <mergeCell ref="G35:L35"/>
    <mergeCell ref="G13:P13"/>
    <mergeCell ref="G38:Q38"/>
    <mergeCell ref="G16:P21"/>
    <mergeCell ref="G44:P45"/>
    <mergeCell ref="G24:Q27"/>
    <mergeCell ref="G30:Q34"/>
  </mergeCells>
  <pageMargins left="0.7" right="0.7" top="0.75" bottom="0.75" header="0.3" footer="0.3"/>
  <pageSetup paperSize="9" orientation="portrait" verticalDpi="0" r:id="rId1"/>
  <customProperties>
    <customPr name="EpmWorksheetKeyString_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6" sqref="G6:G7"/>
    </sheetView>
  </sheetViews>
  <sheetFormatPr defaultRowHeight="12.5" x14ac:dyDescent="0.25"/>
  <cols>
    <col min="1" max="1" width="4.54296875" bestFit="1" customWidth="1"/>
    <col min="2" max="2" width="37.1796875" bestFit="1" customWidth="1"/>
    <col min="3" max="3" width="10.7265625" bestFit="1" customWidth="1"/>
    <col min="4" max="4" width="8.1796875" bestFit="1" customWidth="1"/>
    <col min="5" max="5" width="19.08984375" bestFit="1" customWidth="1"/>
    <col min="6" max="6" width="11.453125" bestFit="1" customWidth="1"/>
    <col min="7" max="7" width="21.1796875" bestFit="1" customWidth="1"/>
    <col min="8" max="8" width="15.36328125" bestFit="1" customWidth="1"/>
    <col min="10" max="10" width="0" hidden="1" customWidth="1"/>
  </cols>
  <sheetData>
    <row r="1" spans="1:10" x14ac:dyDescent="0.25">
      <c r="A1" s="435"/>
      <c r="B1" s="435"/>
      <c r="C1" s="435"/>
      <c r="D1" s="435"/>
      <c r="E1" s="435"/>
      <c r="F1" s="435"/>
      <c r="G1" s="435"/>
      <c r="H1" s="435"/>
    </row>
    <row r="2" spans="1:10" ht="14.5" x14ac:dyDescent="0.35">
      <c r="A2" s="435"/>
      <c r="B2" s="435"/>
      <c r="C2" s="550" t="s">
        <v>302</v>
      </c>
      <c r="D2" s="550"/>
      <c r="E2" s="550"/>
      <c r="F2" s="435"/>
      <c r="G2" s="435"/>
      <c r="H2" s="435"/>
      <c r="J2">
        <v>0.1</v>
      </c>
    </row>
    <row r="3" spans="1:10" ht="23.5" x14ac:dyDescent="0.55000000000000004">
      <c r="A3" s="551" t="s">
        <v>303</v>
      </c>
      <c r="B3" s="551"/>
      <c r="C3" s="435"/>
      <c r="D3" s="435"/>
      <c r="E3" s="435"/>
      <c r="F3" s="435"/>
      <c r="G3" s="435"/>
      <c r="H3" s="435"/>
      <c r="J3">
        <v>0</v>
      </c>
    </row>
    <row r="4" spans="1:10" ht="13" thickBot="1" x14ac:dyDescent="0.3">
      <c r="A4" s="435"/>
      <c r="B4" s="435"/>
      <c r="C4" s="435"/>
      <c r="D4" s="435"/>
      <c r="E4" s="435"/>
      <c r="F4" s="435"/>
      <c r="G4" s="435"/>
      <c r="H4" s="435"/>
    </row>
    <row r="5" spans="1:10" ht="58" x14ac:dyDescent="0.25">
      <c r="A5" s="316" t="s">
        <v>271</v>
      </c>
      <c r="B5" s="317" t="s">
        <v>272</v>
      </c>
      <c r="C5" s="318" t="s">
        <v>295</v>
      </c>
      <c r="D5" s="415" t="s">
        <v>290</v>
      </c>
      <c r="E5" s="540" t="s">
        <v>281</v>
      </c>
      <c r="F5" s="541"/>
      <c r="G5" s="329" t="s">
        <v>293</v>
      </c>
      <c r="H5" s="319" t="s">
        <v>273</v>
      </c>
    </row>
    <row r="6" spans="1:10" ht="14.5" x14ac:dyDescent="0.35">
      <c r="A6" s="391">
        <v>1</v>
      </c>
      <c r="B6" s="422" t="s">
        <v>282</v>
      </c>
      <c r="C6" s="392"/>
      <c r="D6" s="436"/>
      <c r="E6" s="552">
        <f>('[1]PBL VEC'!M15)-E7</f>
        <v>526081.62227581907</v>
      </c>
      <c r="F6" s="553"/>
      <c r="G6" s="554"/>
      <c r="H6" s="393">
        <f>G6</f>
        <v>0</v>
      </c>
    </row>
    <row r="7" spans="1:10" ht="15" thickBot="1" x14ac:dyDescent="0.4">
      <c r="A7" s="323">
        <v>2</v>
      </c>
      <c r="B7" s="427" t="s">
        <v>283</v>
      </c>
      <c r="C7" s="426">
        <v>2000</v>
      </c>
      <c r="D7" s="416">
        <f>25.14</f>
        <v>25.14</v>
      </c>
      <c r="E7" s="542">
        <f>D7*C7</f>
        <v>50280</v>
      </c>
      <c r="F7" s="543"/>
      <c r="G7" s="555"/>
      <c r="H7" s="417">
        <f>G7*C7</f>
        <v>0</v>
      </c>
    </row>
    <row r="8" spans="1:10" ht="15" thickBot="1" x14ac:dyDescent="0.4">
      <c r="A8" s="435"/>
      <c r="B8" s="435"/>
      <c r="C8" s="435"/>
      <c r="D8" s="435"/>
      <c r="E8" s="387" t="s">
        <v>277</v>
      </c>
      <c r="F8" s="388">
        <f>SUM(E6:F7)</f>
        <v>576361.62227581907</v>
      </c>
      <c r="G8" s="389" t="s">
        <v>278</v>
      </c>
      <c r="H8" s="390">
        <f>SUM(H6:H7)</f>
        <v>0</v>
      </c>
    </row>
    <row r="9" spans="1:10" ht="13" thickBot="1" x14ac:dyDescent="0.3">
      <c r="A9" s="435"/>
      <c r="B9" s="435"/>
      <c r="C9" s="435"/>
      <c r="D9" s="435"/>
      <c r="E9" s="435"/>
      <c r="F9" s="435"/>
      <c r="G9" s="330"/>
      <c r="H9" s="435"/>
    </row>
    <row r="10" spans="1:10" ht="13" x14ac:dyDescent="0.3">
      <c r="A10" s="435"/>
      <c r="B10" s="435"/>
      <c r="C10" s="435"/>
      <c r="D10" s="435"/>
      <c r="E10" s="320" t="s">
        <v>274</v>
      </c>
      <c r="F10" s="327">
        <f>F8</f>
        <v>576361.62227581907</v>
      </c>
      <c r="G10" s="385"/>
      <c r="H10" s="326">
        <f>H8</f>
        <v>0</v>
      </c>
    </row>
    <row r="11" spans="1:10" x14ac:dyDescent="0.25">
      <c r="A11" s="435"/>
      <c r="B11" s="435"/>
      <c r="C11" s="435"/>
      <c r="D11" s="435"/>
      <c r="E11" s="321" t="s">
        <v>263</v>
      </c>
      <c r="F11" s="434">
        <f>F10*10%</f>
        <v>57636.16222758191</v>
      </c>
      <c r="G11" s="556">
        <v>0.1</v>
      </c>
      <c r="H11" s="324">
        <f>H10*G11</f>
        <v>0</v>
      </c>
    </row>
    <row r="12" spans="1:10" ht="15" thickBot="1" x14ac:dyDescent="0.4">
      <c r="A12" s="435"/>
      <c r="B12" s="435"/>
      <c r="C12" s="435"/>
      <c r="D12" s="435"/>
      <c r="E12" s="322" t="s">
        <v>279</v>
      </c>
      <c r="F12" s="328">
        <f>+F10+F11</f>
        <v>633997.78450340102</v>
      </c>
      <c r="G12" s="331" t="s">
        <v>275</v>
      </c>
      <c r="H12" s="325">
        <f>SUM(H10:H11)</f>
        <v>0</v>
      </c>
    </row>
    <row r="13" spans="1:10" s="435" customFormat="1" ht="14.5" x14ac:dyDescent="0.35">
      <c r="E13" s="544"/>
      <c r="F13" s="545"/>
      <c r="G13" s="544"/>
      <c r="H13" s="546"/>
    </row>
    <row r="14" spans="1:10" ht="35" customHeight="1" x14ac:dyDescent="0.25">
      <c r="A14" s="435"/>
      <c r="B14" s="467" t="s">
        <v>294</v>
      </c>
      <c r="C14" s="467"/>
      <c r="D14" s="467"/>
      <c r="E14" s="435"/>
      <c r="F14" s="435"/>
      <c r="G14" s="435"/>
      <c r="H14" s="435"/>
    </row>
    <row r="15" spans="1:10" ht="13" thickBot="1" x14ac:dyDescent="0.3">
      <c r="A15" s="435"/>
      <c r="B15" s="435"/>
      <c r="C15" s="435"/>
      <c r="D15" s="435"/>
      <c r="E15" s="435"/>
      <c r="F15" s="435"/>
    </row>
    <row r="16" spans="1:10" s="437" customFormat="1" ht="36" customHeight="1" thickBot="1" x14ac:dyDescent="0.3">
      <c r="A16" s="548" t="s">
        <v>304</v>
      </c>
      <c r="B16" s="549"/>
      <c r="C16" s="547"/>
    </row>
    <row r="17" spans="1:3" x14ac:dyDescent="0.25">
      <c r="A17" s="435"/>
      <c r="B17" s="435"/>
      <c r="C17" s="435"/>
    </row>
  </sheetData>
  <sheetProtection password="CED6" sheet="1" objects="1" scenarios="1"/>
  <mergeCells count="6">
    <mergeCell ref="C2:E2"/>
    <mergeCell ref="B14:D14"/>
    <mergeCell ref="E5:F5"/>
    <mergeCell ref="E6:F6"/>
    <mergeCell ref="E7:F7"/>
    <mergeCell ref="A16:B16"/>
  </mergeCells>
  <dataValidations count="1">
    <dataValidation type="list" allowBlank="1" showInputMessage="1" showErrorMessage="1" sqref="G11">
      <formula1>$J$2:$J$3</formula1>
    </dataValidation>
  </dataValidations>
  <pageMargins left="0.7" right="0.7" top="0.75" bottom="0.75" header="0.3" footer="0.3"/>
  <pageSetup paperSize="9" orientation="landscape" verticalDpi="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9:L133"/>
  <sheetViews>
    <sheetView topLeftCell="A96" workbookViewId="0">
      <selection activeCell="D126" sqref="D126"/>
    </sheetView>
  </sheetViews>
  <sheetFormatPr defaultRowHeight="12.5" x14ac:dyDescent="0.25"/>
  <cols>
    <col min="2" max="2" width="77.1796875" customWidth="1"/>
    <col min="3" max="3" width="21.81640625" customWidth="1"/>
    <col min="4" max="4" width="15.54296875" customWidth="1"/>
    <col min="5" max="5" width="22" customWidth="1"/>
    <col min="6" max="6" width="13.54296875" customWidth="1"/>
    <col min="7" max="7" width="19.7265625" customWidth="1"/>
    <col min="8" max="8" width="19.7265625" style="239" customWidth="1"/>
    <col min="9" max="9" width="16.1796875" customWidth="1"/>
    <col min="10" max="10" width="27.1796875" customWidth="1"/>
    <col min="11" max="11" width="17" customWidth="1"/>
  </cols>
  <sheetData>
    <row r="69" spans="2:12" ht="13" thickBot="1" x14ac:dyDescent="0.3"/>
    <row r="70" spans="2:12" s="239" customFormat="1" ht="17.25" customHeight="1" x14ac:dyDescent="0.25">
      <c r="B70" s="244" t="s">
        <v>197</v>
      </c>
      <c r="C70" s="457" t="s">
        <v>258</v>
      </c>
      <c r="D70" s="458"/>
      <c r="E70" s="458"/>
      <c r="F70" s="458"/>
      <c r="G70" s="458"/>
      <c r="H70" s="458"/>
      <c r="I70" s="458"/>
      <c r="J70" s="458"/>
      <c r="K70" s="458"/>
      <c r="L70" s="459"/>
    </row>
    <row r="71" spans="2:12" s="239" customFormat="1" ht="30" customHeight="1" x14ac:dyDescent="0.25">
      <c r="B71" s="112" t="s">
        <v>198</v>
      </c>
      <c r="C71" s="462" t="s">
        <v>253</v>
      </c>
      <c r="D71" s="463"/>
      <c r="E71" s="463"/>
      <c r="F71" s="463"/>
      <c r="G71" s="463"/>
      <c r="H71" s="463"/>
      <c r="I71" s="463"/>
      <c r="J71" s="463"/>
      <c r="K71" s="463"/>
      <c r="L71" s="464"/>
    </row>
    <row r="72" spans="2:12" s="239" customFormat="1" ht="26.25" customHeight="1" x14ac:dyDescent="0.35">
      <c r="B72" s="263" t="s">
        <v>257</v>
      </c>
      <c r="C72" s="271">
        <v>1701</v>
      </c>
      <c r="D72" s="260"/>
      <c r="E72" s="260"/>
      <c r="F72" s="272"/>
      <c r="G72" s="272"/>
      <c r="H72" s="272"/>
      <c r="I72" s="272"/>
      <c r="J72" s="272"/>
      <c r="K72" s="272"/>
      <c r="L72" s="273"/>
    </row>
    <row r="73" spans="2:12" s="254" customFormat="1" ht="33" customHeight="1" x14ac:dyDescent="0.35">
      <c r="B73" s="263" t="s">
        <v>266</v>
      </c>
      <c r="C73" s="271">
        <v>1726</v>
      </c>
      <c r="D73" s="260"/>
      <c r="E73" s="260"/>
      <c r="F73" s="272"/>
      <c r="G73" s="272"/>
      <c r="H73" s="272"/>
      <c r="I73" s="272"/>
      <c r="J73" s="272"/>
      <c r="K73" s="272"/>
      <c r="L73" s="273"/>
    </row>
    <row r="74" spans="2:12" s="239" customFormat="1" ht="20.149999999999999" customHeight="1" x14ac:dyDescent="0.35">
      <c r="B74" s="113" t="s">
        <v>201</v>
      </c>
      <c r="C74" s="144">
        <v>0.31969999999999998</v>
      </c>
      <c r="D74" s="101"/>
      <c r="E74" s="101"/>
      <c r="F74" s="460"/>
      <c r="G74" s="460"/>
      <c r="H74" s="238"/>
      <c r="I74" s="238"/>
      <c r="J74" s="238"/>
      <c r="K74" s="237"/>
      <c r="L74" s="108"/>
    </row>
    <row r="75" spans="2:12" s="239" customFormat="1" ht="20.149999999999999" customHeight="1" x14ac:dyDescent="0.35">
      <c r="B75" s="113" t="s">
        <v>259</v>
      </c>
      <c r="C75" s="240">
        <v>3.1E-2</v>
      </c>
      <c r="D75" s="101"/>
      <c r="E75" s="101"/>
      <c r="F75" s="461"/>
      <c r="G75" s="461"/>
      <c r="H75" s="237"/>
      <c r="I75" s="237"/>
      <c r="J75" s="237"/>
      <c r="K75" s="237"/>
      <c r="L75" s="108"/>
    </row>
    <row r="76" spans="2:12" s="239" customFormat="1" ht="20.149999999999999" customHeight="1" thickBot="1" x14ac:dyDescent="0.4">
      <c r="B76" s="114" t="s">
        <v>260</v>
      </c>
      <c r="C76" s="186">
        <v>4.7300000000000002E-2</v>
      </c>
      <c r="D76" s="109"/>
      <c r="E76" s="109"/>
      <c r="F76" s="109"/>
      <c r="G76" s="109"/>
      <c r="H76" s="109"/>
      <c r="I76" s="109"/>
      <c r="J76" s="109"/>
      <c r="K76" s="109"/>
      <c r="L76" s="110"/>
    </row>
    <row r="77" spans="2:12" ht="13" thickBot="1" x14ac:dyDescent="0.3"/>
    <row r="78" spans="2:12" s="239" customFormat="1" ht="55.5" customHeight="1" x14ac:dyDescent="0.25">
      <c r="B78" s="136" t="s">
        <v>103</v>
      </c>
      <c r="C78" s="118" t="s">
        <v>107</v>
      </c>
      <c r="D78" s="118" t="s">
        <v>104</v>
      </c>
      <c r="E78" s="118" t="s">
        <v>112</v>
      </c>
      <c r="F78" s="118" t="s">
        <v>254</v>
      </c>
      <c r="G78" s="118" t="s">
        <v>235</v>
      </c>
      <c r="H78" s="118" t="s">
        <v>236</v>
      </c>
      <c r="I78" s="118" t="s">
        <v>108</v>
      </c>
      <c r="J78" s="118" t="s">
        <v>109</v>
      </c>
      <c r="K78" s="118" t="s">
        <v>110</v>
      </c>
    </row>
    <row r="79" spans="2:12" s="239" customFormat="1" ht="23.15" customHeight="1" x14ac:dyDescent="0.25">
      <c r="B79" s="139" t="s">
        <v>115</v>
      </c>
      <c r="C79" s="137"/>
      <c r="D79" s="137"/>
      <c r="E79" s="137"/>
      <c r="F79" s="137"/>
      <c r="G79" s="137"/>
      <c r="H79" s="137"/>
      <c r="I79" s="137"/>
      <c r="J79" s="137"/>
      <c r="K79" s="138"/>
    </row>
    <row r="80" spans="2:12" s="102" customFormat="1" ht="20.149999999999999" customHeight="1" x14ac:dyDescent="0.35">
      <c r="B80" s="233" t="s">
        <v>205</v>
      </c>
      <c r="C80" s="116" t="s">
        <v>100</v>
      </c>
      <c r="D80" s="187" t="s">
        <v>153</v>
      </c>
      <c r="E80" s="115">
        <v>1</v>
      </c>
      <c r="F80" s="262">
        <v>1701</v>
      </c>
      <c r="G80" s="261">
        <v>33951.26</v>
      </c>
      <c r="H80" s="245">
        <f>G80</f>
        <v>33951.26</v>
      </c>
      <c r="I80" s="243">
        <f>H80*E80</f>
        <v>33951.26</v>
      </c>
      <c r="J80" s="246">
        <f>I80*$C$74</f>
        <v>10854.217822000001</v>
      </c>
      <c r="K80" s="117">
        <f t="shared" ref="K80:K84" si="0">I80+J80</f>
        <v>44805.477822000001</v>
      </c>
    </row>
    <row r="81" spans="2:11" s="102" customFormat="1" ht="20.149999999999999" customHeight="1" x14ac:dyDescent="0.35">
      <c r="B81" s="233" t="s">
        <v>195</v>
      </c>
      <c r="C81" s="116" t="s">
        <v>101</v>
      </c>
      <c r="D81" s="187" t="s">
        <v>153</v>
      </c>
      <c r="E81" s="115">
        <v>3</v>
      </c>
      <c r="F81" s="262">
        <v>1701</v>
      </c>
      <c r="G81" s="261">
        <v>26007.66</v>
      </c>
      <c r="H81" s="245">
        <f t="shared" ref="H81" si="1">G81</f>
        <v>26007.66</v>
      </c>
      <c r="I81" s="243">
        <f>H81*E81</f>
        <v>78022.98</v>
      </c>
      <c r="J81" s="246">
        <f t="shared" ref="J81:J84" si="2">I81*$C$74</f>
        <v>24943.946705999999</v>
      </c>
      <c r="K81" s="117">
        <f t="shared" si="0"/>
        <v>102966.926706</v>
      </c>
    </row>
    <row r="82" spans="2:11" s="102" customFormat="1" ht="20.149999999999999" customHeight="1" x14ac:dyDescent="0.35">
      <c r="B82" s="233" t="s">
        <v>206</v>
      </c>
      <c r="C82" s="116" t="s">
        <v>101</v>
      </c>
      <c r="D82" s="187" t="s">
        <v>153</v>
      </c>
      <c r="E82" s="115">
        <v>1</v>
      </c>
      <c r="F82" s="262">
        <v>1000</v>
      </c>
      <c r="G82" s="261">
        <v>26007.66</v>
      </c>
      <c r="H82" s="245">
        <f>G82*(F82/C72)</f>
        <v>15289.62962962963</v>
      </c>
      <c r="I82" s="243">
        <f>H82*E82</f>
        <v>15289.62962962963</v>
      </c>
      <c r="J82" s="246">
        <f t="shared" si="2"/>
        <v>4888.0945925925926</v>
      </c>
      <c r="K82" s="117">
        <f t="shared" si="0"/>
        <v>20177.724222222223</v>
      </c>
    </row>
    <row r="83" spans="2:11" s="102" customFormat="1" ht="20.149999999999999" customHeight="1" x14ac:dyDescent="0.35">
      <c r="B83" s="233" t="s">
        <v>196</v>
      </c>
      <c r="C83" s="116" t="s">
        <v>100</v>
      </c>
      <c r="D83" s="234" t="s">
        <v>153</v>
      </c>
      <c r="E83" s="115">
        <v>1</v>
      </c>
      <c r="F83" s="262">
        <v>208</v>
      </c>
      <c r="G83" s="261">
        <f>2320.83*14</f>
        <v>32491.62</v>
      </c>
      <c r="H83" s="261">
        <f>G83*(F83/$C$73)</f>
        <v>3915.5602317497101</v>
      </c>
      <c r="I83" s="243">
        <f>H83*E83</f>
        <v>3915.5602317497101</v>
      </c>
      <c r="J83" s="246">
        <f t="shared" si="2"/>
        <v>1251.8046060903823</v>
      </c>
      <c r="K83" s="117">
        <f t="shared" si="0"/>
        <v>5167.3648378400922</v>
      </c>
    </row>
    <row r="84" spans="2:11" s="102" customFormat="1" ht="20.149999999999999" customHeight="1" x14ac:dyDescent="0.35">
      <c r="B84" s="431" t="s">
        <v>298</v>
      </c>
      <c r="C84" s="429" t="s">
        <v>297</v>
      </c>
      <c r="D84" s="428"/>
      <c r="E84" s="430">
        <f>4+(1000/1701)</f>
        <v>4.5878894767783658</v>
      </c>
      <c r="F84" s="262"/>
      <c r="G84" s="261">
        <v>1300.8800000000001</v>
      </c>
      <c r="H84" s="261"/>
      <c r="I84" s="243">
        <f>E84*G84</f>
        <v>5968.2936625514412</v>
      </c>
      <c r="J84" s="246">
        <f t="shared" si="2"/>
        <v>1908.0634839176957</v>
      </c>
      <c r="K84" s="117">
        <f t="shared" si="0"/>
        <v>7876.3571464691368</v>
      </c>
    </row>
    <row r="85" spans="2:11" s="237" customFormat="1" ht="20.149999999999999" customHeight="1" x14ac:dyDescent="0.35">
      <c r="B85" s="123" t="s">
        <v>111</v>
      </c>
      <c r="C85" s="103"/>
      <c r="D85" s="103"/>
      <c r="E85" s="103"/>
      <c r="F85" s="265"/>
      <c r="G85" s="103"/>
      <c r="H85" s="103"/>
      <c r="I85" s="274">
        <f>SUM(I80:I84)</f>
        <v>137147.72352393076</v>
      </c>
      <c r="J85" s="274">
        <f>SUM(J80:J84)</f>
        <v>43846.127210600665</v>
      </c>
      <c r="K85" s="124">
        <f>SUM(K80:K84)</f>
        <v>180993.85073453144</v>
      </c>
    </row>
    <row r="86" spans="2:11" s="237" customFormat="1" ht="20.149999999999999" customHeight="1" x14ac:dyDescent="0.35">
      <c r="B86" s="236" t="s">
        <v>202</v>
      </c>
      <c r="C86" s="132">
        <v>0.02</v>
      </c>
      <c r="D86" s="133"/>
      <c r="E86" s="133"/>
      <c r="F86" s="133"/>
      <c r="G86" s="133"/>
      <c r="H86" s="133"/>
      <c r="I86" s="134"/>
      <c r="J86" s="135"/>
      <c r="K86" s="134">
        <f>$K$85*C86</f>
        <v>3619.877014690629</v>
      </c>
    </row>
    <row r="87" spans="2:11" s="239" customFormat="1" ht="20.149999999999999" customHeight="1" x14ac:dyDescent="0.35">
      <c r="B87" s="264" t="s">
        <v>261</v>
      </c>
      <c r="C87" s="120">
        <v>3.1E-2</v>
      </c>
      <c r="D87" s="121"/>
      <c r="E87" s="119"/>
      <c r="F87" s="266"/>
      <c r="G87" s="267"/>
      <c r="H87" s="267"/>
      <c r="I87" s="268"/>
      <c r="J87" s="268"/>
      <c r="K87" s="134">
        <f t="shared" ref="K87:K88" si="3">$K$85*C87</f>
        <v>5610.8093727704745</v>
      </c>
    </row>
    <row r="88" spans="2:11" s="239" customFormat="1" ht="20.149999999999999" customHeight="1" x14ac:dyDescent="0.35">
      <c r="B88" s="264" t="s">
        <v>262</v>
      </c>
      <c r="C88" s="120">
        <v>4.7300000000000002E-2</v>
      </c>
      <c r="D88" s="121"/>
      <c r="E88" s="119"/>
      <c r="F88" s="266"/>
      <c r="G88" s="267"/>
      <c r="H88" s="267"/>
      <c r="I88" s="268"/>
      <c r="J88" s="268"/>
      <c r="K88" s="134">
        <f t="shared" si="3"/>
        <v>8561.0091397433371</v>
      </c>
    </row>
    <row r="89" spans="2:11" s="239" customFormat="1" ht="20.149999999999999" customHeight="1" x14ac:dyDescent="0.35">
      <c r="B89" s="123" t="s">
        <v>276</v>
      </c>
      <c r="C89" s="76"/>
      <c r="D89" s="76"/>
      <c r="E89" s="76"/>
      <c r="F89" s="269"/>
      <c r="G89" s="269"/>
      <c r="H89" s="269"/>
      <c r="I89" s="270"/>
      <c r="J89" s="270"/>
      <c r="K89" s="183">
        <f>SUM(K86:K88)</f>
        <v>17791.695527204443</v>
      </c>
    </row>
    <row r="90" spans="2:11" s="239" customFormat="1" ht="15.5" x14ac:dyDescent="0.25">
      <c r="B90" s="139" t="s">
        <v>137</v>
      </c>
      <c r="C90" s="137"/>
      <c r="D90" s="137"/>
      <c r="E90" s="137"/>
      <c r="F90" s="137"/>
      <c r="G90" s="137"/>
      <c r="H90" s="137"/>
      <c r="I90" s="137"/>
      <c r="J90" s="137"/>
      <c r="K90" s="161">
        <f>K85+K89</f>
        <v>198785.5462617359</v>
      </c>
    </row>
    <row r="92" spans="2:11" s="425" customFormat="1" x14ac:dyDescent="0.25"/>
    <row r="93" spans="2:11" s="425" customFormat="1" ht="27" customHeight="1" x14ac:dyDescent="0.25">
      <c r="B93" s="453" t="s">
        <v>299</v>
      </c>
      <c r="C93" s="453"/>
      <c r="D93" s="433"/>
      <c r="E93" s="433"/>
      <c r="F93" s="433"/>
      <c r="G93" s="433"/>
      <c r="H93" s="433"/>
      <c r="I93" s="433"/>
      <c r="J93" s="433"/>
      <c r="K93" s="433"/>
    </row>
    <row r="97" spans="5:11" ht="27.75" customHeight="1" x14ac:dyDescent="0.25">
      <c r="E97" s="467" t="s">
        <v>253</v>
      </c>
      <c r="F97" s="467"/>
      <c r="G97" s="467"/>
      <c r="H97" s="467"/>
      <c r="I97" s="467"/>
      <c r="J97" s="467"/>
      <c r="K97" s="467"/>
    </row>
    <row r="111" spans="5:11" s="425" customFormat="1" x14ac:dyDescent="0.25"/>
    <row r="112" spans="5:11" s="425" customFormat="1" x14ac:dyDescent="0.25"/>
    <row r="113" spans="2:5" s="425" customFormat="1" x14ac:dyDescent="0.25"/>
    <row r="114" spans="2:5" s="425" customFormat="1" x14ac:dyDescent="0.25"/>
    <row r="115" spans="2:5" s="425" customFormat="1" x14ac:dyDescent="0.25"/>
    <row r="116" spans="2:5" s="425" customFormat="1" x14ac:dyDescent="0.25"/>
    <row r="117" spans="2:5" s="425" customFormat="1" x14ac:dyDescent="0.25"/>
    <row r="118" spans="2:5" s="425" customFormat="1" x14ac:dyDescent="0.25"/>
    <row r="119" spans="2:5" s="425" customFormat="1" x14ac:dyDescent="0.25"/>
    <row r="120" spans="2:5" s="425" customFormat="1" x14ac:dyDescent="0.25"/>
    <row r="122" spans="2:5" ht="13" thickBot="1" x14ac:dyDescent="0.3"/>
    <row r="123" spans="2:5" ht="13.5" thickTop="1" x14ac:dyDescent="0.3">
      <c r="B123" s="465" t="s">
        <v>289</v>
      </c>
      <c r="C123" s="466"/>
      <c r="D123" s="413" t="s">
        <v>232</v>
      </c>
      <c r="E123" s="414" t="s">
        <v>288</v>
      </c>
    </row>
    <row r="124" spans="2:5" ht="13" x14ac:dyDescent="0.3">
      <c r="B124" s="407" t="s">
        <v>300</v>
      </c>
      <c r="C124" s="408"/>
      <c r="D124" s="163">
        <f>K82+(1300.88*(1000/1701))</f>
        <v>20942.497884773664</v>
      </c>
      <c r="E124" s="395">
        <f>D124/1000</f>
        <v>20.942497884773665</v>
      </c>
    </row>
    <row r="125" spans="2:5" ht="13" x14ac:dyDescent="0.3">
      <c r="B125" s="455" t="s">
        <v>284</v>
      </c>
      <c r="C125" s="456"/>
      <c r="D125" s="405"/>
      <c r="E125" s="406"/>
    </row>
    <row r="126" spans="2:5" ht="14.5" x14ac:dyDescent="0.35">
      <c r="B126" s="396" t="s">
        <v>202</v>
      </c>
      <c r="C126" s="394">
        <f>C86</f>
        <v>0.02</v>
      </c>
      <c r="D126" s="163">
        <f>$K$82*C86</f>
        <v>403.55448444444448</v>
      </c>
      <c r="E126" s="395">
        <f t="shared" ref="E126:E132" si="4">D126/1000</f>
        <v>0.40355448444444447</v>
      </c>
    </row>
    <row r="127" spans="2:5" ht="14.5" x14ac:dyDescent="0.35">
      <c r="B127" s="397" t="s">
        <v>261</v>
      </c>
      <c r="C127" s="394">
        <f t="shared" ref="C127:C128" si="5">C87</f>
        <v>3.1E-2</v>
      </c>
      <c r="D127" s="163">
        <f t="shared" ref="D127:D128" si="6">$K$82*C87</f>
        <v>625.50945088888886</v>
      </c>
      <c r="E127" s="395">
        <f t="shared" si="4"/>
        <v>0.62550945088888887</v>
      </c>
    </row>
    <row r="128" spans="2:5" ht="14.5" x14ac:dyDescent="0.35">
      <c r="B128" s="397" t="s">
        <v>262</v>
      </c>
      <c r="C128" s="394">
        <f t="shared" si="5"/>
        <v>4.7300000000000002E-2</v>
      </c>
      <c r="D128" s="163">
        <f t="shared" si="6"/>
        <v>954.40635571111113</v>
      </c>
      <c r="E128" s="395">
        <f t="shared" si="4"/>
        <v>0.9544063557111111</v>
      </c>
    </row>
    <row r="129" spans="2:5" ht="14.5" x14ac:dyDescent="0.35">
      <c r="B129" s="409" t="s">
        <v>285</v>
      </c>
      <c r="C129" s="398">
        <v>0.06</v>
      </c>
      <c r="D129" s="163">
        <f>($K$82+D126+D127+D128)*C129</f>
        <v>1329.6716707960002</v>
      </c>
      <c r="E129" s="395">
        <f t="shared" si="4"/>
        <v>1.3296716707960001</v>
      </c>
    </row>
    <row r="130" spans="2:5" ht="15" thickBot="1" x14ac:dyDescent="0.4">
      <c r="B130" s="410" t="s">
        <v>286</v>
      </c>
      <c r="C130" s="401">
        <v>0.04</v>
      </c>
      <c r="D130" s="402">
        <f>($K$82+D126+D127+D128)*C130</f>
        <v>886.44778053066682</v>
      </c>
      <c r="E130" s="403">
        <f t="shared" si="4"/>
        <v>0.88644778053066686</v>
      </c>
    </row>
    <row r="131" spans="2:5" ht="14.5" x14ac:dyDescent="0.35">
      <c r="B131" s="419" t="s">
        <v>291</v>
      </c>
      <c r="C131" s="420"/>
      <c r="D131" s="421">
        <f>SUM(D124:D130)</f>
        <v>25142.087627144778</v>
      </c>
      <c r="E131" s="412">
        <f t="shared" si="4"/>
        <v>25.142087627144779</v>
      </c>
    </row>
    <row r="132" spans="2:5" ht="15" thickBot="1" x14ac:dyDescent="0.4">
      <c r="B132" s="411" t="s">
        <v>287</v>
      </c>
      <c r="C132" s="399">
        <v>0.1</v>
      </c>
      <c r="D132" s="400">
        <f>D131*(1+C132)</f>
        <v>27656.296389859257</v>
      </c>
      <c r="E132" s="404">
        <f t="shared" si="4"/>
        <v>27.656296389859257</v>
      </c>
    </row>
    <row r="133" spans="2:5" ht="13" thickTop="1" x14ac:dyDescent="0.25">
      <c r="B133" s="386" t="s">
        <v>296</v>
      </c>
    </row>
  </sheetData>
  <mergeCells count="8">
    <mergeCell ref="B125:C125"/>
    <mergeCell ref="C70:L70"/>
    <mergeCell ref="F74:G74"/>
    <mergeCell ref="F75:G75"/>
    <mergeCell ref="C71:L71"/>
    <mergeCell ref="B123:C123"/>
    <mergeCell ref="E97:K97"/>
    <mergeCell ref="B93:C93"/>
  </mergeCells>
  <pageMargins left="0.7" right="0.7" top="0.75" bottom="0.75" header="0.3" footer="0.3"/>
  <pageSetup paperSize="8" scale="43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5:I45"/>
  <sheetViews>
    <sheetView workbookViewId="0">
      <selection activeCell="R34" sqref="R34"/>
    </sheetView>
  </sheetViews>
  <sheetFormatPr defaultRowHeight="12.5" x14ac:dyDescent="0.25"/>
  <cols>
    <col min="2" max="2" width="22.54296875" customWidth="1"/>
    <col min="3" max="4" width="22.7265625" customWidth="1"/>
    <col min="5" max="5" width="17.7265625" customWidth="1"/>
  </cols>
  <sheetData>
    <row r="25" spans="2:5" x14ac:dyDescent="0.25">
      <c r="B25" s="121" t="s">
        <v>207</v>
      </c>
      <c r="C25" s="121" t="s">
        <v>210</v>
      </c>
      <c r="D25" s="121" t="s">
        <v>208</v>
      </c>
      <c r="E25" s="143" t="s">
        <v>209</v>
      </c>
    </row>
    <row r="26" spans="2:5" x14ac:dyDescent="0.25">
      <c r="B26" s="121">
        <v>70</v>
      </c>
      <c r="C26" s="163">
        <v>21</v>
      </c>
      <c r="D26" s="163">
        <f>B26*C26</f>
        <v>1470</v>
      </c>
      <c r="E26" s="163">
        <f>D26*12</f>
        <v>17640</v>
      </c>
    </row>
    <row r="27" spans="2:5" x14ac:dyDescent="0.25">
      <c r="B27" t="s">
        <v>211</v>
      </c>
    </row>
    <row r="30" spans="2:5" x14ac:dyDescent="0.25">
      <c r="B30" s="121" t="s">
        <v>171</v>
      </c>
      <c r="C30" s="121" t="s">
        <v>213</v>
      </c>
      <c r="D30" s="121" t="s">
        <v>119</v>
      </c>
      <c r="E30" s="121" t="s">
        <v>219</v>
      </c>
    </row>
    <row r="31" spans="2:5" x14ac:dyDescent="0.25">
      <c r="B31" s="121" t="s">
        <v>214</v>
      </c>
      <c r="C31" s="121">
        <v>5</v>
      </c>
      <c r="D31" s="121">
        <v>300</v>
      </c>
      <c r="E31" s="121">
        <f>C31*D31</f>
        <v>1500</v>
      </c>
    </row>
    <row r="32" spans="2:5" x14ac:dyDescent="0.25">
      <c r="B32" s="121" t="s">
        <v>215</v>
      </c>
      <c r="C32" s="121">
        <v>5</v>
      </c>
      <c r="D32" s="121">
        <v>200</v>
      </c>
      <c r="E32" s="121">
        <f t="shared" ref="E32:E36" si="0">C32*D32</f>
        <v>1000</v>
      </c>
    </row>
    <row r="33" spans="2:9" x14ac:dyDescent="0.25">
      <c r="B33" s="121" t="s">
        <v>216</v>
      </c>
      <c r="C33" s="121">
        <v>2</v>
      </c>
      <c r="D33" s="121">
        <v>400</v>
      </c>
      <c r="E33" s="121">
        <f t="shared" si="0"/>
        <v>800</v>
      </c>
    </row>
    <row r="34" spans="2:9" s="239" customFormat="1" x14ac:dyDescent="0.25">
      <c r="B34" s="121" t="s">
        <v>220</v>
      </c>
      <c r="C34" s="121">
        <v>4</v>
      </c>
      <c r="D34" s="121">
        <v>200</v>
      </c>
      <c r="E34" s="121">
        <f t="shared" si="0"/>
        <v>800</v>
      </c>
    </row>
    <row r="35" spans="2:9" x14ac:dyDescent="0.25">
      <c r="B35" s="121" t="s">
        <v>217</v>
      </c>
      <c r="C35" s="121">
        <v>5</v>
      </c>
      <c r="D35" s="121">
        <v>100</v>
      </c>
      <c r="E35" s="121">
        <f t="shared" si="0"/>
        <v>500</v>
      </c>
    </row>
    <row r="36" spans="2:9" x14ac:dyDescent="0.25">
      <c r="B36" s="121" t="s">
        <v>218</v>
      </c>
      <c r="C36" s="121">
        <v>1</v>
      </c>
      <c r="D36" s="121">
        <v>500</v>
      </c>
      <c r="E36" s="121">
        <f t="shared" si="0"/>
        <v>500</v>
      </c>
    </row>
    <row r="37" spans="2:9" x14ac:dyDescent="0.25">
      <c r="B37" s="121"/>
      <c r="C37" s="121"/>
      <c r="D37" s="121"/>
      <c r="E37" s="121">
        <f>SUM(E31:E36)</f>
        <v>5100</v>
      </c>
    </row>
    <row r="39" spans="2:9" x14ac:dyDescent="0.25">
      <c r="B39" s="468" t="s">
        <v>221</v>
      </c>
      <c r="C39" s="468"/>
      <c r="D39" s="468"/>
      <c r="E39" s="141">
        <f>E37/4</f>
        <v>1275</v>
      </c>
    </row>
    <row r="45" spans="2:9" x14ac:dyDescent="0.25">
      <c r="I45" s="81"/>
    </row>
  </sheetData>
  <mergeCells count="1">
    <mergeCell ref="B39:D39"/>
  </mergeCells>
  <pageMargins left="0.7" right="0.7" top="0.75" bottom="0.75" header="0.3" footer="0.3"/>
  <pageSetup paperSize="8" scale="81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6:G66"/>
  <sheetViews>
    <sheetView topLeftCell="A19" workbookViewId="0">
      <selection activeCell="N53" sqref="N53"/>
    </sheetView>
  </sheetViews>
  <sheetFormatPr defaultRowHeight="12.5" x14ac:dyDescent="0.25"/>
  <cols>
    <col min="4" max="4" width="29" customWidth="1"/>
    <col min="5" max="5" width="23" customWidth="1"/>
    <col min="6" max="6" width="34.7265625" customWidth="1"/>
    <col min="7" max="7" width="15.81640625" customWidth="1"/>
  </cols>
  <sheetData>
    <row r="26" spans="4:7" s="254" customFormat="1" x14ac:dyDescent="0.25"/>
    <row r="27" spans="4:7" s="254" customFormat="1" x14ac:dyDescent="0.25"/>
    <row r="29" spans="4:7" ht="17.5" x14ac:dyDescent="0.35">
      <c r="D29" s="257" t="s">
        <v>241</v>
      </c>
    </row>
    <row r="31" spans="4:7" s="254" customFormat="1" ht="13" x14ac:dyDescent="0.3">
      <c r="D31" s="253"/>
      <c r="E31" s="255"/>
      <c r="F31" s="253"/>
      <c r="G31" s="256"/>
    </row>
    <row r="32" spans="4:7" ht="13" x14ac:dyDescent="0.25">
      <c r="D32" s="251" t="s">
        <v>246</v>
      </c>
      <c r="E32" s="251" t="s">
        <v>237</v>
      </c>
    </row>
    <row r="33" spans="4:7" x14ac:dyDescent="0.25">
      <c r="D33" s="121"/>
      <c r="E33" s="141">
        <v>80000</v>
      </c>
    </row>
    <row r="34" spans="4:7" ht="15" customHeight="1" x14ac:dyDescent="0.25">
      <c r="D34" s="470" t="s">
        <v>243</v>
      </c>
      <c r="E34" s="470"/>
      <c r="F34" s="470"/>
      <c r="G34" s="470"/>
    </row>
    <row r="35" spans="4:7" s="254" customFormat="1" ht="13.5" customHeight="1" x14ac:dyDescent="0.25">
      <c r="D35" s="476" t="s">
        <v>233</v>
      </c>
      <c r="E35" s="476"/>
      <c r="F35" s="476"/>
      <c r="G35" s="248">
        <f>E33/4</f>
        <v>20000</v>
      </c>
    </row>
    <row r="36" spans="4:7" s="254" customFormat="1" ht="15" customHeight="1" x14ac:dyDescent="0.25">
      <c r="D36" s="258"/>
      <c r="E36" s="258"/>
      <c r="F36" s="258"/>
      <c r="G36" s="258"/>
    </row>
    <row r="37" spans="4:7" ht="13" x14ac:dyDescent="0.3">
      <c r="D37" s="247" t="s">
        <v>228</v>
      </c>
      <c r="E37" s="247" t="s">
        <v>229</v>
      </c>
      <c r="F37" s="247" t="s">
        <v>230</v>
      </c>
      <c r="G37" s="247" t="s">
        <v>222</v>
      </c>
    </row>
    <row r="38" spans="4:7" ht="13" x14ac:dyDescent="0.3">
      <c r="D38" s="121"/>
      <c r="E38" s="121">
        <v>6</v>
      </c>
      <c r="F38" s="141">
        <v>300</v>
      </c>
      <c r="G38" s="249">
        <f>E38*F38</f>
        <v>1800</v>
      </c>
    </row>
    <row r="39" spans="4:7" ht="5.25" customHeight="1" x14ac:dyDescent="0.25"/>
    <row r="40" spans="4:7" ht="13" x14ac:dyDescent="0.25">
      <c r="D40" s="476" t="s">
        <v>231</v>
      </c>
      <c r="E40" s="476"/>
      <c r="F40" s="476"/>
      <c r="G40" s="248">
        <f>G38/4</f>
        <v>450</v>
      </c>
    </row>
    <row r="42" spans="4:7" s="239" customFormat="1" ht="13" x14ac:dyDescent="0.25">
      <c r="D42" s="251" t="s">
        <v>247</v>
      </c>
      <c r="E42" s="251" t="s">
        <v>237</v>
      </c>
    </row>
    <row r="43" spans="4:7" x14ac:dyDescent="0.25">
      <c r="D43" s="121"/>
      <c r="E43" s="141">
        <v>16000</v>
      </c>
    </row>
    <row r="44" spans="4:7" s="254" customFormat="1" x14ac:dyDescent="0.25">
      <c r="D44" s="470" t="s">
        <v>243</v>
      </c>
      <c r="E44" s="470"/>
      <c r="F44" s="470"/>
      <c r="G44" s="470"/>
    </row>
    <row r="45" spans="4:7" s="254" customFormat="1" ht="30" customHeight="1" x14ac:dyDescent="0.25">
      <c r="D45" s="471" t="s">
        <v>242</v>
      </c>
      <c r="E45" s="472"/>
      <c r="F45" s="473"/>
      <c r="G45" s="248">
        <f>E43/4</f>
        <v>4000</v>
      </c>
    </row>
    <row r="46" spans="4:7" s="418" customFormat="1" ht="12" customHeight="1" x14ac:dyDescent="0.25">
      <c r="D46" s="423"/>
      <c r="E46" s="423"/>
      <c r="F46" s="423"/>
      <c r="G46" s="424"/>
    </row>
    <row r="47" spans="4:7" s="418" customFormat="1" ht="20.25" customHeight="1" x14ac:dyDescent="0.25">
      <c r="D47" s="475" t="s">
        <v>292</v>
      </c>
      <c r="E47" s="475"/>
      <c r="F47" s="475"/>
      <c r="G47" s="475"/>
    </row>
    <row r="48" spans="4:7" s="418" customFormat="1" ht="12.75" customHeight="1" x14ac:dyDescent="0.25">
      <c r="D48" s="423"/>
      <c r="E48" s="423"/>
      <c r="F48" s="423"/>
      <c r="G48" s="424"/>
    </row>
    <row r="50" spans="4:7" ht="17.5" x14ac:dyDescent="0.35">
      <c r="D50" s="254" t="s">
        <v>240</v>
      </c>
    </row>
    <row r="52" spans="4:7" ht="13" x14ac:dyDescent="0.3">
      <c r="D52" s="247" t="s">
        <v>225</v>
      </c>
      <c r="E52" s="247" t="s">
        <v>224</v>
      </c>
      <c r="F52" s="247" t="s">
        <v>144</v>
      </c>
      <c r="G52" s="247" t="s">
        <v>232</v>
      </c>
    </row>
    <row r="53" spans="4:7" ht="13" x14ac:dyDescent="0.3">
      <c r="D53" s="121">
        <v>6</v>
      </c>
      <c r="E53" s="163">
        <v>50</v>
      </c>
      <c r="F53" s="121">
        <v>12</v>
      </c>
      <c r="G53" s="250">
        <f>D53*E53*F53</f>
        <v>3600</v>
      </c>
    </row>
    <row r="55" spans="4:7" ht="13" x14ac:dyDescent="0.3">
      <c r="D55" s="469" t="s">
        <v>248</v>
      </c>
      <c r="E55" s="469"/>
      <c r="F55" s="469"/>
      <c r="G55" s="469"/>
    </row>
    <row r="56" spans="4:7" s="254" customFormat="1" ht="13" x14ac:dyDescent="0.3">
      <c r="D56" s="477" t="s">
        <v>244</v>
      </c>
      <c r="E56" s="478"/>
      <c r="F56" s="479"/>
      <c r="G56" s="259">
        <v>146</v>
      </c>
    </row>
    <row r="57" spans="4:7" ht="13" x14ac:dyDescent="0.3">
      <c r="D57" s="474" t="s">
        <v>245</v>
      </c>
      <c r="E57" s="474"/>
      <c r="F57" s="474"/>
      <c r="G57" s="252">
        <f>G56*12</f>
        <v>1752</v>
      </c>
    </row>
    <row r="58" spans="4:7" s="254" customFormat="1" x14ac:dyDescent="0.25">
      <c r="D58" s="470" t="s">
        <v>243</v>
      </c>
      <c r="E58" s="470"/>
      <c r="F58" s="470"/>
      <c r="G58" s="470"/>
    </row>
    <row r="60" spans="4:7" ht="13" x14ac:dyDescent="0.3">
      <c r="D60" s="469" t="s">
        <v>249</v>
      </c>
      <c r="E60" s="469"/>
      <c r="F60" s="469"/>
      <c r="G60" s="469"/>
    </row>
    <row r="61" spans="4:7" ht="13" x14ac:dyDescent="0.3">
      <c r="D61" s="474" t="s">
        <v>245</v>
      </c>
      <c r="E61" s="474"/>
      <c r="F61" s="474"/>
      <c r="G61" s="252">
        <v>5700</v>
      </c>
    </row>
    <row r="62" spans="4:7" x14ac:dyDescent="0.25">
      <c r="D62" s="470" t="s">
        <v>243</v>
      </c>
      <c r="E62" s="470"/>
      <c r="F62" s="470"/>
      <c r="G62" s="470"/>
    </row>
    <row r="64" spans="4:7" ht="13" x14ac:dyDescent="0.3">
      <c r="D64" s="469" t="s">
        <v>250</v>
      </c>
      <c r="E64" s="469"/>
      <c r="F64" s="469"/>
      <c r="G64" s="469"/>
    </row>
    <row r="65" spans="4:7" ht="13" x14ac:dyDescent="0.3">
      <c r="D65" s="474" t="s">
        <v>245</v>
      </c>
      <c r="E65" s="474"/>
      <c r="F65" s="474"/>
      <c r="G65" s="252">
        <v>3500</v>
      </c>
    </row>
    <row r="66" spans="4:7" x14ac:dyDescent="0.25">
      <c r="D66" s="470" t="s">
        <v>243</v>
      </c>
      <c r="E66" s="470"/>
      <c r="F66" s="470"/>
      <c r="G66" s="470"/>
    </row>
  </sheetData>
  <mergeCells count="16">
    <mergeCell ref="D40:F40"/>
    <mergeCell ref="D35:F35"/>
    <mergeCell ref="D34:G34"/>
    <mergeCell ref="D55:G55"/>
    <mergeCell ref="D57:F57"/>
    <mergeCell ref="D56:F56"/>
    <mergeCell ref="D60:G60"/>
    <mergeCell ref="D44:G44"/>
    <mergeCell ref="D45:F45"/>
    <mergeCell ref="D66:G66"/>
    <mergeCell ref="D61:F61"/>
    <mergeCell ref="D58:G58"/>
    <mergeCell ref="D62:G62"/>
    <mergeCell ref="D64:G64"/>
    <mergeCell ref="D65:F65"/>
    <mergeCell ref="D47:G47"/>
  </mergeCells>
  <pageMargins left="0.7" right="0.7" top="0.75" bottom="0.75" header="0.3" footer="0.3"/>
  <pageSetup paperSize="8" scale="86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topLeftCell="D10" zoomScaleNormal="100" zoomScaleSheetLayoutView="100" workbookViewId="0">
      <selection activeCell="H47" sqref="H47"/>
    </sheetView>
  </sheetViews>
  <sheetFormatPr defaultColWidth="11.453125" defaultRowHeight="12.5" x14ac:dyDescent="0.25"/>
  <cols>
    <col min="1" max="1" width="22.81640625" style="5" customWidth="1"/>
    <col min="2" max="2" width="23.1796875" style="5" customWidth="1"/>
    <col min="3" max="3" width="47.81640625" style="5" customWidth="1"/>
    <col min="4" max="4" width="24.1796875" style="5" customWidth="1"/>
    <col min="5" max="5" width="18.54296875" style="5" customWidth="1"/>
    <col min="6" max="6" width="22.1796875" style="5" customWidth="1"/>
    <col min="7" max="7" width="18.54296875" style="5" customWidth="1"/>
    <col min="8" max="8" width="31.7265625" style="5" customWidth="1"/>
    <col min="9" max="9" width="16.1796875" style="5" customWidth="1"/>
    <col min="10" max="10" width="18.7265625" style="5" customWidth="1"/>
    <col min="11" max="11" width="23.54296875" style="5" customWidth="1"/>
    <col min="12" max="12" width="32" style="5" customWidth="1"/>
    <col min="13" max="13" width="13.54296875" style="5" customWidth="1"/>
    <col min="14" max="14" width="11.453125" style="5"/>
  </cols>
  <sheetData>
    <row r="1" spans="1:1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x14ac:dyDescent="0.25">
      <c r="A2" s="489" t="s">
        <v>23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</row>
    <row r="3" spans="1:14" ht="24.65" customHeight="1" x14ac:dyDescent="0.25">
      <c r="A3" s="490"/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</row>
    <row r="4" spans="1:14" ht="13" thickBo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3" thickBot="1" x14ac:dyDescent="0.3">
      <c r="A5" s="2" t="s">
        <v>0</v>
      </c>
      <c r="B5" s="3"/>
      <c r="C5" s="4"/>
      <c r="D5" s="4"/>
      <c r="E5" s="491" t="s">
        <v>33</v>
      </c>
      <c r="F5" s="492"/>
      <c r="G5" s="492"/>
      <c r="H5" s="492"/>
      <c r="I5" s="492"/>
      <c r="J5" s="493"/>
      <c r="K5"/>
      <c r="L5"/>
      <c r="M5"/>
      <c r="N5"/>
    </row>
    <row r="6" spans="1:14" ht="13" thickBot="1" x14ac:dyDescent="0.3">
      <c r="A6" s="1"/>
      <c r="B6" s="1"/>
      <c r="C6" s="1"/>
      <c r="D6" s="1"/>
      <c r="E6"/>
      <c r="F6"/>
      <c r="G6"/>
      <c r="H6"/>
      <c r="I6"/>
      <c r="J6"/>
      <c r="K6"/>
      <c r="L6"/>
      <c r="M6"/>
      <c r="N6"/>
    </row>
    <row r="7" spans="1:14" ht="27" customHeight="1" thickBot="1" x14ac:dyDescent="0.35">
      <c r="A7" s="497" t="s">
        <v>1</v>
      </c>
      <c r="B7" s="498"/>
      <c r="C7" s="498"/>
      <c r="D7" s="499"/>
      <c r="E7" s="491" t="s">
        <v>57</v>
      </c>
      <c r="F7" s="492"/>
      <c r="G7" s="492"/>
      <c r="H7" s="492"/>
      <c r="I7" s="492"/>
      <c r="J7" s="493"/>
      <c r="K7"/>
      <c r="L7"/>
      <c r="M7"/>
      <c r="N7"/>
    </row>
    <row r="8" spans="1:14" ht="13.75" customHeight="1" thickBot="1" x14ac:dyDescent="0.3">
      <c r="A8" s="497" t="s">
        <v>11</v>
      </c>
      <c r="B8" s="498"/>
      <c r="C8" s="498"/>
      <c r="D8" s="499"/>
      <c r="E8" s="494">
        <v>1720</v>
      </c>
      <c r="F8" s="495"/>
      <c r="G8" s="495"/>
      <c r="H8" s="495"/>
      <c r="I8" s="495"/>
      <c r="J8" s="496"/>
      <c r="K8"/>
      <c r="L8"/>
      <c r="M8"/>
      <c r="N8"/>
    </row>
    <row r="9" spans="1:14" ht="28.4" customHeight="1" thickBot="1" x14ac:dyDescent="0.3">
      <c r="A9" s="497" t="s">
        <v>12</v>
      </c>
      <c r="B9" s="498"/>
      <c r="C9" s="498"/>
      <c r="D9" s="499"/>
      <c r="E9" s="491">
        <v>38.5</v>
      </c>
      <c r="F9" s="492"/>
      <c r="G9" s="492"/>
      <c r="H9" s="492"/>
      <c r="I9" s="492"/>
      <c r="J9" s="493"/>
      <c r="K9"/>
      <c r="L9"/>
      <c r="M9"/>
      <c r="N9"/>
    </row>
    <row r="10" spans="1:14" ht="13" thickBo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2.75" customHeight="1" x14ac:dyDescent="0.25">
      <c r="A11" s="482" t="s">
        <v>19</v>
      </c>
      <c r="B11" s="482" t="s">
        <v>2</v>
      </c>
      <c r="C11" s="482" t="s">
        <v>20</v>
      </c>
      <c r="D11" s="482" t="s">
        <v>21</v>
      </c>
      <c r="E11" s="482" t="s">
        <v>22</v>
      </c>
      <c r="F11" s="482" t="s">
        <v>10</v>
      </c>
      <c r="G11" s="482" t="s">
        <v>3</v>
      </c>
      <c r="H11" s="482" t="s">
        <v>5</v>
      </c>
      <c r="I11" s="482" t="s">
        <v>8</v>
      </c>
      <c r="J11" s="482" t="s">
        <v>4</v>
      </c>
      <c r="K11" s="482" t="s">
        <v>15</v>
      </c>
      <c r="L11" s="482" t="s">
        <v>9</v>
      </c>
      <c r="M11"/>
      <c r="N11"/>
    </row>
    <row r="12" spans="1:14" x14ac:dyDescent="0.25">
      <c r="A12" s="485"/>
      <c r="B12" s="487"/>
      <c r="C12" s="487"/>
      <c r="D12" s="487"/>
      <c r="E12" s="487"/>
      <c r="F12" s="487"/>
      <c r="G12" s="487"/>
      <c r="H12" s="487"/>
      <c r="I12" s="487"/>
      <c r="J12" s="483"/>
      <c r="K12" s="487"/>
      <c r="L12" s="483"/>
      <c r="M12"/>
      <c r="N12"/>
    </row>
    <row r="13" spans="1:14" ht="13" thickBot="1" x14ac:dyDescent="0.3">
      <c r="A13" s="486"/>
      <c r="B13" s="488"/>
      <c r="C13" s="488"/>
      <c r="D13" s="488"/>
      <c r="E13" s="488"/>
      <c r="F13" s="488"/>
      <c r="G13" s="488"/>
      <c r="H13" s="488"/>
      <c r="I13" s="488"/>
      <c r="J13" s="484"/>
      <c r="K13" s="488"/>
      <c r="L13" s="484"/>
      <c r="M13"/>
      <c r="N13"/>
    </row>
    <row r="14" spans="1:14" s="7" customFormat="1" ht="14.5" x14ac:dyDescent="0.35">
      <c r="A14" s="18" t="s">
        <v>58</v>
      </c>
      <c r="B14" s="18" t="s">
        <v>24</v>
      </c>
      <c r="C14" s="14" t="s">
        <v>35</v>
      </c>
      <c r="D14" s="18" t="s">
        <v>24</v>
      </c>
      <c r="E14" s="23" t="s">
        <v>43</v>
      </c>
      <c r="F14" s="18">
        <v>100</v>
      </c>
      <c r="G14" s="18">
        <v>38.5</v>
      </c>
      <c r="H14" s="18" t="s">
        <v>25</v>
      </c>
      <c r="I14" s="19">
        <v>45411</v>
      </c>
      <c r="J14" s="20">
        <v>38500</v>
      </c>
      <c r="K14" s="21">
        <f>J14*0.3197</f>
        <v>12308.449999999999</v>
      </c>
      <c r="L14" s="22">
        <f>J14+K14</f>
        <v>50808.45</v>
      </c>
    </row>
    <row r="15" spans="1:14" s="7" customFormat="1" ht="14.5" x14ac:dyDescent="0.35">
      <c r="A15" s="9" t="s">
        <v>59</v>
      </c>
      <c r="B15" s="9" t="s">
        <v>26</v>
      </c>
      <c r="C15" s="23" t="s">
        <v>34</v>
      </c>
      <c r="D15" s="9" t="s">
        <v>26</v>
      </c>
      <c r="E15" s="23" t="s">
        <v>42</v>
      </c>
      <c r="F15" s="15">
        <v>93.929651162790691</v>
      </c>
      <c r="G15" s="9">
        <v>36.159999999999997</v>
      </c>
      <c r="H15" s="9" t="s">
        <v>25</v>
      </c>
      <c r="I15" s="24">
        <v>45365</v>
      </c>
      <c r="J15" s="10">
        <v>17431.330000000002</v>
      </c>
      <c r="K15" s="25">
        <f>J15*0.3197</f>
        <v>5572.7962010000001</v>
      </c>
      <c r="L15" s="26">
        <f t="shared" ref="L15:L39" si="0">J15+K15</f>
        <v>23004.126201000003</v>
      </c>
    </row>
    <row r="16" spans="1:14" s="7" customFormat="1" ht="14.5" x14ac:dyDescent="0.35">
      <c r="A16" s="9" t="s">
        <v>60</v>
      </c>
      <c r="B16" s="9" t="s">
        <v>26</v>
      </c>
      <c r="C16" s="23" t="s">
        <v>53</v>
      </c>
      <c r="D16" s="9" t="s">
        <v>26</v>
      </c>
      <c r="E16" s="23" t="s">
        <v>47</v>
      </c>
      <c r="F16" s="15">
        <v>61.002906976744185</v>
      </c>
      <c r="G16" s="9">
        <v>23.5</v>
      </c>
      <c r="H16" s="9" t="s">
        <v>25</v>
      </c>
      <c r="I16" s="24">
        <v>44022</v>
      </c>
      <c r="J16" s="10">
        <v>10912.8</v>
      </c>
      <c r="K16" s="25">
        <f t="shared" ref="K16:K39" si="1">J16*0.3197</f>
        <v>3488.8221599999997</v>
      </c>
      <c r="L16" s="26">
        <f t="shared" si="0"/>
        <v>14401.622159999999</v>
      </c>
    </row>
    <row r="17" spans="1:12" s="7" customFormat="1" ht="14.5" x14ac:dyDescent="0.35">
      <c r="A17" s="9" t="s">
        <v>61</v>
      </c>
      <c r="B17" s="9" t="s">
        <v>26</v>
      </c>
      <c r="C17" s="23" t="s">
        <v>37</v>
      </c>
      <c r="D17" s="9" t="s">
        <v>26</v>
      </c>
      <c r="E17" s="23" t="s">
        <v>41</v>
      </c>
      <c r="F17" s="15">
        <v>61.002906976744185</v>
      </c>
      <c r="G17" s="9">
        <v>23.5</v>
      </c>
      <c r="H17" s="9" t="s">
        <v>25</v>
      </c>
      <c r="I17" s="24">
        <v>45310</v>
      </c>
      <c r="J17" s="10">
        <v>11320.46</v>
      </c>
      <c r="K17" s="25">
        <f t="shared" si="1"/>
        <v>3619.1510619999995</v>
      </c>
      <c r="L17" s="26">
        <f t="shared" si="0"/>
        <v>14939.611061999998</v>
      </c>
    </row>
    <row r="18" spans="1:12" s="7" customFormat="1" ht="14.5" x14ac:dyDescent="0.35">
      <c r="A18" s="9" t="s">
        <v>62</v>
      </c>
      <c r="B18" s="9" t="s">
        <v>26</v>
      </c>
      <c r="C18" s="23" t="s">
        <v>34</v>
      </c>
      <c r="D18" s="9" t="s">
        <v>26</v>
      </c>
      <c r="E18" s="23" t="s">
        <v>46</v>
      </c>
      <c r="F18" s="15">
        <v>93.488372093023258</v>
      </c>
      <c r="G18" s="9">
        <v>36</v>
      </c>
      <c r="H18" s="9" t="s">
        <v>25</v>
      </c>
      <c r="I18" s="24">
        <v>42802</v>
      </c>
      <c r="J18" s="10">
        <v>18162.48</v>
      </c>
      <c r="K18" s="25">
        <f t="shared" si="1"/>
        <v>5806.5448559999995</v>
      </c>
      <c r="L18" s="26">
        <f t="shared" si="0"/>
        <v>23969.024856</v>
      </c>
    </row>
    <row r="19" spans="1:12" s="7" customFormat="1" ht="14.5" x14ac:dyDescent="0.35">
      <c r="A19" s="9" t="s">
        <v>63</v>
      </c>
      <c r="B19" s="9" t="s">
        <v>27</v>
      </c>
      <c r="C19" s="23" t="s">
        <v>36</v>
      </c>
      <c r="D19" s="9" t="s">
        <v>27</v>
      </c>
      <c r="E19" s="23" t="s">
        <v>48</v>
      </c>
      <c r="F19" s="9">
        <v>100</v>
      </c>
      <c r="G19" s="9">
        <v>38.5</v>
      </c>
      <c r="H19" s="9" t="s">
        <v>25</v>
      </c>
      <c r="I19" s="24">
        <v>42849</v>
      </c>
      <c r="J19" s="10">
        <v>16951.2</v>
      </c>
      <c r="K19" s="25">
        <f t="shared" si="1"/>
        <v>5419.29864</v>
      </c>
      <c r="L19" s="26">
        <f t="shared" si="0"/>
        <v>22370.498640000002</v>
      </c>
    </row>
    <row r="20" spans="1:12" s="7" customFormat="1" ht="14.5" x14ac:dyDescent="0.35">
      <c r="A20" s="9" t="s">
        <v>64</v>
      </c>
      <c r="B20" s="9" t="s">
        <v>27</v>
      </c>
      <c r="C20" s="23" t="s">
        <v>36</v>
      </c>
      <c r="D20" s="9" t="s">
        <v>27</v>
      </c>
      <c r="E20" s="23" t="s">
        <v>49</v>
      </c>
      <c r="F20" s="15">
        <v>64.941860465116278</v>
      </c>
      <c r="G20" s="9">
        <v>25</v>
      </c>
      <c r="H20" s="9" t="s">
        <v>25</v>
      </c>
      <c r="I20" s="24">
        <v>42812</v>
      </c>
      <c r="J20" s="10">
        <v>12321</v>
      </c>
      <c r="K20" s="25">
        <f t="shared" si="1"/>
        <v>3939.0236999999997</v>
      </c>
      <c r="L20" s="26">
        <f t="shared" si="0"/>
        <v>16260.0237</v>
      </c>
    </row>
    <row r="21" spans="1:12" s="7" customFormat="1" ht="14.5" x14ac:dyDescent="0.35">
      <c r="A21" s="9" t="s">
        <v>65</v>
      </c>
      <c r="B21" s="9" t="s">
        <v>28</v>
      </c>
      <c r="C21" s="23" t="s">
        <v>38</v>
      </c>
      <c r="D21" s="9" t="s">
        <v>28</v>
      </c>
      <c r="E21" s="23" t="s">
        <v>47</v>
      </c>
      <c r="F21" s="15">
        <v>61.002906976744185</v>
      </c>
      <c r="G21" s="9">
        <v>23.5</v>
      </c>
      <c r="H21" s="9" t="s">
        <v>25</v>
      </c>
      <c r="I21" s="24">
        <v>42819</v>
      </c>
      <c r="J21" s="10">
        <v>11986.68</v>
      </c>
      <c r="K21" s="25">
        <f t="shared" si="1"/>
        <v>3832.1415959999999</v>
      </c>
      <c r="L21" s="26">
        <f t="shared" si="0"/>
        <v>15818.821596</v>
      </c>
    </row>
    <row r="22" spans="1:12" s="7" customFormat="1" ht="14.5" x14ac:dyDescent="0.35">
      <c r="A22" s="9" t="s">
        <v>66</v>
      </c>
      <c r="B22" s="9" t="s">
        <v>28</v>
      </c>
      <c r="C22" s="23" t="s">
        <v>54</v>
      </c>
      <c r="D22" s="9" t="s">
        <v>28</v>
      </c>
      <c r="E22" s="23" t="s">
        <v>41</v>
      </c>
      <c r="F22" s="15">
        <v>61.002906976744185</v>
      </c>
      <c r="G22" s="9">
        <v>23.5</v>
      </c>
      <c r="H22" s="9" t="s">
        <v>25</v>
      </c>
      <c r="I22" s="24">
        <v>45331</v>
      </c>
      <c r="J22" s="10">
        <v>11399.57</v>
      </c>
      <c r="K22" s="25">
        <f t="shared" si="1"/>
        <v>3644.4425289999999</v>
      </c>
      <c r="L22" s="26">
        <f t="shared" si="0"/>
        <v>15044.012529</v>
      </c>
    </row>
    <row r="23" spans="1:12" s="7" customFormat="1" ht="14.5" x14ac:dyDescent="0.35">
      <c r="A23" s="9" t="s">
        <v>67</v>
      </c>
      <c r="B23" s="9" t="s">
        <v>28</v>
      </c>
      <c r="C23" s="23" t="s">
        <v>37</v>
      </c>
      <c r="D23" s="9" t="s">
        <v>28</v>
      </c>
      <c r="E23" s="23" t="s">
        <v>50</v>
      </c>
      <c r="F23" s="9">
        <v>100</v>
      </c>
      <c r="G23" s="9">
        <v>38.5</v>
      </c>
      <c r="H23" s="9" t="s">
        <v>25</v>
      </c>
      <c r="I23" s="24">
        <v>42807</v>
      </c>
      <c r="J23" s="10">
        <v>23429.74</v>
      </c>
      <c r="K23" s="25">
        <f t="shared" si="1"/>
        <v>7490.4878779999999</v>
      </c>
      <c r="L23" s="26">
        <f t="shared" si="0"/>
        <v>30920.227878000002</v>
      </c>
    </row>
    <row r="24" spans="1:12" s="7" customFormat="1" ht="14.5" x14ac:dyDescent="0.35">
      <c r="A24" s="9" t="s">
        <v>68</v>
      </c>
      <c r="B24" s="9" t="s">
        <v>28</v>
      </c>
      <c r="C24" s="23" t="s">
        <v>37</v>
      </c>
      <c r="D24" s="9" t="s">
        <v>28</v>
      </c>
      <c r="E24" s="23" t="s">
        <v>49</v>
      </c>
      <c r="F24" s="9">
        <v>61</v>
      </c>
      <c r="G24" s="9">
        <v>23.5</v>
      </c>
      <c r="H24" s="9" t="s">
        <v>25</v>
      </c>
      <c r="I24" s="24">
        <v>45236</v>
      </c>
      <c r="J24" s="10">
        <v>13293.48</v>
      </c>
      <c r="K24" s="25">
        <f t="shared" si="1"/>
        <v>4249.9255559999992</v>
      </c>
      <c r="L24" s="26">
        <f t="shared" si="0"/>
        <v>17543.405555999998</v>
      </c>
    </row>
    <row r="25" spans="1:12" s="7" customFormat="1" ht="14.5" x14ac:dyDescent="0.35">
      <c r="A25" s="9" t="s">
        <v>69</v>
      </c>
      <c r="B25" s="9" t="s">
        <v>28</v>
      </c>
      <c r="C25" s="23" t="s">
        <v>37</v>
      </c>
      <c r="D25" s="9" t="s">
        <v>28</v>
      </c>
      <c r="E25" s="23" t="s">
        <v>46</v>
      </c>
      <c r="F25" s="15">
        <v>93.930232558139537</v>
      </c>
      <c r="G25" s="9">
        <v>36.159999999999997</v>
      </c>
      <c r="H25" s="9" t="s">
        <v>25</v>
      </c>
      <c r="I25" s="24">
        <v>43777</v>
      </c>
      <c r="J25" s="10">
        <v>18457.650000000001</v>
      </c>
      <c r="K25" s="25">
        <f t="shared" si="1"/>
        <v>5900.9107050000002</v>
      </c>
      <c r="L25" s="26">
        <f t="shared" si="0"/>
        <v>24358.560705000004</v>
      </c>
    </row>
    <row r="26" spans="1:12" s="7" customFormat="1" ht="14.5" x14ac:dyDescent="0.35">
      <c r="A26" s="9" t="s">
        <v>70</v>
      </c>
      <c r="B26" s="9" t="s">
        <v>28</v>
      </c>
      <c r="C26" s="23" t="s">
        <v>37</v>
      </c>
      <c r="D26" s="9" t="s">
        <v>28</v>
      </c>
      <c r="E26" s="23" t="s">
        <v>46</v>
      </c>
      <c r="F26" s="15">
        <v>93.488372093023258</v>
      </c>
      <c r="G26" s="9">
        <v>36</v>
      </c>
      <c r="H26" s="9" t="s">
        <v>25</v>
      </c>
      <c r="I26" s="16">
        <v>42801</v>
      </c>
      <c r="J26" s="10">
        <v>18457.439999999999</v>
      </c>
      <c r="K26" s="25">
        <f t="shared" si="1"/>
        <v>5900.8435679999993</v>
      </c>
      <c r="L26" s="26">
        <f t="shared" si="0"/>
        <v>24358.283567999999</v>
      </c>
    </row>
    <row r="27" spans="1:12" s="7" customFormat="1" ht="14.5" x14ac:dyDescent="0.35">
      <c r="A27" s="9" t="s">
        <v>71</v>
      </c>
      <c r="B27" s="9" t="s">
        <v>28</v>
      </c>
      <c r="C27" s="23" t="s">
        <v>37</v>
      </c>
      <c r="D27" s="9" t="s">
        <v>28</v>
      </c>
      <c r="E27" s="23" t="s">
        <v>47</v>
      </c>
      <c r="F27" s="9">
        <v>61</v>
      </c>
      <c r="G27" s="9">
        <v>23.5</v>
      </c>
      <c r="H27" s="9" t="s">
        <v>25</v>
      </c>
      <c r="I27" s="16">
        <v>45295</v>
      </c>
      <c r="J27" s="10">
        <f>18013.24/38.5*23.5</f>
        <v>10995.094545454547</v>
      </c>
      <c r="K27" s="25">
        <f t="shared" si="1"/>
        <v>3515.1317261818185</v>
      </c>
      <c r="L27" s="26">
        <f t="shared" si="0"/>
        <v>14510.226271636366</v>
      </c>
    </row>
    <row r="28" spans="1:12" s="7" customFormat="1" ht="14.5" x14ac:dyDescent="0.35">
      <c r="A28" s="9" t="s">
        <v>72</v>
      </c>
      <c r="B28" s="9" t="s">
        <v>28</v>
      </c>
      <c r="C28" s="23" t="s">
        <v>37</v>
      </c>
      <c r="D28" s="9" t="s">
        <v>28</v>
      </c>
      <c r="E28" s="23" t="s">
        <v>47</v>
      </c>
      <c r="F28" s="9">
        <v>61</v>
      </c>
      <c r="G28" s="9">
        <v>23.5</v>
      </c>
      <c r="H28" s="9" t="s">
        <v>25</v>
      </c>
      <c r="I28" s="16">
        <v>44661</v>
      </c>
      <c r="J28" s="10">
        <f>18013.2/38.5*23.5</f>
        <v>10995.07012987013</v>
      </c>
      <c r="K28" s="25">
        <f t="shared" si="1"/>
        <v>3515.1239205194802</v>
      </c>
      <c r="L28" s="26">
        <f t="shared" si="0"/>
        <v>14510.194050389609</v>
      </c>
    </row>
    <row r="29" spans="1:12" s="7" customFormat="1" ht="14.5" x14ac:dyDescent="0.35">
      <c r="A29" s="9" t="s">
        <v>73</v>
      </c>
      <c r="B29" s="9" t="s">
        <v>28</v>
      </c>
      <c r="C29" s="23" t="s">
        <v>37</v>
      </c>
      <c r="D29" s="9" t="s">
        <v>28</v>
      </c>
      <c r="E29" s="23" t="s">
        <v>41</v>
      </c>
      <c r="F29" s="9">
        <v>100</v>
      </c>
      <c r="G29" s="9">
        <v>38.5</v>
      </c>
      <c r="H29" s="9" t="s">
        <v>25</v>
      </c>
      <c r="I29" s="16">
        <v>45306</v>
      </c>
      <c r="J29" s="10">
        <v>18013.240000000002</v>
      </c>
      <c r="K29" s="25">
        <f t="shared" si="1"/>
        <v>5758.8328280000005</v>
      </c>
      <c r="L29" s="26">
        <f t="shared" si="0"/>
        <v>23772.072828000004</v>
      </c>
    </row>
    <row r="30" spans="1:12" s="7" customFormat="1" ht="14.5" x14ac:dyDescent="0.35">
      <c r="A30" s="9" t="s">
        <v>74</v>
      </c>
      <c r="B30" s="9" t="s">
        <v>28</v>
      </c>
      <c r="C30" s="23" t="s">
        <v>37</v>
      </c>
      <c r="D30" s="9" t="s">
        <v>28</v>
      </c>
      <c r="E30" s="23" t="s">
        <v>41</v>
      </c>
      <c r="F30" s="15">
        <v>100</v>
      </c>
      <c r="G30" s="9">
        <v>38.5</v>
      </c>
      <c r="H30" s="9" t="s">
        <v>25</v>
      </c>
      <c r="I30" s="16">
        <v>43497</v>
      </c>
      <c r="J30" s="10">
        <v>19308.759999999998</v>
      </c>
      <c r="K30" s="25">
        <f t="shared" si="1"/>
        <v>6173.0105719999992</v>
      </c>
      <c r="L30" s="26">
        <f t="shared" si="0"/>
        <v>25481.770571999998</v>
      </c>
    </row>
    <row r="31" spans="1:12" s="7" customFormat="1" ht="14.5" x14ac:dyDescent="0.35">
      <c r="A31" s="9" t="s">
        <v>75</v>
      </c>
      <c r="B31" s="9" t="s">
        <v>28</v>
      </c>
      <c r="C31" s="23" t="s">
        <v>51</v>
      </c>
      <c r="D31" s="9" t="s">
        <v>28</v>
      </c>
      <c r="E31" s="23" t="s">
        <v>42</v>
      </c>
      <c r="F31" s="9">
        <v>100</v>
      </c>
      <c r="G31" s="9">
        <v>38.5</v>
      </c>
      <c r="H31" s="9" t="s">
        <v>25</v>
      </c>
      <c r="I31" s="16">
        <v>41671</v>
      </c>
      <c r="J31" s="10">
        <v>21606.240000000002</v>
      </c>
      <c r="K31" s="25">
        <f t="shared" si="1"/>
        <v>6907.5149280000005</v>
      </c>
      <c r="L31" s="26">
        <f t="shared" si="0"/>
        <v>28513.754928000002</v>
      </c>
    </row>
    <row r="32" spans="1:12" s="7" customFormat="1" ht="14.5" x14ac:dyDescent="0.35">
      <c r="A32" s="9" t="s">
        <v>76</v>
      </c>
      <c r="B32" s="9" t="s">
        <v>29</v>
      </c>
      <c r="C32" s="23" t="s">
        <v>39</v>
      </c>
      <c r="D32" s="9" t="s">
        <v>29</v>
      </c>
      <c r="E32" s="23" t="s">
        <v>42</v>
      </c>
      <c r="F32" s="9">
        <v>100</v>
      </c>
      <c r="G32" s="9">
        <v>38.5</v>
      </c>
      <c r="H32" s="9" t="s">
        <v>25</v>
      </c>
      <c r="I32" s="16">
        <v>45218</v>
      </c>
      <c r="J32" s="10">
        <v>20270.580000000002</v>
      </c>
      <c r="K32" s="25">
        <f t="shared" si="1"/>
        <v>6480.5044260000004</v>
      </c>
      <c r="L32" s="26">
        <f>J32+K32</f>
        <v>26751.084426000001</v>
      </c>
    </row>
    <row r="33" spans="1:13" s="7" customFormat="1" ht="14.15" customHeight="1" x14ac:dyDescent="0.35">
      <c r="A33" s="11" t="s">
        <v>77</v>
      </c>
      <c r="B33" s="11" t="s">
        <v>28</v>
      </c>
      <c r="C33" s="23" t="s">
        <v>37</v>
      </c>
      <c r="D33" s="11" t="s">
        <v>28</v>
      </c>
      <c r="E33" s="23" t="s">
        <v>46</v>
      </c>
      <c r="F33" s="13">
        <v>93.930232558139537</v>
      </c>
      <c r="G33" s="11">
        <v>36.159999999999997</v>
      </c>
      <c r="H33" s="11" t="s">
        <v>30</v>
      </c>
      <c r="I33" s="17">
        <v>45411</v>
      </c>
      <c r="J33" s="12">
        <v>16919.7</v>
      </c>
      <c r="K33" s="25">
        <f t="shared" si="1"/>
        <v>5409.2280899999996</v>
      </c>
      <c r="L33" s="26">
        <f t="shared" si="0"/>
        <v>22328.928090000001</v>
      </c>
    </row>
    <row r="34" spans="1:13" s="7" customFormat="1" ht="14.5" x14ac:dyDescent="0.35">
      <c r="A34" s="9" t="s">
        <v>78</v>
      </c>
      <c r="B34" s="9" t="s">
        <v>29</v>
      </c>
      <c r="C34" s="30" t="s">
        <v>39</v>
      </c>
      <c r="D34" s="9" t="s">
        <v>32</v>
      </c>
      <c r="E34" s="23" t="s">
        <v>45</v>
      </c>
      <c r="F34" s="9">
        <v>75</v>
      </c>
      <c r="G34" s="9">
        <v>28.88</v>
      </c>
      <c r="H34" s="9" t="s">
        <v>25</v>
      </c>
      <c r="I34" s="16">
        <v>42177</v>
      </c>
      <c r="J34" s="10">
        <f>19129.88+2100</f>
        <v>21229.88</v>
      </c>
      <c r="K34" s="25">
        <f t="shared" si="1"/>
        <v>6787.1926359999998</v>
      </c>
      <c r="L34" s="26">
        <f t="shared" si="0"/>
        <v>28017.072636000001</v>
      </c>
    </row>
    <row r="35" spans="1:13" s="7" customFormat="1" ht="14.5" x14ac:dyDescent="0.35">
      <c r="A35" s="9" t="s">
        <v>79</v>
      </c>
      <c r="B35" s="9" t="s">
        <v>29</v>
      </c>
      <c r="C35" s="23" t="s">
        <v>55</v>
      </c>
      <c r="D35" s="9" t="s">
        <v>29</v>
      </c>
      <c r="E35" s="23" t="s">
        <v>50</v>
      </c>
      <c r="F35" s="9">
        <v>100</v>
      </c>
      <c r="G35" s="9">
        <v>38.5</v>
      </c>
      <c r="H35" s="9" t="s">
        <v>25</v>
      </c>
      <c r="I35" s="16">
        <v>42440</v>
      </c>
      <c r="J35" s="10">
        <v>26807.16</v>
      </c>
      <c r="K35" s="25">
        <f t="shared" si="1"/>
        <v>8570.2490519999992</v>
      </c>
      <c r="L35" s="26">
        <f t="shared" si="0"/>
        <v>35377.409052000003</v>
      </c>
    </row>
    <row r="36" spans="1:13" s="7" customFormat="1" ht="14.5" x14ac:dyDescent="0.35">
      <c r="A36" s="9" t="s">
        <v>80</v>
      </c>
      <c r="B36" s="9" t="s">
        <v>29</v>
      </c>
      <c r="C36" s="30" t="s">
        <v>39</v>
      </c>
      <c r="D36" s="9" t="s">
        <v>29</v>
      </c>
      <c r="E36" s="23" t="s">
        <v>41</v>
      </c>
      <c r="F36" s="15">
        <v>61.002906976744185</v>
      </c>
      <c r="G36" s="9">
        <v>23.5</v>
      </c>
      <c r="H36" s="9" t="s">
        <v>25</v>
      </c>
      <c r="I36" s="16">
        <v>44659</v>
      </c>
      <c r="J36" s="10">
        <v>12365.12</v>
      </c>
      <c r="K36" s="25">
        <f t="shared" si="1"/>
        <v>3953.1288640000002</v>
      </c>
      <c r="L36" s="26">
        <f t="shared" si="0"/>
        <v>16318.248864000001</v>
      </c>
    </row>
    <row r="37" spans="1:13" s="7" customFormat="1" ht="14.5" x14ac:dyDescent="0.35">
      <c r="A37" s="11" t="s">
        <v>81</v>
      </c>
      <c r="B37" s="11" t="s">
        <v>29</v>
      </c>
      <c r="C37" s="23" t="s">
        <v>39</v>
      </c>
      <c r="D37" s="11" t="s">
        <v>29</v>
      </c>
      <c r="E37" s="23" t="s">
        <v>49</v>
      </c>
      <c r="F37" s="13">
        <v>61.002906976744185</v>
      </c>
      <c r="G37" s="11">
        <v>23.5</v>
      </c>
      <c r="H37" s="11" t="s">
        <v>30</v>
      </c>
      <c r="I37" s="17">
        <v>45470</v>
      </c>
      <c r="J37" s="12">
        <v>14419.65</v>
      </c>
      <c r="K37" s="25">
        <f t="shared" si="1"/>
        <v>4609.9621049999996</v>
      </c>
      <c r="L37" s="26">
        <f t="shared" si="0"/>
        <v>19029.612105</v>
      </c>
    </row>
    <row r="38" spans="1:13" s="7" customFormat="1" ht="14.5" x14ac:dyDescent="0.35">
      <c r="A38" s="11" t="s">
        <v>82</v>
      </c>
      <c r="B38" s="11" t="s">
        <v>29</v>
      </c>
      <c r="C38" s="23" t="s">
        <v>39</v>
      </c>
      <c r="D38" s="11" t="s">
        <v>29</v>
      </c>
      <c r="E38" s="23" t="s">
        <v>47</v>
      </c>
      <c r="F38" s="13">
        <v>61.002906976744185</v>
      </c>
      <c r="G38" s="11">
        <v>23.5</v>
      </c>
      <c r="H38" s="11" t="s">
        <v>25</v>
      </c>
      <c r="I38" s="17">
        <v>45517</v>
      </c>
      <c r="J38" s="12">
        <f>J36</f>
        <v>12365.12</v>
      </c>
      <c r="K38" s="25">
        <f t="shared" si="1"/>
        <v>3953.1288640000002</v>
      </c>
      <c r="L38" s="26">
        <f t="shared" si="0"/>
        <v>16318.248864000001</v>
      </c>
    </row>
    <row r="39" spans="1:13" s="7" customFormat="1" ht="14.5" x14ac:dyDescent="0.35">
      <c r="A39" s="9" t="s">
        <v>83</v>
      </c>
      <c r="B39" s="9" t="s">
        <v>31</v>
      </c>
      <c r="C39" s="23" t="s">
        <v>40</v>
      </c>
      <c r="D39" s="9" t="s">
        <v>31</v>
      </c>
      <c r="E39" s="23" t="s">
        <v>44</v>
      </c>
      <c r="F39" s="9">
        <v>100</v>
      </c>
      <c r="G39" s="9">
        <v>38.5</v>
      </c>
      <c r="H39" s="9" t="s">
        <v>25</v>
      </c>
      <c r="I39" s="16">
        <v>44641</v>
      </c>
      <c r="J39" s="10">
        <v>25383.4</v>
      </c>
      <c r="K39" s="25">
        <f t="shared" si="1"/>
        <v>8115.0729799999999</v>
      </c>
      <c r="L39" s="26">
        <f t="shared" si="0"/>
        <v>33498.472979999999</v>
      </c>
    </row>
    <row r="40" spans="1:13" s="7" customFormat="1" ht="14.5" x14ac:dyDescent="0.35">
      <c r="A40" s="8"/>
      <c r="B40" s="23"/>
      <c r="C40" s="23"/>
      <c r="D40" s="23"/>
      <c r="E40" s="23"/>
      <c r="F40" s="27"/>
      <c r="G40" s="28"/>
      <c r="H40" s="29"/>
      <c r="I40" s="24"/>
      <c r="J40" s="25"/>
      <c r="K40" s="25"/>
      <c r="L40" s="26">
        <f>SUM(L14:L39)</f>
        <v>598223.76411802589</v>
      </c>
    </row>
    <row r="42" spans="1:13" x14ac:dyDescent="0.25">
      <c r="A42" s="5" t="s">
        <v>18</v>
      </c>
    </row>
    <row r="43" spans="1:13" ht="24.75" customHeight="1" x14ac:dyDescent="0.25">
      <c r="A43" s="480" t="s">
        <v>14</v>
      </c>
      <c r="B43" s="480"/>
      <c r="C43" s="480"/>
      <c r="D43" s="480"/>
      <c r="E43" s="480"/>
      <c r="F43" s="480"/>
      <c r="G43" s="480"/>
      <c r="H43" s="480"/>
      <c r="I43" s="480"/>
      <c r="J43" s="480"/>
      <c r="K43" s="480"/>
      <c r="L43" s="480"/>
      <c r="M43" s="480"/>
    </row>
    <row r="44" spans="1:13" ht="37.5" x14ac:dyDescent="0.25">
      <c r="A44" s="5" t="s">
        <v>17</v>
      </c>
    </row>
    <row r="45" spans="1:13" x14ac:dyDescent="0.25">
      <c r="A45" s="480" t="s">
        <v>13</v>
      </c>
      <c r="B45" s="480"/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</row>
    <row r="48" spans="1:13" ht="32.5" customHeight="1" x14ac:dyDescent="0.25">
      <c r="A48" s="481" t="s">
        <v>6</v>
      </c>
      <c r="B48" s="481"/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0"/>
    </row>
    <row r="50" spans="1:13" x14ac:dyDescent="0.25">
      <c r="A50" s="5" t="s">
        <v>7</v>
      </c>
      <c r="C50" s="6">
        <v>45091</v>
      </c>
    </row>
    <row r="53" spans="1:13" ht="48" customHeight="1" x14ac:dyDescent="0.25">
      <c r="A53" s="480" t="s">
        <v>16</v>
      </c>
      <c r="B53" s="480"/>
      <c r="C53" s="480"/>
      <c r="D53" s="480"/>
      <c r="E53" s="480"/>
      <c r="F53" s="480"/>
      <c r="G53" s="480"/>
      <c r="H53" s="480"/>
      <c r="I53" s="480"/>
      <c r="J53" s="480"/>
      <c r="K53" s="480"/>
      <c r="L53" s="480"/>
      <c r="M53" s="480"/>
    </row>
  </sheetData>
  <mergeCells count="24">
    <mergeCell ref="A2:N3"/>
    <mergeCell ref="E9:J9"/>
    <mergeCell ref="E5:J5"/>
    <mergeCell ref="E7:J7"/>
    <mergeCell ref="E8:J8"/>
    <mergeCell ref="A8:D8"/>
    <mergeCell ref="A7:D7"/>
    <mergeCell ref="A9:D9"/>
    <mergeCell ref="A43:M43"/>
    <mergeCell ref="A48:M48"/>
    <mergeCell ref="A53:M53"/>
    <mergeCell ref="L11:L13"/>
    <mergeCell ref="A45:M45"/>
    <mergeCell ref="A11:A13"/>
    <mergeCell ref="B11:B13"/>
    <mergeCell ref="I11:I13"/>
    <mergeCell ref="G11:G13"/>
    <mergeCell ref="F11:F13"/>
    <mergeCell ref="H11:H13"/>
    <mergeCell ref="J11:J13"/>
    <mergeCell ref="K11:K13"/>
    <mergeCell ref="D11:D13"/>
    <mergeCell ref="C11:C13"/>
    <mergeCell ref="E11:E13"/>
  </mergeCells>
  <printOptions horizontalCentered="1"/>
  <pageMargins left="0.70866141732283472" right="0.43307086614173229" top="0.74803149606299213" bottom="0.74803149606299213" header="0.31496062992125984" footer="0.31496062992125984"/>
  <pageSetup paperSize="9" scale="42" orientation="landscape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3"/>
  <sheetViews>
    <sheetView view="pageBreakPreview" topLeftCell="D7" zoomScaleNormal="100" zoomScaleSheetLayoutView="100" workbookViewId="0">
      <selection activeCell="F44" sqref="F44"/>
    </sheetView>
  </sheetViews>
  <sheetFormatPr defaultColWidth="11.453125" defaultRowHeight="12.5" x14ac:dyDescent="0.25"/>
  <cols>
    <col min="1" max="1" width="22.81640625" style="5" customWidth="1"/>
    <col min="2" max="2" width="23.1796875" style="5" customWidth="1"/>
    <col min="3" max="3" width="68.1796875" style="5" customWidth="1"/>
    <col min="4" max="4" width="24.1796875" style="5" customWidth="1"/>
    <col min="5" max="5" width="18.54296875" style="5" customWidth="1"/>
    <col min="6" max="6" width="22.1796875" style="5" customWidth="1"/>
    <col min="7" max="7" width="18.54296875" style="5" customWidth="1"/>
    <col min="8" max="8" width="31.7265625" style="5" customWidth="1"/>
    <col min="9" max="9" width="16.1796875" style="5" customWidth="1"/>
    <col min="10" max="10" width="18.7265625" style="5" customWidth="1"/>
    <col min="11" max="11" width="23.54296875" style="5" customWidth="1"/>
    <col min="12" max="12" width="32" style="5" customWidth="1"/>
    <col min="13" max="13" width="13.54296875" style="5" customWidth="1"/>
    <col min="14" max="14" width="11.453125" style="5"/>
  </cols>
  <sheetData>
    <row r="1" spans="1:1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x14ac:dyDescent="0.25">
      <c r="A2" s="489" t="s">
        <v>23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</row>
    <row r="3" spans="1:14" ht="24.65" customHeight="1" x14ac:dyDescent="0.25">
      <c r="A3" s="490"/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</row>
    <row r="4" spans="1:14" ht="13" thickBo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3" thickBot="1" x14ac:dyDescent="0.3">
      <c r="A5" s="2" t="s">
        <v>0</v>
      </c>
      <c r="B5" s="3"/>
      <c r="C5" s="4"/>
      <c r="D5" s="4"/>
      <c r="E5" s="491" t="s">
        <v>33</v>
      </c>
      <c r="F5" s="492"/>
      <c r="G5" s="492"/>
      <c r="H5" s="492"/>
      <c r="I5" s="492"/>
      <c r="J5" s="493"/>
      <c r="K5"/>
      <c r="L5"/>
      <c r="M5"/>
      <c r="N5"/>
    </row>
    <row r="6" spans="1:14" ht="13" thickBot="1" x14ac:dyDescent="0.3">
      <c r="A6" s="1"/>
      <c r="B6" s="1"/>
      <c r="C6" s="1"/>
      <c r="D6" s="1"/>
      <c r="E6"/>
      <c r="F6"/>
      <c r="G6"/>
      <c r="H6"/>
      <c r="I6"/>
      <c r="J6"/>
      <c r="K6"/>
      <c r="L6"/>
      <c r="M6"/>
      <c r="N6"/>
    </row>
    <row r="7" spans="1:14" ht="27" customHeight="1" thickBot="1" x14ac:dyDescent="0.35">
      <c r="A7" s="497" t="s">
        <v>1</v>
      </c>
      <c r="B7" s="498"/>
      <c r="C7" s="498"/>
      <c r="D7" s="499"/>
      <c r="E7" s="491" t="s">
        <v>56</v>
      </c>
      <c r="F7" s="492"/>
      <c r="G7" s="492"/>
      <c r="H7" s="492"/>
      <c r="I7" s="492"/>
      <c r="J7" s="493"/>
      <c r="K7"/>
      <c r="L7"/>
      <c r="M7"/>
      <c r="N7"/>
    </row>
    <row r="8" spans="1:14" ht="13.75" customHeight="1" thickBot="1" x14ac:dyDescent="0.3">
      <c r="A8" s="497" t="s">
        <v>11</v>
      </c>
      <c r="B8" s="498"/>
      <c r="C8" s="498"/>
      <c r="D8" s="499"/>
      <c r="E8" s="494">
        <v>1701</v>
      </c>
      <c r="F8" s="495"/>
      <c r="G8" s="495"/>
      <c r="H8" s="495"/>
      <c r="I8" s="495"/>
      <c r="J8" s="496"/>
      <c r="K8"/>
      <c r="L8"/>
      <c r="M8"/>
      <c r="N8"/>
    </row>
    <row r="9" spans="1:14" ht="28.4" customHeight="1" thickBot="1" x14ac:dyDescent="0.3">
      <c r="A9" s="497" t="s">
        <v>12</v>
      </c>
      <c r="B9" s="498"/>
      <c r="C9" s="498"/>
      <c r="D9" s="499"/>
      <c r="E9" s="494">
        <v>38</v>
      </c>
      <c r="F9" s="495"/>
      <c r="G9" s="495"/>
      <c r="H9" s="495"/>
      <c r="I9" s="495"/>
      <c r="J9" s="496"/>
      <c r="K9"/>
      <c r="L9"/>
      <c r="M9"/>
      <c r="N9"/>
    </row>
    <row r="10" spans="1:14" ht="13" thickBo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2.75" customHeight="1" x14ac:dyDescent="0.25">
      <c r="A11" s="482" t="s">
        <v>19</v>
      </c>
      <c r="B11" s="482" t="s">
        <v>2</v>
      </c>
      <c r="C11" s="482" t="s">
        <v>20</v>
      </c>
      <c r="D11" s="482" t="s">
        <v>21</v>
      </c>
      <c r="E11" s="482" t="s">
        <v>22</v>
      </c>
      <c r="F11" s="482" t="s">
        <v>10</v>
      </c>
      <c r="G11" s="482" t="s">
        <v>3</v>
      </c>
      <c r="H11" s="482" t="s">
        <v>5</v>
      </c>
      <c r="I11" s="482" t="s">
        <v>8</v>
      </c>
      <c r="J11" s="482" t="s">
        <v>4</v>
      </c>
      <c r="K11" s="482" t="s">
        <v>15</v>
      </c>
      <c r="L11" s="482" t="s">
        <v>9</v>
      </c>
      <c r="M11"/>
      <c r="N11"/>
    </row>
    <row r="12" spans="1:14" x14ac:dyDescent="0.25">
      <c r="A12" s="485"/>
      <c r="B12" s="487"/>
      <c r="C12" s="487"/>
      <c r="D12" s="487"/>
      <c r="E12" s="487"/>
      <c r="F12" s="487"/>
      <c r="G12" s="487"/>
      <c r="H12" s="487"/>
      <c r="I12" s="487"/>
      <c r="J12" s="483"/>
      <c r="K12" s="487"/>
      <c r="L12" s="483"/>
      <c r="M12"/>
      <c r="N12"/>
    </row>
    <row r="13" spans="1:14" ht="13" thickBot="1" x14ac:dyDescent="0.3">
      <c r="A13" s="486"/>
      <c r="B13" s="488"/>
      <c r="C13" s="488"/>
      <c r="D13" s="488"/>
      <c r="E13" s="488"/>
      <c r="F13" s="488"/>
      <c r="G13" s="488"/>
      <c r="H13" s="488"/>
      <c r="I13" s="488"/>
      <c r="J13" s="484"/>
      <c r="K13" s="488"/>
      <c r="L13" s="484"/>
      <c r="M13"/>
      <c r="N13"/>
    </row>
    <row r="14" spans="1:14" s="7" customFormat="1" ht="14.5" x14ac:dyDescent="0.35">
      <c r="A14" s="18" t="s">
        <v>58</v>
      </c>
      <c r="B14" s="18" t="s">
        <v>84</v>
      </c>
      <c r="C14" s="14" t="s">
        <v>35</v>
      </c>
      <c r="D14" s="32" t="s">
        <v>88</v>
      </c>
      <c r="E14" s="23" t="s">
        <v>43</v>
      </c>
      <c r="F14" s="18">
        <v>100</v>
      </c>
      <c r="G14" s="18">
        <v>38.5</v>
      </c>
      <c r="H14" s="18" t="s">
        <v>25</v>
      </c>
      <c r="I14" s="19">
        <v>45411</v>
      </c>
      <c r="J14" s="20">
        <v>38432.1</v>
      </c>
      <c r="K14" s="21">
        <f>J14*0.3197</f>
        <v>12286.742369999998</v>
      </c>
      <c r="L14" s="22">
        <f>J14+K14</f>
        <v>50718.842369999998</v>
      </c>
    </row>
    <row r="15" spans="1:14" s="7" customFormat="1" ht="14.5" x14ac:dyDescent="0.35">
      <c r="A15" s="9" t="s">
        <v>59</v>
      </c>
      <c r="B15" s="9" t="s">
        <v>85</v>
      </c>
      <c r="C15" s="23" t="s">
        <v>34</v>
      </c>
      <c r="D15" s="9" t="s">
        <v>26</v>
      </c>
      <c r="E15" s="23" t="s">
        <v>42</v>
      </c>
      <c r="F15" s="15">
        <v>93.929651162790691</v>
      </c>
      <c r="G15" s="9">
        <v>36.159999999999997</v>
      </c>
      <c r="H15" s="9" t="s">
        <v>25</v>
      </c>
      <c r="I15" s="24">
        <v>45365</v>
      </c>
      <c r="J15" s="10">
        <v>19382.943418181814</v>
      </c>
      <c r="K15" s="25">
        <f>J15*0.3197</f>
        <v>6196.7270107927261</v>
      </c>
      <c r="L15" s="26">
        <f t="shared" ref="L15:L39" si="0">J15+K15</f>
        <v>25579.670428974539</v>
      </c>
    </row>
    <row r="16" spans="1:14" s="7" customFormat="1" ht="14.5" x14ac:dyDescent="0.35">
      <c r="A16" s="9" t="s">
        <v>60</v>
      </c>
      <c r="B16" s="9" t="s">
        <v>85</v>
      </c>
      <c r="C16" s="23" t="s">
        <v>52</v>
      </c>
      <c r="D16" s="9" t="s">
        <v>26</v>
      </c>
      <c r="E16" s="23" t="s">
        <v>47</v>
      </c>
      <c r="F16" s="15">
        <v>61.002906976744185</v>
      </c>
      <c r="G16" s="9">
        <v>23.5</v>
      </c>
      <c r="H16" s="9" t="s">
        <v>25</v>
      </c>
      <c r="I16" s="24">
        <v>44022</v>
      </c>
      <c r="J16" s="10">
        <v>12596.769090909089</v>
      </c>
      <c r="K16" s="25">
        <f t="shared" ref="K16:K39" si="1">J16*0.3197</f>
        <v>4027.1870783636355</v>
      </c>
      <c r="L16" s="26">
        <f t="shared" si="0"/>
        <v>16623.956169272726</v>
      </c>
    </row>
    <row r="17" spans="1:12" s="7" customFormat="1" ht="14.5" x14ac:dyDescent="0.35">
      <c r="A17" s="9" t="s">
        <v>61</v>
      </c>
      <c r="B17" s="9" t="s">
        <v>85</v>
      </c>
      <c r="C17" s="23" t="s">
        <v>37</v>
      </c>
      <c r="D17" s="9" t="s">
        <v>26</v>
      </c>
      <c r="E17" s="23" t="s">
        <v>41</v>
      </c>
      <c r="F17" s="15">
        <v>61.002906976744185</v>
      </c>
      <c r="G17" s="9">
        <v>23.5</v>
      </c>
      <c r="H17" s="9" t="s">
        <v>25</v>
      </c>
      <c r="I17" s="24">
        <v>45310</v>
      </c>
      <c r="J17" s="10">
        <v>12596.769090909089</v>
      </c>
      <c r="K17" s="25">
        <f t="shared" si="1"/>
        <v>4027.1870783636355</v>
      </c>
      <c r="L17" s="26">
        <f t="shared" si="0"/>
        <v>16623.956169272726</v>
      </c>
    </row>
    <row r="18" spans="1:12" s="7" customFormat="1" ht="14.5" x14ac:dyDescent="0.35">
      <c r="A18" s="9" t="s">
        <v>62</v>
      </c>
      <c r="B18" s="9" t="s">
        <v>85</v>
      </c>
      <c r="C18" s="23" t="s">
        <v>34</v>
      </c>
      <c r="D18" s="9" t="s">
        <v>26</v>
      </c>
      <c r="E18" s="23" t="s">
        <v>46</v>
      </c>
      <c r="F18" s="15">
        <v>93.488372093023258</v>
      </c>
      <c r="G18" s="9">
        <v>36</v>
      </c>
      <c r="H18" s="9" t="s">
        <v>25</v>
      </c>
      <c r="I18" s="24">
        <v>42802</v>
      </c>
      <c r="J18" s="10">
        <v>19297.178181818181</v>
      </c>
      <c r="K18" s="25">
        <f t="shared" si="1"/>
        <v>6169.3078647272723</v>
      </c>
      <c r="L18" s="26">
        <f t="shared" si="0"/>
        <v>25466.486046545455</v>
      </c>
    </row>
    <row r="19" spans="1:12" s="7" customFormat="1" ht="14.5" x14ac:dyDescent="0.35">
      <c r="A19" s="9" t="s">
        <v>63</v>
      </c>
      <c r="B19" s="9" t="s">
        <v>85</v>
      </c>
      <c r="C19" s="23" t="s">
        <v>36</v>
      </c>
      <c r="D19" s="31" t="s">
        <v>91</v>
      </c>
      <c r="E19" s="23" t="s">
        <v>48</v>
      </c>
      <c r="F19" s="9">
        <v>100</v>
      </c>
      <c r="G19" s="9">
        <v>38.5</v>
      </c>
      <c r="H19" s="9" t="s">
        <v>25</v>
      </c>
      <c r="I19" s="24">
        <v>42849</v>
      </c>
      <c r="J19" s="10">
        <v>20637.259999999998</v>
      </c>
      <c r="K19" s="25">
        <f t="shared" si="1"/>
        <v>6597.7320219999992</v>
      </c>
      <c r="L19" s="26">
        <f t="shared" si="0"/>
        <v>27234.992021999999</v>
      </c>
    </row>
    <row r="20" spans="1:12" s="7" customFormat="1" ht="14.5" x14ac:dyDescent="0.35">
      <c r="A20" s="9" t="s">
        <v>64</v>
      </c>
      <c r="B20" s="9" t="s">
        <v>85</v>
      </c>
      <c r="C20" s="23" t="s">
        <v>36</v>
      </c>
      <c r="D20" s="31" t="s">
        <v>91</v>
      </c>
      <c r="E20" s="23" t="s">
        <v>49</v>
      </c>
      <c r="F20" s="15">
        <v>64.941860465116278</v>
      </c>
      <c r="G20" s="9">
        <v>25</v>
      </c>
      <c r="H20" s="9" t="s">
        <v>25</v>
      </c>
      <c r="I20" s="24">
        <v>42812</v>
      </c>
      <c r="J20" s="10">
        <v>13400.81818181818</v>
      </c>
      <c r="K20" s="25">
        <f t="shared" si="1"/>
        <v>4284.2415727272719</v>
      </c>
      <c r="L20" s="26">
        <f t="shared" si="0"/>
        <v>17685.059754545451</v>
      </c>
    </row>
    <row r="21" spans="1:12" s="7" customFormat="1" ht="14.5" x14ac:dyDescent="0.35">
      <c r="A21" s="9" t="s">
        <v>65</v>
      </c>
      <c r="B21" s="9" t="s">
        <v>86</v>
      </c>
      <c r="C21" s="23" t="s">
        <v>38</v>
      </c>
      <c r="D21" s="9" t="s">
        <v>28</v>
      </c>
      <c r="E21" s="23" t="s">
        <v>47</v>
      </c>
      <c r="F21" s="15">
        <v>61.002906976744185</v>
      </c>
      <c r="G21" s="9">
        <v>23.5</v>
      </c>
      <c r="H21" s="9" t="s">
        <v>25</v>
      </c>
      <c r="I21" s="24">
        <v>42819</v>
      </c>
      <c r="J21" s="10">
        <v>13736.903636363635</v>
      </c>
      <c r="K21" s="25">
        <f t="shared" si="1"/>
        <v>4391.6880925454543</v>
      </c>
      <c r="L21" s="26">
        <f t="shared" si="0"/>
        <v>18128.59172890909</v>
      </c>
    </row>
    <row r="22" spans="1:12" s="7" customFormat="1" ht="14.5" x14ac:dyDescent="0.35">
      <c r="A22" s="9" t="s">
        <v>66</v>
      </c>
      <c r="B22" s="9" t="s">
        <v>86</v>
      </c>
      <c r="C22" s="23" t="s">
        <v>54</v>
      </c>
      <c r="D22" s="9" t="s">
        <v>28</v>
      </c>
      <c r="E22" s="23" t="s">
        <v>41</v>
      </c>
      <c r="F22" s="15">
        <v>61.002906976744185</v>
      </c>
      <c r="G22" s="9">
        <v>23.5</v>
      </c>
      <c r="H22" s="9" t="s">
        <v>25</v>
      </c>
      <c r="I22" s="24">
        <v>45331</v>
      </c>
      <c r="J22" s="10">
        <v>13736.903636363635</v>
      </c>
      <c r="K22" s="25">
        <f t="shared" si="1"/>
        <v>4391.6880925454543</v>
      </c>
      <c r="L22" s="26">
        <f t="shared" si="0"/>
        <v>18128.59172890909</v>
      </c>
    </row>
    <row r="23" spans="1:12" s="7" customFormat="1" ht="14.5" x14ac:dyDescent="0.35">
      <c r="A23" s="9" t="s">
        <v>67</v>
      </c>
      <c r="B23" s="9" t="s">
        <v>86</v>
      </c>
      <c r="C23" s="23" t="s">
        <v>37</v>
      </c>
      <c r="D23" s="9" t="s">
        <v>28</v>
      </c>
      <c r="E23" s="23" t="s">
        <v>50</v>
      </c>
      <c r="F23" s="9">
        <v>100</v>
      </c>
      <c r="G23" s="9">
        <v>38.5</v>
      </c>
      <c r="H23" s="9" t="s">
        <v>25</v>
      </c>
      <c r="I23" s="24">
        <v>42807</v>
      </c>
      <c r="J23" s="10">
        <v>22505.14</v>
      </c>
      <c r="K23" s="25">
        <f t="shared" si="1"/>
        <v>7194.8932579999992</v>
      </c>
      <c r="L23" s="26">
        <f t="shared" si="0"/>
        <v>29700.033257999999</v>
      </c>
    </row>
    <row r="24" spans="1:12" s="7" customFormat="1" ht="14.5" x14ac:dyDescent="0.35">
      <c r="A24" s="9" t="s">
        <v>68</v>
      </c>
      <c r="B24" s="9" t="s">
        <v>86</v>
      </c>
      <c r="C24" s="23" t="s">
        <v>37</v>
      </c>
      <c r="D24" s="9" t="s">
        <v>28</v>
      </c>
      <c r="E24" s="23" t="s">
        <v>49</v>
      </c>
      <c r="F24" s="9">
        <v>61</v>
      </c>
      <c r="G24" s="9">
        <v>23.5</v>
      </c>
      <c r="H24" s="9" t="s">
        <v>25</v>
      </c>
      <c r="I24" s="24">
        <v>45236</v>
      </c>
      <c r="J24" s="10">
        <v>13736.903636363635</v>
      </c>
      <c r="K24" s="25">
        <f t="shared" si="1"/>
        <v>4391.6880925454543</v>
      </c>
      <c r="L24" s="26">
        <f t="shared" si="0"/>
        <v>18128.59172890909</v>
      </c>
    </row>
    <row r="25" spans="1:12" s="7" customFormat="1" ht="14.5" x14ac:dyDescent="0.35">
      <c r="A25" s="9" t="s">
        <v>69</v>
      </c>
      <c r="B25" s="9" t="s">
        <v>86</v>
      </c>
      <c r="C25" s="23" t="s">
        <v>37</v>
      </c>
      <c r="D25" s="9" t="s">
        <v>28</v>
      </c>
      <c r="E25" s="23" t="s">
        <v>46</v>
      </c>
      <c r="F25" s="15">
        <v>93.930232558139537</v>
      </c>
      <c r="G25" s="9">
        <v>36.159999999999997</v>
      </c>
      <c r="H25" s="9" t="s">
        <v>25</v>
      </c>
      <c r="I25" s="24">
        <v>43777</v>
      </c>
      <c r="J25" s="10">
        <v>21137.295127272726</v>
      </c>
      <c r="K25" s="25">
        <f t="shared" si="1"/>
        <v>6757.59325218909</v>
      </c>
      <c r="L25" s="26">
        <f t="shared" si="0"/>
        <v>27894.888379461816</v>
      </c>
    </row>
    <row r="26" spans="1:12" s="7" customFormat="1" ht="14.5" x14ac:dyDescent="0.35">
      <c r="A26" s="9" t="s">
        <v>70</v>
      </c>
      <c r="B26" s="9" t="s">
        <v>86</v>
      </c>
      <c r="C26" s="23" t="s">
        <v>37</v>
      </c>
      <c r="D26" s="9" t="s">
        <v>28</v>
      </c>
      <c r="E26" s="23" t="s">
        <v>46</v>
      </c>
      <c r="F26" s="15">
        <v>93.488372093023258</v>
      </c>
      <c r="G26" s="9">
        <v>36</v>
      </c>
      <c r="H26" s="9" t="s">
        <v>25</v>
      </c>
      <c r="I26" s="16">
        <v>42801</v>
      </c>
      <c r="J26" s="10">
        <v>21043.767272727273</v>
      </c>
      <c r="K26" s="25">
        <f t="shared" si="1"/>
        <v>6727.6923970909093</v>
      </c>
      <c r="L26" s="26">
        <f t="shared" si="0"/>
        <v>27771.459669818181</v>
      </c>
    </row>
    <row r="27" spans="1:12" s="7" customFormat="1" ht="14.5" x14ac:dyDescent="0.35">
      <c r="A27" s="9" t="s">
        <v>71</v>
      </c>
      <c r="B27" s="9" t="s">
        <v>86</v>
      </c>
      <c r="C27" s="23" t="s">
        <v>37</v>
      </c>
      <c r="D27" s="9" t="s">
        <v>28</v>
      </c>
      <c r="E27" s="23" t="s">
        <v>47</v>
      </c>
      <c r="F27" s="9">
        <v>61</v>
      </c>
      <c r="G27" s="9">
        <v>23.5</v>
      </c>
      <c r="H27" s="9" t="s">
        <v>25</v>
      </c>
      <c r="I27" s="16">
        <v>45295</v>
      </c>
      <c r="J27" s="10">
        <v>13736.903636363635</v>
      </c>
      <c r="K27" s="25">
        <f t="shared" si="1"/>
        <v>4391.6880925454543</v>
      </c>
      <c r="L27" s="26">
        <f t="shared" si="0"/>
        <v>18128.59172890909</v>
      </c>
    </row>
    <row r="28" spans="1:12" s="7" customFormat="1" ht="14.5" x14ac:dyDescent="0.35">
      <c r="A28" s="9" t="s">
        <v>72</v>
      </c>
      <c r="B28" s="9" t="s">
        <v>86</v>
      </c>
      <c r="C28" s="23" t="s">
        <v>37</v>
      </c>
      <c r="D28" s="9" t="s">
        <v>28</v>
      </c>
      <c r="E28" s="23" t="s">
        <v>47</v>
      </c>
      <c r="F28" s="9">
        <v>61</v>
      </c>
      <c r="G28" s="9">
        <v>23.5</v>
      </c>
      <c r="H28" s="9" t="s">
        <v>25</v>
      </c>
      <c r="I28" s="16">
        <v>44661</v>
      </c>
      <c r="J28" s="10">
        <v>13736.903636363635</v>
      </c>
      <c r="K28" s="25">
        <f t="shared" si="1"/>
        <v>4391.6880925454543</v>
      </c>
      <c r="L28" s="26">
        <f t="shared" si="0"/>
        <v>18128.59172890909</v>
      </c>
    </row>
    <row r="29" spans="1:12" s="7" customFormat="1" ht="14.5" x14ac:dyDescent="0.35">
      <c r="A29" s="9" t="s">
        <v>73</v>
      </c>
      <c r="B29" s="9" t="s">
        <v>86</v>
      </c>
      <c r="C29" s="23" t="s">
        <v>37</v>
      </c>
      <c r="D29" s="9" t="s">
        <v>28</v>
      </c>
      <c r="E29" s="23" t="s">
        <v>41</v>
      </c>
      <c r="F29" s="9">
        <v>100</v>
      </c>
      <c r="G29" s="9">
        <v>38.5</v>
      </c>
      <c r="H29" s="9" t="s">
        <v>25</v>
      </c>
      <c r="I29" s="16">
        <v>45306</v>
      </c>
      <c r="J29" s="10">
        <v>22505.14</v>
      </c>
      <c r="K29" s="25">
        <f t="shared" si="1"/>
        <v>7194.8932579999992</v>
      </c>
      <c r="L29" s="26">
        <f t="shared" si="0"/>
        <v>29700.033257999999</v>
      </c>
    </row>
    <row r="30" spans="1:12" s="7" customFormat="1" ht="14.5" x14ac:dyDescent="0.35">
      <c r="A30" s="9" t="s">
        <v>74</v>
      </c>
      <c r="B30" s="9" t="s">
        <v>86</v>
      </c>
      <c r="C30" s="23" t="s">
        <v>37</v>
      </c>
      <c r="D30" s="9" t="s">
        <v>28</v>
      </c>
      <c r="E30" s="23" t="s">
        <v>41</v>
      </c>
      <c r="F30" s="15">
        <v>100</v>
      </c>
      <c r="G30" s="9">
        <v>38.5</v>
      </c>
      <c r="H30" s="9" t="s">
        <v>25</v>
      </c>
      <c r="I30" s="16">
        <v>43497</v>
      </c>
      <c r="J30" s="10">
        <v>22505.14</v>
      </c>
      <c r="K30" s="25">
        <f t="shared" si="1"/>
        <v>7194.8932579999992</v>
      </c>
      <c r="L30" s="26">
        <f t="shared" si="0"/>
        <v>29700.033257999999</v>
      </c>
    </row>
    <row r="31" spans="1:12" s="7" customFormat="1" ht="14.5" x14ac:dyDescent="0.35">
      <c r="A31" s="9" t="s">
        <v>75</v>
      </c>
      <c r="B31" s="9" t="s">
        <v>86</v>
      </c>
      <c r="C31" s="23" t="s">
        <v>51</v>
      </c>
      <c r="D31" s="9" t="s">
        <v>28</v>
      </c>
      <c r="E31" s="23" t="s">
        <v>42</v>
      </c>
      <c r="F31" s="9">
        <v>100</v>
      </c>
      <c r="G31" s="9">
        <v>38.5</v>
      </c>
      <c r="H31" s="9" t="s">
        <v>25</v>
      </c>
      <c r="I31" s="16">
        <v>41671</v>
      </c>
      <c r="J31" s="10">
        <v>22505.14</v>
      </c>
      <c r="K31" s="25">
        <f t="shared" si="1"/>
        <v>7194.8932579999992</v>
      </c>
      <c r="L31" s="26">
        <f t="shared" si="0"/>
        <v>29700.033257999999</v>
      </c>
    </row>
    <row r="32" spans="1:12" s="7" customFormat="1" ht="14.5" x14ac:dyDescent="0.35">
      <c r="A32" s="9" t="s">
        <v>76</v>
      </c>
      <c r="B32" s="9" t="s">
        <v>87</v>
      </c>
      <c r="C32" s="23" t="s">
        <v>39</v>
      </c>
      <c r="D32" s="9" t="s">
        <v>29</v>
      </c>
      <c r="E32" s="23" t="s">
        <v>42</v>
      </c>
      <c r="F32" s="9">
        <v>100</v>
      </c>
      <c r="G32" s="9">
        <v>38.5</v>
      </c>
      <c r="H32" s="9" t="s">
        <v>25</v>
      </c>
      <c r="I32" s="16">
        <v>45218</v>
      </c>
      <c r="J32" s="10">
        <v>26007.66</v>
      </c>
      <c r="K32" s="25">
        <f t="shared" si="1"/>
        <v>8314.648901999999</v>
      </c>
      <c r="L32" s="26">
        <f t="shared" si="0"/>
        <v>34322.308901999997</v>
      </c>
    </row>
    <row r="33" spans="1:13" s="7" customFormat="1" ht="14.15" customHeight="1" x14ac:dyDescent="0.35">
      <c r="A33" s="11" t="s">
        <v>77</v>
      </c>
      <c r="B33" s="11" t="s">
        <v>86</v>
      </c>
      <c r="C33" s="23" t="s">
        <v>37</v>
      </c>
      <c r="D33" s="11" t="s">
        <v>28</v>
      </c>
      <c r="E33" s="23" t="s">
        <v>46</v>
      </c>
      <c r="F33" s="13">
        <v>93.930232558139537</v>
      </c>
      <c r="G33" s="11">
        <v>36.159999999999997</v>
      </c>
      <c r="H33" s="11" t="s">
        <v>30</v>
      </c>
      <c r="I33" s="17">
        <v>45411</v>
      </c>
      <c r="J33" s="12">
        <v>21137.295127272726</v>
      </c>
      <c r="K33" s="25">
        <f t="shared" si="1"/>
        <v>6757.59325218909</v>
      </c>
      <c r="L33" s="26">
        <f t="shared" si="0"/>
        <v>27894.888379461816</v>
      </c>
    </row>
    <row r="34" spans="1:13" s="7" customFormat="1" ht="14.5" x14ac:dyDescent="0.35">
      <c r="A34" s="9" t="s">
        <v>78</v>
      </c>
      <c r="B34" s="31" t="s">
        <v>89</v>
      </c>
      <c r="C34" s="30" t="s">
        <v>39</v>
      </c>
      <c r="D34" s="31" t="s">
        <v>90</v>
      </c>
      <c r="E34" s="23" t="s">
        <v>45</v>
      </c>
      <c r="F34" s="9">
        <v>75</v>
      </c>
      <c r="G34" s="9">
        <v>28.88</v>
      </c>
      <c r="H34" s="9" t="s">
        <v>25</v>
      </c>
      <c r="I34" s="16">
        <v>42177</v>
      </c>
      <c r="J34" s="10">
        <f>19509.1226181818+6149.9</f>
        <v>25659.0226181818</v>
      </c>
      <c r="K34" s="25">
        <f t="shared" si="1"/>
        <v>8203.1895310327218</v>
      </c>
      <c r="L34" s="26">
        <f t="shared" si="0"/>
        <v>33862.212149214523</v>
      </c>
    </row>
    <row r="35" spans="1:13" s="7" customFormat="1" ht="14.5" x14ac:dyDescent="0.35">
      <c r="A35" s="9" t="s">
        <v>79</v>
      </c>
      <c r="B35" s="9" t="s">
        <v>87</v>
      </c>
      <c r="C35" s="23" t="s">
        <v>55</v>
      </c>
      <c r="D35" s="9" t="s">
        <v>29</v>
      </c>
      <c r="E35" s="23" t="s">
        <v>50</v>
      </c>
      <c r="F35" s="9">
        <v>100</v>
      </c>
      <c r="G35" s="9">
        <v>38.5</v>
      </c>
      <c r="H35" s="9" t="s">
        <v>25</v>
      </c>
      <c r="I35" s="16">
        <v>42440</v>
      </c>
      <c r="J35" s="10">
        <v>26007.66</v>
      </c>
      <c r="K35" s="25">
        <f t="shared" si="1"/>
        <v>8314.648901999999</v>
      </c>
      <c r="L35" s="26">
        <f t="shared" si="0"/>
        <v>34322.308901999997</v>
      </c>
    </row>
    <row r="36" spans="1:13" s="7" customFormat="1" ht="14.5" x14ac:dyDescent="0.35">
      <c r="A36" s="9" t="s">
        <v>80</v>
      </c>
      <c r="B36" s="9" t="s">
        <v>87</v>
      </c>
      <c r="C36" s="30" t="s">
        <v>39</v>
      </c>
      <c r="D36" s="9" t="s">
        <v>29</v>
      </c>
      <c r="E36" s="23" t="s">
        <v>41</v>
      </c>
      <c r="F36" s="15">
        <v>61.002906976744185</v>
      </c>
      <c r="G36" s="9">
        <v>23.5</v>
      </c>
      <c r="H36" s="9" t="s">
        <v>25</v>
      </c>
      <c r="I36" s="16">
        <v>44659</v>
      </c>
      <c r="J36" s="10">
        <v>15874.805454545454</v>
      </c>
      <c r="K36" s="25">
        <f t="shared" si="1"/>
        <v>5075.1753038181814</v>
      </c>
      <c r="L36" s="26">
        <f t="shared" si="0"/>
        <v>20949.980758363636</v>
      </c>
    </row>
    <row r="37" spans="1:13" s="7" customFormat="1" ht="14.5" x14ac:dyDescent="0.35">
      <c r="A37" s="11" t="s">
        <v>81</v>
      </c>
      <c r="B37" s="11" t="s">
        <v>87</v>
      </c>
      <c r="C37" s="23" t="s">
        <v>39</v>
      </c>
      <c r="D37" s="11" t="s">
        <v>29</v>
      </c>
      <c r="E37" s="23" t="s">
        <v>49</v>
      </c>
      <c r="F37" s="13">
        <v>61.002906976744185</v>
      </c>
      <c r="G37" s="11">
        <v>23.5</v>
      </c>
      <c r="H37" s="11" t="s">
        <v>30</v>
      </c>
      <c r="I37" s="17">
        <v>45470</v>
      </c>
      <c r="J37" s="12">
        <v>15874.805454545454</v>
      </c>
      <c r="K37" s="25">
        <f t="shared" si="1"/>
        <v>5075.1753038181814</v>
      </c>
      <c r="L37" s="26">
        <f t="shared" si="0"/>
        <v>20949.980758363636</v>
      </c>
    </row>
    <row r="38" spans="1:13" s="7" customFormat="1" ht="14.5" x14ac:dyDescent="0.35">
      <c r="A38" s="11" t="s">
        <v>82</v>
      </c>
      <c r="B38" s="11" t="s">
        <v>87</v>
      </c>
      <c r="C38" s="23" t="s">
        <v>39</v>
      </c>
      <c r="D38" s="11" t="s">
        <v>29</v>
      </c>
      <c r="E38" s="23" t="s">
        <v>47</v>
      </c>
      <c r="F38" s="13">
        <v>61.002906976744185</v>
      </c>
      <c r="G38" s="11">
        <v>23.5</v>
      </c>
      <c r="H38" s="11" t="s">
        <v>25</v>
      </c>
      <c r="I38" s="17">
        <v>45517</v>
      </c>
      <c r="J38" s="12">
        <v>15874.805454545454</v>
      </c>
      <c r="K38" s="25">
        <f t="shared" si="1"/>
        <v>5075.1753038181814</v>
      </c>
      <c r="L38" s="26">
        <f t="shared" si="0"/>
        <v>20949.980758363636</v>
      </c>
    </row>
    <row r="39" spans="1:13" s="7" customFormat="1" ht="14.5" x14ac:dyDescent="0.35">
      <c r="A39" s="9" t="s">
        <v>83</v>
      </c>
      <c r="B39" s="9" t="s">
        <v>87</v>
      </c>
      <c r="C39" s="23" t="s">
        <v>40</v>
      </c>
      <c r="D39" s="9" t="s">
        <v>31</v>
      </c>
      <c r="E39" s="23" t="s">
        <v>44</v>
      </c>
      <c r="F39" s="9">
        <v>100</v>
      </c>
      <c r="G39" s="9">
        <v>38.5</v>
      </c>
      <c r="H39" s="9" t="s">
        <v>25</v>
      </c>
      <c r="I39" s="16">
        <v>44641</v>
      </c>
      <c r="J39" s="10">
        <v>26007.66</v>
      </c>
      <c r="K39" s="25">
        <f t="shared" si="1"/>
        <v>8314.648901999999</v>
      </c>
      <c r="L39" s="26">
        <f t="shared" si="0"/>
        <v>34322.308901999997</v>
      </c>
    </row>
    <row r="40" spans="1:13" s="7" customFormat="1" ht="14.5" x14ac:dyDescent="0.35">
      <c r="A40" s="8"/>
      <c r="B40" s="23"/>
      <c r="C40" s="23"/>
      <c r="D40" s="23"/>
      <c r="E40" s="23"/>
      <c r="F40" s="27"/>
      <c r="G40" s="28"/>
      <c r="H40" s="29"/>
      <c r="I40" s="24"/>
      <c r="J40" s="25"/>
      <c r="K40" s="25"/>
      <c r="L40" s="26">
        <f>SUM(L14:L39)</f>
        <v>672616.37219620356</v>
      </c>
    </row>
    <row r="42" spans="1:13" x14ac:dyDescent="0.25">
      <c r="A42" s="5" t="s">
        <v>18</v>
      </c>
    </row>
    <row r="43" spans="1:13" ht="24.75" customHeight="1" x14ac:dyDescent="0.25">
      <c r="A43" s="480" t="s">
        <v>14</v>
      </c>
      <c r="B43" s="480"/>
      <c r="C43" s="480"/>
      <c r="D43" s="480"/>
      <c r="E43" s="480"/>
      <c r="F43" s="480"/>
      <c r="G43" s="480"/>
      <c r="H43" s="480"/>
      <c r="I43" s="480"/>
      <c r="J43" s="480"/>
      <c r="K43" s="480"/>
      <c r="L43" s="480"/>
      <c r="M43" s="480"/>
    </row>
    <row r="44" spans="1:13" ht="37.5" x14ac:dyDescent="0.25">
      <c r="A44" s="5" t="s">
        <v>17</v>
      </c>
    </row>
    <row r="45" spans="1:13" x14ac:dyDescent="0.25">
      <c r="A45" s="480" t="s">
        <v>13</v>
      </c>
      <c r="B45" s="480"/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</row>
    <row r="48" spans="1:13" ht="32.5" customHeight="1" x14ac:dyDescent="0.25">
      <c r="A48" s="481" t="s">
        <v>6</v>
      </c>
      <c r="B48" s="481"/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0"/>
    </row>
    <row r="50" spans="1:13" x14ac:dyDescent="0.25">
      <c r="A50" s="5" t="s">
        <v>7</v>
      </c>
      <c r="C50" s="6">
        <v>45091</v>
      </c>
    </row>
    <row r="53" spans="1:13" ht="48" customHeight="1" x14ac:dyDescent="0.25">
      <c r="A53" s="480" t="s">
        <v>16</v>
      </c>
      <c r="B53" s="480"/>
      <c r="C53" s="480"/>
      <c r="D53" s="480"/>
      <c r="E53" s="480"/>
      <c r="F53" s="480"/>
      <c r="G53" s="480"/>
      <c r="H53" s="480"/>
      <c r="I53" s="480"/>
      <c r="J53" s="480"/>
      <c r="K53" s="480"/>
      <c r="L53" s="480"/>
      <c r="M53" s="480"/>
    </row>
  </sheetData>
  <mergeCells count="24">
    <mergeCell ref="A2:N3"/>
    <mergeCell ref="E5:J5"/>
    <mergeCell ref="A7:D7"/>
    <mergeCell ref="E7:J7"/>
    <mergeCell ref="A8:D8"/>
    <mergeCell ref="E8:J8"/>
    <mergeCell ref="A9:D9"/>
    <mergeCell ref="E9:J9"/>
    <mergeCell ref="A11:A13"/>
    <mergeCell ref="B11:B13"/>
    <mergeCell ref="C11:C13"/>
    <mergeCell ref="D11:D13"/>
    <mergeCell ref="E11:E13"/>
    <mergeCell ref="F11:F13"/>
    <mergeCell ref="G11:G13"/>
    <mergeCell ref="H11:H13"/>
    <mergeCell ref="A48:M48"/>
    <mergeCell ref="A53:M53"/>
    <mergeCell ref="I11:I13"/>
    <mergeCell ref="J11:J13"/>
    <mergeCell ref="K11:K13"/>
    <mergeCell ref="L11:L13"/>
    <mergeCell ref="A43:M43"/>
    <mergeCell ref="A45:M45"/>
  </mergeCells>
  <pageMargins left="0.7" right="0.43" top="0.75" bottom="0.75" header="0.3" footer="0.3"/>
  <pageSetup paperSize="9" scale="73" orientation="landscape" r:id="rId1"/>
  <customProperties>
    <customPr name="EpmWorksheetKeyString_GU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10:V30"/>
  <sheetViews>
    <sheetView workbookViewId="0">
      <selection activeCell="G115" sqref="G115"/>
    </sheetView>
  </sheetViews>
  <sheetFormatPr defaultColWidth="11.453125" defaultRowHeight="12.5" x14ac:dyDescent="0.25"/>
  <cols>
    <col min="20" max="20" width="11.81640625" bestFit="1" customWidth="1"/>
    <col min="22" max="22" width="11.81640625" bestFit="1" customWidth="1"/>
  </cols>
  <sheetData>
    <row r="10" spans="20:22" x14ac:dyDescent="0.25">
      <c r="T10" s="41">
        <v>2024</v>
      </c>
      <c r="U10" s="42">
        <v>0.05</v>
      </c>
      <c r="V10" s="41">
        <v>2025</v>
      </c>
    </row>
    <row r="12" spans="20:22" ht="13" x14ac:dyDescent="0.3">
      <c r="T12">
        <v>38432.1</v>
      </c>
      <c r="U12">
        <f>T12*U10</f>
        <v>1921.605</v>
      </c>
      <c r="V12" s="50">
        <f>T12+U12</f>
        <v>40353.705000000002</v>
      </c>
    </row>
    <row r="15" spans="20:22" ht="13" x14ac:dyDescent="0.3">
      <c r="T15">
        <f>33951.26</f>
        <v>33951.26</v>
      </c>
      <c r="U15">
        <f>T15*U10</f>
        <v>1697.5630000000001</v>
      </c>
      <c r="V15" s="50">
        <f>T15+U15</f>
        <v>35648.823000000004</v>
      </c>
    </row>
    <row r="19" spans="20:22" ht="13" x14ac:dyDescent="0.3">
      <c r="T19">
        <f>26007.66</f>
        <v>26007.66</v>
      </c>
      <c r="U19">
        <f>T19*U10</f>
        <v>1300.383</v>
      </c>
      <c r="V19" s="50">
        <f>T19+U19</f>
        <v>27308.043000000001</v>
      </c>
    </row>
    <row r="22" spans="20:22" x14ac:dyDescent="0.25">
      <c r="T22">
        <v>22505.14</v>
      </c>
      <c r="U22">
        <f>T22*U10</f>
        <v>1125.2570000000001</v>
      </c>
      <c r="V22" s="40">
        <f>T22+U22</f>
        <v>23630.397000000001</v>
      </c>
    </row>
    <row r="25" spans="20:22" ht="13" x14ac:dyDescent="0.3">
      <c r="T25" s="40">
        <v>20637.259999999998</v>
      </c>
      <c r="U25" s="40">
        <f>T25*5%</f>
        <v>1031.8630000000001</v>
      </c>
      <c r="V25" s="44">
        <f>T25+U25</f>
        <v>21669.123</v>
      </c>
    </row>
    <row r="28" spans="20:22" x14ac:dyDescent="0.25">
      <c r="T28">
        <v>17082.099999999999</v>
      </c>
      <c r="U28">
        <f>T28*U10</f>
        <v>854.10500000000002</v>
      </c>
      <c r="V28" s="43">
        <f>T28+U28</f>
        <v>17936.204999999998</v>
      </c>
    </row>
    <row r="30" spans="20:22" x14ac:dyDescent="0.25">
      <c r="T30" s="45"/>
      <c r="V30" s="45">
        <f>V25*93.49%</f>
        <v>20258.4630927</v>
      </c>
    </row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7"/>
  <sheetViews>
    <sheetView topLeftCell="C8" workbookViewId="0">
      <selection activeCell="G49" sqref="G49"/>
    </sheetView>
  </sheetViews>
  <sheetFormatPr defaultRowHeight="12.5" x14ac:dyDescent="0.25"/>
  <cols>
    <col min="1" max="1" width="20.81640625" bestFit="1" customWidth="1"/>
    <col min="2" max="2" width="65.453125" bestFit="1" customWidth="1"/>
    <col min="3" max="3" width="23.26953125" customWidth="1"/>
    <col min="4" max="4" width="23.26953125" style="35" customWidth="1"/>
    <col min="5" max="5" width="16.1796875" customWidth="1"/>
    <col min="7" max="7" width="14.81640625" customWidth="1"/>
    <col min="8" max="8" width="20.1796875" bestFit="1" customWidth="1"/>
    <col min="9" max="9" width="10.7265625" bestFit="1" customWidth="1"/>
    <col min="10" max="10" width="18.26953125" bestFit="1" customWidth="1"/>
    <col min="11" max="12" width="18.26953125" style="34" customWidth="1"/>
    <col min="13" max="13" width="27.1796875" bestFit="1" customWidth="1"/>
    <col min="14" max="14" width="31.7265625" customWidth="1"/>
    <col min="16" max="17" width="11.81640625" bestFit="1" customWidth="1"/>
  </cols>
  <sheetData>
    <row r="3" spans="1:16" s="34" customFormat="1" ht="24.65" customHeight="1" x14ac:dyDescent="0.25">
      <c r="A3"/>
      <c r="B3"/>
      <c r="C3"/>
      <c r="D3" s="35"/>
      <c r="E3"/>
      <c r="F3"/>
      <c r="G3"/>
      <c r="H3"/>
      <c r="I3"/>
      <c r="J3"/>
      <c r="M3" t="s">
        <v>95</v>
      </c>
      <c r="N3" s="93">
        <v>0.31969999999999998</v>
      </c>
      <c r="O3"/>
      <c r="P3"/>
    </row>
    <row r="4" spans="1:16" s="34" customFormat="1" ht="13" thickBot="1" x14ac:dyDescent="0.3">
      <c r="D4" s="35"/>
    </row>
    <row r="5" spans="1:16" s="34" customFormat="1" ht="13" thickBot="1" x14ac:dyDescent="0.3">
      <c r="A5" s="3"/>
      <c r="B5" s="4"/>
      <c r="C5" s="4"/>
      <c r="D5" s="100"/>
      <c r="E5" s="505" t="s">
        <v>33</v>
      </c>
      <c r="F5" s="506"/>
      <c r="G5" s="506"/>
      <c r="H5" s="506"/>
      <c r="I5" s="506"/>
      <c r="J5" s="506"/>
      <c r="K5" s="506"/>
      <c r="L5" s="506"/>
      <c r="M5" s="506"/>
      <c r="N5" s="507"/>
    </row>
    <row r="6" spans="1:16" s="34" customFormat="1" ht="13" thickBot="1" x14ac:dyDescent="0.3">
      <c r="A6" s="1"/>
      <c r="B6" s="1"/>
      <c r="C6" s="1"/>
      <c r="D6" s="67"/>
    </row>
    <row r="7" spans="1:16" s="34" customFormat="1" ht="27" customHeight="1" thickBot="1" x14ac:dyDescent="0.35">
      <c r="A7" s="498"/>
      <c r="B7" s="498"/>
      <c r="C7" s="499"/>
      <c r="D7" s="101"/>
      <c r="E7" s="508" t="s">
        <v>57</v>
      </c>
      <c r="F7" s="509"/>
      <c r="G7" s="509"/>
      <c r="H7" s="509"/>
      <c r="I7" s="509"/>
      <c r="J7" s="509"/>
      <c r="K7" s="509"/>
      <c r="L7" s="509"/>
      <c r="M7" s="509"/>
      <c r="N7" s="509"/>
    </row>
    <row r="8" spans="1:16" s="34" customFormat="1" ht="13.75" customHeight="1" thickBot="1" x14ac:dyDescent="0.3">
      <c r="A8" s="498"/>
      <c r="B8" s="498"/>
      <c r="C8" s="499"/>
      <c r="D8" s="36"/>
      <c r="E8" s="494">
        <v>1720</v>
      </c>
      <c r="F8" s="495"/>
      <c r="G8" s="495"/>
      <c r="H8" s="495"/>
      <c r="I8" s="495"/>
      <c r="J8" s="496"/>
      <c r="K8" s="46"/>
      <c r="L8" s="46"/>
    </row>
    <row r="9" spans="1:16" s="34" customFormat="1" ht="28.4" customHeight="1" thickBot="1" x14ac:dyDescent="0.3">
      <c r="A9" s="498"/>
      <c r="B9" s="498"/>
      <c r="C9" s="499"/>
      <c r="D9" s="36"/>
      <c r="E9" s="491">
        <v>38.5</v>
      </c>
      <c r="F9" s="492"/>
      <c r="G9" s="492"/>
      <c r="H9" s="492"/>
      <c r="I9" s="492"/>
      <c r="J9" s="493"/>
      <c r="K9" s="47"/>
      <c r="L9" s="47"/>
    </row>
    <row r="10" spans="1:16" s="34" customFormat="1" ht="13" thickBot="1" x14ac:dyDescent="0.3">
      <c r="D10" s="35"/>
    </row>
    <row r="11" spans="1:16" s="34" customFormat="1" ht="12.75" customHeight="1" x14ac:dyDescent="0.25">
      <c r="A11" s="482" t="s">
        <v>2</v>
      </c>
      <c r="B11" s="482" t="s">
        <v>20</v>
      </c>
      <c r="C11" s="482" t="s">
        <v>21</v>
      </c>
      <c r="D11" s="37"/>
      <c r="E11" s="482" t="s">
        <v>22</v>
      </c>
      <c r="F11" s="482" t="s">
        <v>10</v>
      </c>
      <c r="G11" s="482" t="s">
        <v>3</v>
      </c>
      <c r="H11" s="482" t="s">
        <v>5</v>
      </c>
      <c r="I11" s="482" t="s">
        <v>8</v>
      </c>
      <c r="J11" s="482" t="s">
        <v>4</v>
      </c>
      <c r="K11" s="33"/>
      <c r="L11" s="33"/>
      <c r="M11" s="482" t="s">
        <v>15</v>
      </c>
      <c r="N11" s="482" t="s">
        <v>9</v>
      </c>
    </row>
    <row r="12" spans="1:16" s="34" customFormat="1" ht="37.5" x14ac:dyDescent="0.25">
      <c r="A12" s="487"/>
      <c r="B12" s="487"/>
      <c r="C12" s="487"/>
      <c r="D12" s="38" t="s">
        <v>99</v>
      </c>
      <c r="E12" s="487"/>
      <c r="F12" s="487"/>
      <c r="G12" s="487"/>
      <c r="H12" s="487"/>
      <c r="I12" s="487"/>
      <c r="J12" s="483"/>
      <c r="K12" s="49" t="s">
        <v>92</v>
      </c>
      <c r="L12" s="49"/>
      <c r="M12" s="487"/>
      <c r="N12" s="483"/>
    </row>
    <row r="13" spans="1:16" s="34" customFormat="1" ht="13" thickBot="1" x14ac:dyDescent="0.3">
      <c r="A13" s="488"/>
      <c r="B13" s="488"/>
      <c r="C13" s="488"/>
      <c r="D13" s="39"/>
      <c r="E13" s="488"/>
      <c r="F13" s="488"/>
      <c r="G13" s="488"/>
      <c r="H13" s="488"/>
      <c r="I13" s="488"/>
      <c r="J13" s="484"/>
      <c r="K13" s="48"/>
      <c r="L13" s="48"/>
      <c r="M13" s="488"/>
      <c r="N13" s="484"/>
    </row>
    <row r="14" spans="1:16" s="7" customFormat="1" ht="14.5" x14ac:dyDescent="0.35">
      <c r="A14" s="51" t="s">
        <v>24</v>
      </c>
      <c r="B14" s="52" t="s">
        <v>35</v>
      </c>
      <c r="C14" s="51" t="s">
        <v>24</v>
      </c>
      <c r="D14" s="51">
        <v>1</v>
      </c>
      <c r="E14" s="53" t="s">
        <v>43</v>
      </c>
      <c r="F14" s="54">
        <v>100</v>
      </c>
      <c r="G14" s="51">
        <v>38.5</v>
      </c>
      <c r="H14" s="51" t="s">
        <v>25</v>
      </c>
      <c r="I14" s="55">
        <v>45411</v>
      </c>
      <c r="J14" s="56">
        <v>38500</v>
      </c>
      <c r="K14" s="57">
        <f>'Dades conveni'!$V$12</f>
        <v>40353.705000000002</v>
      </c>
      <c r="L14" s="57"/>
      <c r="M14" s="58">
        <f>J14*0.3197</f>
        <v>12308.449999999999</v>
      </c>
      <c r="N14" s="59">
        <f>J14+M14</f>
        <v>50808.45</v>
      </c>
    </row>
    <row r="15" spans="1:16" s="7" customFormat="1" ht="14.5" x14ac:dyDescent="0.35">
      <c r="A15" s="60" t="s">
        <v>26</v>
      </c>
      <c r="B15" s="61" t="s">
        <v>34</v>
      </c>
      <c r="C15" s="60" t="s">
        <v>26</v>
      </c>
      <c r="D15" s="60"/>
      <c r="E15" s="53" t="s">
        <v>42</v>
      </c>
      <c r="F15" s="62">
        <v>93.929651162790691</v>
      </c>
      <c r="G15" s="60">
        <v>36.159999999999997</v>
      </c>
      <c r="H15" s="60" t="s">
        <v>25</v>
      </c>
      <c r="I15" s="63">
        <v>45365</v>
      </c>
      <c r="J15" s="64">
        <v>17431.330000000002</v>
      </c>
      <c r="K15" s="64">
        <v>21669.123</v>
      </c>
      <c r="L15" s="64">
        <f>K15*93.93%</f>
        <v>20353.807233899999</v>
      </c>
      <c r="M15" s="65">
        <f>J15*0.3197</f>
        <v>5572.7962010000001</v>
      </c>
      <c r="N15" s="66">
        <f t="shared" ref="N15:N22" si="0">J15+M15</f>
        <v>23004.126201000003</v>
      </c>
    </row>
    <row r="16" spans="1:16" s="7" customFormat="1" ht="14.5" x14ac:dyDescent="0.35">
      <c r="A16" s="60" t="s">
        <v>26</v>
      </c>
      <c r="B16" s="61" t="s">
        <v>53</v>
      </c>
      <c r="C16" s="60" t="s">
        <v>26</v>
      </c>
      <c r="D16" s="60"/>
      <c r="E16" s="53" t="s">
        <v>47</v>
      </c>
      <c r="F16" s="62">
        <v>61.002906976744185</v>
      </c>
      <c r="G16" s="60">
        <v>23.5</v>
      </c>
      <c r="H16" s="60" t="s">
        <v>25</v>
      </c>
      <c r="I16" s="63">
        <v>44022</v>
      </c>
      <c r="J16" s="64">
        <v>10912.8</v>
      </c>
      <c r="K16" s="64"/>
      <c r="L16" s="64">
        <f>K15*61%</f>
        <v>13218.16503</v>
      </c>
      <c r="M16" s="65">
        <f t="shared" ref="M16:M22" si="1">J16*0.3197</f>
        <v>3488.8221599999997</v>
      </c>
      <c r="N16" s="66">
        <f t="shared" si="0"/>
        <v>14401.622159999999</v>
      </c>
    </row>
    <row r="17" spans="1:22" s="7" customFormat="1" ht="14.5" x14ac:dyDescent="0.35">
      <c r="A17" s="60" t="s">
        <v>26</v>
      </c>
      <c r="B17" s="61" t="s">
        <v>37</v>
      </c>
      <c r="C17" s="60" t="s">
        <v>26</v>
      </c>
      <c r="D17" s="60"/>
      <c r="E17" s="53" t="s">
        <v>41</v>
      </c>
      <c r="F17" s="62">
        <v>61.002906976744185</v>
      </c>
      <c r="G17" s="60">
        <v>23.5</v>
      </c>
      <c r="H17" s="60" t="s">
        <v>25</v>
      </c>
      <c r="I17" s="63">
        <v>45310</v>
      </c>
      <c r="J17" s="64">
        <v>11320.46</v>
      </c>
      <c r="K17" s="64"/>
      <c r="L17" s="64">
        <f>K15*F17%</f>
        <v>13218.794946366279</v>
      </c>
      <c r="M17" s="65">
        <f t="shared" si="1"/>
        <v>3619.1510619999995</v>
      </c>
      <c r="N17" s="66">
        <f t="shared" si="0"/>
        <v>14939.611061999998</v>
      </c>
    </row>
    <row r="18" spans="1:22" s="7" customFormat="1" ht="14.5" x14ac:dyDescent="0.35">
      <c r="A18" s="60" t="s">
        <v>26</v>
      </c>
      <c r="B18" s="61" t="s">
        <v>34</v>
      </c>
      <c r="C18" s="60" t="s">
        <v>26</v>
      </c>
      <c r="D18" s="60"/>
      <c r="E18" s="53" t="s">
        <v>46</v>
      </c>
      <c r="F18" s="62">
        <v>93.488372093023258</v>
      </c>
      <c r="G18" s="60">
        <v>36</v>
      </c>
      <c r="H18" s="60" t="s">
        <v>25</v>
      </c>
      <c r="I18" s="63">
        <v>42802</v>
      </c>
      <c r="J18" s="64">
        <v>18162.48</v>
      </c>
      <c r="K18" s="64"/>
      <c r="L18" s="64">
        <f>K15*93.49%</f>
        <v>20258.4630927</v>
      </c>
      <c r="M18" s="65">
        <f t="shared" si="1"/>
        <v>5806.5448559999995</v>
      </c>
      <c r="N18" s="66">
        <f t="shared" si="0"/>
        <v>23969.024856</v>
      </c>
    </row>
    <row r="19" spans="1:22" s="7" customFormat="1" ht="14.5" x14ac:dyDescent="0.35">
      <c r="A19" s="68" t="s">
        <v>27</v>
      </c>
      <c r="B19" s="69" t="s">
        <v>36</v>
      </c>
      <c r="C19" s="68" t="s">
        <v>27</v>
      </c>
      <c r="D19" s="68"/>
      <c r="E19" s="70" t="s">
        <v>48</v>
      </c>
      <c r="F19" s="71">
        <v>100</v>
      </c>
      <c r="G19" s="68">
        <v>38.5</v>
      </c>
      <c r="H19" s="68" t="s">
        <v>25</v>
      </c>
      <c r="I19" s="72">
        <v>42849</v>
      </c>
      <c r="J19" s="73">
        <v>16951.2</v>
      </c>
      <c r="K19" s="73"/>
      <c r="L19" s="73"/>
      <c r="M19" s="74">
        <f t="shared" si="1"/>
        <v>5419.29864</v>
      </c>
      <c r="N19" s="75">
        <f t="shared" si="0"/>
        <v>22370.498640000002</v>
      </c>
      <c r="O19" s="500" t="s">
        <v>93</v>
      </c>
      <c r="P19" s="501"/>
      <c r="Q19" s="501"/>
      <c r="R19" s="501"/>
      <c r="S19" s="501"/>
      <c r="T19" s="501"/>
      <c r="U19" s="501"/>
    </row>
    <row r="20" spans="1:22" s="7" customFormat="1" ht="14.5" x14ac:dyDescent="0.35">
      <c r="A20" s="68" t="s">
        <v>27</v>
      </c>
      <c r="B20" s="69" t="s">
        <v>36</v>
      </c>
      <c r="C20" s="68" t="s">
        <v>27</v>
      </c>
      <c r="D20" s="68"/>
      <c r="E20" s="70" t="s">
        <v>49</v>
      </c>
      <c r="F20" s="71">
        <v>64.941860465116278</v>
      </c>
      <c r="G20" s="68">
        <v>25</v>
      </c>
      <c r="H20" s="68" t="s">
        <v>25</v>
      </c>
      <c r="I20" s="72">
        <v>42812</v>
      </c>
      <c r="J20" s="73">
        <v>12321</v>
      </c>
      <c r="K20" s="73"/>
      <c r="L20" s="73"/>
      <c r="M20" s="74">
        <f t="shared" si="1"/>
        <v>3939.0236999999997</v>
      </c>
      <c r="N20" s="75">
        <f t="shared" si="0"/>
        <v>16260.0237</v>
      </c>
      <c r="O20" s="500"/>
      <c r="P20" s="501"/>
      <c r="Q20" s="501"/>
      <c r="R20" s="501"/>
      <c r="S20" s="501"/>
      <c r="T20" s="501"/>
      <c r="U20" s="501"/>
    </row>
    <row r="21" spans="1:22" x14ac:dyDescent="0.25">
      <c r="A21" s="76" t="s">
        <v>85</v>
      </c>
      <c r="B21" s="76" t="s">
        <v>36</v>
      </c>
      <c r="C21" s="76" t="s">
        <v>91</v>
      </c>
      <c r="D21" s="76"/>
      <c r="E21" s="76" t="s">
        <v>48</v>
      </c>
      <c r="F21" s="76">
        <v>100</v>
      </c>
      <c r="G21" s="76">
        <v>38.5</v>
      </c>
      <c r="H21" s="76" t="s">
        <v>25</v>
      </c>
      <c r="I21" s="78">
        <v>42849</v>
      </c>
      <c r="J21" s="77">
        <v>20637.259999999998</v>
      </c>
      <c r="K21" s="77">
        <f>'Dades conveni'!$V$28</f>
        <v>17936.204999999998</v>
      </c>
      <c r="L21" s="77">
        <f>K21</f>
        <v>17936.204999999998</v>
      </c>
      <c r="M21" s="74">
        <f t="shared" si="1"/>
        <v>6597.7320219999992</v>
      </c>
      <c r="N21" s="75">
        <f t="shared" si="0"/>
        <v>27234.992021999999</v>
      </c>
      <c r="O21" s="502" t="s">
        <v>94</v>
      </c>
      <c r="P21" s="503"/>
      <c r="Q21" s="503"/>
      <c r="R21" s="503"/>
      <c r="S21" s="503"/>
      <c r="T21" s="503"/>
      <c r="U21" s="503"/>
      <c r="V21" s="503"/>
    </row>
    <row r="22" spans="1:22" x14ac:dyDescent="0.25">
      <c r="A22" s="76" t="s">
        <v>85</v>
      </c>
      <c r="B22" s="76" t="s">
        <v>36</v>
      </c>
      <c r="C22" s="76" t="s">
        <v>91</v>
      </c>
      <c r="D22" s="76"/>
      <c r="E22" s="76" t="s">
        <v>49</v>
      </c>
      <c r="F22" s="79">
        <v>64.941860465116278</v>
      </c>
      <c r="G22" s="76">
        <v>25</v>
      </c>
      <c r="H22" s="76" t="s">
        <v>25</v>
      </c>
      <c r="I22" s="78">
        <v>42812</v>
      </c>
      <c r="J22" s="77">
        <v>13400.81818181818</v>
      </c>
      <c r="K22" s="77">
        <f>'Dades conveni'!$V$28</f>
        <v>17936.204999999998</v>
      </c>
      <c r="L22" s="80">
        <f>K22*64.94%</f>
        <v>11647.771526999999</v>
      </c>
      <c r="M22" s="74">
        <f t="shared" si="1"/>
        <v>4284.2415727272719</v>
      </c>
      <c r="N22" s="75">
        <f t="shared" si="0"/>
        <v>17685.059754545451</v>
      </c>
      <c r="O22" s="502"/>
      <c r="P22" s="503"/>
      <c r="Q22" s="503"/>
      <c r="R22" s="503"/>
      <c r="S22" s="503"/>
      <c r="T22" s="503"/>
      <c r="U22" s="503"/>
      <c r="V22" s="503"/>
    </row>
    <row r="23" spans="1:22" x14ac:dyDescent="0.25">
      <c r="I23" s="82"/>
      <c r="J23" s="40"/>
    </row>
    <row r="24" spans="1:22" x14ac:dyDescent="0.25">
      <c r="A24" s="83" t="s">
        <v>28</v>
      </c>
      <c r="B24" s="84" t="s">
        <v>38</v>
      </c>
      <c r="C24" s="84" t="s">
        <v>28</v>
      </c>
      <c r="D24" s="84"/>
      <c r="E24" s="84" t="s">
        <v>47</v>
      </c>
      <c r="F24" s="90">
        <v>61.002906976744185</v>
      </c>
      <c r="G24" s="84">
        <v>23.5</v>
      </c>
      <c r="H24" s="84" t="s">
        <v>25</v>
      </c>
      <c r="I24" s="85">
        <v>42819</v>
      </c>
      <c r="J24" s="86">
        <v>11986.68</v>
      </c>
      <c r="K24" s="84">
        <v>27308.043000000001</v>
      </c>
      <c r="L24" s="86">
        <f>K24*F24%</f>
        <v>16658.700068459304</v>
      </c>
      <c r="M24" s="86">
        <f>L24*N3</f>
        <v>5325.7864118864391</v>
      </c>
      <c r="N24" s="84"/>
    </row>
    <row r="25" spans="1:22" x14ac:dyDescent="0.25">
      <c r="A25" s="84" t="s">
        <v>28</v>
      </c>
      <c r="B25" s="84" t="s">
        <v>54</v>
      </c>
      <c r="C25" s="84" t="s">
        <v>28</v>
      </c>
      <c r="D25" s="84"/>
      <c r="E25" s="84" t="s">
        <v>41</v>
      </c>
      <c r="F25" s="90">
        <v>61.002906976744185</v>
      </c>
      <c r="G25" s="84">
        <v>23.5</v>
      </c>
      <c r="H25" s="84" t="s">
        <v>25</v>
      </c>
      <c r="I25" s="85">
        <v>45331</v>
      </c>
      <c r="J25" s="86">
        <v>11399.57</v>
      </c>
      <c r="K25" s="84"/>
      <c r="L25" s="86">
        <f>K24*F25%</f>
        <v>16658.700068459304</v>
      </c>
      <c r="M25" s="96">
        <f>N3*L25</f>
        <v>5325.7864118864391</v>
      </c>
      <c r="N25" s="84"/>
      <c r="O25" s="84" t="s">
        <v>96</v>
      </c>
      <c r="P25" s="84"/>
      <c r="Q25" s="84"/>
      <c r="R25" s="84"/>
      <c r="S25" s="84"/>
      <c r="T25" s="84"/>
      <c r="U25" s="84"/>
      <c r="V25" s="84"/>
    </row>
    <row r="26" spans="1:22" x14ac:dyDescent="0.25">
      <c r="A26" s="87" t="s">
        <v>28</v>
      </c>
      <c r="B26" s="87" t="s">
        <v>37</v>
      </c>
      <c r="C26" s="87" t="s">
        <v>28</v>
      </c>
      <c r="D26" s="87"/>
      <c r="E26" s="87" t="s">
        <v>50</v>
      </c>
      <c r="F26" s="87">
        <v>100</v>
      </c>
      <c r="G26" s="87">
        <v>38.5</v>
      </c>
      <c r="H26" s="87" t="s">
        <v>25</v>
      </c>
      <c r="I26" s="88">
        <v>42807</v>
      </c>
      <c r="J26" s="89">
        <v>23429.74</v>
      </c>
      <c r="K26" s="87">
        <f>'Dades conveni'!$V$19</f>
        <v>27308.043000000001</v>
      </c>
      <c r="L26" s="92">
        <f>K26</f>
        <v>27308.043000000001</v>
      </c>
      <c r="M26" s="94">
        <f>L26*$N$3</f>
        <v>8730.3813470999994</v>
      </c>
      <c r="N26" s="95">
        <f>L26+M26</f>
        <v>36038.424347100001</v>
      </c>
    </row>
    <row r="27" spans="1:22" x14ac:dyDescent="0.25">
      <c r="A27" s="87" t="s">
        <v>28</v>
      </c>
      <c r="B27" s="87" t="s">
        <v>37</v>
      </c>
      <c r="C27" s="87" t="s">
        <v>28</v>
      </c>
      <c r="D27" s="87"/>
      <c r="E27" s="87" t="s">
        <v>49</v>
      </c>
      <c r="F27" s="87">
        <v>61</v>
      </c>
      <c r="G27" s="87">
        <v>23.5</v>
      </c>
      <c r="H27" s="87" t="s">
        <v>25</v>
      </c>
      <c r="I27" s="88">
        <v>45236</v>
      </c>
      <c r="J27" s="89">
        <v>13293.48</v>
      </c>
      <c r="K27" s="87"/>
      <c r="L27" s="92">
        <f>K26*61%</f>
        <v>16657.906230000001</v>
      </c>
      <c r="M27" s="94">
        <f t="shared" ref="M27:M35" si="2">L27*$N$3</f>
        <v>5325.5326217310003</v>
      </c>
      <c r="N27" s="95">
        <f t="shared" ref="N27:N35" si="3">L27+M27</f>
        <v>21983.438851731</v>
      </c>
      <c r="P27" s="81"/>
      <c r="Q27" s="81"/>
    </row>
    <row r="28" spans="1:22" x14ac:dyDescent="0.25">
      <c r="A28" s="87" t="s">
        <v>28</v>
      </c>
      <c r="B28" s="87" t="s">
        <v>37</v>
      </c>
      <c r="C28" s="87" t="s">
        <v>28</v>
      </c>
      <c r="D28" s="87"/>
      <c r="E28" s="87" t="s">
        <v>46</v>
      </c>
      <c r="F28" s="91">
        <v>93.930232558139537</v>
      </c>
      <c r="G28" s="87">
        <v>36.159999999999997</v>
      </c>
      <c r="H28" s="87" t="s">
        <v>25</v>
      </c>
      <c r="I28" s="88">
        <v>43777</v>
      </c>
      <c r="J28" s="89">
        <v>18457.650000000001</v>
      </c>
      <c r="K28" s="87"/>
      <c r="L28" s="92">
        <f>K26*93.93%</f>
        <v>25650.444789900001</v>
      </c>
      <c r="M28" s="94">
        <f t="shared" si="2"/>
        <v>8200.447199331029</v>
      </c>
      <c r="N28" s="95">
        <f t="shared" si="3"/>
        <v>33850.89198923103</v>
      </c>
      <c r="P28" s="81"/>
    </row>
    <row r="29" spans="1:22" x14ac:dyDescent="0.25">
      <c r="A29" s="87" t="s">
        <v>28</v>
      </c>
      <c r="B29" s="87" t="s">
        <v>37</v>
      </c>
      <c r="C29" s="87" t="s">
        <v>28</v>
      </c>
      <c r="D29" s="87"/>
      <c r="E29" s="87" t="s">
        <v>46</v>
      </c>
      <c r="F29" s="91">
        <v>93.488372093023258</v>
      </c>
      <c r="G29" s="87">
        <v>36</v>
      </c>
      <c r="H29" s="87" t="s">
        <v>25</v>
      </c>
      <c r="I29" s="88">
        <v>42801</v>
      </c>
      <c r="J29" s="89">
        <v>18457.439999999999</v>
      </c>
      <c r="K29" s="87"/>
      <c r="L29" s="92">
        <f>K26*93.49%</f>
        <v>25530.2894007</v>
      </c>
      <c r="M29" s="94">
        <f t="shared" si="2"/>
        <v>8162.0335214037896</v>
      </c>
      <c r="N29" s="95">
        <f t="shared" si="3"/>
        <v>33692.322922103791</v>
      </c>
    </row>
    <row r="30" spans="1:22" x14ac:dyDescent="0.25">
      <c r="A30" s="87" t="s">
        <v>28</v>
      </c>
      <c r="B30" s="87" t="s">
        <v>37</v>
      </c>
      <c r="C30" s="87" t="s">
        <v>28</v>
      </c>
      <c r="D30" s="87"/>
      <c r="E30" s="87" t="s">
        <v>47</v>
      </c>
      <c r="F30" s="91">
        <v>61</v>
      </c>
      <c r="G30" s="87">
        <v>23.5</v>
      </c>
      <c r="H30" s="87" t="s">
        <v>25</v>
      </c>
      <c r="I30" s="88">
        <v>45295</v>
      </c>
      <c r="J30" s="89">
        <v>10995.094545454547</v>
      </c>
      <c r="K30" s="87"/>
      <c r="L30" s="92">
        <f>K26*F30%</f>
        <v>16657.906230000001</v>
      </c>
      <c r="M30" s="94">
        <f t="shared" si="2"/>
        <v>5325.5326217310003</v>
      </c>
      <c r="N30" s="95">
        <f t="shared" si="3"/>
        <v>21983.438851731</v>
      </c>
    </row>
    <row r="31" spans="1:22" x14ac:dyDescent="0.25">
      <c r="A31" s="87" t="s">
        <v>28</v>
      </c>
      <c r="B31" s="87" t="s">
        <v>37</v>
      </c>
      <c r="C31" s="87" t="s">
        <v>28</v>
      </c>
      <c r="D31" s="87"/>
      <c r="E31" s="87" t="s">
        <v>47</v>
      </c>
      <c r="F31" s="91">
        <v>61</v>
      </c>
      <c r="G31" s="87">
        <v>23.5</v>
      </c>
      <c r="H31" s="87" t="s">
        <v>25</v>
      </c>
      <c r="I31" s="88">
        <v>44661</v>
      </c>
      <c r="J31" s="89">
        <v>10995.07012987013</v>
      </c>
      <c r="K31" s="87"/>
      <c r="L31" s="92">
        <f>K26*F31%</f>
        <v>16657.906230000001</v>
      </c>
      <c r="M31" s="94">
        <f t="shared" si="2"/>
        <v>5325.5326217310003</v>
      </c>
      <c r="N31" s="95">
        <f t="shared" si="3"/>
        <v>21983.438851731</v>
      </c>
    </row>
    <row r="32" spans="1:22" x14ac:dyDescent="0.25">
      <c r="A32" s="87" t="s">
        <v>28</v>
      </c>
      <c r="B32" s="87" t="s">
        <v>37</v>
      </c>
      <c r="C32" s="87" t="s">
        <v>28</v>
      </c>
      <c r="D32" s="87"/>
      <c r="E32" s="87" t="s">
        <v>41</v>
      </c>
      <c r="F32" s="91">
        <v>100</v>
      </c>
      <c r="G32" s="87">
        <v>38.5</v>
      </c>
      <c r="H32" s="87" t="s">
        <v>25</v>
      </c>
      <c r="I32" s="88">
        <v>45306</v>
      </c>
      <c r="J32" s="89">
        <v>18013.240000000002</v>
      </c>
      <c r="K32" s="87"/>
      <c r="L32" s="92">
        <f>K26</f>
        <v>27308.043000000001</v>
      </c>
      <c r="M32" s="94">
        <f t="shared" si="2"/>
        <v>8730.3813470999994</v>
      </c>
      <c r="N32" s="95">
        <f t="shared" si="3"/>
        <v>36038.424347100001</v>
      </c>
    </row>
    <row r="33" spans="1:22" x14ac:dyDescent="0.25">
      <c r="A33" s="87" t="s">
        <v>28</v>
      </c>
      <c r="B33" s="87" t="s">
        <v>37</v>
      </c>
      <c r="C33" s="87" t="s">
        <v>28</v>
      </c>
      <c r="D33" s="87"/>
      <c r="E33" s="87" t="s">
        <v>41</v>
      </c>
      <c r="F33" s="91">
        <v>100</v>
      </c>
      <c r="G33" s="87">
        <v>38.5</v>
      </c>
      <c r="H33" s="87" t="s">
        <v>25</v>
      </c>
      <c r="I33" s="88">
        <v>43497</v>
      </c>
      <c r="J33" s="87">
        <v>19308.759999999998</v>
      </c>
      <c r="K33" s="87"/>
      <c r="L33" s="92">
        <f>K26</f>
        <v>27308.043000000001</v>
      </c>
      <c r="M33" s="94">
        <f t="shared" si="2"/>
        <v>8730.3813470999994</v>
      </c>
      <c r="N33" s="95">
        <f t="shared" si="3"/>
        <v>36038.424347100001</v>
      </c>
    </row>
    <row r="34" spans="1:22" x14ac:dyDescent="0.25">
      <c r="A34" s="87" t="s">
        <v>28</v>
      </c>
      <c r="B34" s="87" t="s">
        <v>51</v>
      </c>
      <c r="C34" s="87" t="s">
        <v>28</v>
      </c>
      <c r="D34" s="87"/>
      <c r="E34" s="87" t="s">
        <v>42</v>
      </c>
      <c r="F34" s="87">
        <v>100</v>
      </c>
      <c r="G34" s="87">
        <v>38.5</v>
      </c>
      <c r="H34" s="87" t="s">
        <v>25</v>
      </c>
      <c r="I34" s="88">
        <v>41671</v>
      </c>
      <c r="J34" s="87">
        <v>21606.240000000002</v>
      </c>
      <c r="K34" s="87"/>
      <c r="L34" s="89">
        <f>K26</f>
        <v>27308.043000000001</v>
      </c>
      <c r="M34" s="94">
        <f t="shared" si="2"/>
        <v>8730.3813470999994</v>
      </c>
      <c r="N34" s="95">
        <f t="shared" si="3"/>
        <v>36038.424347100001</v>
      </c>
      <c r="O34" s="504" t="s">
        <v>97</v>
      </c>
      <c r="P34" s="504"/>
      <c r="Q34" s="504"/>
      <c r="R34" s="504"/>
      <c r="S34" s="504"/>
      <c r="T34" s="504"/>
      <c r="U34" s="504"/>
      <c r="V34" s="504"/>
    </row>
    <row r="35" spans="1:22" x14ac:dyDescent="0.25">
      <c r="A35" s="87" t="s">
        <v>28</v>
      </c>
      <c r="B35" s="87" t="s">
        <v>37</v>
      </c>
      <c r="C35" s="87" t="s">
        <v>28</v>
      </c>
      <c r="D35" s="87"/>
      <c r="E35" s="87" t="s">
        <v>46</v>
      </c>
      <c r="F35" s="87">
        <v>93.930232558139537</v>
      </c>
      <c r="G35" s="87">
        <v>36.159999999999997</v>
      </c>
      <c r="H35" s="87" t="s">
        <v>30</v>
      </c>
      <c r="I35" s="88">
        <v>45411</v>
      </c>
      <c r="J35" s="87">
        <v>16919.7</v>
      </c>
      <c r="K35" s="87"/>
      <c r="L35" s="89">
        <f>K26*F35%</f>
        <v>25650.508296976746</v>
      </c>
      <c r="M35" s="94">
        <f t="shared" si="2"/>
        <v>8200.4675025434663</v>
      </c>
      <c r="N35" s="95">
        <f t="shared" si="3"/>
        <v>33850.975799520209</v>
      </c>
    </row>
    <row r="36" spans="1:22" x14ac:dyDescent="0.25">
      <c r="F36" s="40"/>
      <c r="J36" s="40"/>
    </row>
    <row r="37" spans="1:22" x14ac:dyDescent="0.25">
      <c r="A37" t="s">
        <v>29</v>
      </c>
      <c r="B37" t="s">
        <v>39</v>
      </c>
      <c r="C37" t="s">
        <v>29</v>
      </c>
      <c r="E37" t="s">
        <v>42</v>
      </c>
      <c r="F37" s="40">
        <v>100</v>
      </c>
      <c r="G37">
        <v>38.5</v>
      </c>
      <c r="H37" t="s">
        <v>25</v>
      </c>
      <c r="I37" s="82">
        <v>45218</v>
      </c>
      <c r="J37" s="40">
        <v>20270.580000000002</v>
      </c>
      <c r="K37" s="40">
        <v>27308.043000000001</v>
      </c>
      <c r="L37" s="40">
        <f>K36:K37</f>
        <v>27308.043000000001</v>
      </c>
      <c r="M37" s="94">
        <f>L37*$N$3</f>
        <v>8730.3813470999994</v>
      </c>
      <c r="N37" s="99">
        <f>L37+M37</f>
        <v>36038.424347100001</v>
      </c>
    </row>
    <row r="38" spans="1:22" x14ac:dyDescent="0.25">
      <c r="A38" t="str">
        <f>'SETEMBRE 2024 XV'!B35</f>
        <v>EDUCACIÓ SOCIAL</v>
      </c>
      <c r="B38" t="str">
        <f>'SETEMBRE 2024 XV'!C35</f>
        <v>TÉCNICO SUPERIOR INTEGRACIÓN SOCIAL / CURSANDO GRADO EN EDUCACIÓN SOCIAL</v>
      </c>
      <c r="C38" t="str">
        <f>'SETEMBRE 2024 XV'!D35</f>
        <v>EDUCACIÓ SOCIAL</v>
      </c>
      <c r="E38" t="str">
        <f>'SETEMBRE 2024 XV'!E35</f>
        <v>DL-DV 23H-07:15H</v>
      </c>
      <c r="F38" s="40">
        <f>'SETEMBRE 2024 XV'!F35</f>
        <v>100</v>
      </c>
      <c r="G38">
        <f>'SETEMBRE 2024 XV'!G35</f>
        <v>38.5</v>
      </c>
      <c r="H38" t="str">
        <f>'SETEMBRE 2024 XV'!H35</f>
        <v>INDEFINIT</v>
      </c>
      <c r="I38" s="82">
        <f>'SETEMBRE 2024 XV'!I35</f>
        <v>42440</v>
      </c>
      <c r="J38" s="40">
        <f>'SETEMBRE 2024 XV'!J35</f>
        <v>26807.16</v>
      </c>
      <c r="L38" s="97">
        <f>K37</f>
        <v>27308.043000000001</v>
      </c>
      <c r="M38" s="94">
        <f t="shared" ref="M38:M41" si="4">L38*$N$3</f>
        <v>8730.3813470999994</v>
      </c>
      <c r="N38" s="99">
        <f t="shared" ref="N38:N41" si="5">L38+M38</f>
        <v>36038.424347100001</v>
      </c>
    </row>
    <row r="39" spans="1:22" x14ac:dyDescent="0.25">
      <c r="A39" t="str">
        <f>'SETEMBRE 2024 XV'!B36</f>
        <v>EDUCACIÓ SOCIAL</v>
      </c>
      <c r="B39" t="str">
        <f>'SETEMBRE 2024 XV'!C36</f>
        <v>GRADO EN EDUCACIÓN SOCIAL</v>
      </c>
      <c r="C39" t="str">
        <f>'SETEMBRE 2024 XV'!D36</f>
        <v>EDUCACIÓ SOCIAL</v>
      </c>
      <c r="E39" t="str">
        <f>'SETEMBRE 2024 XV'!E36</f>
        <v>DV-DG 15H-23:15H</v>
      </c>
      <c r="F39" s="40">
        <f>'SETEMBRE 2024 XV'!F36</f>
        <v>61.002906976744185</v>
      </c>
      <c r="G39">
        <f>'SETEMBRE 2024 XV'!G36</f>
        <v>23.5</v>
      </c>
      <c r="H39" t="str">
        <f>'SETEMBRE 2024 XV'!H36</f>
        <v>INDEFINIT</v>
      </c>
      <c r="I39" s="82">
        <f>'SETEMBRE 2024 XV'!I36</f>
        <v>44659</v>
      </c>
      <c r="J39" s="40">
        <f>'SETEMBRE 2024 XV'!J36</f>
        <v>12365.12</v>
      </c>
      <c r="L39" s="98">
        <f>K37*F39%</f>
        <v>16658.700068459304</v>
      </c>
      <c r="M39" s="94">
        <f t="shared" si="4"/>
        <v>5325.7864118864391</v>
      </c>
      <c r="N39" s="99">
        <f t="shared" si="5"/>
        <v>21984.486480345742</v>
      </c>
    </row>
    <row r="40" spans="1:22" x14ac:dyDescent="0.25">
      <c r="A40" t="str">
        <f>'SETEMBRE 2024 XV'!B37</f>
        <v>EDUCACIÓ SOCIAL</v>
      </c>
      <c r="B40" t="str">
        <f>'SETEMBRE 2024 XV'!C37</f>
        <v>GRADO EN EDUCACIÓN SOCIAL</v>
      </c>
      <c r="C40" t="str">
        <f>'SETEMBRE 2024 XV'!D37</f>
        <v>EDUCACIÓ SOCIAL</v>
      </c>
      <c r="E40" t="str">
        <f>'SETEMBRE 2024 XV'!E37</f>
        <v>DV-DG 23H-07:15H</v>
      </c>
      <c r="F40" s="40">
        <f>'SETEMBRE 2024 XV'!F37</f>
        <v>61.002906976744185</v>
      </c>
      <c r="G40">
        <f>'SETEMBRE 2024 XV'!G37</f>
        <v>23.5</v>
      </c>
      <c r="H40" t="str">
        <f>'SETEMBRE 2024 XV'!H37</f>
        <v>EVENTUAL</v>
      </c>
      <c r="I40" s="82">
        <f>'SETEMBRE 2024 XV'!I37</f>
        <v>45470</v>
      </c>
      <c r="J40" s="40">
        <f>'SETEMBRE 2024 XV'!J37</f>
        <v>14419.65</v>
      </c>
      <c r="L40" s="98">
        <f>K37*F40%</f>
        <v>16658.700068459304</v>
      </c>
      <c r="M40" s="94">
        <f t="shared" si="4"/>
        <v>5325.7864118864391</v>
      </c>
      <c r="N40" s="99">
        <f t="shared" si="5"/>
        <v>21984.486480345742</v>
      </c>
    </row>
    <row r="41" spans="1:22" x14ac:dyDescent="0.25">
      <c r="A41" t="str">
        <f>'SETEMBRE 2024 XV'!B38</f>
        <v>EDUCACIÓ SOCIAL</v>
      </c>
      <c r="B41" t="str">
        <f>'SETEMBRE 2024 XV'!C38</f>
        <v>GRADO EN EDUCACIÓN SOCIAL</v>
      </c>
      <c r="C41" t="str">
        <f>'SETEMBRE 2024 XV'!D38</f>
        <v>EDUCACIÓ SOCIAL</v>
      </c>
      <c r="E41" t="str">
        <f>'SETEMBRE 2024 XV'!E38</f>
        <v>DV-DG 07H-15:15H</v>
      </c>
      <c r="F41" s="40">
        <f>'SETEMBRE 2024 XV'!F38</f>
        <v>61.002906976744185</v>
      </c>
      <c r="G41">
        <f>'SETEMBRE 2024 XV'!G38</f>
        <v>23.5</v>
      </c>
      <c r="H41" t="str">
        <f>'SETEMBRE 2024 XV'!H38</f>
        <v>INDEFINIT</v>
      </c>
      <c r="I41" s="82">
        <f>'SETEMBRE 2024 XV'!I38</f>
        <v>45517</v>
      </c>
      <c r="J41" s="40">
        <f>'SETEMBRE 2024 XV'!J38</f>
        <v>12365.12</v>
      </c>
      <c r="L41" s="98">
        <f>K37*F41%</f>
        <v>16658.700068459304</v>
      </c>
      <c r="M41" s="94">
        <f t="shared" si="4"/>
        <v>5325.7864118864391</v>
      </c>
      <c r="N41" s="99">
        <f t="shared" si="5"/>
        <v>21984.486480345742</v>
      </c>
    </row>
    <row r="42" spans="1:22" x14ac:dyDescent="0.25">
      <c r="F42" s="40"/>
      <c r="J42" s="40"/>
      <c r="O42" s="503" t="s">
        <v>98</v>
      </c>
      <c r="P42" s="503"/>
      <c r="Q42" s="503"/>
      <c r="R42" s="503"/>
      <c r="S42" s="503"/>
      <c r="T42" s="503"/>
      <c r="U42" s="503"/>
      <c r="V42" s="503"/>
    </row>
    <row r="43" spans="1:22" x14ac:dyDescent="0.25">
      <c r="A43" s="84" t="s">
        <v>89</v>
      </c>
      <c r="B43" s="84" t="s">
        <v>39</v>
      </c>
      <c r="C43" s="84" t="s">
        <v>90</v>
      </c>
      <c r="D43" s="84"/>
      <c r="E43" s="84" t="s">
        <v>45</v>
      </c>
      <c r="F43" s="86">
        <v>75</v>
      </c>
      <c r="G43" s="84">
        <v>28.88</v>
      </c>
      <c r="H43" s="84" t="s">
        <v>25</v>
      </c>
      <c r="I43" s="85">
        <v>42177</v>
      </c>
      <c r="J43" s="86">
        <v>25659.0226181818</v>
      </c>
      <c r="K43" s="84">
        <v>35648.823000000004</v>
      </c>
      <c r="L43" s="96">
        <f>K43*F43%</f>
        <v>26736.617250000003</v>
      </c>
      <c r="M43" s="84"/>
      <c r="N43" s="84"/>
      <c r="O43" s="503"/>
      <c r="P43" s="503"/>
      <c r="Q43" s="503"/>
      <c r="R43" s="503"/>
      <c r="S43" s="503"/>
      <c r="T43" s="503"/>
      <c r="U43" s="503"/>
      <c r="V43" s="503"/>
    </row>
    <row r="44" spans="1:22" x14ac:dyDescent="0.25">
      <c r="A44" s="84" t="s">
        <v>29</v>
      </c>
      <c r="B44" s="84" t="s">
        <v>39</v>
      </c>
      <c r="C44" s="84" t="s">
        <v>32</v>
      </c>
      <c r="D44" s="84"/>
      <c r="E44" s="86" t="s">
        <v>45</v>
      </c>
      <c r="F44" s="84">
        <v>75</v>
      </c>
      <c r="G44" s="84">
        <v>28.88</v>
      </c>
      <c r="H44" s="84" t="s">
        <v>25</v>
      </c>
      <c r="I44" s="85">
        <v>42177</v>
      </c>
      <c r="J44" s="86">
        <v>21229.88</v>
      </c>
      <c r="K44" s="84"/>
      <c r="L44" s="96">
        <f>K44*F44%</f>
        <v>0</v>
      </c>
      <c r="M44" s="84"/>
      <c r="N44" s="84"/>
    </row>
    <row r="45" spans="1:22" x14ac:dyDescent="0.25">
      <c r="F45" s="40"/>
    </row>
    <row r="46" spans="1:22" ht="14.5" x14ac:dyDescent="0.35">
      <c r="A46" s="9" t="s">
        <v>31</v>
      </c>
      <c r="B46" s="23" t="s">
        <v>40</v>
      </c>
      <c r="C46" s="9" t="s">
        <v>31</v>
      </c>
      <c r="D46" s="9"/>
      <c r="E46" s="23" t="s">
        <v>44</v>
      </c>
      <c r="F46" s="9">
        <v>100</v>
      </c>
      <c r="G46" s="9">
        <v>38.5</v>
      </c>
      <c r="H46" s="9" t="s">
        <v>25</v>
      </c>
      <c r="I46" s="16">
        <v>44641</v>
      </c>
      <c r="J46" s="10">
        <v>25383.4</v>
      </c>
      <c r="K46" s="25">
        <f>K37</f>
        <v>27308.043000000001</v>
      </c>
      <c r="L46" s="26">
        <f>K46</f>
        <v>27308.043000000001</v>
      </c>
      <c r="M46" s="81">
        <f>L46*N3</f>
        <v>8730.3813470999994</v>
      </c>
      <c r="N46" s="81">
        <f>M46+L46</f>
        <v>36038.424347100001</v>
      </c>
    </row>
    <row r="47" spans="1:22" x14ac:dyDescent="0.25">
      <c r="I47" s="82"/>
    </row>
  </sheetData>
  <mergeCells count="22">
    <mergeCell ref="E5:N5"/>
    <mergeCell ref="A7:C7"/>
    <mergeCell ref="A8:C8"/>
    <mergeCell ref="E8:J8"/>
    <mergeCell ref="A9:C9"/>
    <mergeCell ref="E9:J9"/>
    <mergeCell ref="E7:N7"/>
    <mergeCell ref="A11:A13"/>
    <mergeCell ref="B11:B13"/>
    <mergeCell ref="C11:C13"/>
    <mergeCell ref="E11:E13"/>
    <mergeCell ref="F11:F13"/>
    <mergeCell ref="O19:U20"/>
    <mergeCell ref="O21:V22"/>
    <mergeCell ref="O34:V34"/>
    <mergeCell ref="O42:V43"/>
    <mergeCell ref="G11:G13"/>
    <mergeCell ref="H11:H13"/>
    <mergeCell ref="I11:I13"/>
    <mergeCell ref="J11:J13"/>
    <mergeCell ref="M11:M13"/>
    <mergeCell ref="N11:N13"/>
  </mergeCells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defaultRowHeight="12.5" x14ac:dyDescent="0.25"/>
  <cols>
    <col min="9" max="9" width="10.81640625" customWidth="1"/>
  </cols>
  <sheetData/>
  <pageMargins left="0.7" right="0.7" top="0.75" bottom="0.75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16</vt:i4>
      </vt:variant>
    </vt:vector>
  </HeadingPairs>
  <TitlesOfParts>
    <vt:vector size="16" baseType="lpstr">
      <vt:lpstr>TAULA MARE</vt:lpstr>
      <vt:lpstr>Costos personal</vt:lpstr>
      <vt:lpstr>Costos local + mobiliari</vt:lpstr>
      <vt:lpstr>Costos informat + Comunicacions</vt:lpstr>
      <vt:lpstr>SETEMBRE 2024 XV</vt:lpstr>
      <vt:lpstr>GENER 2025 ACC SOC</vt:lpstr>
      <vt:lpstr>Dades conveni</vt:lpstr>
      <vt:lpstr>Full1</vt:lpstr>
      <vt:lpstr>CONV DISCAPC</vt:lpstr>
      <vt:lpstr>Full5</vt:lpstr>
      <vt:lpstr>Full6</vt:lpstr>
      <vt:lpstr>Full8</vt:lpstr>
      <vt:lpstr>Full2</vt:lpstr>
      <vt:lpstr>Full3</vt:lpstr>
      <vt:lpstr>Comparatiu</vt:lpstr>
      <vt:lpstr>Annex_3 bis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2025-05-28T10:23:51Z</cp:lastPrinted>
  <dcterms:created xsi:type="dcterms:W3CDTF">2011-08-02T12:25:53Z</dcterms:created>
  <dcterms:modified xsi:type="dcterms:W3CDTF">2025-05-28T10:38:17Z</dcterms:modified>
</cp:coreProperties>
</file>