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gestiona-09.espublico.com/dav/instances/"/>
    </mc:Choice>
  </mc:AlternateContent>
  <xr:revisionPtr revIDLastSave="0" documentId="13_ncr:1_{FB18B0F9-3BC5-4242-A7A9-73CD6D964787}" xr6:coauthVersionLast="47" xr6:coauthVersionMax="47" xr10:uidLastSave="{00000000-0000-0000-0000-000000000000}"/>
  <bookViews>
    <workbookView xWindow="28680" yWindow="360" windowWidth="25440" windowHeight="15390" firstSheet="3" activeTab="5" xr2:uid="{EC6DE604-75EE-4C11-836C-3193ACD6CFDF}"/>
  </bookViews>
  <sheets>
    <sheet name="Costos" sheetId="3" r:id="rId1"/>
    <sheet name="Costos (reducció de temps)" sheetId="4" r:id="rId2"/>
    <sheet name="Costos (reducció de km)" sheetId="5" r:id="rId3"/>
    <sheet name="Costos(no actualitzar personal)" sheetId="6" r:id="rId4"/>
    <sheet name="Costos(&lt;temps i no actu. perso)" sheetId="7" r:id="rId5"/>
    <sheet name="Costos proposta 2+2" sheetId="8" r:id="rId6"/>
    <sheet name="PBL i Aportació Generalitat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9" l="1"/>
  <c r="G6" i="9"/>
  <c r="G3" i="9"/>
  <c r="G5" i="9"/>
  <c r="G4" i="9"/>
  <c r="H23" i="8"/>
  <c r="H22" i="8"/>
  <c r="G41" i="7"/>
  <c r="E36" i="8"/>
  <c r="F33" i="8" s="1"/>
  <c r="B36" i="8"/>
  <c r="C33" i="8" s="1"/>
  <c r="E30" i="8"/>
  <c r="E29" i="8"/>
  <c r="E28" i="8"/>
  <c r="E27" i="8"/>
  <c r="E25" i="8"/>
  <c r="E24" i="8"/>
  <c r="J21" i="8"/>
  <c r="E20" i="8"/>
  <c r="B20" i="8"/>
  <c r="J19" i="8"/>
  <c r="H18" i="8"/>
  <c r="E9" i="8"/>
  <c r="E10" i="8" s="1"/>
  <c r="E21" i="8" s="1"/>
  <c r="B9" i="8"/>
  <c r="B10" i="8" s="1"/>
  <c r="B11" i="8" s="1"/>
  <c r="E5" i="8"/>
  <c r="E6" i="8" s="1"/>
  <c r="B5" i="8"/>
  <c r="B6" i="8" s="1"/>
  <c r="G3" i="8"/>
  <c r="H3" i="8" s="1"/>
  <c r="H32" i="7"/>
  <c r="H31" i="7"/>
  <c r="I33" i="4"/>
  <c r="I32" i="4"/>
  <c r="I31" i="4"/>
  <c r="E36" i="7"/>
  <c r="F33" i="7" s="1"/>
  <c r="B36" i="7"/>
  <c r="C33" i="7" s="1"/>
  <c r="E30" i="7"/>
  <c r="E29" i="7"/>
  <c r="E28" i="7"/>
  <c r="E27" i="7"/>
  <c r="E25" i="7"/>
  <c r="E24" i="7"/>
  <c r="J21" i="7"/>
  <c r="E20" i="7"/>
  <c r="B20" i="7"/>
  <c r="J19" i="7"/>
  <c r="H18" i="7"/>
  <c r="H19" i="7" s="1"/>
  <c r="E10" i="7"/>
  <c r="E21" i="7" s="1"/>
  <c r="B10" i="7"/>
  <c r="B11" i="7" s="1"/>
  <c r="E9" i="7"/>
  <c r="B9" i="7"/>
  <c r="E5" i="7"/>
  <c r="E6" i="7" s="1"/>
  <c r="B5" i="7"/>
  <c r="B6" i="7" s="1"/>
  <c r="G6" i="7" s="1"/>
  <c r="H6" i="7" s="1"/>
  <c r="G3" i="7"/>
  <c r="H3" i="7" s="1"/>
  <c r="B37" i="6"/>
  <c r="B38" i="6" s="1"/>
  <c r="H14" i="6" s="1"/>
  <c r="E36" i="6"/>
  <c r="F36" i="6" s="1"/>
  <c r="B36" i="6"/>
  <c r="C33" i="6" s="1"/>
  <c r="F35" i="6"/>
  <c r="C35" i="6"/>
  <c r="F34" i="6"/>
  <c r="C34" i="6"/>
  <c r="F33" i="6"/>
  <c r="E30" i="6"/>
  <c r="E29" i="6"/>
  <c r="E28" i="6"/>
  <c r="E27" i="6"/>
  <c r="E25" i="6"/>
  <c r="E37" i="6" s="1"/>
  <c r="E38" i="6" s="1"/>
  <c r="E24" i="6"/>
  <c r="J21" i="6"/>
  <c r="E20" i="6"/>
  <c r="B20" i="6"/>
  <c r="J19" i="6"/>
  <c r="H18" i="6"/>
  <c r="H19" i="6" s="1"/>
  <c r="H20" i="6" s="1"/>
  <c r="E13" i="6"/>
  <c r="B13" i="6"/>
  <c r="E9" i="6"/>
  <c r="E10" i="6" s="1"/>
  <c r="B9" i="6"/>
  <c r="B10" i="6" s="1"/>
  <c r="E6" i="6"/>
  <c r="B6" i="6"/>
  <c r="G6" i="6" s="1"/>
  <c r="H6" i="6" s="1"/>
  <c r="E5" i="6"/>
  <c r="B5" i="6"/>
  <c r="G3" i="6"/>
  <c r="H3" i="6" s="1"/>
  <c r="E36" i="3"/>
  <c r="E24" i="5"/>
  <c r="E25" i="5"/>
  <c r="E36" i="5"/>
  <c r="F33" i="5" s="1"/>
  <c r="B36" i="5"/>
  <c r="C34" i="5" s="1"/>
  <c r="E30" i="5"/>
  <c r="E29" i="5"/>
  <c r="E28" i="5"/>
  <c r="E27" i="5"/>
  <c r="J21" i="5"/>
  <c r="E20" i="5"/>
  <c r="B20" i="5"/>
  <c r="J19" i="5"/>
  <c r="H18" i="5"/>
  <c r="E9" i="5"/>
  <c r="E10" i="5" s="1"/>
  <c r="B9" i="5"/>
  <c r="B10" i="5" s="1"/>
  <c r="E6" i="5"/>
  <c r="E5" i="5"/>
  <c r="B5" i="5"/>
  <c r="B6" i="5" s="1"/>
  <c r="G6" i="5" s="1"/>
  <c r="H6" i="5" s="1"/>
  <c r="G3" i="5"/>
  <c r="H3" i="5" s="1"/>
  <c r="E36" i="4"/>
  <c r="F33" i="4" s="1"/>
  <c r="B36" i="4"/>
  <c r="C34" i="4" s="1"/>
  <c r="E30" i="4"/>
  <c r="E29" i="4"/>
  <c r="E28" i="4"/>
  <c r="E27" i="4"/>
  <c r="E25" i="4"/>
  <c r="E24" i="4"/>
  <c r="J21" i="4"/>
  <c r="E20" i="4"/>
  <c r="B20" i="4"/>
  <c r="J19" i="4"/>
  <c r="H18" i="4"/>
  <c r="E9" i="4"/>
  <c r="E10" i="4" s="1"/>
  <c r="B9" i="4"/>
  <c r="B10" i="4" s="1"/>
  <c r="B6" i="4"/>
  <c r="E5" i="4"/>
  <c r="E6" i="4" s="1"/>
  <c r="G6" i="4" s="1"/>
  <c r="H6" i="4" s="1"/>
  <c r="B5" i="4"/>
  <c r="G3" i="4"/>
  <c r="H3" i="4" s="1"/>
  <c r="H21" i="3"/>
  <c r="J21" i="3"/>
  <c r="B13" i="8" l="1"/>
  <c r="B14" i="8" s="1"/>
  <c r="E13" i="8"/>
  <c r="E14" i="8" s="1"/>
  <c r="F32" i="8"/>
  <c r="H19" i="8"/>
  <c r="H20" i="8" s="1"/>
  <c r="H21" i="8" s="1"/>
  <c r="C36" i="8"/>
  <c r="F36" i="8"/>
  <c r="G14" i="8"/>
  <c r="B12" i="8"/>
  <c r="G6" i="8"/>
  <c r="H6" i="8" s="1"/>
  <c r="E37" i="8"/>
  <c r="E38" i="8" s="1"/>
  <c r="B21" i="8"/>
  <c r="B37" i="8" s="1"/>
  <c r="B38" i="8" s="1"/>
  <c r="C34" i="8"/>
  <c r="E11" i="8"/>
  <c r="E12" i="8" s="1"/>
  <c r="F34" i="8"/>
  <c r="C35" i="8"/>
  <c r="F35" i="8"/>
  <c r="C32" i="8"/>
  <c r="E37" i="7"/>
  <c r="E38" i="7" s="1"/>
  <c r="H26" i="7"/>
  <c r="B12" i="7"/>
  <c r="G12" i="7" s="1"/>
  <c r="H12" i="7" s="1"/>
  <c r="C32" i="7"/>
  <c r="H20" i="7"/>
  <c r="B13" i="7"/>
  <c r="B21" i="7"/>
  <c r="B37" i="7" s="1"/>
  <c r="B38" i="7" s="1"/>
  <c r="C34" i="7"/>
  <c r="C36" i="7"/>
  <c r="E11" i="7"/>
  <c r="E12" i="7" s="1"/>
  <c r="E13" i="7"/>
  <c r="F34" i="7"/>
  <c r="C35" i="7"/>
  <c r="F35" i="7"/>
  <c r="F32" i="7"/>
  <c r="F36" i="7"/>
  <c r="E11" i="6"/>
  <c r="E12" i="6" s="1"/>
  <c r="E21" i="6"/>
  <c r="B21" i="6"/>
  <c r="B11" i="6"/>
  <c r="H21" i="6"/>
  <c r="B14" i="6"/>
  <c r="E14" i="6"/>
  <c r="C36" i="6"/>
  <c r="C32" i="6"/>
  <c r="F32" i="6"/>
  <c r="C35" i="5"/>
  <c r="F35" i="5"/>
  <c r="E13" i="5"/>
  <c r="E14" i="5" s="1"/>
  <c r="F34" i="5"/>
  <c r="E11" i="5"/>
  <c r="E12" i="5" s="1"/>
  <c r="E21" i="5"/>
  <c r="H20" i="5"/>
  <c r="B21" i="5"/>
  <c r="B11" i="5"/>
  <c r="C36" i="5"/>
  <c r="F32" i="5"/>
  <c r="F36" i="5"/>
  <c r="C33" i="5"/>
  <c r="C32" i="5"/>
  <c r="H19" i="5"/>
  <c r="B13" i="5"/>
  <c r="E13" i="4"/>
  <c r="E14" i="4" s="1"/>
  <c r="F34" i="4"/>
  <c r="F35" i="4"/>
  <c r="C35" i="4"/>
  <c r="E21" i="4"/>
  <c r="E11" i="4"/>
  <c r="E12" i="4" s="1"/>
  <c r="H20" i="4"/>
  <c r="B21" i="4"/>
  <c r="B11" i="4"/>
  <c r="C36" i="4"/>
  <c r="C32" i="4"/>
  <c r="H19" i="4"/>
  <c r="F32" i="4"/>
  <c r="F36" i="4"/>
  <c r="C33" i="4"/>
  <c r="B13" i="4"/>
  <c r="H18" i="3"/>
  <c r="J19" i="3"/>
  <c r="H14" i="8" l="1"/>
  <c r="G12" i="8"/>
  <c r="H12" i="8" s="1"/>
  <c r="H26" i="8"/>
  <c r="H24" i="8"/>
  <c r="H25" i="8" s="1"/>
  <c r="B14" i="7"/>
  <c r="H21" i="7"/>
  <c r="E14" i="7"/>
  <c r="H23" i="6"/>
  <c r="H24" i="6" s="1"/>
  <c r="H25" i="6" s="1"/>
  <c r="H22" i="6"/>
  <c r="B12" i="6"/>
  <c r="G12" i="6" s="1"/>
  <c r="H12" i="6" s="1"/>
  <c r="H26" i="6"/>
  <c r="G14" i="6"/>
  <c r="B12" i="5"/>
  <c r="G12" i="5" s="1"/>
  <c r="H12" i="5" s="1"/>
  <c r="H26" i="5"/>
  <c r="H21" i="5"/>
  <c r="B14" i="5"/>
  <c r="G14" i="5" s="1"/>
  <c r="H14" i="5" s="1"/>
  <c r="H26" i="4"/>
  <c r="B12" i="4"/>
  <c r="G12" i="4" s="1"/>
  <c r="H12" i="4" s="1"/>
  <c r="H21" i="4"/>
  <c r="B14" i="4"/>
  <c r="G14" i="4" s="1"/>
  <c r="H14" i="4" s="1"/>
  <c r="H19" i="3"/>
  <c r="H20" i="3" s="1"/>
  <c r="H22" i="3" s="1"/>
  <c r="H27" i="8" l="1"/>
  <c r="H28" i="8" s="1"/>
  <c r="H33" i="8" s="1"/>
  <c r="H31" i="8"/>
  <c r="G40" i="8" s="1"/>
  <c r="H32" i="8"/>
  <c r="H40" i="8" s="1"/>
  <c r="G14" i="7"/>
  <c r="H14" i="7" s="1"/>
  <c r="H22" i="7"/>
  <c r="H23" i="7"/>
  <c r="H27" i="6"/>
  <c r="H28" i="6" s="1"/>
  <c r="H33" i="6" s="1"/>
  <c r="H32" i="6"/>
  <c r="H40" i="6" s="1"/>
  <c r="H41" i="6" s="1"/>
  <c r="H42" i="6" s="1"/>
  <c r="H43" i="6" s="1"/>
  <c r="H44" i="6" s="1"/>
  <c r="H31" i="6"/>
  <c r="G40" i="6" s="1"/>
  <c r="H22" i="5"/>
  <c r="H23" i="5"/>
  <c r="H22" i="4"/>
  <c r="H23" i="4"/>
  <c r="B36" i="3"/>
  <c r="C33" i="3" s="1"/>
  <c r="F33" i="3"/>
  <c r="E30" i="3"/>
  <c r="E29" i="3"/>
  <c r="E28" i="3"/>
  <c r="E27" i="3"/>
  <c r="E25" i="3"/>
  <c r="E24" i="3"/>
  <c r="E20" i="3"/>
  <c r="B20" i="3"/>
  <c r="E9" i="3"/>
  <c r="E10" i="3" s="1"/>
  <c r="E11" i="3" s="1"/>
  <c r="E12" i="3" s="1"/>
  <c r="B9" i="3"/>
  <c r="B10" i="3" s="1"/>
  <c r="G3" i="3"/>
  <c r="H3" i="3" s="1"/>
  <c r="E5" i="3"/>
  <c r="E6" i="3" s="1"/>
  <c r="B5" i="3"/>
  <c r="B6" i="3" s="1"/>
  <c r="H41" i="8" l="1"/>
  <c r="H42" i="8" s="1"/>
  <c r="H43" i="8" s="1"/>
  <c r="H44" i="8" s="1"/>
  <c r="G41" i="8"/>
  <c r="G42" i="8" s="1"/>
  <c r="L40" i="8"/>
  <c r="H24" i="7"/>
  <c r="H25" i="7" s="1"/>
  <c r="G41" i="6"/>
  <c r="L40" i="6"/>
  <c r="I40" i="6"/>
  <c r="H24" i="5"/>
  <c r="H25" i="5" s="1"/>
  <c r="H24" i="4"/>
  <c r="H25" i="4" s="1"/>
  <c r="H23" i="3"/>
  <c r="C32" i="3"/>
  <c r="E13" i="3"/>
  <c r="B13" i="3"/>
  <c r="C35" i="3"/>
  <c r="C36" i="3"/>
  <c r="C34" i="3"/>
  <c r="F32" i="3"/>
  <c r="F36" i="3"/>
  <c r="F35" i="3"/>
  <c r="F34" i="3"/>
  <c r="E21" i="3"/>
  <c r="B11" i="3"/>
  <c r="H26" i="3" s="1"/>
  <c r="B21" i="3"/>
  <c r="G6" i="3"/>
  <c r="H6" i="3" s="1"/>
  <c r="H46" i="8" l="1"/>
  <c r="H45" i="8" s="1"/>
  <c r="H50" i="8" s="1"/>
  <c r="M42" i="8"/>
  <c r="L42" i="8"/>
  <c r="G43" i="8"/>
  <c r="G44" i="8" s="1"/>
  <c r="I40" i="8"/>
  <c r="H53" i="8"/>
  <c r="H52" i="8"/>
  <c r="I41" i="8"/>
  <c r="H27" i="7"/>
  <c r="H28" i="7" s="1"/>
  <c r="H33" i="7" s="1"/>
  <c r="G40" i="7"/>
  <c r="H40" i="7"/>
  <c r="H41" i="7" s="1"/>
  <c r="H42" i="7" s="1"/>
  <c r="H43" i="7" s="1"/>
  <c r="H44" i="7" s="1"/>
  <c r="G42" i="6"/>
  <c r="I41" i="6"/>
  <c r="L41" i="6" s="1"/>
  <c r="H27" i="5"/>
  <c r="H28" i="5" s="1"/>
  <c r="H33" i="5" s="1"/>
  <c r="H32" i="5"/>
  <c r="H40" i="5" s="1"/>
  <c r="H41" i="5" s="1"/>
  <c r="H42" i="5" s="1"/>
  <c r="H43" i="5" s="1"/>
  <c r="H44" i="5" s="1"/>
  <c r="H31" i="5"/>
  <c r="G40" i="5" s="1"/>
  <c r="H27" i="4"/>
  <c r="H28" i="4" s="1"/>
  <c r="H33" i="4" s="1"/>
  <c r="H32" i="4"/>
  <c r="H40" i="4" s="1"/>
  <c r="H41" i="4" s="1"/>
  <c r="H42" i="4" s="1"/>
  <c r="H43" i="4" s="1"/>
  <c r="H44" i="4" s="1"/>
  <c r="H31" i="4"/>
  <c r="G40" i="4" s="1"/>
  <c r="H24" i="3"/>
  <c r="H25" i="3" s="1"/>
  <c r="H32" i="3" s="1"/>
  <c r="H40" i="3" s="1"/>
  <c r="H41" i="3" s="1"/>
  <c r="H42" i="3" s="1"/>
  <c r="H43" i="3" s="1"/>
  <c r="H44" i="3" s="1"/>
  <c r="B14" i="3"/>
  <c r="E14" i="3"/>
  <c r="B12" i="3"/>
  <c r="G12" i="3" s="1"/>
  <c r="H12" i="3" s="1"/>
  <c r="H49" i="8" l="1"/>
  <c r="H51" i="8"/>
  <c r="L41" i="8"/>
  <c r="L45" i="8" s="1"/>
  <c r="H54" i="8"/>
  <c r="G46" i="8"/>
  <c r="G45" i="8" s="1"/>
  <c r="I46" i="8" s="1"/>
  <c r="I42" i="8"/>
  <c r="L40" i="7"/>
  <c r="I40" i="7"/>
  <c r="G43" i="6"/>
  <c r="I42" i="6"/>
  <c r="L42" i="6" s="1"/>
  <c r="G41" i="5"/>
  <c r="L40" i="5"/>
  <c r="I40" i="5"/>
  <c r="G41" i="4"/>
  <c r="L40" i="4"/>
  <c r="I40" i="4"/>
  <c r="H27" i="3"/>
  <c r="H31" i="3"/>
  <c r="G40" i="3" s="1"/>
  <c r="I40" i="3" s="1"/>
  <c r="G14" i="3"/>
  <c r="H14" i="3" s="1"/>
  <c r="G53" i="8" l="1"/>
  <c r="I53" i="8" s="1"/>
  <c r="G51" i="8"/>
  <c r="G52" i="8"/>
  <c r="I52" i="8" s="1"/>
  <c r="G49" i="8"/>
  <c r="I49" i="8" s="1"/>
  <c r="G50" i="8"/>
  <c r="I50" i="8" s="1"/>
  <c r="I43" i="8"/>
  <c r="G42" i="7"/>
  <c r="I41" i="7"/>
  <c r="L41" i="7" s="1"/>
  <c r="L43" i="6"/>
  <c r="L45" i="6" s="1"/>
  <c r="I43" i="6"/>
  <c r="G44" i="6"/>
  <c r="I41" i="5"/>
  <c r="L41" i="5" s="1"/>
  <c r="G42" i="5"/>
  <c r="G42" i="4"/>
  <c r="I41" i="4"/>
  <c r="L41" i="4" s="1"/>
  <c r="L40" i="3"/>
  <c r="H28" i="3"/>
  <c r="G41" i="3"/>
  <c r="G42" i="3" s="1"/>
  <c r="M43" i="8" l="1"/>
  <c r="N46" i="8"/>
  <c r="L50" i="8"/>
  <c r="L49" i="8"/>
  <c r="G54" i="8"/>
  <c r="I55" i="8" s="1"/>
  <c r="M52" i="8"/>
  <c r="I51" i="8"/>
  <c r="I54" i="8" s="1"/>
  <c r="L51" i="8"/>
  <c r="M53" i="8"/>
  <c r="M44" i="8"/>
  <c r="I44" i="8" s="1"/>
  <c r="I45" i="8" s="1"/>
  <c r="I42" i="7"/>
  <c r="L42" i="7" s="1"/>
  <c r="G43" i="7"/>
  <c r="I44" i="6"/>
  <c r="M44" i="6"/>
  <c r="M43" i="6"/>
  <c r="I42" i="5"/>
  <c r="L42" i="5" s="1"/>
  <c r="G43" i="5"/>
  <c r="I42" i="4"/>
  <c r="L42" i="4" s="1"/>
  <c r="G43" i="4"/>
  <c r="I41" i="3"/>
  <c r="L41" i="3" s="1"/>
  <c r="H33" i="3"/>
  <c r="I42" i="3"/>
  <c r="L42" i="3" s="1"/>
  <c r="G43" i="3"/>
  <c r="L54" i="8" l="1"/>
  <c r="M51" i="8"/>
  <c r="M54" i="8" s="1"/>
  <c r="N54" i="8" s="1"/>
  <c r="M45" i="8"/>
  <c r="N45" i="8" s="1"/>
  <c r="L43" i="7"/>
  <c r="L45" i="7" s="1"/>
  <c r="I43" i="7"/>
  <c r="G44" i="7"/>
  <c r="M45" i="6"/>
  <c r="N45" i="6" s="1"/>
  <c r="G44" i="5"/>
  <c r="L43" i="5"/>
  <c r="L45" i="5" s="1"/>
  <c r="I43" i="5"/>
  <c r="G44" i="4"/>
  <c r="L43" i="4"/>
  <c r="L45" i="4" s="1"/>
  <c r="I43" i="4"/>
  <c r="G44" i="3"/>
  <c r="L43" i="3"/>
  <c r="L45" i="3" s="1"/>
  <c r="I43" i="3"/>
  <c r="M43" i="7" l="1"/>
  <c r="M44" i="7"/>
  <c r="I44" i="7"/>
  <c r="M43" i="5"/>
  <c r="M44" i="5"/>
  <c r="M45" i="5" s="1"/>
  <c r="N45" i="5" s="1"/>
  <c r="I44" i="5"/>
  <c r="M43" i="4"/>
  <c r="M44" i="4"/>
  <c r="M45" i="4" s="1"/>
  <c r="N45" i="4" s="1"/>
  <c r="I44" i="4"/>
  <c r="M43" i="3"/>
  <c r="M44" i="3"/>
  <c r="I44" i="3"/>
  <c r="M45" i="7" l="1"/>
  <c r="N45" i="7" s="1"/>
  <c r="M45" i="3"/>
  <c r="N45" i="3" s="1"/>
</calcChain>
</file>

<file path=xl/sharedStrings.xml><?xml version="1.0" encoding="utf-8"?>
<sst xmlns="http://schemas.openxmlformats.org/spreadsheetml/2006/main" count="632" uniqueCount="80">
  <si>
    <t>Dies lectius</t>
  </si>
  <si>
    <t>km/any</t>
  </si>
  <si>
    <t>Pressupost 2025</t>
  </si>
  <si>
    <t>Hora inici</t>
  </si>
  <si>
    <t>Característiques del servei</t>
  </si>
  <si>
    <t>Expedicions:</t>
  </si>
  <si>
    <t>Nombre d'expedicions diàries:</t>
  </si>
  <si>
    <t>Kms. recorreguts en cada expedició:</t>
  </si>
  <si>
    <t>Temps en minuts de cada expedició:</t>
  </si>
  <si>
    <t>Import dels peatges en cada expedició:</t>
  </si>
  <si>
    <t>Posicionaments:</t>
  </si>
  <si>
    <t>Kms. recorreguts en posicionaments:</t>
  </si>
  <si>
    <t>Temps en minuts en posicionaments i esperes:</t>
  </si>
  <si>
    <t>Costos unitaris</t>
  </si>
  <si>
    <t>Resultats de la simulació</t>
  </si>
  <si>
    <t>Cost per quilòmetre:</t>
  </si>
  <si>
    <t>Cost hora del personal:</t>
  </si>
  <si>
    <t>Costos fixos anuals:</t>
  </si>
  <si>
    <t>Nombre de serveis anuals:</t>
  </si>
  <si>
    <t>Costos per distància inclosos peatges:</t>
  </si>
  <si>
    <t>Costos per temps del servei:</t>
  </si>
  <si>
    <t>Costos fixos:</t>
  </si>
  <si>
    <t>Costos indirectes:</t>
  </si>
  <si>
    <t>Cost total del servei:</t>
  </si>
  <si>
    <t>Dies no lectius</t>
  </si>
  <si>
    <t>Número de dies</t>
  </si>
  <si>
    <t>kms/expedició</t>
  </si>
  <si>
    <t>kms/dia</t>
  </si>
  <si>
    <t>Temps expedició (hores)</t>
  </si>
  <si>
    <t>Temps expedició (minuts)</t>
  </si>
  <si>
    <t>Temps dia (minuts)</t>
  </si>
  <si>
    <t>Temps any (minuts)</t>
  </si>
  <si>
    <t>Hora final</t>
  </si>
  <si>
    <t>Transport discrecional consolidat (escolar, empresa,...)</t>
  </si>
  <si>
    <t>(reiterat i cobrament per vehicle complet).</t>
  </si>
  <si>
    <t>Demarcació de Lleida.</t>
  </si>
  <si>
    <t>Vehicle fins a 22 places.</t>
  </si>
  <si>
    <t>Cost dia</t>
  </si>
  <si>
    <t>Total anual 2024</t>
  </si>
  <si>
    <t>Cost anual</t>
  </si>
  <si>
    <t>Total anual 2025</t>
  </si>
  <si>
    <t>Cost total servei</t>
  </si>
  <si>
    <t>Cost acompanyant</t>
  </si>
  <si>
    <t>Cost transport</t>
  </si>
  <si>
    <t>Despeses generals (12,5%)</t>
  </si>
  <si>
    <t>Benefici industrial (6%)</t>
  </si>
  <si>
    <t>Hores anuals acompanyant</t>
  </si>
  <si>
    <t>€/hora (jornada 40 h; 1826 h/any)</t>
  </si>
  <si>
    <t>Cost d'acompanyant si fos jornada completa</t>
  </si>
  <si>
    <t>Cost total 2025 d'acompanyant</t>
  </si>
  <si>
    <t>Cost jornada dia lectiu</t>
  </si>
  <si>
    <t>Cost jornada dia no lectiu</t>
  </si>
  <si>
    <t>Cost promig jornada</t>
  </si>
  <si>
    <t>Any</t>
  </si>
  <si>
    <t>Preu jornada lectiva, màxim anual (€)</t>
  </si>
  <si>
    <t>Preu jornada no lectiva, màxim anual (€)</t>
  </si>
  <si>
    <t>Preu total màxim anual (€)</t>
  </si>
  <si>
    <t>VE contracte</t>
  </si>
  <si>
    <t>Pressupost base</t>
  </si>
  <si>
    <t>Pròrroga</t>
  </si>
  <si>
    <t>SMI brut 2025 (14 pagues)</t>
  </si>
  <si>
    <t>Antiguitat (10 anys)</t>
  </si>
  <si>
    <t>Obs 6/24 (Lleida)</t>
  </si>
  <si>
    <t>Cost empresa (35%)</t>
  </si>
  <si>
    <t>Conveni 2021-2024 Lleida</t>
  </si>
  <si>
    <t>Absentisme i baixes</t>
  </si>
  <si>
    <t>Cost total jornada completa</t>
  </si>
  <si>
    <t>Promig</t>
  </si>
  <si>
    <t>Despeses generals (3%)</t>
  </si>
  <si>
    <t>Benefici industrial (2%)</t>
  </si>
  <si>
    <t>PBL</t>
  </si>
  <si>
    <t>Aportació Generalitat</t>
  </si>
  <si>
    <t>Observacions</t>
  </si>
  <si>
    <t>Nou CP o CP prorrogat</t>
  </si>
  <si>
    <t>Inici contracte empresa 01-07-2025</t>
  </si>
  <si>
    <t>--</t>
  </si>
  <si>
    <t>Fi contracte 30-06-2029</t>
  </si>
  <si>
    <t>COTS ALSINA (01-01-2025 AL 30-06-2025)</t>
  </si>
  <si>
    <t>Contracte 2 anys + 2 de pròrroga</t>
  </si>
  <si>
    <t>Pendent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</si>
</sst>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00"/>
    <numFmt numFmtId="165" formatCode="h:mm:ss;@"/>
    <numFmt numFmtId="166" formatCode="#,##0.00\ &quot;€&quot;"/>
    <numFmt numFmtId="167" formatCode="0.0%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b/>
      <sz val="10"/>
      <color rgb="FF333333"/>
      <name val="Aptos"/>
      <family val="2"/>
    </font>
    <font>
      <sz val="10"/>
      <color rgb="FF333333"/>
      <name val="Aptos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31">
    <xf numFmtId="0" fontId="0" fillId="0" borderId="0" xfId="0"/>
    <xf numFmtId="0" fontId="1" fillId="0" borderId="27" xfId="0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0" fontId="1" fillId="0" borderId="21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10" fontId="1" fillId="0" borderId="25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vertical="center"/>
    </xf>
    <xf numFmtId="165" fontId="1" fillId="0" borderId="28" xfId="0" applyNumberFormat="1" applyFont="1" applyBorder="1" applyAlignment="1">
      <alignment horizontal="right" vertical="center" wrapText="1"/>
    </xf>
    <xf numFmtId="165" fontId="1" fillId="0" borderId="21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" fontId="1" fillId="0" borderId="35" xfId="0" applyNumberFormat="1" applyFont="1" applyBorder="1" applyAlignment="1">
      <alignment vertical="center"/>
    </xf>
    <xf numFmtId="165" fontId="1" fillId="0" borderId="34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vertical="center"/>
    </xf>
    <xf numFmtId="4" fontId="1" fillId="0" borderId="36" xfId="0" applyNumberFormat="1" applyFont="1" applyBorder="1" applyAlignment="1">
      <alignment vertical="center"/>
    </xf>
    <xf numFmtId="4" fontId="1" fillId="0" borderId="34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2" fontId="1" fillId="0" borderId="21" xfId="0" applyNumberFormat="1" applyFont="1" applyBorder="1" applyAlignment="1">
      <alignment vertical="center"/>
    </xf>
    <xf numFmtId="0" fontId="2" fillId="6" borderId="23" xfId="0" applyFont="1" applyFill="1" applyBorder="1" applyAlignment="1">
      <alignment vertical="center"/>
    </xf>
    <xf numFmtId="4" fontId="2" fillId="6" borderId="25" xfId="0" applyNumberFormat="1" applyFont="1" applyFill="1" applyBorder="1" applyAlignment="1">
      <alignment vertical="center"/>
    </xf>
    <xf numFmtId="4" fontId="2" fillId="6" borderId="40" xfId="0" applyNumberFormat="1" applyFont="1" applyFill="1" applyBorder="1" applyAlignment="1">
      <alignment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4" fontId="2" fillId="0" borderId="15" xfId="0" applyNumberFormat="1" applyFont="1" applyBorder="1" applyAlignment="1">
      <alignment vertical="center"/>
    </xf>
    <xf numFmtId="4" fontId="2" fillId="0" borderId="23" xfId="0" applyNumberFormat="1" applyFont="1" applyBorder="1" applyAlignment="1">
      <alignment vertical="center"/>
    </xf>
    <xf numFmtId="0" fontId="2" fillId="6" borderId="21" xfId="0" applyFont="1" applyFill="1" applyBorder="1" applyAlignment="1">
      <alignment horizontal="center" vertical="center"/>
    </xf>
    <xf numFmtId="10" fontId="1" fillId="0" borderId="4" xfId="0" applyNumberFormat="1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0" fontId="2" fillId="6" borderId="43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6" fontId="1" fillId="6" borderId="45" xfId="0" applyNumberFormat="1" applyFont="1" applyFill="1" applyBorder="1" applyAlignment="1">
      <alignment horizontal="center" vertical="center" wrapText="1"/>
    </xf>
    <xf numFmtId="166" fontId="1" fillId="6" borderId="43" xfId="0" applyNumberFormat="1" applyFont="1" applyFill="1" applyBorder="1" applyAlignment="1">
      <alignment horizontal="center" vertical="center" wrapText="1"/>
    </xf>
    <xf numFmtId="166" fontId="2" fillId="6" borderId="4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166" fontId="1" fillId="6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7" fontId="1" fillId="0" borderId="0" xfId="1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9" fontId="1" fillId="0" borderId="0" xfId="1" applyFont="1" applyAlignment="1">
      <alignment horizontal="center" vertical="center"/>
    </xf>
    <xf numFmtId="0" fontId="1" fillId="0" borderId="28" xfId="0" applyFont="1" applyBorder="1" applyAlignment="1">
      <alignment horizontal="right" vertical="center" wrapText="1"/>
    </xf>
    <xf numFmtId="10" fontId="1" fillId="0" borderId="0" xfId="0" applyNumberFormat="1" applyFont="1" applyAlignment="1">
      <alignment vertical="center"/>
    </xf>
    <xf numFmtId="0" fontId="2" fillId="6" borderId="3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2" fillId="6" borderId="47" xfId="0" applyFont="1" applyFill="1" applyBorder="1" applyAlignment="1">
      <alignment horizontal="center" vertical="center" wrapText="1"/>
    </xf>
    <xf numFmtId="166" fontId="1" fillId="6" borderId="48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66" fontId="1" fillId="6" borderId="2" xfId="0" applyNumberFormat="1" applyFont="1" applyFill="1" applyBorder="1" applyAlignment="1">
      <alignment horizontal="center" vertical="center" wrapText="1"/>
    </xf>
    <xf numFmtId="166" fontId="1" fillId="6" borderId="4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0" fillId="0" borderId="2" xfId="2" applyFont="1" applyBorder="1"/>
    <xf numFmtId="44" fontId="0" fillId="0" borderId="2" xfId="2" quotePrefix="1" applyFont="1" applyBorder="1"/>
    <xf numFmtId="44" fontId="0" fillId="0" borderId="2" xfId="0" applyNumberFormat="1" applyBorder="1"/>
    <xf numFmtId="44" fontId="0" fillId="0" borderId="2" xfId="2" quotePrefix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28" xfId="0" applyFont="1" applyBorder="1"/>
    <xf numFmtId="0" fontId="9" fillId="0" borderId="15" xfId="0" applyFont="1" applyBorder="1" applyAlignment="1">
      <alignment horizontal="center" vertical="center"/>
    </xf>
    <xf numFmtId="0" fontId="0" fillId="0" borderId="21" xfId="0" applyBorder="1"/>
    <xf numFmtId="0" fontId="9" fillId="0" borderId="23" xfId="0" applyFont="1" applyBorder="1" applyAlignment="1">
      <alignment horizontal="center" vertical="center"/>
    </xf>
    <xf numFmtId="44" fontId="0" fillId="0" borderId="24" xfId="2" quotePrefix="1" applyFont="1" applyBorder="1" applyAlignment="1">
      <alignment horizontal="center" vertical="center"/>
    </xf>
    <xf numFmtId="44" fontId="0" fillId="0" borderId="24" xfId="2" applyFont="1" applyBorder="1"/>
    <xf numFmtId="44" fontId="0" fillId="0" borderId="24" xfId="2" quotePrefix="1" applyFont="1" applyBorder="1"/>
    <xf numFmtId="0" fontId="0" fillId="0" borderId="25" xfId="0" applyBorder="1"/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69831</xdr:colOff>
      <xdr:row>12</xdr:row>
      <xdr:rowOff>59749</xdr:rowOff>
    </xdr:from>
    <xdr:to>
      <xdr:col>12</xdr:col>
      <xdr:colOff>558313</xdr:colOff>
      <xdr:row>21</xdr:row>
      <xdr:rowOff>304067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F31A8C-1936-B18E-0B17-3D0263AAC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98312" y="2140595"/>
          <a:ext cx="4716116" cy="2347145"/>
        </a:xfrm>
        <a:prstGeom prst="rect">
          <a:avLst/>
        </a:prstGeom>
      </xdr:spPr>
    </xdr:pic>
    <xdr:clientData/>
  </xdr:twoCellAnchor>
  <xdr:twoCellAnchor editAs="oneCell">
    <xdr:from>
      <xdr:col>10</xdr:col>
      <xdr:colOff>160460</xdr:colOff>
      <xdr:row>24</xdr:row>
      <xdr:rowOff>71804</xdr:rowOff>
    </xdr:from>
    <xdr:to>
      <xdr:col>14</xdr:col>
      <xdr:colOff>1093910</xdr:colOff>
      <xdr:row>31</xdr:row>
      <xdr:rowOff>24285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370ECC-9FFB-8211-CF11-6BA53382C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8941" y="5112727"/>
          <a:ext cx="7476392" cy="1366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69831</xdr:colOff>
      <xdr:row>12</xdr:row>
      <xdr:rowOff>59749</xdr:rowOff>
    </xdr:from>
    <xdr:to>
      <xdr:col>12</xdr:col>
      <xdr:colOff>558313</xdr:colOff>
      <xdr:row>21</xdr:row>
      <xdr:rowOff>304067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9F7F3D-0FA5-4542-83EC-0C905DE68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76456" y="2093337"/>
          <a:ext cx="5017620" cy="2287430"/>
        </a:xfrm>
        <a:prstGeom prst="rect">
          <a:avLst/>
        </a:prstGeom>
      </xdr:spPr>
    </xdr:pic>
    <xdr:clientData/>
  </xdr:twoCellAnchor>
  <xdr:twoCellAnchor editAs="oneCell">
    <xdr:from>
      <xdr:col>10</xdr:col>
      <xdr:colOff>160460</xdr:colOff>
      <xdr:row>24</xdr:row>
      <xdr:rowOff>71804</xdr:rowOff>
    </xdr:from>
    <xdr:to>
      <xdr:col>14</xdr:col>
      <xdr:colOff>1093910</xdr:colOff>
      <xdr:row>31</xdr:row>
      <xdr:rowOff>24285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0C3D51-A761-40C0-89E2-4235C0D4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7085" y="4981942"/>
          <a:ext cx="7943850" cy="1305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69831</xdr:colOff>
      <xdr:row>12</xdr:row>
      <xdr:rowOff>59749</xdr:rowOff>
    </xdr:from>
    <xdr:to>
      <xdr:col>12</xdr:col>
      <xdr:colOff>558313</xdr:colOff>
      <xdr:row>21</xdr:row>
      <xdr:rowOff>304067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4FF0DE-5D97-40A2-BF56-4C94BA128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76456" y="2093337"/>
          <a:ext cx="5017620" cy="2287430"/>
        </a:xfrm>
        <a:prstGeom prst="rect">
          <a:avLst/>
        </a:prstGeom>
      </xdr:spPr>
    </xdr:pic>
    <xdr:clientData/>
  </xdr:twoCellAnchor>
  <xdr:twoCellAnchor editAs="oneCell">
    <xdr:from>
      <xdr:col>10</xdr:col>
      <xdr:colOff>160460</xdr:colOff>
      <xdr:row>24</xdr:row>
      <xdr:rowOff>71804</xdr:rowOff>
    </xdr:from>
    <xdr:to>
      <xdr:col>14</xdr:col>
      <xdr:colOff>1093910</xdr:colOff>
      <xdr:row>31</xdr:row>
      <xdr:rowOff>24285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27BC3B-EB10-4653-B535-340F79315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7085" y="4981942"/>
          <a:ext cx="7943850" cy="13050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69831</xdr:colOff>
      <xdr:row>12</xdr:row>
      <xdr:rowOff>59749</xdr:rowOff>
    </xdr:from>
    <xdr:to>
      <xdr:col>12</xdr:col>
      <xdr:colOff>558313</xdr:colOff>
      <xdr:row>21</xdr:row>
      <xdr:rowOff>304067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41B6FF-13C2-4450-938F-6D99DECD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76456" y="2093337"/>
          <a:ext cx="5017620" cy="2287430"/>
        </a:xfrm>
        <a:prstGeom prst="rect">
          <a:avLst/>
        </a:prstGeom>
      </xdr:spPr>
    </xdr:pic>
    <xdr:clientData/>
  </xdr:twoCellAnchor>
  <xdr:twoCellAnchor editAs="oneCell">
    <xdr:from>
      <xdr:col>10</xdr:col>
      <xdr:colOff>160460</xdr:colOff>
      <xdr:row>24</xdr:row>
      <xdr:rowOff>71804</xdr:rowOff>
    </xdr:from>
    <xdr:to>
      <xdr:col>14</xdr:col>
      <xdr:colOff>1093910</xdr:colOff>
      <xdr:row>31</xdr:row>
      <xdr:rowOff>24285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EA959A-4B24-4899-B94E-181DFDB8F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7085" y="4981942"/>
          <a:ext cx="7943850" cy="13050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69831</xdr:colOff>
      <xdr:row>12</xdr:row>
      <xdr:rowOff>59749</xdr:rowOff>
    </xdr:from>
    <xdr:to>
      <xdr:col>12</xdr:col>
      <xdr:colOff>558313</xdr:colOff>
      <xdr:row>21</xdr:row>
      <xdr:rowOff>304067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AD57CA-F209-4933-990E-DA2871D0E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76456" y="2093337"/>
          <a:ext cx="5017620" cy="2287430"/>
        </a:xfrm>
        <a:prstGeom prst="rect">
          <a:avLst/>
        </a:prstGeom>
      </xdr:spPr>
    </xdr:pic>
    <xdr:clientData/>
  </xdr:twoCellAnchor>
  <xdr:twoCellAnchor editAs="oneCell">
    <xdr:from>
      <xdr:col>10</xdr:col>
      <xdr:colOff>160460</xdr:colOff>
      <xdr:row>24</xdr:row>
      <xdr:rowOff>71804</xdr:rowOff>
    </xdr:from>
    <xdr:to>
      <xdr:col>14</xdr:col>
      <xdr:colOff>1093910</xdr:colOff>
      <xdr:row>31</xdr:row>
      <xdr:rowOff>24285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77700C-94F8-4DBB-A342-3CD6FC262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7085" y="4981942"/>
          <a:ext cx="7943850" cy="13050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69831</xdr:colOff>
      <xdr:row>12</xdr:row>
      <xdr:rowOff>59749</xdr:rowOff>
    </xdr:from>
    <xdr:to>
      <xdr:col>12</xdr:col>
      <xdr:colOff>558313</xdr:colOff>
      <xdr:row>21</xdr:row>
      <xdr:rowOff>304067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88CDE1-7BD7-4EF7-90E2-77A93AD2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76456" y="2093337"/>
          <a:ext cx="5017620" cy="2287430"/>
        </a:xfrm>
        <a:prstGeom prst="rect">
          <a:avLst/>
        </a:prstGeom>
      </xdr:spPr>
    </xdr:pic>
    <xdr:clientData/>
  </xdr:twoCellAnchor>
  <xdr:twoCellAnchor editAs="oneCell">
    <xdr:from>
      <xdr:col>10</xdr:col>
      <xdr:colOff>160460</xdr:colOff>
      <xdr:row>24</xdr:row>
      <xdr:rowOff>71804</xdr:rowOff>
    </xdr:from>
    <xdr:to>
      <xdr:col>14</xdr:col>
      <xdr:colOff>808160</xdr:colOff>
      <xdr:row>31</xdr:row>
      <xdr:rowOff>24285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D5315B-B15B-45E6-918B-05F16595E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7085" y="4981942"/>
          <a:ext cx="7943850" cy="1305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B77D-C816-4C22-A8F3-C542D2485A1A}">
  <dimension ref="A1:N45"/>
  <sheetViews>
    <sheetView topLeftCell="E17" zoomScaleNormal="100" workbookViewId="0">
      <selection activeCell="G44" sqref="G44"/>
    </sheetView>
  </sheetViews>
  <sheetFormatPr defaultColWidth="24.140625" defaultRowHeight="13.5" x14ac:dyDescent="0.25"/>
  <cols>
    <col min="1" max="2" width="24.140625" style="10"/>
    <col min="3" max="3" width="10.5703125" style="10" customWidth="1"/>
    <col min="4" max="5" width="24.140625" style="10"/>
    <col min="6" max="6" width="10.5703125" style="10" customWidth="1"/>
    <col min="7" max="7" width="26.28515625" style="10" bestFit="1" customWidth="1"/>
    <col min="8" max="8" width="24.140625" style="10"/>
    <col min="9" max="9" width="20.28515625" style="10" customWidth="1"/>
    <col min="10" max="10" width="20.28515625" style="64" customWidth="1"/>
    <col min="11" max="11" width="12.28515625" style="64" customWidth="1"/>
    <col min="12" max="12" width="51.140625" style="10" bestFit="1" customWidth="1"/>
    <col min="13" max="13" width="10.5703125" style="10" bestFit="1" customWidth="1"/>
    <col min="14" max="16384" width="24.140625" style="10"/>
  </cols>
  <sheetData>
    <row r="1" spans="1:13" ht="14.65" customHeight="1" thickBot="1" x14ac:dyDescent="0.3">
      <c r="G1" s="102" t="s">
        <v>43</v>
      </c>
      <c r="H1" s="103"/>
    </row>
    <row r="2" spans="1:13" ht="14.25" thickBot="1" x14ac:dyDescent="0.3">
      <c r="A2" s="95" t="s">
        <v>0</v>
      </c>
      <c r="B2" s="96"/>
      <c r="C2" s="97"/>
      <c r="D2" s="98" t="s">
        <v>24</v>
      </c>
      <c r="E2" s="99"/>
      <c r="F2" s="99"/>
      <c r="G2" s="44" t="s">
        <v>38</v>
      </c>
      <c r="H2" s="49" t="s">
        <v>40</v>
      </c>
    </row>
    <row r="3" spans="1:13" x14ac:dyDescent="0.25">
      <c r="A3" s="1" t="s">
        <v>25</v>
      </c>
      <c r="B3" s="22">
        <v>177</v>
      </c>
      <c r="C3" s="33"/>
      <c r="D3" s="30" t="s">
        <v>25</v>
      </c>
      <c r="E3" s="70">
        <v>32</v>
      </c>
      <c r="F3" s="35"/>
      <c r="G3" s="45">
        <f>B3+E3</f>
        <v>209</v>
      </c>
      <c r="H3" s="46">
        <f>G3</f>
        <v>209</v>
      </c>
    </row>
    <row r="4" spans="1:13" x14ac:dyDescent="0.25">
      <c r="A4" s="12" t="s">
        <v>26</v>
      </c>
      <c r="B4" s="23">
        <v>21</v>
      </c>
      <c r="C4" s="19"/>
      <c r="D4" s="31" t="s">
        <v>26</v>
      </c>
      <c r="E4" s="13">
        <v>70</v>
      </c>
      <c r="F4" s="11"/>
      <c r="G4" s="18"/>
      <c r="H4" s="37"/>
    </row>
    <row r="5" spans="1:13" x14ac:dyDescent="0.25">
      <c r="A5" s="12" t="s">
        <v>27</v>
      </c>
      <c r="B5" s="23">
        <f>B4*2</f>
        <v>42</v>
      </c>
      <c r="C5" s="19"/>
      <c r="D5" s="31" t="s">
        <v>27</v>
      </c>
      <c r="E5" s="13">
        <f>E4*2</f>
        <v>140</v>
      </c>
      <c r="F5" s="11"/>
      <c r="G5" s="18"/>
      <c r="H5" s="37"/>
    </row>
    <row r="6" spans="1:13" ht="14.25" thickBot="1" x14ac:dyDescent="0.3">
      <c r="A6" s="14" t="s">
        <v>1</v>
      </c>
      <c r="B6" s="24">
        <f>B5*B3</f>
        <v>7434</v>
      </c>
      <c r="C6" s="19"/>
      <c r="D6" s="32" t="s">
        <v>1</v>
      </c>
      <c r="E6" s="15">
        <f>E5*E3</f>
        <v>4480</v>
      </c>
      <c r="F6" s="11"/>
      <c r="G6" s="47">
        <f>B6+E6</f>
        <v>11914</v>
      </c>
      <c r="H6" s="36">
        <f>G6</f>
        <v>11914</v>
      </c>
    </row>
    <row r="7" spans="1:13" x14ac:dyDescent="0.25">
      <c r="A7" s="1" t="s">
        <v>3</v>
      </c>
      <c r="B7" s="25">
        <v>0.3576388888888889</v>
      </c>
      <c r="C7" s="19"/>
      <c r="D7" s="30" t="s">
        <v>3</v>
      </c>
      <c r="E7" s="16">
        <v>0.3125</v>
      </c>
      <c r="F7" s="11"/>
      <c r="G7" s="18"/>
      <c r="H7" s="37"/>
    </row>
    <row r="8" spans="1:13" x14ac:dyDescent="0.25">
      <c r="A8" s="12" t="s">
        <v>32</v>
      </c>
      <c r="B8" s="26">
        <v>0.41319444444444442</v>
      </c>
      <c r="C8" s="19"/>
      <c r="D8" s="31" t="s">
        <v>32</v>
      </c>
      <c r="E8" s="17">
        <v>0.40972222222222221</v>
      </c>
      <c r="F8" s="11"/>
      <c r="G8" s="18"/>
      <c r="H8" s="37"/>
    </row>
    <row r="9" spans="1:13" x14ac:dyDescent="0.25">
      <c r="A9" s="12" t="s">
        <v>28</v>
      </c>
      <c r="B9" s="26">
        <f>B8-B7</f>
        <v>5.5555555555555525E-2</v>
      </c>
      <c r="C9" s="19"/>
      <c r="D9" s="31" t="s">
        <v>28</v>
      </c>
      <c r="E9" s="17">
        <f>E8-E7</f>
        <v>9.722222222222221E-2</v>
      </c>
      <c r="F9" s="11"/>
      <c r="G9" s="18"/>
      <c r="H9" s="37"/>
    </row>
    <row r="10" spans="1:13" x14ac:dyDescent="0.25">
      <c r="A10" s="12" t="s">
        <v>29</v>
      </c>
      <c r="B10" s="27">
        <f>HOUR(B9)*60+MINUTE(B9)</f>
        <v>80</v>
      </c>
      <c r="C10" s="19"/>
      <c r="D10" s="31" t="s">
        <v>29</v>
      </c>
      <c r="E10" s="2">
        <f>HOUR(E9)*60+MINUTE(E9)</f>
        <v>140</v>
      </c>
      <c r="F10" s="11"/>
      <c r="G10" s="18"/>
      <c r="H10" s="37"/>
    </row>
    <row r="11" spans="1:13" x14ac:dyDescent="0.25">
      <c r="A11" s="12" t="s">
        <v>30</v>
      </c>
      <c r="B11" s="27">
        <f>B10*2</f>
        <v>160</v>
      </c>
      <c r="C11" s="19"/>
      <c r="D11" s="31" t="s">
        <v>30</v>
      </c>
      <c r="E11" s="2">
        <f>E10*2</f>
        <v>280</v>
      </c>
      <c r="F11" s="11"/>
      <c r="G11" s="18"/>
      <c r="H11" s="37"/>
    </row>
    <row r="12" spans="1:13" ht="14.25" thickBot="1" x14ac:dyDescent="0.3">
      <c r="A12" s="21" t="s">
        <v>31</v>
      </c>
      <c r="B12" s="28">
        <f>B11*B3</f>
        <v>28320</v>
      </c>
      <c r="C12" s="19"/>
      <c r="D12" s="32" t="s">
        <v>31</v>
      </c>
      <c r="E12" s="15">
        <f>E11*E3</f>
        <v>8960</v>
      </c>
      <c r="F12" s="11"/>
      <c r="G12" s="47">
        <f>B12+E12</f>
        <v>37280</v>
      </c>
      <c r="H12" s="36">
        <f>G12</f>
        <v>37280</v>
      </c>
    </row>
    <row r="13" spans="1:13" x14ac:dyDescent="0.25">
      <c r="A13" s="1" t="s">
        <v>37</v>
      </c>
      <c r="B13" s="29">
        <f>B36</f>
        <v>296.08</v>
      </c>
      <c r="C13" s="19"/>
      <c r="D13" s="1" t="s">
        <v>37</v>
      </c>
      <c r="E13" s="29">
        <f>E36</f>
        <v>413.41</v>
      </c>
      <c r="F13" s="11"/>
      <c r="G13" s="47"/>
      <c r="H13" s="36"/>
      <c r="M13" s="62"/>
    </row>
    <row r="14" spans="1:13" ht="14.25" thickBot="1" x14ac:dyDescent="0.3">
      <c r="A14" s="14" t="s">
        <v>39</v>
      </c>
      <c r="B14" s="24">
        <f>B13*B3</f>
        <v>52406.159999999996</v>
      </c>
      <c r="C14" s="20"/>
      <c r="D14" s="14" t="s">
        <v>39</v>
      </c>
      <c r="E14" s="24">
        <f>E13*E3</f>
        <v>13229.12</v>
      </c>
      <c r="F14" s="34"/>
      <c r="G14" s="48">
        <f t="shared" ref="G14" si="0">B14+E14</f>
        <v>65635.28</v>
      </c>
      <c r="H14" s="40">
        <f>G14*1.028</f>
        <v>67473.067840000003</v>
      </c>
      <c r="M14" s="62"/>
    </row>
    <row r="15" spans="1:13" ht="14.25" thickBot="1" x14ac:dyDescent="0.3">
      <c r="M15" s="62"/>
    </row>
    <row r="16" spans="1:13" x14ac:dyDescent="0.25">
      <c r="A16" s="106" t="s">
        <v>0</v>
      </c>
      <c r="B16" s="107"/>
      <c r="C16" s="108"/>
      <c r="D16" s="104" t="s">
        <v>24</v>
      </c>
      <c r="E16" s="105"/>
      <c r="F16" s="105"/>
      <c r="G16" s="100" t="s">
        <v>42</v>
      </c>
      <c r="H16" s="101"/>
      <c r="J16" s="64" t="s">
        <v>62</v>
      </c>
      <c r="M16" s="62"/>
    </row>
    <row r="17" spans="1:13" x14ac:dyDescent="0.25">
      <c r="A17" s="109" t="s">
        <v>4</v>
      </c>
      <c r="B17" s="128"/>
      <c r="C17" s="125"/>
      <c r="D17" s="129" t="s">
        <v>4</v>
      </c>
      <c r="E17" s="130"/>
      <c r="F17" s="115"/>
      <c r="G17" s="18" t="s">
        <v>60</v>
      </c>
      <c r="H17" s="2">
        <v>16576</v>
      </c>
      <c r="M17" s="62"/>
    </row>
    <row r="18" spans="1:13" ht="15.75" customHeight="1" x14ac:dyDescent="0.25">
      <c r="A18" s="123" t="s">
        <v>5</v>
      </c>
      <c r="B18" s="124"/>
      <c r="C18" s="126"/>
      <c r="D18" s="123" t="s">
        <v>5</v>
      </c>
      <c r="E18" s="124"/>
      <c r="F18" s="116"/>
      <c r="G18" s="18" t="s">
        <v>61</v>
      </c>
      <c r="H18" s="2">
        <f>J18*1.028</f>
        <v>2724.3439199999998</v>
      </c>
      <c r="J18" s="65">
        <v>2650.14</v>
      </c>
      <c r="K18" s="62"/>
      <c r="M18" s="62"/>
    </row>
    <row r="19" spans="1:13" ht="27" x14ac:dyDescent="0.25">
      <c r="A19" s="3" t="s">
        <v>6</v>
      </c>
      <c r="B19" s="4">
        <v>2</v>
      </c>
      <c r="C19" s="126"/>
      <c r="D19" s="3" t="s">
        <v>6</v>
      </c>
      <c r="E19" s="4">
        <v>2</v>
      </c>
      <c r="F19" s="116"/>
      <c r="G19" s="18" t="s">
        <v>65</v>
      </c>
      <c r="H19" s="2">
        <f>(H17+H18)*J19</f>
        <v>1823.8805343963247</v>
      </c>
      <c r="J19" s="66">
        <f>3209.81/33966.28</f>
        <v>9.4499898134267277E-2</v>
      </c>
      <c r="M19" s="62"/>
    </row>
    <row r="20" spans="1:13" ht="27" x14ac:dyDescent="0.25">
      <c r="A20" s="3" t="s">
        <v>7</v>
      </c>
      <c r="B20" s="4">
        <f>B4</f>
        <v>21</v>
      </c>
      <c r="C20" s="126"/>
      <c r="D20" s="3" t="s">
        <v>7</v>
      </c>
      <c r="E20" s="4">
        <f>E4</f>
        <v>70</v>
      </c>
      <c r="F20" s="116"/>
      <c r="G20" s="18" t="s">
        <v>66</v>
      </c>
      <c r="H20" s="2">
        <f>SUM(H17:H19)</f>
        <v>21124.224454396324</v>
      </c>
      <c r="M20" s="62"/>
    </row>
    <row r="21" spans="1:13" ht="27" x14ac:dyDescent="0.25">
      <c r="A21" s="3" t="s">
        <v>8</v>
      </c>
      <c r="B21" s="4">
        <f>B10</f>
        <v>80</v>
      </c>
      <c r="C21" s="126"/>
      <c r="D21" s="3" t="s">
        <v>8</v>
      </c>
      <c r="E21" s="4">
        <f>E10</f>
        <v>140</v>
      </c>
      <c r="F21" s="116"/>
      <c r="G21" s="18" t="s">
        <v>63</v>
      </c>
      <c r="H21" s="2">
        <f>H20*J21</f>
        <v>7393.479802873745</v>
      </c>
      <c r="J21" s="69">
        <f>11888.2/33966.28</f>
        <v>0.35000005888192648</v>
      </c>
      <c r="M21" s="62"/>
    </row>
    <row r="22" spans="1:13" ht="27" x14ac:dyDescent="0.25">
      <c r="A22" s="3" t="s">
        <v>9</v>
      </c>
      <c r="B22" s="4">
        <v>0</v>
      </c>
      <c r="C22" s="126"/>
      <c r="D22" s="3" t="s">
        <v>9</v>
      </c>
      <c r="E22" s="4">
        <v>0</v>
      </c>
      <c r="F22" s="116"/>
      <c r="G22" s="18" t="s">
        <v>44</v>
      </c>
      <c r="H22" s="2">
        <f>(H21+H20)*0.125</f>
        <v>3564.7130321587588</v>
      </c>
      <c r="M22" s="62"/>
    </row>
    <row r="23" spans="1:13" x14ac:dyDescent="0.25">
      <c r="A23" s="123" t="s">
        <v>10</v>
      </c>
      <c r="B23" s="124"/>
      <c r="C23" s="126"/>
      <c r="D23" s="123" t="s">
        <v>10</v>
      </c>
      <c r="E23" s="124"/>
      <c r="F23" s="116"/>
      <c r="G23" s="18" t="s">
        <v>45</v>
      </c>
      <c r="H23" s="2">
        <f>(H21+H20+H22)*0.06</f>
        <v>1924.9450373657296</v>
      </c>
      <c r="M23" s="62"/>
    </row>
    <row r="24" spans="1:13" ht="27" x14ac:dyDescent="0.25">
      <c r="A24" s="3" t="s">
        <v>11</v>
      </c>
      <c r="B24" s="4">
        <v>30</v>
      </c>
      <c r="C24" s="126"/>
      <c r="D24" s="3" t="s">
        <v>11</v>
      </c>
      <c r="E24" s="4">
        <f>B24</f>
        <v>30</v>
      </c>
      <c r="F24" s="116"/>
      <c r="G24" s="3" t="s">
        <v>48</v>
      </c>
      <c r="H24" s="36">
        <f>SUM(H20:H23)</f>
        <v>34007.362326794559</v>
      </c>
      <c r="K24" s="68" t="s">
        <v>64</v>
      </c>
      <c r="M24" s="62"/>
    </row>
    <row r="25" spans="1:13" ht="27" x14ac:dyDescent="0.25">
      <c r="A25" s="3" t="s">
        <v>12</v>
      </c>
      <c r="B25" s="4">
        <v>70</v>
      </c>
      <c r="C25" s="127"/>
      <c r="D25" s="3" t="s">
        <v>12</v>
      </c>
      <c r="E25" s="4">
        <f>B25</f>
        <v>70</v>
      </c>
      <c r="F25" s="117"/>
      <c r="G25" s="3" t="s">
        <v>47</v>
      </c>
      <c r="H25" s="38">
        <f>H24/1826</f>
        <v>18.623966224969639</v>
      </c>
      <c r="M25" s="62"/>
    </row>
    <row r="26" spans="1:13" x14ac:dyDescent="0.25">
      <c r="A26" s="109" t="s">
        <v>13</v>
      </c>
      <c r="B26" s="110"/>
      <c r="C26" s="112"/>
      <c r="D26" s="129" t="s">
        <v>13</v>
      </c>
      <c r="E26" s="130"/>
      <c r="F26" s="118"/>
      <c r="G26" s="18" t="s">
        <v>46</v>
      </c>
      <c r="H26" s="38">
        <f>((B11+B25)*B3+(E11+E25)*E3)/60</f>
        <v>865.16666666666663</v>
      </c>
      <c r="M26" s="62"/>
    </row>
    <row r="27" spans="1:13" ht="14.25" thickBot="1" x14ac:dyDescent="0.3">
      <c r="A27" s="3" t="s">
        <v>15</v>
      </c>
      <c r="B27" s="4">
        <v>0.41170000000000001</v>
      </c>
      <c r="C27" s="113"/>
      <c r="D27" s="3" t="s">
        <v>15</v>
      </c>
      <c r="E27" s="4">
        <f>B27</f>
        <v>0.41170000000000001</v>
      </c>
      <c r="F27" s="119"/>
      <c r="G27" s="39" t="s">
        <v>49</v>
      </c>
      <c r="H27" s="40">
        <f>H25*H26</f>
        <v>16112.834778969565</v>
      </c>
      <c r="M27" s="62"/>
    </row>
    <row r="28" spans="1:13" ht="14.25" thickBot="1" x14ac:dyDescent="0.3">
      <c r="A28" s="3" t="s">
        <v>16</v>
      </c>
      <c r="B28" s="4">
        <v>31.97</v>
      </c>
      <c r="C28" s="113"/>
      <c r="D28" s="3" t="s">
        <v>16</v>
      </c>
      <c r="E28" s="4">
        <f>B28</f>
        <v>31.97</v>
      </c>
      <c r="F28" s="113"/>
      <c r="G28" s="42" t="s">
        <v>41</v>
      </c>
      <c r="H28" s="41">
        <f>H14+H27</f>
        <v>83585.902618969572</v>
      </c>
      <c r="M28" s="62"/>
    </row>
    <row r="29" spans="1:13" ht="14.25" thickBot="1" x14ac:dyDescent="0.3">
      <c r="A29" s="3" t="s">
        <v>17</v>
      </c>
      <c r="B29" s="5">
        <v>18156</v>
      </c>
      <c r="C29" s="113"/>
      <c r="D29" s="3" t="s">
        <v>17</v>
      </c>
      <c r="E29" s="5">
        <f>B29</f>
        <v>18156</v>
      </c>
      <c r="F29" s="113"/>
      <c r="M29" s="62"/>
    </row>
    <row r="30" spans="1:13" ht="14.25" thickBot="1" x14ac:dyDescent="0.3">
      <c r="A30" s="3" t="s">
        <v>18</v>
      </c>
      <c r="B30" s="4">
        <v>592</v>
      </c>
      <c r="C30" s="114"/>
      <c r="D30" s="3" t="s">
        <v>18</v>
      </c>
      <c r="E30" s="4">
        <f>B30</f>
        <v>592</v>
      </c>
      <c r="F30" s="120"/>
      <c r="G30" s="43" t="s">
        <v>2</v>
      </c>
      <c r="H30" s="41">
        <v>85597.48</v>
      </c>
      <c r="M30" s="62"/>
    </row>
    <row r="31" spans="1:13" x14ac:dyDescent="0.25">
      <c r="A31" s="109" t="s">
        <v>14</v>
      </c>
      <c r="B31" s="110"/>
      <c r="C31" s="111"/>
      <c r="D31" s="121" t="s">
        <v>14</v>
      </c>
      <c r="E31" s="122"/>
      <c r="F31" s="122"/>
      <c r="G31" s="51" t="s">
        <v>50</v>
      </c>
      <c r="H31" s="54">
        <f>B13*1.028+(B11+B25)/60*$H$25</f>
        <v>375.76211052905023</v>
      </c>
      <c r="M31" s="67"/>
    </row>
    <row r="32" spans="1:13" ht="27" x14ac:dyDescent="0.25">
      <c r="A32" s="3" t="s">
        <v>19</v>
      </c>
      <c r="B32" s="4">
        <v>41.99</v>
      </c>
      <c r="C32" s="6">
        <f>B32/$B$36</f>
        <v>0.14181977843825994</v>
      </c>
      <c r="D32" s="3" t="s">
        <v>19</v>
      </c>
      <c r="E32" s="4">
        <v>82.34</v>
      </c>
      <c r="F32" s="50">
        <f>E32/$E$36</f>
        <v>0.19917273408964467</v>
      </c>
      <c r="G32" s="18" t="s">
        <v>51</v>
      </c>
      <c r="H32" s="55">
        <f>E13*1.028+(E11+E25)/60*$H$25</f>
        <v>533.62528297898962</v>
      </c>
      <c r="M32" s="62"/>
    </row>
    <row r="33" spans="1:14" ht="14.25" thickBot="1" x14ac:dyDescent="0.3">
      <c r="A33" s="3" t="s">
        <v>20</v>
      </c>
      <c r="B33" s="4">
        <v>159.85</v>
      </c>
      <c r="C33" s="6">
        <f t="shared" ref="C33:C36" si="1">B33/$B$36</f>
        <v>0.5398878681437449</v>
      </c>
      <c r="D33" s="3" t="s">
        <v>20</v>
      </c>
      <c r="E33" s="4">
        <v>223.8</v>
      </c>
      <c r="F33" s="6">
        <f t="shared" ref="F33:F36" si="2">E33/$E$36</f>
        <v>0.54135120098691369</v>
      </c>
      <c r="G33" s="52" t="s">
        <v>52</v>
      </c>
      <c r="H33" s="53">
        <f>H28/H3</f>
        <v>399.93254841612236</v>
      </c>
      <c r="M33" s="62"/>
      <c r="N33" s="62"/>
    </row>
    <row r="34" spans="1:14" x14ac:dyDescent="0.25">
      <c r="A34" s="3" t="s">
        <v>21</v>
      </c>
      <c r="B34" s="4">
        <v>61.34</v>
      </c>
      <c r="C34" s="6">
        <f t="shared" si="1"/>
        <v>0.20717373682788437</v>
      </c>
      <c r="D34" s="3" t="s">
        <v>21</v>
      </c>
      <c r="E34" s="4">
        <v>61.34</v>
      </c>
      <c r="F34" s="6">
        <f t="shared" si="2"/>
        <v>0.14837570450642221</v>
      </c>
    </row>
    <row r="35" spans="1:14" x14ac:dyDescent="0.25">
      <c r="A35" s="11" t="s">
        <v>22</v>
      </c>
      <c r="B35" s="4">
        <v>32.9</v>
      </c>
      <c r="C35" s="6">
        <f t="shared" si="1"/>
        <v>0.11111861659011078</v>
      </c>
      <c r="D35" s="11" t="s">
        <v>22</v>
      </c>
      <c r="E35" s="4">
        <v>45.93</v>
      </c>
      <c r="F35" s="6">
        <f t="shared" si="2"/>
        <v>0.11110036041701941</v>
      </c>
    </row>
    <row r="36" spans="1:14" ht="14.25" thickBot="1" x14ac:dyDescent="0.3">
      <c r="A36" s="7" t="s">
        <v>23</v>
      </c>
      <c r="B36" s="8">
        <f>SUM(B32:B35)</f>
        <v>296.08</v>
      </c>
      <c r="C36" s="9">
        <f t="shared" si="1"/>
        <v>1</v>
      </c>
      <c r="D36" s="7" t="s">
        <v>23</v>
      </c>
      <c r="E36" s="8">
        <f>SUM(E32:E35)</f>
        <v>413.41</v>
      </c>
      <c r="F36" s="9">
        <f t="shared" si="2"/>
        <v>1</v>
      </c>
    </row>
    <row r="38" spans="1:14" ht="14.25" thickBot="1" x14ac:dyDescent="0.3">
      <c r="A38" s="10" t="s">
        <v>33</v>
      </c>
    </row>
    <row r="39" spans="1:14" ht="27.75" thickBot="1" x14ac:dyDescent="0.3">
      <c r="A39" s="10" t="s">
        <v>34</v>
      </c>
      <c r="F39" s="56" t="s">
        <v>53</v>
      </c>
      <c r="G39" s="57" t="s">
        <v>54</v>
      </c>
      <c r="H39" s="57" t="s">
        <v>55</v>
      </c>
      <c r="I39" s="57" t="s">
        <v>56</v>
      </c>
      <c r="J39" s="57"/>
      <c r="K39" s="57"/>
      <c r="L39" s="57" t="s">
        <v>58</v>
      </c>
      <c r="M39" s="57" t="s">
        <v>59</v>
      </c>
      <c r="N39" s="57" t="s">
        <v>57</v>
      </c>
    </row>
    <row r="40" spans="1:14" ht="14.25" thickBot="1" x14ac:dyDescent="0.3">
      <c r="A40" s="10" t="s">
        <v>35</v>
      </c>
      <c r="F40" s="58">
        <v>2025</v>
      </c>
      <c r="G40" s="59">
        <f>H31</f>
        <v>375.76211052905023</v>
      </c>
      <c r="H40" s="59">
        <f>H32</f>
        <v>533.62528297898962</v>
      </c>
      <c r="I40" s="59">
        <f>G40*177+H40*32</f>
        <v>83585.902618969558</v>
      </c>
      <c r="J40" s="59"/>
      <c r="K40" s="59"/>
      <c r="L40" s="60">
        <f>G40*75+H40*28</f>
        <v>43123.666213090473</v>
      </c>
    </row>
    <row r="41" spans="1:14" ht="14.25" thickBot="1" x14ac:dyDescent="0.3">
      <c r="A41" s="10" t="s">
        <v>36</v>
      </c>
      <c r="F41" s="58">
        <v>2026</v>
      </c>
      <c r="G41" s="59">
        <f t="shared" ref="G41:H44" si="3">G40*1.015</f>
        <v>381.39854218698594</v>
      </c>
      <c r="H41" s="59">
        <f t="shared" si="3"/>
        <v>541.62966222367436</v>
      </c>
      <c r="I41" s="59">
        <f t="shared" ref="I41:I44" si="4">G41*177+H41*32</f>
        <v>84839.691158254078</v>
      </c>
      <c r="J41" s="59"/>
      <c r="K41" s="59"/>
      <c r="L41" s="60">
        <f>I41</f>
        <v>84839.691158254078</v>
      </c>
    </row>
    <row r="42" spans="1:14" ht="14.25" thickBot="1" x14ac:dyDescent="0.3">
      <c r="F42" s="58">
        <v>2027</v>
      </c>
      <c r="G42" s="59">
        <f t="shared" si="3"/>
        <v>387.11952031979069</v>
      </c>
      <c r="H42" s="59">
        <f t="shared" si="3"/>
        <v>549.75410715702947</v>
      </c>
      <c r="I42" s="59">
        <f t="shared" si="4"/>
        <v>86112.286525627889</v>
      </c>
      <c r="J42" s="59"/>
      <c r="K42" s="59"/>
      <c r="L42" s="60">
        <f>I42</f>
        <v>86112.286525627889</v>
      </c>
    </row>
    <row r="43" spans="1:14" ht="14.25" thickBot="1" x14ac:dyDescent="0.3">
      <c r="F43" s="58">
        <v>2028</v>
      </c>
      <c r="G43" s="59">
        <f t="shared" si="3"/>
        <v>392.92631312458752</v>
      </c>
      <c r="H43" s="59">
        <f t="shared" si="3"/>
        <v>558.0004187643849</v>
      </c>
      <c r="I43" s="59">
        <f>G43*177+H43*33</f>
        <v>87961.97124227669</v>
      </c>
      <c r="J43" s="59"/>
      <c r="K43" s="59"/>
      <c r="L43" s="60">
        <f>G43*102+H43*4</f>
        <v>42310.485613765464</v>
      </c>
      <c r="M43" s="60">
        <f>I43-L43</f>
        <v>45651.485628511226</v>
      </c>
    </row>
    <row r="44" spans="1:14" ht="14.25" thickBot="1" x14ac:dyDescent="0.3">
      <c r="F44" s="58">
        <v>2029</v>
      </c>
      <c r="G44" s="59">
        <f t="shared" si="3"/>
        <v>398.82020782145628</v>
      </c>
      <c r="H44" s="59">
        <f t="shared" si="3"/>
        <v>566.37042504585065</v>
      </c>
      <c r="I44" s="59">
        <f t="shared" si="4"/>
        <v>88715.030385864986</v>
      </c>
      <c r="J44" s="63"/>
      <c r="K44" s="63"/>
      <c r="M44" s="60">
        <f>G44*102+H44*4</f>
        <v>42945.142897971942</v>
      </c>
    </row>
    <row r="45" spans="1:14" ht="14.25" thickBot="1" x14ac:dyDescent="0.3">
      <c r="L45" s="61">
        <f>SUM(L40:L43)</f>
        <v>256386.1295107379</v>
      </c>
      <c r="M45" s="61">
        <f>SUM(M40:M44)</f>
        <v>88596.628526483168</v>
      </c>
      <c r="N45" s="61">
        <f>L45+M45</f>
        <v>344982.75803722104</v>
      </c>
    </row>
  </sheetData>
  <mergeCells count="20">
    <mergeCell ref="A31:C31"/>
    <mergeCell ref="C26:C30"/>
    <mergeCell ref="F17:F25"/>
    <mergeCell ref="F26:F30"/>
    <mergeCell ref="D31:F31"/>
    <mergeCell ref="A18:B18"/>
    <mergeCell ref="D18:E18"/>
    <mergeCell ref="D23:E23"/>
    <mergeCell ref="C17:C25"/>
    <mergeCell ref="A17:B17"/>
    <mergeCell ref="A26:B26"/>
    <mergeCell ref="D17:E17"/>
    <mergeCell ref="D26:E26"/>
    <mergeCell ref="A23:B23"/>
    <mergeCell ref="A2:C2"/>
    <mergeCell ref="D2:F2"/>
    <mergeCell ref="G16:H16"/>
    <mergeCell ref="G1:H1"/>
    <mergeCell ref="D16:F16"/>
    <mergeCell ref="A16:C16"/>
  </mergeCells>
  <phoneticPr fontId="7" type="noConversion"/>
  <pageMargins left="0.7" right="0.7" top="0.75" bottom="0.75" header="0.3" footer="0.3"/>
  <ignoredErrors>
    <ignoredError sqref="F32:F36" evalErro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AD7D-EE6A-468E-B96A-4CC1350BD74E}">
  <dimension ref="A1:N45"/>
  <sheetViews>
    <sheetView topLeftCell="E20" zoomScaleNormal="100" workbookViewId="0">
      <selection activeCell="I45" sqref="I45"/>
    </sheetView>
  </sheetViews>
  <sheetFormatPr defaultColWidth="24.140625" defaultRowHeight="13.5" x14ac:dyDescent="0.25"/>
  <cols>
    <col min="1" max="2" width="24.140625" style="10"/>
    <col min="3" max="3" width="10.5703125" style="10" customWidth="1"/>
    <col min="4" max="5" width="24.140625" style="10"/>
    <col min="6" max="6" width="10.5703125" style="10" customWidth="1"/>
    <col min="7" max="7" width="26.28515625" style="10" bestFit="1" customWidth="1"/>
    <col min="8" max="8" width="24.140625" style="10"/>
    <col min="9" max="9" width="20.28515625" style="10" customWidth="1"/>
    <col min="10" max="10" width="20.28515625" style="64" customWidth="1"/>
    <col min="11" max="11" width="12.28515625" style="64" customWidth="1"/>
    <col min="12" max="12" width="51.140625" style="10" bestFit="1" customWidth="1"/>
    <col min="13" max="13" width="10.5703125" style="10" bestFit="1" customWidth="1"/>
    <col min="14" max="16384" width="24.140625" style="10"/>
  </cols>
  <sheetData>
    <row r="1" spans="1:13" ht="14.65" customHeight="1" thickBot="1" x14ac:dyDescent="0.3">
      <c r="G1" s="102" t="s">
        <v>43</v>
      </c>
      <c r="H1" s="103"/>
    </row>
    <row r="2" spans="1:13" ht="14.25" thickBot="1" x14ac:dyDescent="0.3">
      <c r="A2" s="95" t="s">
        <v>0</v>
      </c>
      <c r="B2" s="96"/>
      <c r="C2" s="97"/>
      <c r="D2" s="98" t="s">
        <v>24</v>
      </c>
      <c r="E2" s="99"/>
      <c r="F2" s="99"/>
      <c r="G2" s="44" t="s">
        <v>38</v>
      </c>
      <c r="H2" s="49" t="s">
        <v>40</v>
      </c>
    </row>
    <row r="3" spans="1:13" x14ac:dyDescent="0.25">
      <c r="A3" s="1" t="s">
        <v>25</v>
      </c>
      <c r="B3" s="22">
        <v>177</v>
      </c>
      <c r="C3" s="33"/>
      <c r="D3" s="30" t="s">
        <v>25</v>
      </c>
      <c r="E3" s="70">
        <v>32</v>
      </c>
      <c r="F3" s="35"/>
      <c r="G3" s="45">
        <f>B3+E3</f>
        <v>209</v>
      </c>
      <c r="H3" s="46">
        <f>G3</f>
        <v>209</v>
      </c>
    </row>
    <row r="4" spans="1:13" x14ac:dyDescent="0.25">
      <c r="A4" s="12" t="s">
        <v>26</v>
      </c>
      <c r="B4" s="23">
        <v>21</v>
      </c>
      <c r="C4" s="19"/>
      <c r="D4" s="31" t="s">
        <v>26</v>
      </c>
      <c r="E4" s="13">
        <v>70</v>
      </c>
      <c r="F4" s="11"/>
      <c r="G4" s="18"/>
      <c r="H4" s="37"/>
    </row>
    <row r="5" spans="1:13" x14ac:dyDescent="0.25">
      <c r="A5" s="12" t="s">
        <v>27</v>
      </c>
      <c r="B5" s="23">
        <f>B4*2</f>
        <v>42</v>
      </c>
      <c r="C5" s="19"/>
      <c r="D5" s="31" t="s">
        <v>27</v>
      </c>
      <c r="E5" s="13">
        <f>E4*2</f>
        <v>140</v>
      </c>
      <c r="F5" s="11"/>
      <c r="G5" s="18"/>
      <c r="H5" s="37"/>
    </row>
    <row r="6" spans="1:13" ht="14.25" thickBot="1" x14ac:dyDescent="0.3">
      <c r="A6" s="14" t="s">
        <v>1</v>
      </c>
      <c r="B6" s="24">
        <f>B5*B3</f>
        <v>7434</v>
      </c>
      <c r="C6" s="19"/>
      <c r="D6" s="32" t="s">
        <v>1</v>
      </c>
      <c r="E6" s="15">
        <f>E5*E3</f>
        <v>4480</v>
      </c>
      <c r="F6" s="11"/>
      <c r="G6" s="47">
        <f>B6+E6</f>
        <v>11914</v>
      </c>
      <c r="H6" s="36">
        <f>G6</f>
        <v>11914</v>
      </c>
    </row>
    <row r="7" spans="1:13" x14ac:dyDescent="0.25">
      <c r="A7" s="1" t="s">
        <v>3</v>
      </c>
      <c r="B7" s="25">
        <v>0.3576388888888889</v>
      </c>
      <c r="C7" s="19"/>
      <c r="D7" s="30" t="s">
        <v>3</v>
      </c>
      <c r="E7" s="16">
        <v>0.3125</v>
      </c>
      <c r="F7" s="11"/>
      <c r="G7" s="18"/>
      <c r="H7" s="37"/>
    </row>
    <row r="8" spans="1:13" x14ac:dyDescent="0.25">
      <c r="A8" s="12" t="s">
        <v>32</v>
      </c>
      <c r="B8" s="26">
        <v>0.41319444444444442</v>
      </c>
      <c r="C8" s="19"/>
      <c r="D8" s="31" t="s">
        <v>32</v>
      </c>
      <c r="E8" s="17">
        <v>0.40972222222222221</v>
      </c>
      <c r="F8" s="11"/>
      <c r="G8" s="18"/>
      <c r="H8" s="37"/>
    </row>
    <row r="9" spans="1:13" x14ac:dyDescent="0.25">
      <c r="A9" s="12" t="s">
        <v>28</v>
      </c>
      <c r="B9" s="26">
        <f>B8-B7</f>
        <v>5.5555555555555525E-2</v>
      </c>
      <c r="C9" s="19"/>
      <c r="D9" s="31" t="s">
        <v>28</v>
      </c>
      <c r="E9" s="17">
        <f>E8-E7</f>
        <v>9.722222222222221E-2</v>
      </c>
      <c r="F9" s="11"/>
      <c r="G9" s="18"/>
      <c r="H9" s="37"/>
    </row>
    <row r="10" spans="1:13" x14ac:dyDescent="0.25">
      <c r="A10" s="12" t="s">
        <v>29</v>
      </c>
      <c r="B10" s="27">
        <f>HOUR(B9)*60+MINUTE(B9)</f>
        <v>80</v>
      </c>
      <c r="C10" s="19"/>
      <c r="D10" s="31" t="s">
        <v>29</v>
      </c>
      <c r="E10" s="2">
        <f>HOUR(E9)*60+MINUTE(E9)</f>
        <v>140</v>
      </c>
      <c r="F10" s="11"/>
      <c r="G10" s="18"/>
      <c r="H10" s="37"/>
    </row>
    <row r="11" spans="1:13" x14ac:dyDescent="0.25">
      <c r="A11" s="12" t="s">
        <v>30</v>
      </c>
      <c r="B11" s="27">
        <f>B10*2</f>
        <v>160</v>
      </c>
      <c r="C11" s="19"/>
      <c r="D11" s="31" t="s">
        <v>30</v>
      </c>
      <c r="E11" s="2">
        <f>E10*2</f>
        <v>280</v>
      </c>
      <c r="F11" s="11"/>
      <c r="G11" s="18"/>
      <c r="H11" s="37"/>
    </row>
    <row r="12" spans="1:13" ht="14.25" thickBot="1" x14ac:dyDescent="0.3">
      <c r="A12" s="21" t="s">
        <v>31</v>
      </c>
      <c r="B12" s="28">
        <f>B11*B3</f>
        <v>28320</v>
      </c>
      <c r="C12" s="19"/>
      <c r="D12" s="32" t="s">
        <v>31</v>
      </c>
      <c r="E12" s="15">
        <f>E11*E3</f>
        <v>8960</v>
      </c>
      <c r="F12" s="11"/>
      <c r="G12" s="47">
        <f>B12+E12</f>
        <v>37280</v>
      </c>
      <c r="H12" s="36">
        <f>G12</f>
        <v>37280</v>
      </c>
    </row>
    <row r="13" spans="1:13" x14ac:dyDescent="0.25">
      <c r="A13" s="1" t="s">
        <v>37</v>
      </c>
      <c r="B13" s="29">
        <f>B36</f>
        <v>284.10000000000002</v>
      </c>
      <c r="C13" s="19"/>
      <c r="D13" s="1" t="s">
        <v>37</v>
      </c>
      <c r="E13" s="29">
        <f>E36</f>
        <v>401.42000000000007</v>
      </c>
      <c r="F13" s="11"/>
      <c r="G13" s="47"/>
      <c r="H13" s="36"/>
      <c r="M13" s="62"/>
    </row>
    <row r="14" spans="1:13" ht="14.25" thickBot="1" x14ac:dyDescent="0.3">
      <c r="A14" s="14" t="s">
        <v>39</v>
      </c>
      <c r="B14" s="24">
        <f>B13*B3</f>
        <v>50285.700000000004</v>
      </c>
      <c r="C14" s="20"/>
      <c r="D14" s="14" t="s">
        <v>39</v>
      </c>
      <c r="E14" s="24">
        <f>E13*E3</f>
        <v>12845.440000000002</v>
      </c>
      <c r="F14" s="34"/>
      <c r="G14" s="48">
        <f t="shared" ref="G14" si="0">B14+E14</f>
        <v>63131.140000000007</v>
      </c>
      <c r="H14" s="40">
        <f>G14*1.028</f>
        <v>64898.811920000007</v>
      </c>
      <c r="M14" s="62"/>
    </row>
    <row r="15" spans="1:13" ht="14.25" thickBot="1" x14ac:dyDescent="0.3">
      <c r="M15" s="62"/>
    </row>
    <row r="16" spans="1:13" x14ac:dyDescent="0.25">
      <c r="A16" s="106" t="s">
        <v>0</v>
      </c>
      <c r="B16" s="107"/>
      <c r="C16" s="108"/>
      <c r="D16" s="104" t="s">
        <v>24</v>
      </c>
      <c r="E16" s="105"/>
      <c r="F16" s="105"/>
      <c r="G16" s="100" t="s">
        <v>42</v>
      </c>
      <c r="H16" s="101"/>
      <c r="J16" s="64" t="s">
        <v>62</v>
      </c>
      <c r="M16" s="62"/>
    </row>
    <row r="17" spans="1:13" x14ac:dyDescent="0.25">
      <c r="A17" s="109" t="s">
        <v>4</v>
      </c>
      <c r="B17" s="128"/>
      <c r="C17" s="125"/>
      <c r="D17" s="129" t="s">
        <v>4</v>
      </c>
      <c r="E17" s="130"/>
      <c r="F17" s="115"/>
      <c r="G17" s="18" t="s">
        <v>60</v>
      </c>
      <c r="H17" s="2">
        <v>16576</v>
      </c>
      <c r="M17" s="62"/>
    </row>
    <row r="18" spans="1:13" ht="15.75" customHeight="1" x14ac:dyDescent="0.25">
      <c r="A18" s="123" t="s">
        <v>5</v>
      </c>
      <c r="B18" s="124"/>
      <c r="C18" s="126"/>
      <c r="D18" s="123" t="s">
        <v>5</v>
      </c>
      <c r="E18" s="124"/>
      <c r="F18" s="116"/>
      <c r="G18" s="18" t="s">
        <v>61</v>
      </c>
      <c r="H18" s="2">
        <f>J18*1.028</f>
        <v>2724.3439199999998</v>
      </c>
      <c r="J18" s="65">
        <v>2650.14</v>
      </c>
      <c r="K18" s="62"/>
      <c r="M18" s="62"/>
    </row>
    <row r="19" spans="1:13" ht="27" x14ac:dyDescent="0.25">
      <c r="A19" s="3" t="s">
        <v>6</v>
      </c>
      <c r="B19" s="4">
        <v>2</v>
      </c>
      <c r="C19" s="126"/>
      <c r="D19" s="3" t="s">
        <v>6</v>
      </c>
      <c r="E19" s="4">
        <v>2</v>
      </c>
      <c r="F19" s="116"/>
      <c r="G19" s="18" t="s">
        <v>65</v>
      </c>
      <c r="H19" s="2">
        <f>(H17+H18)*J19</f>
        <v>1823.8805343963247</v>
      </c>
      <c r="J19" s="66">
        <f>3209.81/33966.28</f>
        <v>9.4499898134267277E-2</v>
      </c>
      <c r="M19" s="62"/>
    </row>
    <row r="20" spans="1:13" ht="27" x14ac:dyDescent="0.25">
      <c r="A20" s="3" t="s">
        <v>7</v>
      </c>
      <c r="B20" s="4">
        <f>B4</f>
        <v>21</v>
      </c>
      <c r="C20" s="126"/>
      <c r="D20" s="3" t="s">
        <v>7</v>
      </c>
      <c r="E20" s="4">
        <f>E4</f>
        <v>70</v>
      </c>
      <c r="F20" s="116"/>
      <c r="G20" s="18" t="s">
        <v>66</v>
      </c>
      <c r="H20" s="2">
        <f>SUM(H17:H19)</f>
        <v>21124.224454396324</v>
      </c>
      <c r="M20" s="62"/>
    </row>
    <row r="21" spans="1:13" ht="27" x14ac:dyDescent="0.25">
      <c r="A21" s="3" t="s">
        <v>8</v>
      </c>
      <c r="B21" s="4">
        <f>B10</f>
        <v>80</v>
      </c>
      <c r="C21" s="126"/>
      <c r="D21" s="3" t="s">
        <v>8</v>
      </c>
      <c r="E21" s="4">
        <f>E10</f>
        <v>140</v>
      </c>
      <c r="F21" s="116"/>
      <c r="G21" s="18" t="s">
        <v>63</v>
      </c>
      <c r="H21" s="2">
        <f>H20*J21</f>
        <v>7393.479802873745</v>
      </c>
      <c r="J21" s="69">
        <f>11888.2/33966.28</f>
        <v>0.35000005888192648</v>
      </c>
      <c r="M21" s="62"/>
    </row>
    <row r="22" spans="1:13" ht="27" x14ac:dyDescent="0.25">
      <c r="A22" s="3" t="s">
        <v>9</v>
      </c>
      <c r="B22" s="4">
        <v>0</v>
      </c>
      <c r="C22" s="126"/>
      <c r="D22" s="3" t="s">
        <v>9</v>
      </c>
      <c r="E22" s="4">
        <v>0</v>
      </c>
      <c r="F22" s="116"/>
      <c r="G22" s="18" t="s">
        <v>44</v>
      </c>
      <c r="H22" s="2">
        <f>(H21+H20)*0.125</f>
        <v>3564.7130321587588</v>
      </c>
      <c r="M22" s="62"/>
    </row>
    <row r="23" spans="1:13" x14ac:dyDescent="0.25">
      <c r="A23" s="123" t="s">
        <v>10</v>
      </c>
      <c r="B23" s="124"/>
      <c r="C23" s="126"/>
      <c r="D23" s="123" t="s">
        <v>10</v>
      </c>
      <c r="E23" s="124"/>
      <c r="F23" s="116"/>
      <c r="G23" s="18" t="s">
        <v>45</v>
      </c>
      <c r="H23" s="2">
        <f>(H21+H20+H22)*0.06</f>
        <v>1924.9450373657296</v>
      </c>
      <c r="M23" s="62"/>
    </row>
    <row r="24" spans="1:13" ht="27" x14ac:dyDescent="0.25">
      <c r="A24" s="3" t="s">
        <v>11</v>
      </c>
      <c r="B24" s="4">
        <v>30</v>
      </c>
      <c r="C24" s="126"/>
      <c r="D24" s="3" t="s">
        <v>11</v>
      </c>
      <c r="E24" s="4">
        <f>B24</f>
        <v>30</v>
      </c>
      <c r="F24" s="116"/>
      <c r="G24" s="3" t="s">
        <v>48</v>
      </c>
      <c r="H24" s="36">
        <f>SUM(H20:H23)</f>
        <v>34007.362326794559</v>
      </c>
      <c r="K24" s="68" t="s">
        <v>64</v>
      </c>
      <c r="M24" s="62"/>
    </row>
    <row r="25" spans="1:13" ht="27" x14ac:dyDescent="0.25">
      <c r="A25" s="3" t="s">
        <v>12</v>
      </c>
      <c r="B25" s="4">
        <v>60</v>
      </c>
      <c r="C25" s="127"/>
      <c r="D25" s="3" t="s">
        <v>12</v>
      </c>
      <c r="E25" s="4">
        <f>B25</f>
        <v>60</v>
      </c>
      <c r="F25" s="117"/>
      <c r="G25" s="3" t="s">
        <v>47</v>
      </c>
      <c r="H25" s="38">
        <f>H24/1826</f>
        <v>18.623966224969639</v>
      </c>
      <c r="M25" s="62"/>
    </row>
    <row r="26" spans="1:13" x14ac:dyDescent="0.25">
      <c r="A26" s="109" t="s">
        <v>13</v>
      </c>
      <c r="B26" s="110"/>
      <c r="C26" s="112"/>
      <c r="D26" s="129" t="s">
        <v>13</v>
      </c>
      <c r="E26" s="130"/>
      <c r="F26" s="118"/>
      <c r="G26" s="18" t="s">
        <v>46</v>
      </c>
      <c r="H26" s="38">
        <f>((B11+B25)*B3+(E11+E25)*E3)/60</f>
        <v>830.33333333333337</v>
      </c>
      <c r="M26" s="62"/>
    </row>
    <row r="27" spans="1:13" ht="14.25" thickBot="1" x14ac:dyDescent="0.3">
      <c r="A27" s="3" t="s">
        <v>15</v>
      </c>
      <c r="B27" s="4">
        <v>0.41170000000000001</v>
      </c>
      <c r="C27" s="113"/>
      <c r="D27" s="3" t="s">
        <v>15</v>
      </c>
      <c r="E27" s="4">
        <f>B27</f>
        <v>0.41170000000000001</v>
      </c>
      <c r="F27" s="119"/>
      <c r="G27" s="39" t="s">
        <v>49</v>
      </c>
      <c r="H27" s="40">
        <f>H25*H26</f>
        <v>15464.099955466458</v>
      </c>
      <c r="M27" s="62"/>
    </row>
    <row r="28" spans="1:13" ht="14.25" thickBot="1" x14ac:dyDescent="0.3">
      <c r="A28" s="3" t="s">
        <v>16</v>
      </c>
      <c r="B28" s="4">
        <v>31.97</v>
      </c>
      <c r="C28" s="113"/>
      <c r="D28" s="3" t="s">
        <v>16</v>
      </c>
      <c r="E28" s="4">
        <f>B28</f>
        <v>31.97</v>
      </c>
      <c r="F28" s="113"/>
      <c r="G28" s="42" t="s">
        <v>41</v>
      </c>
      <c r="H28" s="41">
        <f>H14+H27</f>
        <v>80362.911875466467</v>
      </c>
      <c r="M28" s="62"/>
    </row>
    <row r="29" spans="1:13" ht="14.25" thickBot="1" x14ac:dyDescent="0.3">
      <c r="A29" s="3" t="s">
        <v>17</v>
      </c>
      <c r="B29" s="5">
        <v>18156</v>
      </c>
      <c r="C29" s="113"/>
      <c r="D29" s="3" t="s">
        <v>17</v>
      </c>
      <c r="E29" s="5">
        <f>B29</f>
        <v>18156</v>
      </c>
      <c r="F29" s="113"/>
      <c r="M29" s="62"/>
    </row>
    <row r="30" spans="1:13" ht="14.25" thickBot="1" x14ac:dyDescent="0.3">
      <c r="A30" s="3" t="s">
        <v>18</v>
      </c>
      <c r="B30" s="4">
        <v>592</v>
      </c>
      <c r="C30" s="114"/>
      <c r="D30" s="3" t="s">
        <v>18</v>
      </c>
      <c r="E30" s="4">
        <f>B30</f>
        <v>592</v>
      </c>
      <c r="F30" s="120"/>
      <c r="G30" s="43" t="s">
        <v>2</v>
      </c>
      <c r="H30" s="41">
        <v>85597.48</v>
      </c>
      <c r="M30" s="62"/>
    </row>
    <row r="31" spans="1:13" x14ac:dyDescent="0.25">
      <c r="A31" s="109" t="s">
        <v>14</v>
      </c>
      <c r="B31" s="110"/>
      <c r="C31" s="111"/>
      <c r="D31" s="121" t="s">
        <v>14</v>
      </c>
      <c r="E31" s="122"/>
      <c r="F31" s="122"/>
      <c r="G31" s="51" t="s">
        <v>50</v>
      </c>
      <c r="H31" s="54">
        <f>B13*1.028+(B11+B25)/60*$H$25</f>
        <v>360.34267615822205</v>
      </c>
      <c r="I31" s="10">
        <f>H31*B3</f>
        <v>63780.6536800053</v>
      </c>
      <c r="M31" s="67"/>
    </row>
    <row r="32" spans="1:13" ht="27" x14ac:dyDescent="0.25">
      <c r="A32" s="3" t="s">
        <v>19</v>
      </c>
      <c r="B32" s="4">
        <v>41.99</v>
      </c>
      <c r="C32" s="6">
        <f>B32/$B$36</f>
        <v>0.14780007039774726</v>
      </c>
      <c r="D32" s="3" t="s">
        <v>19</v>
      </c>
      <c r="E32" s="4">
        <v>82.34</v>
      </c>
      <c r="F32" s="50">
        <f>E32/$E$36</f>
        <v>0.20512181754770561</v>
      </c>
      <c r="G32" s="18" t="s">
        <v>51</v>
      </c>
      <c r="H32" s="55">
        <f>E13*1.028+(E11+E25)/60*$H$25</f>
        <v>518.19556860816135</v>
      </c>
      <c r="I32" s="10">
        <f>H32*E3</f>
        <v>16582.258195461163</v>
      </c>
      <c r="M32" s="62"/>
    </row>
    <row r="33" spans="1:14" ht="14.25" thickBot="1" x14ac:dyDescent="0.3">
      <c r="A33" s="3" t="s">
        <v>20</v>
      </c>
      <c r="B33" s="4">
        <v>149.19999999999999</v>
      </c>
      <c r="C33" s="6">
        <f t="shared" ref="C33:C36" si="1">B33/$B$36</f>
        <v>0.52516719464977113</v>
      </c>
      <c r="D33" s="3" t="s">
        <v>20</v>
      </c>
      <c r="E33" s="4">
        <v>213.14</v>
      </c>
      <c r="F33" s="6">
        <f t="shared" ref="F33:F36" si="2">E33/$E$36</f>
        <v>0.53096507398734483</v>
      </c>
      <c r="G33" s="52" t="s">
        <v>52</v>
      </c>
      <c r="H33" s="53">
        <f>H28/H3</f>
        <v>384.51154007400226</v>
      </c>
      <c r="I33" s="10">
        <f>I31+I32</f>
        <v>80362.911875466467</v>
      </c>
      <c r="M33" s="62"/>
      <c r="N33" s="62"/>
    </row>
    <row r="34" spans="1:14" x14ac:dyDescent="0.25">
      <c r="A34" s="3" t="s">
        <v>21</v>
      </c>
      <c r="B34" s="4">
        <v>61.34</v>
      </c>
      <c r="C34" s="6">
        <f t="shared" si="1"/>
        <v>0.21590989088349172</v>
      </c>
      <c r="D34" s="3" t="s">
        <v>21</v>
      </c>
      <c r="E34" s="4">
        <v>61.34</v>
      </c>
      <c r="F34" s="6">
        <f t="shared" si="2"/>
        <v>0.15280753325693786</v>
      </c>
    </row>
    <row r="35" spans="1:14" x14ac:dyDescent="0.25">
      <c r="A35" s="11" t="s">
        <v>22</v>
      </c>
      <c r="B35" s="4">
        <v>31.57</v>
      </c>
      <c r="C35" s="6">
        <f t="shared" si="1"/>
        <v>0.11112284406898978</v>
      </c>
      <c r="D35" s="11" t="s">
        <v>22</v>
      </c>
      <c r="E35" s="4">
        <v>44.6</v>
      </c>
      <c r="F35" s="6">
        <f t="shared" si="2"/>
        <v>0.11110557520801154</v>
      </c>
    </row>
    <row r="36" spans="1:14" ht="14.25" thickBot="1" x14ac:dyDescent="0.3">
      <c r="A36" s="7" t="s">
        <v>23</v>
      </c>
      <c r="B36" s="8">
        <f>SUM(B32:B35)</f>
        <v>284.10000000000002</v>
      </c>
      <c r="C36" s="9">
        <f t="shared" si="1"/>
        <v>1</v>
      </c>
      <c r="D36" s="7" t="s">
        <v>23</v>
      </c>
      <c r="E36" s="8">
        <f>SUM(E32:E35)</f>
        <v>401.42000000000007</v>
      </c>
      <c r="F36" s="9">
        <f t="shared" si="2"/>
        <v>1</v>
      </c>
    </row>
    <row r="38" spans="1:14" ht="14.25" thickBot="1" x14ac:dyDescent="0.3">
      <c r="A38" s="10" t="s">
        <v>33</v>
      </c>
    </row>
    <row r="39" spans="1:14" ht="27.75" thickBot="1" x14ac:dyDescent="0.3">
      <c r="A39" s="10" t="s">
        <v>34</v>
      </c>
      <c r="F39" s="56" t="s">
        <v>53</v>
      </c>
      <c r="G39" s="57" t="s">
        <v>54</v>
      </c>
      <c r="H39" s="57" t="s">
        <v>55</v>
      </c>
      <c r="I39" s="57" t="s">
        <v>56</v>
      </c>
      <c r="J39" s="57"/>
      <c r="K39" s="57"/>
      <c r="L39" s="57" t="s">
        <v>58</v>
      </c>
      <c r="M39" s="57" t="s">
        <v>59</v>
      </c>
      <c r="N39" s="57" t="s">
        <v>57</v>
      </c>
    </row>
    <row r="40" spans="1:14" ht="14.25" thickBot="1" x14ac:dyDescent="0.3">
      <c r="A40" s="10" t="s">
        <v>35</v>
      </c>
      <c r="F40" s="58">
        <v>2025</v>
      </c>
      <c r="G40" s="59">
        <f>H31</f>
        <v>360.34267615822205</v>
      </c>
      <c r="H40" s="59">
        <f>H32</f>
        <v>518.19556860816135</v>
      </c>
      <c r="I40" s="59">
        <f>G40*177+H40*32</f>
        <v>80362.911875466467</v>
      </c>
      <c r="J40" s="59"/>
      <c r="K40" s="59"/>
      <c r="L40" s="60">
        <f>G40*75+H40*28</f>
        <v>41535.176632895171</v>
      </c>
    </row>
    <row r="41" spans="1:14" ht="14.25" thickBot="1" x14ac:dyDescent="0.3">
      <c r="A41" s="10" t="s">
        <v>36</v>
      </c>
      <c r="F41" s="58">
        <v>2026</v>
      </c>
      <c r="G41" s="59">
        <f t="shared" ref="G41:H44" si="3">G40*1.015</f>
        <v>365.74781630059533</v>
      </c>
      <c r="H41" s="59">
        <f t="shared" si="3"/>
        <v>525.96850213728374</v>
      </c>
      <c r="I41" s="59">
        <f t="shared" ref="I41:I44" si="4">G41*177+H41*32</f>
        <v>81568.355553598449</v>
      </c>
      <c r="J41" s="59"/>
      <c r="K41" s="59"/>
      <c r="L41" s="60">
        <f>I41</f>
        <v>81568.355553598449</v>
      </c>
    </row>
    <row r="42" spans="1:14" ht="14.25" thickBot="1" x14ac:dyDescent="0.3">
      <c r="F42" s="58">
        <v>2027</v>
      </c>
      <c r="G42" s="59">
        <f t="shared" si="3"/>
        <v>371.23403354510424</v>
      </c>
      <c r="H42" s="59">
        <f t="shared" si="3"/>
        <v>533.85802966934295</v>
      </c>
      <c r="I42" s="59">
        <f t="shared" si="4"/>
        <v>82791.880886902421</v>
      </c>
      <c r="J42" s="59"/>
      <c r="K42" s="59"/>
      <c r="L42" s="60">
        <f>I42</f>
        <v>82791.880886902421</v>
      </c>
    </row>
    <row r="43" spans="1:14" ht="14.25" thickBot="1" x14ac:dyDescent="0.3">
      <c r="F43" s="58">
        <v>2028</v>
      </c>
      <c r="G43" s="59">
        <f t="shared" si="3"/>
        <v>376.80254404828077</v>
      </c>
      <c r="H43" s="59">
        <f t="shared" si="3"/>
        <v>541.86590011438307</v>
      </c>
      <c r="I43" s="59">
        <f>G43*177+H43*33</f>
        <v>84575.625000320346</v>
      </c>
      <c r="J43" s="59"/>
      <c r="K43" s="59"/>
      <c r="L43" s="60">
        <f>G43*102+H43*4</f>
        <v>40601.323093382169</v>
      </c>
      <c r="M43" s="60">
        <f>I43-L43</f>
        <v>43974.301906938177</v>
      </c>
    </row>
    <row r="44" spans="1:14" ht="14.25" thickBot="1" x14ac:dyDescent="0.3">
      <c r="F44" s="58">
        <v>2029</v>
      </c>
      <c r="G44" s="59">
        <f t="shared" si="3"/>
        <v>382.45458220900497</v>
      </c>
      <c r="H44" s="59">
        <f t="shared" si="3"/>
        <v>549.99388861609873</v>
      </c>
      <c r="I44" s="59">
        <f t="shared" si="4"/>
        <v>85294.265486709046</v>
      </c>
      <c r="J44" s="63"/>
      <c r="K44" s="63"/>
      <c r="M44" s="60">
        <f>G44*102+H44*4</f>
        <v>41210.342939782902</v>
      </c>
    </row>
    <row r="45" spans="1:14" ht="14.25" thickBot="1" x14ac:dyDescent="0.3">
      <c r="L45" s="61">
        <f>SUM(L40:L43)</f>
        <v>246496.73616677822</v>
      </c>
      <c r="M45" s="61">
        <f>SUM(M40:M44)</f>
        <v>85184.644846721087</v>
      </c>
      <c r="N45" s="61">
        <f>L45+M45</f>
        <v>331681.38101349934</v>
      </c>
    </row>
  </sheetData>
  <mergeCells count="20">
    <mergeCell ref="G1:H1"/>
    <mergeCell ref="A2:C2"/>
    <mergeCell ref="D2:F2"/>
    <mergeCell ref="A16:C16"/>
    <mergeCell ref="D16:F16"/>
    <mergeCell ref="G16:H16"/>
    <mergeCell ref="A17:B17"/>
    <mergeCell ref="C17:C25"/>
    <mergeCell ref="D17:E17"/>
    <mergeCell ref="F17:F25"/>
    <mergeCell ref="A18:B18"/>
    <mergeCell ref="D18:E18"/>
    <mergeCell ref="A23:B23"/>
    <mergeCell ref="D23:E23"/>
    <mergeCell ref="A26:B26"/>
    <mergeCell ref="C26:C30"/>
    <mergeCell ref="D26:E26"/>
    <mergeCell ref="F26:F30"/>
    <mergeCell ref="A31:C31"/>
    <mergeCell ref="D31:F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B2D6E-A048-47C7-A0A7-372F764D36EA}">
  <dimension ref="A1:N45"/>
  <sheetViews>
    <sheetView topLeftCell="E18" zoomScaleNormal="100" workbookViewId="0">
      <selection activeCell="G44" sqref="G44"/>
    </sheetView>
  </sheetViews>
  <sheetFormatPr defaultColWidth="24.140625" defaultRowHeight="13.5" x14ac:dyDescent="0.25"/>
  <cols>
    <col min="1" max="2" width="24.140625" style="10"/>
    <col min="3" max="3" width="10.5703125" style="10" customWidth="1"/>
    <col min="4" max="5" width="24.140625" style="10"/>
    <col min="6" max="6" width="10.5703125" style="10" customWidth="1"/>
    <col min="7" max="7" width="26.28515625" style="10" bestFit="1" customWidth="1"/>
    <col min="8" max="8" width="24.140625" style="10"/>
    <col min="9" max="9" width="20.28515625" style="10" customWidth="1"/>
    <col min="10" max="10" width="20.28515625" style="64" customWidth="1"/>
    <col min="11" max="11" width="12.28515625" style="64" customWidth="1"/>
    <col min="12" max="12" width="51.140625" style="10" bestFit="1" customWidth="1"/>
    <col min="13" max="13" width="10.5703125" style="10" bestFit="1" customWidth="1"/>
    <col min="14" max="16384" width="24.140625" style="10"/>
  </cols>
  <sheetData>
    <row r="1" spans="1:13" ht="14.65" customHeight="1" thickBot="1" x14ac:dyDescent="0.3">
      <c r="G1" s="102" t="s">
        <v>43</v>
      </c>
      <c r="H1" s="103"/>
    </row>
    <row r="2" spans="1:13" ht="14.25" thickBot="1" x14ac:dyDescent="0.3">
      <c r="A2" s="95" t="s">
        <v>0</v>
      </c>
      <c r="B2" s="96"/>
      <c r="C2" s="97"/>
      <c r="D2" s="98" t="s">
        <v>24</v>
      </c>
      <c r="E2" s="99"/>
      <c r="F2" s="99"/>
      <c r="G2" s="44" t="s">
        <v>38</v>
      </c>
      <c r="H2" s="49" t="s">
        <v>40</v>
      </c>
    </row>
    <row r="3" spans="1:13" x14ac:dyDescent="0.25">
      <c r="A3" s="1" t="s">
        <v>25</v>
      </c>
      <c r="B3" s="22">
        <v>177</v>
      </c>
      <c r="C3" s="33"/>
      <c r="D3" s="30" t="s">
        <v>25</v>
      </c>
      <c r="E3" s="70">
        <v>32</v>
      </c>
      <c r="F3" s="35"/>
      <c r="G3" s="45">
        <f>B3+E3</f>
        <v>209</v>
      </c>
      <c r="H3" s="46">
        <f>G3</f>
        <v>209</v>
      </c>
    </row>
    <row r="4" spans="1:13" x14ac:dyDescent="0.25">
      <c r="A4" s="12" t="s">
        <v>26</v>
      </c>
      <c r="B4" s="23">
        <v>21</v>
      </c>
      <c r="C4" s="19"/>
      <c r="D4" s="31" t="s">
        <v>26</v>
      </c>
      <c r="E4" s="13">
        <v>70</v>
      </c>
      <c r="F4" s="11"/>
      <c r="G4" s="18"/>
      <c r="H4" s="37"/>
    </row>
    <row r="5" spans="1:13" x14ac:dyDescent="0.25">
      <c r="A5" s="12" t="s">
        <v>27</v>
      </c>
      <c r="B5" s="23">
        <f>B4*2</f>
        <v>42</v>
      </c>
      <c r="C5" s="19"/>
      <c r="D5" s="31" t="s">
        <v>27</v>
      </c>
      <c r="E5" s="13">
        <f>E4*2</f>
        <v>140</v>
      </c>
      <c r="F5" s="11"/>
      <c r="G5" s="18"/>
      <c r="H5" s="37"/>
    </row>
    <row r="6" spans="1:13" ht="14.25" thickBot="1" x14ac:dyDescent="0.3">
      <c r="A6" s="14" t="s">
        <v>1</v>
      </c>
      <c r="B6" s="24">
        <f>B5*B3</f>
        <v>7434</v>
      </c>
      <c r="C6" s="19"/>
      <c r="D6" s="32" t="s">
        <v>1</v>
      </c>
      <c r="E6" s="15">
        <f>E5*E3</f>
        <v>4480</v>
      </c>
      <c r="F6" s="11"/>
      <c r="G6" s="47">
        <f>B6+E6</f>
        <v>11914</v>
      </c>
      <c r="H6" s="36">
        <f>G6</f>
        <v>11914</v>
      </c>
    </row>
    <row r="7" spans="1:13" x14ac:dyDescent="0.25">
      <c r="A7" s="1" t="s">
        <v>3</v>
      </c>
      <c r="B7" s="25">
        <v>0.3576388888888889</v>
      </c>
      <c r="C7" s="19"/>
      <c r="D7" s="30" t="s">
        <v>3</v>
      </c>
      <c r="E7" s="16">
        <v>0.3125</v>
      </c>
      <c r="F7" s="11"/>
      <c r="G7" s="18"/>
      <c r="H7" s="37"/>
    </row>
    <row r="8" spans="1:13" x14ac:dyDescent="0.25">
      <c r="A8" s="12" t="s">
        <v>32</v>
      </c>
      <c r="B8" s="26">
        <v>0.41319444444444442</v>
      </c>
      <c r="C8" s="19"/>
      <c r="D8" s="31" t="s">
        <v>32</v>
      </c>
      <c r="E8" s="17">
        <v>0.40972222222222221</v>
      </c>
      <c r="F8" s="11"/>
      <c r="G8" s="18"/>
      <c r="H8" s="37"/>
    </row>
    <row r="9" spans="1:13" x14ac:dyDescent="0.25">
      <c r="A9" s="12" t="s">
        <v>28</v>
      </c>
      <c r="B9" s="26">
        <f>B8-B7</f>
        <v>5.5555555555555525E-2</v>
      </c>
      <c r="C9" s="19"/>
      <c r="D9" s="31" t="s">
        <v>28</v>
      </c>
      <c r="E9" s="17">
        <f>E8-E7</f>
        <v>9.722222222222221E-2</v>
      </c>
      <c r="F9" s="11"/>
      <c r="G9" s="18"/>
      <c r="H9" s="37"/>
    </row>
    <row r="10" spans="1:13" x14ac:dyDescent="0.25">
      <c r="A10" s="12" t="s">
        <v>29</v>
      </c>
      <c r="B10" s="27">
        <f>HOUR(B9)*60+MINUTE(B9)</f>
        <v>80</v>
      </c>
      <c r="C10" s="19"/>
      <c r="D10" s="31" t="s">
        <v>29</v>
      </c>
      <c r="E10" s="2">
        <f>HOUR(E9)*60+MINUTE(E9)</f>
        <v>140</v>
      </c>
      <c r="F10" s="11"/>
      <c r="G10" s="18"/>
      <c r="H10" s="37"/>
    </row>
    <row r="11" spans="1:13" x14ac:dyDescent="0.25">
      <c r="A11" s="12" t="s">
        <v>30</v>
      </c>
      <c r="B11" s="27">
        <f>B10*2</f>
        <v>160</v>
      </c>
      <c r="C11" s="19"/>
      <c r="D11" s="31" t="s">
        <v>30</v>
      </c>
      <c r="E11" s="2">
        <f>E10*2</f>
        <v>280</v>
      </c>
      <c r="F11" s="11"/>
      <c r="G11" s="18"/>
      <c r="H11" s="37"/>
    </row>
    <row r="12" spans="1:13" ht="14.25" thickBot="1" x14ac:dyDescent="0.3">
      <c r="A12" s="21" t="s">
        <v>31</v>
      </c>
      <c r="B12" s="28">
        <f>B11*B3</f>
        <v>28320</v>
      </c>
      <c r="C12" s="19"/>
      <c r="D12" s="32" t="s">
        <v>31</v>
      </c>
      <c r="E12" s="15">
        <f>E11*E3</f>
        <v>8960</v>
      </c>
      <c r="F12" s="11"/>
      <c r="G12" s="47">
        <f>B12+E12</f>
        <v>37280</v>
      </c>
      <c r="H12" s="36">
        <f>G12</f>
        <v>37280</v>
      </c>
    </row>
    <row r="13" spans="1:13" x14ac:dyDescent="0.25">
      <c r="A13" s="1" t="s">
        <v>37</v>
      </c>
      <c r="B13" s="29">
        <f>B36</f>
        <v>291.45</v>
      </c>
      <c r="C13" s="19"/>
      <c r="D13" s="1" t="s">
        <v>37</v>
      </c>
      <c r="E13" s="29">
        <f>E36</f>
        <v>408.78000000000003</v>
      </c>
      <c r="F13" s="11"/>
      <c r="G13" s="47"/>
      <c r="H13" s="36"/>
      <c r="M13" s="62"/>
    </row>
    <row r="14" spans="1:13" ht="14.25" thickBot="1" x14ac:dyDescent="0.3">
      <c r="A14" s="14" t="s">
        <v>39</v>
      </c>
      <c r="B14" s="24">
        <f>B13*B3</f>
        <v>51586.65</v>
      </c>
      <c r="C14" s="20"/>
      <c r="D14" s="14" t="s">
        <v>39</v>
      </c>
      <c r="E14" s="24">
        <f>E13*E3</f>
        <v>13080.960000000001</v>
      </c>
      <c r="F14" s="34"/>
      <c r="G14" s="48">
        <f t="shared" ref="G14" si="0">B14+E14</f>
        <v>64667.61</v>
      </c>
      <c r="H14" s="40">
        <f>G14*1.028</f>
        <v>66478.303079999998</v>
      </c>
      <c r="M14" s="62"/>
    </row>
    <row r="15" spans="1:13" ht="14.25" thickBot="1" x14ac:dyDescent="0.3">
      <c r="M15" s="62"/>
    </row>
    <row r="16" spans="1:13" x14ac:dyDescent="0.25">
      <c r="A16" s="106" t="s">
        <v>0</v>
      </c>
      <c r="B16" s="107"/>
      <c r="C16" s="108"/>
      <c r="D16" s="104" t="s">
        <v>24</v>
      </c>
      <c r="E16" s="105"/>
      <c r="F16" s="105"/>
      <c r="G16" s="100" t="s">
        <v>42</v>
      </c>
      <c r="H16" s="101"/>
      <c r="J16" s="64" t="s">
        <v>62</v>
      </c>
      <c r="M16" s="62"/>
    </row>
    <row r="17" spans="1:13" x14ac:dyDescent="0.25">
      <c r="A17" s="109" t="s">
        <v>4</v>
      </c>
      <c r="B17" s="128"/>
      <c r="C17" s="125"/>
      <c r="D17" s="129" t="s">
        <v>4</v>
      </c>
      <c r="E17" s="130"/>
      <c r="F17" s="115"/>
      <c r="G17" s="18" t="s">
        <v>60</v>
      </c>
      <c r="H17" s="2">
        <v>16576</v>
      </c>
      <c r="M17" s="62"/>
    </row>
    <row r="18" spans="1:13" ht="15.75" customHeight="1" x14ac:dyDescent="0.25">
      <c r="A18" s="123" t="s">
        <v>5</v>
      </c>
      <c r="B18" s="124"/>
      <c r="C18" s="126"/>
      <c r="D18" s="123" t="s">
        <v>5</v>
      </c>
      <c r="E18" s="124"/>
      <c r="F18" s="116"/>
      <c r="G18" s="18" t="s">
        <v>61</v>
      </c>
      <c r="H18" s="2">
        <f>J18*1.028</f>
        <v>2724.3439199999998</v>
      </c>
      <c r="J18" s="65">
        <v>2650.14</v>
      </c>
      <c r="K18" s="62"/>
      <c r="M18" s="62"/>
    </row>
    <row r="19" spans="1:13" ht="27" x14ac:dyDescent="0.25">
      <c r="A19" s="3" t="s">
        <v>6</v>
      </c>
      <c r="B19" s="4">
        <v>2</v>
      </c>
      <c r="C19" s="126"/>
      <c r="D19" s="3" t="s">
        <v>6</v>
      </c>
      <c r="E19" s="4">
        <v>2</v>
      </c>
      <c r="F19" s="116"/>
      <c r="G19" s="18" t="s">
        <v>65</v>
      </c>
      <c r="H19" s="2">
        <f>(H17+H18)*J19</f>
        <v>1823.8805343963247</v>
      </c>
      <c r="J19" s="66">
        <f>3209.81/33966.28</f>
        <v>9.4499898134267277E-2</v>
      </c>
      <c r="M19" s="62"/>
    </row>
    <row r="20" spans="1:13" ht="27" x14ac:dyDescent="0.25">
      <c r="A20" s="3" t="s">
        <v>7</v>
      </c>
      <c r="B20" s="4">
        <f>B4</f>
        <v>21</v>
      </c>
      <c r="C20" s="126"/>
      <c r="D20" s="3" t="s">
        <v>7</v>
      </c>
      <c r="E20" s="4">
        <f>E4</f>
        <v>70</v>
      </c>
      <c r="F20" s="116"/>
      <c r="G20" s="18" t="s">
        <v>66</v>
      </c>
      <c r="H20" s="2">
        <f>SUM(H17:H19)</f>
        <v>21124.224454396324</v>
      </c>
      <c r="M20" s="62"/>
    </row>
    <row r="21" spans="1:13" ht="27" x14ac:dyDescent="0.25">
      <c r="A21" s="3" t="s">
        <v>8</v>
      </c>
      <c r="B21" s="4">
        <f>B10</f>
        <v>80</v>
      </c>
      <c r="C21" s="126"/>
      <c r="D21" s="3" t="s">
        <v>8</v>
      </c>
      <c r="E21" s="4">
        <f>E10</f>
        <v>140</v>
      </c>
      <c r="F21" s="116"/>
      <c r="G21" s="18" t="s">
        <v>63</v>
      </c>
      <c r="H21" s="2">
        <f>H20*J21</f>
        <v>7393.479802873745</v>
      </c>
      <c r="J21" s="69">
        <f>11888.2/33966.28</f>
        <v>0.35000005888192648</v>
      </c>
      <c r="M21" s="62"/>
    </row>
    <row r="22" spans="1:13" ht="27" x14ac:dyDescent="0.25">
      <c r="A22" s="3" t="s">
        <v>9</v>
      </c>
      <c r="B22" s="4">
        <v>0</v>
      </c>
      <c r="C22" s="126"/>
      <c r="D22" s="3" t="s">
        <v>9</v>
      </c>
      <c r="E22" s="4">
        <v>0</v>
      </c>
      <c r="F22" s="116"/>
      <c r="G22" s="18" t="s">
        <v>44</v>
      </c>
      <c r="H22" s="2">
        <f>(H21+H20)*0.125</f>
        <v>3564.7130321587588</v>
      </c>
      <c r="M22" s="62"/>
    </row>
    <row r="23" spans="1:13" x14ac:dyDescent="0.25">
      <c r="A23" s="123" t="s">
        <v>10</v>
      </c>
      <c r="B23" s="124"/>
      <c r="C23" s="126"/>
      <c r="D23" s="123" t="s">
        <v>10</v>
      </c>
      <c r="E23" s="124"/>
      <c r="F23" s="116"/>
      <c r="G23" s="18" t="s">
        <v>45</v>
      </c>
      <c r="H23" s="2">
        <f>(H21+H20+H22)*0.06</f>
        <v>1924.9450373657296</v>
      </c>
      <c r="M23" s="62"/>
    </row>
    <row r="24" spans="1:13" ht="27" x14ac:dyDescent="0.25">
      <c r="A24" s="3" t="s">
        <v>11</v>
      </c>
      <c r="B24" s="4">
        <v>25</v>
      </c>
      <c r="C24" s="126"/>
      <c r="D24" s="3" t="s">
        <v>11</v>
      </c>
      <c r="E24" s="4">
        <f>B24</f>
        <v>25</v>
      </c>
      <c r="F24" s="116"/>
      <c r="G24" s="3" t="s">
        <v>48</v>
      </c>
      <c r="H24" s="36">
        <f>SUM(H20:H23)</f>
        <v>34007.362326794559</v>
      </c>
      <c r="K24" s="68" t="s">
        <v>64</v>
      </c>
      <c r="M24" s="62"/>
    </row>
    <row r="25" spans="1:13" ht="27" x14ac:dyDescent="0.25">
      <c r="A25" s="3" t="s">
        <v>12</v>
      </c>
      <c r="B25" s="4">
        <v>70</v>
      </c>
      <c r="C25" s="127"/>
      <c r="D25" s="3" t="s">
        <v>12</v>
      </c>
      <c r="E25" s="4">
        <f>B25</f>
        <v>70</v>
      </c>
      <c r="F25" s="117"/>
      <c r="G25" s="3" t="s">
        <v>47</v>
      </c>
      <c r="H25" s="38">
        <f>H24/1826</f>
        <v>18.623966224969639</v>
      </c>
      <c r="M25" s="62"/>
    </row>
    <row r="26" spans="1:13" x14ac:dyDescent="0.25">
      <c r="A26" s="109" t="s">
        <v>13</v>
      </c>
      <c r="B26" s="110"/>
      <c r="C26" s="112"/>
      <c r="D26" s="129" t="s">
        <v>13</v>
      </c>
      <c r="E26" s="130"/>
      <c r="F26" s="118"/>
      <c r="G26" s="18" t="s">
        <v>46</v>
      </c>
      <c r="H26" s="38">
        <f>((B11+B25)*B3+(E11+E25)*E3)/60</f>
        <v>865.16666666666663</v>
      </c>
      <c r="M26" s="62"/>
    </row>
    <row r="27" spans="1:13" ht="14.25" thickBot="1" x14ac:dyDescent="0.3">
      <c r="A27" s="3" t="s">
        <v>15</v>
      </c>
      <c r="B27" s="4">
        <v>0.41170000000000001</v>
      </c>
      <c r="C27" s="113"/>
      <c r="D27" s="3" t="s">
        <v>15</v>
      </c>
      <c r="E27" s="4">
        <f>B27</f>
        <v>0.41170000000000001</v>
      </c>
      <c r="F27" s="119"/>
      <c r="G27" s="39" t="s">
        <v>49</v>
      </c>
      <c r="H27" s="40">
        <f>H25*H26</f>
        <v>16112.834778969565</v>
      </c>
      <c r="M27" s="62"/>
    </row>
    <row r="28" spans="1:13" ht="14.25" thickBot="1" x14ac:dyDescent="0.3">
      <c r="A28" s="3" t="s">
        <v>16</v>
      </c>
      <c r="B28" s="4">
        <v>31.97</v>
      </c>
      <c r="C28" s="113"/>
      <c r="D28" s="3" t="s">
        <v>16</v>
      </c>
      <c r="E28" s="4">
        <f>B28</f>
        <v>31.97</v>
      </c>
      <c r="F28" s="113"/>
      <c r="G28" s="42" t="s">
        <v>41</v>
      </c>
      <c r="H28" s="41">
        <f>H14+H27</f>
        <v>82591.137858969567</v>
      </c>
      <c r="M28" s="62"/>
    </row>
    <row r="29" spans="1:13" ht="14.25" thickBot="1" x14ac:dyDescent="0.3">
      <c r="A29" s="3" t="s">
        <v>17</v>
      </c>
      <c r="B29" s="5">
        <v>18156</v>
      </c>
      <c r="C29" s="113"/>
      <c r="D29" s="3" t="s">
        <v>17</v>
      </c>
      <c r="E29" s="5">
        <f>B29</f>
        <v>18156</v>
      </c>
      <c r="F29" s="113"/>
      <c r="M29" s="62"/>
    </row>
    <row r="30" spans="1:13" ht="14.25" thickBot="1" x14ac:dyDescent="0.3">
      <c r="A30" s="3" t="s">
        <v>18</v>
      </c>
      <c r="B30" s="4">
        <v>592</v>
      </c>
      <c r="C30" s="114"/>
      <c r="D30" s="3" t="s">
        <v>18</v>
      </c>
      <c r="E30" s="4">
        <f>B30</f>
        <v>592</v>
      </c>
      <c r="F30" s="120"/>
      <c r="G30" s="43" t="s">
        <v>2</v>
      </c>
      <c r="H30" s="41">
        <v>85597.48</v>
      </c>
      <c r="M30" s="62"/>
    </row>
    <row r="31" spans="1:13" x14ac:dyDescent="0.25">
      <c r="A31" s="109" t="s">
        <v>14</v>
      </c>
      <c r="B31" s="110"/>
      <c r="C31" s="111"/>
      <c r="D31" s="121" t="s">
        <v>14</v>
      </c>
      <c r="E31" s="122"/>
      <c r="F31" s="122"/>
      <c r="G31" s="51" t="s">
        <v>50</v>
      </c>
      <c r="H31" s="54">
        <f>B13*1.028+(B11+B25)/60*$H$25</f>
        <v>371.00247052905024</v>
      </c>
      <c r="M31" s="67"/>
    </row>
    <row r="32" spans="1:13" ht="27" x14ac:dyDescent="0.25">
      <c r="A32" s="3" t="s">
        <v>19</v>
      </c>
      <c r="B32" s="4">
        <v>37.880000000000003</v>
      </c>
      <c r="C32" s="6">
        <f>B32/$B$36</f>
        <v>0.12997083547778351</v>
      </c>
      <c r="D32" s="3" t="s">
        <v>19</v>
      </c>
      <c r="E32" s="4">
        <v>78.22</v>
      </c>
      <c r="F32" s="50">
        <f>E32/$E$36</f>
        <v>0.19134987034590731</v>
      </c>
      <c r="G32" s="18" t="s">
        <v>51</v>
      </c>
      <c r="H32" s="55">
        <f>E13*1.028+(E11+E25)/60*$H$25</f>
        <v>528.86564297898963</v>
      </c>
      <c r="M32" s="62"/>
    </row>
    <row r="33" spans="1:14" ht="14.25" thickBot="1" x14ac:dyDescent="0.3">
      <c r="A33" s="3" t="s">
        <v>20</v>
      </c>
      <c r="B33" s="4">
        <v>159.85</v>
      </c>
      <c r="C33" s="6">
        <f t="shared" ref="C33:C36" si="1">B33/$B$36</f>
        <v>0.54846457368330759</v>
      </c>
      <c r="D33" s="3" t="s">
        <v>20</v>
      </c>
      <c r="E33" s="4">
        <v>223.8</v>
      </c>
      <c r="F33" s="6">
        <f t="shared" ref="F33:F36" si="2">E33/$E$36</f>
        <v>0.54748275355937182</v>
      </c>
      <c r="G33" s="52" t="s">
        <v>52</v>
      </c>
      <c r="H33" s="53">
        <f>H28/H3</f>
        <v>395.17290841612231</v>
      </c>
      <c r="M33" s="62"/>
      <c r="N33" s="62"/>
    </row>
    <row r="34" spans="1:14" x14ac:dyDescent="0.25">
      <c r="A34" s="3" t="s">
        <v>21</v>
      </c>
      <c r="B34" s="4">
        <v>61.34</v>
      </c>
      <c r="C34" s="6">
        <f t="shared" si="1"/>
        <v>0.21046491679533369</v>
      </c>
      <c r="D34" s="3" t="s">
        <v>21</v>
      </c>
      <c r="E34" s="4">
        <v>61.34</v>
      </c>
      <c r="F34" s="6">
        <f t="shared" si="2"/>
        <v>0.15005626498360977</v>
      </c>
    </row>
    <row r="35" spans="1:14" x14ac:dyDescent="0.25">
      <c r="A35" s="11" t="s">
        <v>22</v>
      </c>
      <c r="B35" s="4">
        <v>32.380000000000003</v>
      </c>
      <c r="C35" s="6">
        <f t="shared" si="1"/>
        <v>0.11109967404357524</v>
      </c>
      <c r="D35" s="11" t="s">
        <v>22</v>
      </c>
      <c r="E35" s="4">
        <v>45.42</v>
      </c>
      <c r="F35" s="6">
        <f t="shared" si="2"/>
        <v>0.1111111111111111</v>
      </c>
    </row>
    <row r="36" spans="1:14" ht="14.25" thickBot="1" x14ac:dyDescent="0.3">
      <c r="A36" s="7" t="s">
        <v>23</v>
      </c>
      <c r="B36" s="8">
        <f>SUM(B32:B35)</f>
        <v>291.45</v>
      </c>
      <c r="C36" s="9">
        <f t="shared" si="1"/>
        <v>1</v>
      </c>
      <c r="D36" s="7" t="s">
        <v>23</v>
      </c>
      <c r="E36" s="8">
        <f>SUM(E32:E35)</f>
        <v>408.78000000000003</v>
      </c>
      <c r="F36" s="9">
        <f t="shared" si="2"/>
        <v>1</v>
      </c>
    </row>
    <row r="38" spans="1:14" ht="14.25" thickBot="1" x14ac:dyDescent="0.3">
      <c r="A38" s="10" t="s">
        <v>33</v>
      </c>
    </row>
    <row r="39" spans="1:14" ht="27.75" thickBot="1" x14ac:dyDescent="0.3">
      <c r="A39" s="10" t="s">
        <v>34</v>
      </c>
      <c r="F39" s="56" t="s">
        <v>53</v>
      </c>
      <c r="G39" s="57" t="s">
        <v>54</v>
      </c>
      <c r="H39" s="57" t="s">
        <v>55</v>
      </c>
      <c r="I39" s="57" t="s">
        <v>56</v>
      </c>
      <c r="J39" s="57"/>
      <c r="K39" s="57"/>
      <c r="L39" s="57" t="s">
        <v>58</v>
      </c>
      <c r="M39" s="57" t="s">
        <v>59</v>
      </c>
      <c r="N39" s="57" t="s">
        <v>57</v>
      </c>
    </row>
    <row r="40" spans="1:14" ht="14.25" thickBot="1" x14ac:dyDescent="0.3">
      <c r="A40" s="10" t="s">
        <v>35</v>
      </c>
      <c r="F40" s="58">
        <v>2025</v>
      </c>
      <c r="G40" s="59">
        <f>H31</f>
        <v>371.00247052905024</v>
      </c>
      <c r="H40" s="59">
        <f>H32</f>
        <v>528.86564297898963</v>
      </c>
      <c r="I40" s="59">
        <f>G40*177+H40*32</f>
        <v>82591.137858969567</v>
      </c>
      <c r="J40" s="59"/>
      <c r="K40" s="59"/>
      <c r="L40" s="60">
        <f>G40*75+H40*28</f>
        <v>42633.423293090476</v>
      </c>
    </row>
    <row r="41" spans="1:14" ht="14.25" thickBot="1" x14ac:dyDescent="0.3">
      <c r="A41" s="10" t="s">
        <v>36</v>
      </c>
      <c r="F41" s="58">
        <v>2026</v>
      </c>
      <c r="G41" s="59">
        <f t="shared" ref="G41:H44" si="3">G40*1.015</f>
        <v>376.56750758698598</v>
      </c>
      <c r="H41" s="59">
        <f t="shared" si="3"/>
        <v>536.79862762367441</v>
      </c>
      <c r="I41" s="59">
        <f t="shared" ref="I41:I44" si="4">G41*177+H41*32</f>
        <v>83830.00492685409</v>
      </c>
      <c r="J41" s="59"/>
      <c r="K41" s="59"/>
      <c r="L41" s="60">
        <f>I41</f>
        <v>83830.00492685409</v>
      </c>
    </row>
    <row r="42" spans="1:14" ht="14.25" thickBot="1" x14ac:dyDescent="0.3">
      <c r="F42" s="58">
        <v>2027</v>
      </c>
      <c r="G42" s="59">
        <f t="shared" si="3"/>
        <v>382.21602020079075</v>
      </c>
      <c r="H42" s="59">
        <f t="shared" si="3"/>
        <v>544.85060703802947</v>
      </c>
      <c r="I42" s="59">
        <f t="shared" si="4"/>
        <v>85087.455000756905</v>
      </c>
      <c r="J42" s="59"/>
      <c r="K42" s="59"/>
      <c r="L42" s="60">
        <f>I42</f>
        <v>85087.455000756905</v>
      </c>
    </row>
    <row r="43" spans="1:14" ht="14.25" thickBot="1" x14ac:dyDescent="0.3">
      <c r="F43" s="58">
        <v>2028</v>
      </c>
      <c r="G43" s="59">
        <f t="shared" si="3"/>
        <v>387.94926050380258</v>
      </c>
      <c r="H43" s="59">
        <f t="shared" si="3"/>
        <v>553.0233661435999</v>
      </c>
      <c r="I43" s="59">
        <f>G43*177+H43*33</f>
        <v>86916.790191911845</v>
      </c>
      <c r="J43" s="59"/>
      <c r="K43" s="59"/>
      <c r="L43" s="60">
        <f>G43*102+H43*4</f>
        <v>41782.918035962262</v>
      </c>
      <c r="M43" s="60">
        <f>I43-L43</f>
        <v>45133.872155949583</v>
      </c>
    </row>
    <row r="44" spans="1:14" ht="14.25" thickBot="1" x14ac:dyDescent="0.3">
      <c r="F44" s="58">
        <v>2029</v>
      </c>
      <c r="G44" s="59">
        <f t="shared" si="3"/>
        <v>393.76849941135958</v>
      </c>
      <c r="H44" s="59">
        <f t="shared" si="3"/>
        <v>561.31871663575384</v>
      </c>
      <c r="I44" s="59">
        <f t="shared" si="4"/>
        <v>87659.223328154767</v>
      </c>
      <c r="J44" s="63"/>
      <c r="K44" s="63"/>
      <c r="M44" s="60">
        <f>G44*102+H44*4</f>
        <v>42409.661806501696</v>
      </c>
    </row>
    <row r="45" spans="1:14" ht="14.25" thickBot="1" x14ac:dyDescent="0.3">
      <c r="L45" s="61">
        <f>SUM(L40:L43)</f>
        <v>253333.80125666375</v>
      </c>
      <c r="M45" s="61">
        <f>SUM(M40:M44)</f>
        <v>87543.533962451271</v>
      </c>
      <c r="N45" s="61">
        <f>L45+M45</f>
        <v>340877.33521911502</v>
      </c>
    </row>
  </sheetData>
  <mergeCells count="20">
    <mergeCell ref="G1:H1"/>
    <mergeCell ref="A2:C2"/>
    <mergeCell ref="D2:F2"/>
    <mergeCell ref="A16:C16"/>
    <mergeCell ref="D16:F16"/>
    <mergeCell ref="G16:H16"/>
    <mergeCell ref="A17:B17"/>
    <mergeCell ref="C17:C25"/>
    <mergeCell ref="D17:E17"/>
    <mergeCell ref="F17:F25"/>
    <mergeCell ref="A18:B18"/>
    <mergeCell ref="D18:E18"/>
    <mergeCell ref="A23:B23"/>
    <mergeCell ref="D23:E23"/>
    <mergeCell ref="A26:B26"/>
    <mergeCell ref="C26:C30"/>
    <mergeCell ref="D26:E26"/>
    <mergeCell ref="F26:F30"/>
    <mergeCell ref="A31:C31"/>
    <mergeCell ref="D31:F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BA886-15FD-4F82-94B3-E5475511B679}">
  <dimension ref="A1:N45"/>
  <sheetViews>
    <sheetView topLeftCell="E19" zoomScaleNormal="100" workbookViewId="0">
      <selection activeCell="H44" sqref="H44"/>
    </sheetView>
  </sheetViews>
  <sheetFormatPr defaultColWidth="24.140625" defaultRowHeight="13.5" x14ac:dyDescent="0.25"/>
  <cols>
    <col min="1" max="2" width="24.140625" style="10"/>
    <col min="3" max="3" width="10.5703125" style="10" customWidth="1"/>
    <col min="4" max="5" width="24.140625" style="10"/>
    <col min="6" max="6" width="10.5703125" style="10" customWidth="1"/>
    <col min="7" max="7" width="26.28515625" style="10" bestFit="1" customWidth="1"/>
    <col min="8" max="8" width="24.140625" style="10"/>
    <col min="9" max="9" width="20.28515625" style="10" customWidth="1"/>
    <col min="10" max="10" width="20.28515625" style="64" customWidth="1"/>
    <col min="11" max="11" width="12.28515625" style="64" customWidth="1"/>
    <col min="12" max="12" width="51.140625" style="10" bestFit="1" customWidth="1"/>
    <col min="13" max="13" width="10.5703125" style="10" bestFit="1" customWidth="1"/>
    <col min="14" max="16384" width="24.140625" style="10"/>
  </cols>
  <sheetData>
    <row r="1" spans="1:13" ht="14.65" customHeight="1" thickBot="1" x14ac:dyDescent="0.3">
      <c r="G1" s="102" t="s">
        <v>43</v>
      </c>
      <c r="H1" s="103"/>
    </row>
    <row r="2" spans="1:13" ht="14.25" thickBot="1" x14ac:dyDescent="0.3">
      <c r="A2" s="95" t="s">
        <v>0</v>
      </c>
      <c r="B2" s="96"/>
      <c r="C2" s="97"/>
      <c r="D2" s="98" t="s">
        <v>24</v>
      </c>
      <c r="E2" s="99"/>
      <c r="F2" s="99"/>
      <c r="G2" s="44" t="s">
        <v>38</v>
      </c>
      <c r="H2" s="49" t="s">
        <v>40</v>
      </c>
    </row>
    <row r="3" spans="1:13" x14ac:dyDescent="0.25">
      <c r="A3" s="1" t="s">
        <v>25</v>
      </c>
      <c r="B3" s="22">
        <v>177</v>
      </c>
      <c r="C3" s="33"/>
      <c r="D3" s="30" t="s">
        <v>25</v>
      </c>
      <c r="E3" s="70">
        <v>32</v>
      </c>
      <c r="F3" s="35"/>
      <c r="G3" s="45">
        <f>B3+E3</f>
        <v>209</v>
      </c>
      <c r="H3" s="46">
        <f>G3</f>
        <v>209</v>
      </c>
    </row>
    <row r="4" spans="1:13" x14ac:dyDescent="0.25">
      <c r="A4" s="12" t="s">
        <v>26</v>
      </c>
      <c r="B4" s="23">
        <v>21</v>
      </c>
      <c r="C4" s="19"/>
      <c r="D4" s="31" t="s">
        <v>26</v>
      </c>
      <c r="E4" s="13">
        <v>70</v>
      </c>
      <c r="F4" s="11"/>
      <c r="G4" s="18"/>
      <c r="H4" s="37"/>
    </row>
    <row r="5" spans="1:13" x14ac:dyDescent="0.25">
      <c r="A5" s="12" t="s">
        <v>27</v>
      </c>
      <c r="B5" s="23">
        <f>B4*2</f>
        <v>42</v>
      </c>
      <c r="C5" s="19"/>
      <c r="D5" s="31" t="s">
        <v>27</v>
      </c>
      <c r="E5" s="13">
        <f>E4*2</f>
        <v>140</v>
      </c>
      <c r="F5" s="11"/>
      <c r="G5" s="18"/>
      <c r="H5" s="37"/>
    </row>
    <row r="6" spans="1:13" ht="14.25" thickBot="1" x14ac:dyDescent="0.3">
      <c r="A6" s="14" t="s">
        <v>1</v>
      </c>
      <c r="B6" s="24">
        <f>B5*B3</f>
        <v>7434</v>
      </c>
      <c r="C6" s="19"/>
      <c r="D6" s="32" t="s">
        <v>1</v>
      </c>
      <c r="E6" s="15">
        <f>E5*E3</f>
        <v>4480</v>
      </c>
      <c r="F6" s="11"/>
      <c r="G6" s="47">
        <f>B6+E6</f>
        <v>11914</v>
      </c>
      <c r="H6" s="36">
        <f>G6</f>
        <v>11914</v>
      </c>
    </row>
    <row r="7" spans="1:13" x14ac:dyDescent="0.25">
      <c r="A7" s="1" t="s">
        <v>3</v>
      </c>
      <c r="B7" s="25">
        <v>0.3576388888888889</v>
      </c>
      <c r="C7" s="19"/>
      <c r="D7" s="30" t="s">
        <v>3</v>
      </c>
      <c r="E7" s="16">
        <v>0.3125</v>
      </c>
      <c r="F7" s="11"/>
      <c r="G7" s="18"/>
      <c r="H7" s="37"/>
    </row>
    <row r="8" spans="1:13" x14ac:dyDescent="0.25">
      <c r="A8" s="12" t="s">
        <v>32</v>
      </c>
      <c r="B8" s="26">
        <v>0.41319444444444442</v>
      </c>
      <c r="C8" s="19"/>
      <c r="D8" s="31" t="s">
        <v>32</v>
      </c>
      <c r="E8" s="17">
        <v>0.40972222222222221</v>
      </c>
      <c r="F8" s="11"/>
      <c r="G8" s="18"/>
      <c r="H8" s="37"/>
    </row>
    <row r="9" spans="1:13" x14ac:dyDescent="0.25">
      <c r="A9" s="12" t="s">
        <v>28</v>
      </c>
      <c r="B9" s="26">
        <f>B8-B7</f>
        <v>5.5555555555555525E-2</v>
      </c>
      <c r="C9" s="19"/>
      <c r="D9" s="31" t="s">
        <v>28</v>
      </c>
      <c r="E9" s="17">
        <f>E8-E7</f>
        <v>9.722222222222221E-2</v>
      </c>
      <c r="F9" s="11"/>
      <c r="G9" s="18"/>
      <c r="H9" s="37"/>
    </row>
    <row r="10" spans="1:13" x14ac:dyDescent="0.25">
      <c r="A10" s="12" t="s">
        <v>29</v>
      </c>
      <c r="B10" s="27">
        <f>HOUR(B9)*60+MINUTE(B9)</f>
        <v>80</v>
      </c>
      <c r="C10" s="19"/>
      <c r="D10" s="31" t="s">
        <v>29</v>
      </c>
      <c r="E10" s="2">
        <f>HOUR(E9)*60+MINUTE(E9)</f>
        <v>140</v>
      </c>
      <c r="F10" s="11"/>
      <c r="G10" s="18"/>
      <c r="H10" s="37"/>
    </row>
    <row r="11" spans="1:13" x14ac:dyDescent="0.25">
      <c r="A11" s="12" t="s">
        <v>30</v>
      </c>
      <c r="B11" s="27">
        <f>B10*2</f>
        <v>160</v>
      </c>
      <c r="C11" s="19"/>
      <c r="D11" s="31" t="s">
        <v>30</v>
      </c>
      <c r="E11" s="2">
        <f>E10*2</f>
        <v>280</v>
      </c>
      <c r="F11" s="11"/>
      <c r="G11" s="18"/>
      <c r="H11" s="37"/>
    </row>
    <row r="12" spans="1:13" ht="14.25" thickBot="1" x14ac:dyDescent="0.3">
      <c r="A12" s="21" t="s">
        <v>31</v>
      </c>
      <c r="B12" s="28">
        <f>B11*B3</f>
        <v>28320</v>
      </c>
      <c r="C12" s="19"/>
      <c r="D12" s="32" t="s">
        <v>31</v>
      </c>
      <c r="E12" s="15">
        <f>E11*E3</f>
        <v>8960</v>
      </c>
      <c r="F12" s="11"/>
      <c r="G12" s="47">
        <f>B12+E12</f>
        <v>37280</v>
      </c>
      <c r="H12" s="36">
        <f>G12</f>
        <v>37280</v>
      </c>
    </row>
    <row r="13" spans="1:13" x14ac:dyDescent="0.25">
      <c r="A13" s="1" t="s">
        <v>37</v>
      </c>
      <c r="B13" s="29">
        <f>B36</f>
        <v>296.08</v>
      </c>
      <c r="C13" s="19"/>
      <c r="D13" s="1" t="s">
        <v>37</v>
      </c>
      <c r="E13" s="29">
        <f>E36</f>
        <v>413.41</v>
      </c>
      <c r="F13" s="11"/>
      <c r="G13" s="47"/>
      <c r="H13" s="36"/>
      <c r="M13" s="62"/>
    </row>
    <row r="14" spans="1:13" ht="14.25" thickBot="1" x14ac:dyDescent="0.3">
      <c r="A14" s="14" t="s">
        <v>39</v>
      </c>
      <c r="B14" s="24">
        <f>B13*B3</f>
        <v>52406.159999999996</v>
      </c>
      <c r="C14" s="20"/>
      <c r="D14" s="14" t="s">
        <v>39</v>
      </c>
      <c r="E14" s="24">
        <f>E13*E3</f>
        <v>13229.12</v>
      </c>
      <c r="F14" s="34"/>
      <c r="G14" s="48">
        <f t="shared" ref="G14" si="0">B14+E14</f>
        <v>65635.28</v>
      </c>
      <c r="H14" s="40">
        <f>G14*B38+G14*(1-B38)*1.028</f>
        <v>66480.868480961901</v>
      </c>
      <c r="M14" s="62"/>
    </row>
    <row r="15" spans="1:13" ht="14.25" thickBot="1" x14ac:dyDescent="0.3">
      <c r="M15" s="62"/>
    </row>
    <row r="16" spans="1:13" x14ac:dyDescent="0.25">
      <c r="A16" s="106" t="s">
        <v>0</v>
      </c>
      <c r="B16" s="107"/>
      <c r="C16" s="108"/>
      <c r="D16" s="104" t="s">
        <v>24</v>
      </c>
      <c r="E16" s="105"/>
      <c r="F16" s="105"/>
      <c r="G16" s="100" t="s">
        <v>42</v>
      </c>
      <c r="H16" s="101"/>
      <c r="J16" s="64" t="s">
        <v>62</v>
      </c>
      <c r="M16" s="62"/>
    </row>
    <row r="17" spans="1:13" x14ac:dyDescent="0.25">
      <c r="A17" s="109" t="s">
        <v>4</v>
      </c>
      <c r="B17" s="128"/>
      <c r="C17" s="125"/>
      <c r="D17" s="129" t="s">
        <v>4</v>
      </c>
      <c r="E17" s="130"/>
      <c r="F17" s="115"/>
      <c r="G17" s="18" t="s">
        <v>60</v>
      </c>
      <c r="H17" s="2">
        <v>16576</v>
      </c>
      <c r="M17" s="62"/>
    </row>
    <row r="18" spans="1:13" ht="15.75" customHeight="1" x14ac:dyDescent="0.25">
      <c r="A18" s="123" t="s">
        <v>5</v>
      </c>
      <c r="B18" s="124"/>
      <c r="C18" s="126"/>
      <c r="D18" s="123" t="s">
        <v>5</v>
      </c>
      <c r="E18" s="124"/>
      <c r="F18" s="116"/>
      <c r="G18" s="18" t="s">
        <v>61</v>
      </c>
      <c r="H18" s="2">
        <f>J18*1.028</f>
        <v>2724.3439199999998</v>
      </c>
      <c r="J18" s="65">
        <v>2650.14</v>
      </c>
      <c r="K18" s="62"/>
      <c r="M18" s="62"/>
    </row>
    <row r="19" spans="1:13" ht="27" x14ac:dyDescent="0.25">
      <c r="A19" s="3" t="s">
        <v>6</v>
      </c>
      <c r="B19" s="4">
        <v>2</v>
      </c>
      <c r="C19" s="126"/>
      <c r="D19" s="3" t="s">
        <v>6</v>
      </c>
      <c r="E19" s="4">
        <v>2</v>
      </c>
      <c r="F19" s="116"/>
      <c r="G19" s="18" t="s">
        <v>65</v>
      </c>
      <c r="H19" s="2">
        <f>(H17+H18)*J19</f>
        <v>1823.8805343963247</v>
      </c>
      <c r="J19" s="66">
        <f>3209.81/33966.28</f>
        <v>9.4499898134267277E-2</v>
      </c>
      <c r="M19" s="62"/>
    </row>
    <row r="20" spans="1:13" ht="27" x14ac:dyDescent="0.25">
      <c r="A20" s="3" t="s">
        <v>7</v>
      </c>
      <c r="B20" s="4">
        <f>B4</f>
        <v>21</v>
      </c>
      <c r="C20" s="126"/>
      <c r="D20" s="3" t="s">
        <v>7</v>
      </c>
      <c r="E20" s="4">
        <f>E4</f>
        <v>70</v>
      </c>
      <c r="F20" s="116"/>
      <c r="G20" s="18" t="s">
        <v>66</v>
      </c>
      <c r="H20" s="2">
        <f>SUM(H17:H19)</f>
        <v>21124.224454396324</v>
      </c>
      <c r="M20" s="62"/>
    </row>
    <row r="21" spans="1:13" ht="27" x14ac:dyDescent="0.25">
      <c r="A21" s="3" t="s">
        <v>8</v>
      </c>
      <c r="B21" s="4">
        <f>B10</f>
        <v>80</v>
      </c>
      <c r="C21" s="126"/>
      <c r="D21" s="3" t="s">
        <v>8</v>
      </c>
      <c r="E21" s="4">
        <f>E10</f>
        <v>140</v>
      </c>
      <c r="F21" s="116"/>
      <c r="G21" s="18" t="s">
        <v>63</v>
      </c>
      <c r="H21" s="2">
        <f>H20*J21</f>
        <v>7393.479802873745</v>
      </c>
      <c r="J21" s="69">
        <f>11888.2/33966.28</f>
        <v>0.35000005888192648</v>
      </c>
      <c r="M21" s="62"/>
    </row>
    <row r="22" spans="1:13" ht="27" x14ac:dyDescent="0.25">
      <c r="A22" s="3" t="s">
        <v>9</v>
      </c>
      <c r="B22" s="4">
        <v>0</v>
      </c>
      <c r="C22" s="126"/>
      <c r="D22" s="3" t="s">
        <v>9</v>
      </c>
      <c r="E22" s="4">
        <v>0</v>
      </c>
      <c r="F22" s="116"/>
      <c r="G22" s="18" t="s">
        <v>44</v>
      </c>
      <c r="H22" s="2">
        <f>(H21+H20)*0.125</f>
        <v>3564.7130321587588</v>
      </c>
      <c r="M22" s="62"/>
    </row>
    <row r="23" spans="1:13" x14ac:dyDescent="0.25">
      <c r="A23" s="123" t="s">
        <v>10</v>
      </c>
      <c r="B23" s="124"/>
      <c r="C23" s="126"/>
      <c r="D23" s="123" t="s">
        <v>10</v>
      </c>
      <c r="E23" s="124"/>
      <c r="F23" s="116"/>
      <c r="G23" s="18" t="s">
        <v>45</v>
      </c>
      <c r="H23" s="2">
        <f>(H21+H20+H22)*0.06</f>
        <v>1924.9450373657296</v>
      </c>
      <c r="M23" s="62"/>
    </row>
    <row r="24" spans="1:13" ht="27" x14ac:dyDescent="0.25">
      <c r="A24" s="3" t="s">
        <v>11</v>
      </c>
      <c r="B24" s="4">
        <v>30</v>
      </c>
      <c r="C24" s="126"/>
      <c r="D24" s="3" t="s">
        <v>11</v>
      </c>
      <c r="E24" s="4">
        <f>B24</f>
        <v>30</v>
      </c>
      <c r="F24" s="116"/>
      <c r="G24" s="3" t="s">
        <v>48</v>
      </c>
      <c r="H24" s="36">
        <f>SUM(H20:H23)</f>
        <v>34007.362326794559</v>
      </c>
      <c r="K24" s="68" t="s">
        <v>64</v>
      </c>
      <c r="M24" s="62"/>
    </row>
    <row r="25" spans="1:13" ht="27" x14ac:dyDescent="0.25">
      <c r="A25" s="3" t="s">
        <v>12</v>
      </c>
      <c r="B25" s="4">
        <v>70</v>
      </c>
      <c r="C25" s="127"/>
      <c r="D25" s="3" t="s">
        <v>12</v>
      </c>
      <c r="E25" s="4">
        <f>B25</f>
        <v>70</v>
      </c>
      <c r="F25" s="117"/>
      <c r="G25" s="3" t="s">
        <v>47</v>
      </c>
      <c r="H25" s="38">
        <f>H24/1826</f>
        <v>18.623966224969639</v>
      </c>
      <c r="M25" s="62"/>
    </row>
    <row r="26" spans="1:13" x14ac:dyDescent="0.25">
      <c r="A26" s="109" t="s">
        <v>13</v>
      </c>
      <c r="B26" s="110"/>
      <c r="C26" s="112"/>
      <c r="D26" s="129" t="s">
        <v>13</v>
      </c>
      <c r="E26" s="130"/>
      <c r="F26" s="118"/>
      <c r="G26" s="18" t="s">
        <v>46</v>
      </c>
      <c r="H26" s="38">
        <f>((B11+B25)*B3+(E11+E25)*E3)/60</f>
        <v>865.16666666666663</v>
      </c>
      <c r="M26" s="62"/>
    </row>
    <row r="27" spans="1:13" ht="14.25" thickBot="1" x14ac:dyDescent="0.3">
      <c r="A27" s="3" t="s">
        <v>15</v>
      </c>
      <c r="B27" s="4">
        <v>0.41170000000000001</v>
      </c>
      <c r="C27" s="113"/>
      <c r="D27" s="3" t="s">
        <v>15</v>
      </c>
      <c r="E27" s="4">
        <f>B27</f>
        <v>0.41170000000000001</v>
      </c>
      <c r="F27" s="119"/>
      <c r="G27" s="39" t="s">
        <v>49</v>
      </c>
      <c r="H27" s="40">
        <f>H25*H26</f>
        <v>16112.834778969565</v>
      </c>
      <c r="M27" s="62"/>
    </row>
    <row r="28" spans="1:13" ht="14.25" thickBot="1" x14ac:dyDescent="0.3">
      <c r="A28" s="3" t="s">
        <v>16</v>
      </c>
      <c r="B28" s="4">
        <v>31.97</v>
      </c>
      <c r="C28" s="113"/>
      <c r="D28" s="3" t="s">
        <v>16</v>
      </c>
      <c r="E28" s="4">
        <f>B28</f>
        <v>31.97</v>
      </c>
      <c r="F28" s="113"/>
      <c r="G28" s="42" t="s">
        <v>41</v>
      </c>
      <c r="H28" s="41">
        <f>H14+H27</f>
        <v>82593.70325993147</v>
      </c>
      <c r="M28" s="62"/>
    </row>
    <row r="29" spans="1:13" ht="14.25" thickBot="1" x14ac:dyDescent="0.3">
      <c r="A29" s="3" t="s">
        <v>17</v>
      </c>
      <c r="B29" s="5">
        <v>18156</v>
      </c>
      <c r="C29" s="113"/>
      <c r="D29" s="3" t="s">
        <v>17</v>
      </c>
      <c r="E29" s="5">
        <f>B29</f>
        <v>18156</v>
      </c>
      <c r="F29" s="113"/>
      <c r="M29" s="62"/>
    </row>
    <row r="30" spans="1:13" ht="14.25" thickBot="1" x14ac:dyDescent="0.3">
      <c r="A30" s="3" t="s">
        <v>18</v>
      </c>
      <c r="B30" s="4">
        <v>592</v>
      </c>
      <c r="C30" s="114"/>
      <c r="D30" s="3" t="s">
        <v>18</v>
      </c>
      <c r="E30" s="4">
        <f>B30</f>
        <v>592</v>
      </c>
      <c r="F30" s="120"/>
      <c r="G30" s="43" t="s">
        <v>2</v>
      </c>
      <c r="H30" s="41">
        <v>85597.48</v>
      </c>
      <c r="M30" s="62"/>
    </row>
    <row r="31" spans="1:13" x14ac:dyDescent="0.25">
      <c r="A31" s="109" t="s">
        <v>14</v>
      </c>
      <c r="B31" s="110"/>
      <c r="C31" s="111"/>
      <c r="D31" s="121" t="s">
        <v>14</v>
      </c>
      <c r="E31" s="122"/>
      <c r="F31" s="122"/>
      <c r="G31" s="51" t="s">
        <v>50</v>
      </c>
      <c r="H31" s="54">
        <f>B13*1.028+(B11+B25)/60*$H$25</f>
        <v>375.76211052905023</v>
      </c>
      <c r="M31" s="67"/>
    </row>
    <row r="32" spans="1:13" ht="27" x14ac:dyDescent="0.25">
      <c r="A32" s="3" t="s">
        <v>19</v>
      </c>
      <c r="B32" s="4">
        <v>41.99</v>
      </c>
      <c r="C32" s="6">
        <f>B32/$B$36</f>
        <v>0.14181977843825994</v>
      </c>
      <c r="D32" s="3" t="s">
        <v>19</v>
      </c>
      <c r="E32" s="4">
        <v>82.34</v>
      </c>
      <c r="F32" s="50">
        <f>E32/$E$36</f>
        <v>0.19917273408964467</v>
      </c>
      <c r="G32" s="18" t="s">
        <v>51</v>
      </c>
      <c r="H32" s="55">
        <f>E13*1.028+(E11+E25)/60*$H$25</f>
        <v>533.62528297898962</v>
      </c>
      <c r="M32" s="62"/>
    </row>
    <row r="33" spans="1:14" ht="14.25" thickBot="1" x14ac:dyDescent="0.3">
      <c r="A33" s="3" t="s">
        <v>20</v>
      </c>
      <c r="B33" s="4">
        <v>159.85</v>
      </c>
      <c r="C33" s="6">
        <f t="shared" ref="C33:C36" si="1">B33/$B$36</f>
        <v>0.5398878681437449</v>
      </c>
      <c r="D33" s="3" t="s">
        <v>20</v>
      </c>
      <c r="E33" s="4">
        <v>223.8</v>
      </c>
      <c r="F33" s="6">
        <f t="shared" ref="F33:F36" si="2">E33/$E$36</f>
        <v>0.54135120098691369</v>
      </c>
      <c r="G33" s="52" t="s">
        <v>52</v>
      </c>
      <c r="H33" s="53">
        <f>H28/H3</f>
        <v>395.18518306187303</v>
      </c>
      <c r="M33" s="62"/>
      <c r="N33" s="62"/>
    </row>
    <row r="34" spans="1:14" x14ac:dyDescent="0.25">
      <c r="A34" s="3" t="s">
        <v>21</v>
      </c>
      <c r="B34" s="4">
        <v>61.34</v>
      </c>
      <c r="C34" s="6">
        <f t="shared" si="1"/>
        <v>0.20717373682788437</v>
      </c>
      <c r="D34" s="3" t="s">
        <v>21</v>
      </c>
      <c r="E34" s="4">
        <v>61.34</v>
      </c>
      <c r="F34" s="6">
        <f t="shared" si="2"/>
        <v>0.14837570450642221</v>
      </c>
    </row>
    <row r="35" spans="1:14" x14ac:dyDescent="0.25">
      <c r="A35" s="11" t="s">
        <v>22</v>
      </c>
      <c r="B35" s="4">
        <v>32.9</v>
      </c>
      <c r="C35" s="6">
        <f t="shared" si="1"/>
        <v>0.11111861659011078</v>
      </c>
      <c r="D35" s="11" t="s">
        <v>22</v>
      </c>
      <c r="E35" s="4">
        <v>45.93</v>
      </c>
      <c r="F35" s="6">
        <f t="shared" si="2"/>
        <v>0.11110036041701941</v>
      </c>
    </row>
    <row r="36" spans="1:14" ht="14.25" thickBot="1" x14ac:dyDescent="0.3">
      <c r="A36" s="7" t="s">
        <v>23</v>
      </c>
      <c r="B36" s="8">
        <f>SUM(B32:B35)</f>
        <v>296.08</v>
      </c>
      <c r="C36" s="9">
        <f t="shared" si="1"/>
        <v>1</v>
      </c>
      <c r="D36" s="7" t="s">
        <v>23</v>
      </c>
      <c r="E36" s="8">
        <f>SUM(E32:E35)</f>
        <v>413.41</v>
      </c>
      <c r="F36" s="9">
        <f t="shared" si="2"/>
        <v>1</v>
      </c>
    </row>
    <row r="37" spans="1:14" x14ac:dyDescent="0.25">
      <c r="B37" s="10">
        <f t="shared" ref="B37" si="3">B28*((B21+B25)/60)*2</f>
        <v>159.85</v>
      </c>
      <c r="E37" s="10">
        <f>E28*((E21+E25)/60)*2</f>
        <v>223.79</v>
      </c>
    </row>
    <row r="38" spans="1:14" ht="14.25" thickBot="1" x14ac:dyDescent="0.3">
      <c r="B38" s="71">
        <f>B37/B36</f>
        <v>0.5398878681437449</v>
      </c>
      <c r="C38" s="71"/>
      <c r="D38" s="71"/>
      <c r="E38" s="71">
        <f t="shared" ref="E38" si="4">E37/E36</f>
        <v>0.54132701192520738</v>
      </c>
    </row>
    <row r="39" spans="1:14" ht="27.75" thickBot="1" x14ac:dyDescent="0.3">
      <c r="A39" s="10" t="s">
        <v>33</v>
      </c>
      <c r="F39" s="56" t="s">
        <v>53</v>
      </c>
      <c r="G39" s="57" t="s">
        <v>54</v>
      </c>
      <c r="H39" s="57" t="s">
        <v>55</v>
      </c>
      <c r="I39" s="57" t="s">
        <v>56</v>
      </c>
      <c r="J39" s="57"/>
      <c r="K39" s="57"/>
      <c r="L39" s="57" t="s">
        <v>58</v>
      </c>
      <c r="M39" s="57" t="s">
        <v>59</v>
      </c>
      <c r="N39" s="57" t="s">
        <v>57</v>
      </c>
    </row>
    <row r="40" spans="1:14" ht="14.25" thickBot="1" x14ac:dyDescent="0.3">
      <c r="A40" s="10" t="s">
        <v>34</v>
      </c>
      <c r="F40" s="58">
        <v>2025</v>
      </c>
      <c r="G40" s="59">
        <f>H31</f>
        <v>375.76211052905023</v>
      </c>
      <c r="H40" s="59">
        <f>H32</f>
        <v>533.62528297898962</v>
      </c>
      <c r="I40" s="59">
        <f>G40*177+H40*32</f>
        <v>83585.902618969558</v>
      </c>
      <c r="J40" s="59"/>
      <c r="K40" s="59"/>
      <c r="L40" s="60">
        <f>G40*75+H40*28</f>
        <v>43123.666213090473</v>
      </c>
    </row>
    <row r="41" spans="1:14" ht="14.25" thickBot="1" x14ac:dyDescent="0.3">
      <c r="A41" s="10" t="s">
        <v>35</v>
      </c>
      <c r="F41" s="58">
        <v>2026</v>
      </c>
      <c r="G41" s="59">
        <f t="shared" ref="G41:H44" si="5">G40*1.015</f>
        <v>381.39854218698594</v>
      </c>
      <c r="H41" s="59">
        <f t="shared" si="5"/>
        <v>541.62966222367436</v>
      </c>
      <c r="I41" s="59">
        <f t="shared" ref="I41:I44" si="6">G41*177+H41*32</f>
        <v>84839.691158254078</v>
      </c>
      <c r="J41" s="59"/>
      <c r="K41" s="59"/>
      <c r="L41" s="60">
        <f>I41</f>
        <v>84839.691158254078</v>
      </c>
    </row>
    <row r="42" spans="1:14" ht="14.25" thickBot="1" x14ac:dyDescent="0.3">
      <c r="A42" s="10" t="s">
        <v>36</v>
      </c>
      <c r="F42" s="58">
        <v>2027</v>
      </c>
      <c r="G42" s="59">
        <f t="shared" si="5"/>
        <v>387.11952031979069</v>
      </c>
      <c r="H42" s="59">
        <f t="shared" si="5"/>
        <v>549.75410715702947</v>
      </c>
      <c r="I42" s="59">
        <f t="shared" si="6"/>
        <v>86112.286525627889</v>
      </c>
      <c r="J42" s="59"/>
      <c r="K42" s="59"/>
      <c r="L42" s="60">
        <f>I42</f>
        <v>86112.286525627889</v>
      </c>
    </row>
    <row r="43" spans="1:14" ht="14.25" thickBot="1" x14ac:dyDescent="0.3">
      <c r="F43" s="58">
        <v>2028</v>
      </c>
      <c r="G43" s="59">
        <f t="shared" si="5"/>
        <v>392.92631312458752</v>
      </c>
      <c r="H43" s="59">
        <f t="shared" si="5"/>
        <v>558.0004187643849</v>
      </c>
      <c r="I43" s="59">
        <f>G43*177+H43*33</f>
        <v>87961.97124227669</v>
      </c>
      <c r="J43" s="59"/>
      <c r="K43" s="59"/>
      <c r="L43" s="60">
        <f>G43*102+H43*4</f>
        <v>42310.485613765464</v>
      </c>
      <c r="M43" s="60">
        <f>I43-L43</f>
        <v>45651.485628511226</v>
      </c>
    </row>
    <row r="44" spans="1:14" ht="14.25" thickBot="1" x14ac:dyDescent="0.3">
      <c r="F44" s="58">
        <v>2029</v>
      </c>
      <c r="G44" s="59">
        <f t="shared" si="5"/>
        <v>398.82020782145628</v>
      </c>
      <c r="H44" s="59">
        <f t="shared" si="5"/>
        <v>566.37042504585065</v>
      </c>
      <c r="I44" s="59">
        <f t="shared" si="6"/>
        <v>88715.030385864986</v>
      </c>
      <c r="J44" s="63"/>
      <c r="K44" s="63"/>
      <c r="M44" s="60">
        <f>G44*102+H44*4</f>
        <v>42945.142897971942</v>
      </c>
    </row>
    <row r="45" spans="1:14" ht="14.25" thickBot="1" x14ac:dyDescent="0.3">
      <c r="L45" s="61">
        <f>SUM(L40:L43)</f>
        <v>256386.1295107379</v>
      </c>
      <c r="M45" s="61">
        <f>SUM(M40:M44)</f>
        <v>88596.628526483168</v>
      </c>
      <c r="N45" s="61">
        <f>L45+M45</f>
        <v>344982.75803722104</v>
      </c>
    </row>
  </sheetData>
  <mergeCells count="20">
    <mergeCell ref="G1:H1"/>
    <mergeCell ref="A2:C2"/>
    <mergeCell ref="D2:F2"/>
    <mergeCell ref="A16:C16"/>
    <mergeCell ref="D16:F16"/>
    <mergeCell ref="G16:H16"/>
    <mergeCell ref="A17:B17"/>
    <mergeCell ref="C17:C25"/>
    <mergeCell ref="D17:E17"/>
    <mergeCell ref="F17:F25"/>
    <mergeCell ref="A18:B18"/>
    <mergeCell ref="D18:E18"/>
    <mergeCell ref="A23:B23"/>
    <mergeCell ref="D23:E23"/>
    <mergeCell ref="A26:B26"/>
    <mergeCell ref="C26:C30"/>
    <mergeCell ref="D26:E26"/>
    <mergeCell ref="F26:F30"/>
    <mergeCell ref="A31:C31"/>
    <mergeCell ref="D31:F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0331-0E47-4AEF-A7B0-69E925DAA6F6}">
  <dimension ref="A1:N45"/>
  <sheetViews>
    <sheetView topLeftCell="E19" zoomScaleNormal="100" workbookViewId="0">
      <selection activeCell="K40" sqref="K40"/>
    </sheetView>
  </sheetViews>
  <sheetFormatPr defaultColWidth="24.140625" defaultRowHeight="13.5" x14ac:dyDescent="0.25"/>
  <cols>
    <col min="1" max="2" width="24.140625" style="10"/>
    <col min="3" max="3" width="10.5703125" style="10" customWidth="1"/>
    <col min="4" max="5" width="24.140625" style="10"/>
    <col min="6" max="6" width="10.5703125" style="10" customWidth="1"/>
    <col min="7" max="7" width="26.28515625" style="10" bestFit="1" customWidth="1"/>
    <col min="8" max="8" width="24.140625" style="10"/>
    <col min="9" max="9" width="20.28515625" style="10" customWidth="1"/>
    <col min="10" max="10" width="20.28515625" style="64" customWidth="1"/>
    <col min="11" max="11" width="12.28515625" style="64" customWidth="1"/>
    <col min="12" max="12" width="51.140625" style="10" bestFit="1" customWidth="1"/>
    <col min="13" max="13" width="10.5703125" style="10" bestFit="1" customWidth="1"/>
    <col min="14" max="16384" width="24.140625" style="10"/>
  </cols>
  <sheetData>
    <row r="1" spans="1:13" ht="14.65" customHeight="1" thickBot="1" x14ac:dyDescent="0.3">
      <c r="G1" s="102" t="s">
        <v>43</v>
      </c>
      <c r="H1" s="103"/>
    </row>
    <row r="2" spans="1:13" ht="14.25" thickBot="1" x14ac:dyDescent="0.3">
      <c r="A2" s="95" t="s">
        <v>0</v>
      </c>
      <c r="B2" s="96"/>
      <c r="C2" s="97"/>
      <c r="D2" s="98" t="s">
        <v>24</v>
      </c>
      <c r="E2" s="99"/>
      <c r="F2" s="99"/>
      <c r="G2" s="44" t="s">
        <v>38</v>
      </c>
      <c r="H2" s="49" t="s">
        <v>40</v>
      </c>
    </row>
    <row r="3" spans="1:13" x14ac:dyDescent="0.25">
      <c r="A3" s="1" t="s">
        <v>25</v>
      </c>
      <c r="B3" s="22">
        <v>177</v>
      </c>
      <c r="C3" s="33"/>
      <c r="D3" s="30" t="s">
        <v>25</v>
      </c>
      <c r="E3" s="70">
        <v>32</v>
      </c>
      <c r="F3" s="35"/>
      <c r="G3" s="45">
        <f>B3+E3</f>
        <v>209</v>
      </c>
      <c r="H3" s="46">
        <f>G3</f>
        <v>209</v>
      </c>
    </row>
    <row r="4" spans="1:13" x14ac:dyDescent="0.25">
      <c r="A4" s="12" t="s">
        <v>26</v>
      </c>
      <c r="B4" s="23">
        <v>21</v>
      </c>
      <c r="C4" s="19"/>
      <c r="D4" s="31" t="s">
        <v>26</v>
      </c>
      <c r="E4" s="13">
        <v>70</v>
      </c>
      <c r="F4" s="11"/>
      <c r="G4" s="18"/>
      <c r="H4" s="37"/>
    </row>
    <row r="5" spans="1:13" x14ac:dyDescent="0.25">
      <c r="A5" s="12" t="s">
        <v>27</v>
      </c>
      <c r="B5" s="23">
        <f>B4*2</f>
        <v>42</v>
      </c>
      <c r="C5" s="19"/>
      <c r="D5" s="31" t="s">
        <v>27</v>
      </c>
      <c r="E5" s="13">
        <f>E4*2</f>
        <v>140</v>
      </c>
      <c r="F5" s="11"/>
      <c r="G5" s="18"/>
      <c r="H5" s="37"/>
    </row>
    <row r="6" spans="1:13" ht="14.25" thickBot="1" x14ac:dyDescent="0.3">
      <c r="A6" s="14" t="s">
        <v>1</v>
      </c>
      <c r="B6" s="24">
        <f>B5*B3</f>
        <v>7434</v>
      </c>
      <c r="C6" s="19"/>
      <c r="D6" s="32" t="s">
        <v>1</v>
      </c>
      <c r="E6" s="15">
        <f>E5*E3</f>
        <v>4480</v>
      </c>
      <c r="F6" s="11"/>
      <c r="G6" s="47">
        <f>B6+E6</f>
        <v>11914</v>
      </c>
      <c r="H6" s="36">
        <f>G6</f>
        <v>11914</v>
      </c>
    </row>
    <row r="7" spans="1:13" x14ac:dyDescent="0.25">
      <c r="A7" s="1" t="s">
        <v>3</v>
      </c>
      <c r="B7" s="25">
        <v>0.3576388888888889</v>
      </c>
      <c r="C7" s="19"/>
      <c r="D7" s="30" t="s">
        <v>3</v>
      </c>
      <c r="E7" s="16">
        <v>0.3125</v>
      </c>
      <c r="F7" s="11"/>
      <c r="G7" s="18"/>
      <c r="H7" s="37"/>
    </row>
    <row r="8" spans="1:13" x14ac:dyDescent="0.25">
      <c r="A8" s="12" t="s">
        <v>32</v>
      </c>
      <c r="B8" s="26">
        <v>0.41319444444444442</v>
      </c>
      <c r="C8" s="19"/>
      <c r="D8" s="31" t="s">
        <v>32</v>
      </c>
      <c r="E8" s="17">
        <v>0.40972222222222221</v>
      </c>
      <c r="F8" s="11"/>
      <c r="G8" s="18"/>
      <c r="H8" s="37"/>
    </row>
    <row r="9" spans="1:13" x14ac:dyDescent="0.25">
      <c r="A9" s="12" t="s">
        <v>28</v>
      </c>
      <c r="B9" s="26">
        <f>B8-B7</f>
        <v>5.5555555555555525E-2</v>
      </c>
      <c r="C9" s="19"/>
      <c r="D9" s="31" t="s">
        <v>28</v>
      </c>
      <c r="E9" s="17">
        <f>E8-E7</f>
        <v>9.722222222222221E-2</v>
      </c>
      <c r="F9" s="11"/>
      <c r="G9" s="18"/>
      <c r="H9" s="37"/>
    </row>
    <row r="10" spans="1:13" x14ac:dyDescent="0.25">
      <c r="A10" s="12" t="s">
        <v>29</v>
      </c>
      <c r="B10" s="27">
        <f>HOUR(B9)*60+MINUTE(B9)</f>
        <v>80</v>
      </c>
      <c r="C10" s="19"/>
      <c r="D10" s="31" t="s">
        <v>29</v>
      </c>
      <c r="E10" s="2">
        <f>HOUR(E9)*60+MINUTE(E9)</f>
        <v>140</v>
      </c>
      <c r="F10" s="11"/>
      <c r="G10" s="18"/>
      <c r="H10" s="37"/>
    </row>
    <row r="11" spans="1:13" x14ac:dyDescent="0.25">
      <c r="A11" s="12" t="s">
        <v>30</v>
      </c>
      <c r="B11" s="27">
        <f>B10*2</f>
        <v>160</v>
      </c>
      <c r="C11" s="19"/>
      <c r="D11" s="31" t="s">
        <v>30</v>
      </c>
      <c r="E11" s="2">
        <f>E10*2</f>
        <v>280</v>
      </c>
      <c r="F11" s="11"/>
      <c r="G11" s="18"/>
      <c r="H11" s="37"/>
    </row>
    <row r="12" spans="1:13" ht="14.25" thickBot="1" x14ac:dyDescent="0.3">
      <c r="A12" s="21" t="s">
        <v>31</v>
      </c>
      <c r="B12" s="28">
        <f>B11*B3</f>
        <v>28320</v>
      </c>
      <c r="C12" s="19"/>
      <c r="D12" s="32" t="s">
        <v>31</v>
      </c>
      <c r="E12" s="15">
        <f>E11*E3</f>
        <v>8960</v>
      </c>
      <c r="F12" s="11"/>
      <c r="G12" s="47">
        <f>B12+E12</f>
        <v>37280</v>
      </c>
      <c r="H12" s="36">
        <f>G12</f>
        <v>37280</v>
      </c>
    </row>
    <row r="13" spans="1:13" x14ac:dyDescent="0.25">
      <c r="A13" s="1" t="s">
        <v>37</v>
      </c>
      <c r="B13" s="29">
        <f>B36</f>
        <v>284.10000000000002</v>
      </c>
      <c r="C13" s="19"/>
      <c r="D13" s="1" t="s">
        <v>37</v>
      </c>
      <c r="E13" s="29">
        <f>E36</f>
        <v>401.42000000000007</v>
      </c>
      <c r="F13" s="11"/>
      <c r="G13" s="47"/>
      <c r="H13" s="36"/>
      <c r="M13" s="62"/>
    </row>
    <row r="14" spans="1:13" ht="14.25" thickBot="1" x14ac:dyDescent="0.3">
      <c r="A14" s="14" t="s">
        <v>39</v>
      </c>
      <c r="B14" s="24">
        <f>B13*B3</f>
        <v>50285.700000000004</v>
      </c>
      <c r="C14" s="20"/>
      <c r="D14" s="14" t="s">
        <v>39</v>
      </c>
      <c r="E14" s="24">
        <f>E13*E3</f>
        <v>12845.440000000002</v>
      </c>
      <c r="F14" s="34"/>
      <c r="G14" s="48">
        <f t="shared" ref="G14" si="0">B14+E14</f>
        <v>63131.140000000007</v>
      </c>
      <c r="H14" s="40">
        <f>G14*B38+G14*(1-B38)*1.028</f>
        <v>63970.530096752787</v>
      </c>
      <c r="M14" s="62"/>
    </row>
    <row r="15" spans="1:13" ht="14.25" thickBot="1" x14ac:dyDescent="0.3">
      <c r="M15" s="62"/>
    </row>
    <row r="16" spans="1:13" x14ac:dyDescent="0.25">
      <c r="A16" s="106" t="s">
        <v>0</v>
      </c>
      <c r="B16" s="107"/>
      <c r="C16" s="108"/>
      <c r="D16" s="104" t="s">
        <v>24</v>
      </c>
      <c r="E16" s="105"/>
      <c r="F16" s="105"/>
      <c r="G16" s="100" t="s">
        <v>42</v>
      </c>
      <c r="H16" s="101"/>
      <c r="J16" s="64" t="s">
        <v>62</v>
      </c>
      <c r="M16" s="62"/>
    </row>
    <row r="17" spans="1:13" x14ac:dyDescent="0.25">
      <c r="A17" s="109" t="s">
        <v>4</v>
      </c>
      <c r="B17" s="128"/>
      <c r="C17" s="125"/>
      <c r="D17" s="129" t="s">
        <v>4</v>
      </c>
      <c r="E17" s="130"/>
      <c r="F17" s="115"/>
      <c r="G17" s="18" t="s">
        <v>60</v>
      </c>
      <c r="H17" s="2">
        <v>16576</v>
      </c>
      <c r="M17" s="62"/>
    </row>
    <row r="18" spans="1:13" ht="15.75" customHeight="1" x14ac:dyDescent="0.25">
      <c r="A18" s="123" t="s">
        <v>5</v>
      </c>
      <c r="B18" s="124"/>
      <c r="C18" s="126"/>
      <c r="D18" s="123" t="s">
        <v>5</v>
      </c>
      <c r="E18" s="124"/>
      <c r="F18" s="116"/>
      <c r="G18" s="18" t="s">
        <v>61</v>
      </c>
      <c r="H18" s="2">
        <f>J18*1.028</f>
        <v>2724.3439199999998</v>
      </c>
      <c r="J18" s="65">
        <v>2650.14</v>
      </c>
      <c r="K18" s="62"/>
      <c r="M18" s="62"/>
    </row>
    <row r="19" spans="1:13" ht="27" x14ac:dyDescent="0.25">
      <c r="A19" s="3" t="s">
        <v>6</v>
      </c>
      <c r="B19" s="4">
        <v>2</v>
      </c>
      <c r="C19" s="126"/>
      <c r="D19" s="3" t="s">
        <v>6</v>
      </c>
      <c r="E19" s="4">
        <v>2</v>
      </c>
      <c r="F19" s="116"/>
      <c r="G19" s="18" t="s">
        <v>65</v>
      </c>
      <c r="H19" s="2">
        <f>(H17+H18)*J19</f>
        <v>1823.8805343963247</v>
      </c>
      <c r="J19" s="66">
        <f>3209.81/33966.28</f>
        <v>9.4499898134267277E-2</v>
      </c>
      <c r="M19" s="62"/>
    </row>
    <row r="20" spans="1:13" ht="27" x14ac:dyDescent="0.25">
      <c r="A20" s="3" t="s">
        <v>7</v>
      </c>
      <c r="B20" s="4">
        <f>B4</f>
        <v>21</v>
      </c>
      <c r="C20" s="126"/>
      <c r="D20" s="3" t="s">
        <v>7</v>
      </c>
      <c r="E20" s="4">
        <f>E4</f>
        <v>70</v>
      </c>
      <c r="F20" s="116"/>
      <c r="G20" s="18" t="s">
        <v>66</v>
      </c>
      <c r="H20" s="2">
        <f>SUM(H17:H19)</f>
        <v>21124.224454396324</v>
      </c>
      <c r="M20" s="62"/>
    </row>
    <row r="21" spans="1:13" ht="27" x14ac:dyDescent="0.25">
      <c r="A21" s="3" t="s">
        <v>8</v>
      </c>
      <c r="B21" s="4">
        <f>B10</f>
        <v>80</v>
      </c>
      <c r="C21" s="126"/>
      <c r="D21" s="3" t="s">
        <v>8</v>
      </c>
      <c r="E21" s="4">
        <f>E10</f>
        <v>140</v>
      </c>
      <c r="F21" s="116"/>
      <c r="G21" s="18" t="s">
        <v>63</v>
      </c>
      <c r="H21" s="2">
        <f>H20*J21</f>
        <v>7393.479802873745</v>
      </c>
      <c r="J21" s="69">
        <f>11888.2/33966.28</f>
        <v>0.35000005888192648</v>
      </c>
      <c r="M21" s="62"/>
    </row>
    <row r="22" spans="1:13" ht="27" x14ac:dyDescent="0.25">
      <c r="A22" s="3" t="s">
        <v>9</v>
      </c>
      <c r="B22" s="4">
        <v>0</v>
      </c>
      <c r="C22" s="126"/>
      <c r="D22" s="3" t="s">
        <v>9</v>
      </c>
      <c r="E22" s="4">
        <v>0</v>
      </c>
      <c r="F22" s="116"/>
      <c r="G22" s="18" t="s">
        <v>44</v>
      </c>
      <c r="H22" s="2">
        <f>(H21+H20)*0.125</f>
        <v>3564.7130321587588</v>
      </c>
      <c r="M22" s="62"/>
    </row>
    <row r="23" spans="1:13" x14ac:dyDescent="0.25">
      <c r="A23" s="123" t="s">
        <v>10</v>
      </c>
      <c r="B23" s="124"/>
      <c r="C23" s="126"/>
      <c r="D23" s="123" t="s">
        <v>10</v>
      </c>
      <c r="E23" s="124"/>
      <c r="F23" s="116"/>
      <c r="G23" s="18" t="s">
        <v>45</v>
      </c>
      <c r="H23" s="2">
        <f>(H21+H20+H22)*0.06</f>
        <v>1924.9450373657296</v>
      </c>
      <c r="M23" s="62"/>
    </row>
    <row r="24" spans="1:13" ht="27" x14ac:dyDescent="0.25">
      <c r="A24" s="3" t="s">
        <v>11</v>
      </c>
      <c r="B24" s="4">
        <v>30</v>
      </c>
      <c r="C24" s="126"/>
      <c r="D24" s="3" t="s">
        <v>11</v>
      </c>
      <c r="E24" s="4">
        <f>B24</f>
        <v>30</v>
      </c>
      <c r="F24" s="116"/>
      <c r="G24" s="3" t="s">
        <v>48</v>
      </c>
      <c r="H24" s="36">
        <f>SUM(H20:H23)</f>
        <v>34007.362326794559</v>
      </c>
      <c r="K24" s="68" t="s">
        <v>64</v>
      </c>
      <c r="M24" s="62"/>
    </row>
    <row r="25" spans="1:13" ht="27" x14ac:dyDescent="0.25">
      <c r="A25" s="3" t="s">
        <v>12</v>
      </c>
      <c r="B25" s="4">
        <v>60</v>
      </c>
      <c r="C25" s="127"/>
      <c r="D25" s="3" t="s">
        <v>12</v>
      </c>
      <c r="E25" s="4">
        <f>B25</f>
        <v>60</v>
      </c>
      <c r="F25" s="117"/>
      <c r="G25" s="3" t="s">
        <v>47</v>
      </c>
      <c r="H25" s="38">
        <f>H24/1826</f>
        <v>18.623966224969639</v>
      </c>
      <c r="M25" s="62"/>
    </row>
    <row r="26" spans="1:13" x14ac:dyDescent="0.25">
      <c r="A26" s="109" t="s">
        <v>13</v>
      </c>
      <c r="B26" s="110"/>
      <c r="C26" s="112"/>
      <c r="D26" s="129" t="s">
        <v>13</v>
      </c>
      <c r="E26" s="130"/>
      <c r="F26" s="118"/>
      <c r="G26" s="18" t="s">
        <v>46</v>
      </c>
      <c r="H26" s="38">
        <f>((B11+B25)*B3+(E11+E25)*E3)/60</f>
        <v>830.33333333333337</v>
      </c>
      <c r="M26" s="62"/>
    </row>
    <row r="27" spans="1:13" ht="14.25" thickBot="1" x14ac:dyDescent="0.3">
      <c r="A27" s="3" t="s">
        <v>15</v>
      </c>
      <c r="B27" s="4">
        <v>0.41170000000000001</v>
      </c>
      <c r="C27" s="113"/>
      <c r="D27" s="3" t="s">
        <v>15</v>
      </c>
      <c r="E27" s="4">
        <f>B27</f>
        <v>0.41170000000000001</v>
      </c>
      <c r="F27" s="119"/>
      <c r="G27" s="39" t="s">
        <v>49</v>
      </c>
      <c r="H27" s="40">
        <f>H25*H26</f>
        <v>15464.099955466458</v>
      </c>
      <c r="M27" s="62"/>
    </row>
    <row r="28" spans="1:13" ht="14.25" thickBot="1" x14ac:dyDescent="0.3">
      <c r="A28" s="3" t="s">
        <v>16</v>
      </c>
      <c r="B28" s="4">
        <v>31.97</v>
      </c>
      <c r="C28" s="113"/>
      <c r="D28" s="3" t="s">
        <v>16</v>
      </c>
      <c r="E28" s="4">
        <f>B28</f>
        <v>31.97</v>
      </c>
      <c r="F28" s="113"/>
      <c r="G28" s="42" t="s">
        <v>41</v>
      </c>
      <c r="H28" s="41">
        <f>H14+H27</f>
        <v>79434.630052219247</v>
      </c>
      <c r="M28" s="62"/>
    </row>
    <row r="29" spans="1:13" ht="14.25" thickBot="1" x14ac:dyDescent="0.3">
      <c r="A29" s="3" t="s">
        <v>17</v>
      </c>
      <c r="B29" s="5">
        <v>18156</v>
      </c>
      <c r="C29" s="113"/>
      <c r="D29" s="3" t="s">
        <v>17</v>
      </c>
      <c r="E29" s="5">
        <f>B29</f>
        <v>18156</v>
      </c>
      <c r="F29" s="113"/>
      <c r="M29" s="62"/>
    </row>
    <row r="30" spans="1:13" ht="14.25" thickBot="1" x14ac:dyDescent="0.3">
      <c r="A30" s="3" t="s">
        <v>18</v>
      </c>
      <c r="B30" s="4">
        <v>592</v>
      </c>
      <c r="C30" s="114"/>
      <c r="D30" s="3" t="s">
        <v>18</v>
      </c>
      <c r="E30" s="4">
        <f>B30</f>
        <v>592</v>
      </c>
      <c r="F30" s="120"/>
      <c r="G30" s="43" t="s">
        <v>2</v>
      </c>
      <c r="H30" s="41">
        <v>85597.48</v>
      </c>
      <c r="M30" s="62"/>
    </row>
    <row r="31" spans="1:13" x14ac:dyDescent="0.25">
      <c r="A31" s="109" t="s">
        <v>14</v>
      </c>
      <c r="B31" s="110"/>
      <c r="C31" s="111"/>
      <c r="D31" s="121" t="s">
        <v>14</v>
      </c>
      <c r="E31" s="122"/>
      <c r="F31" s="122"/>
      <c r="G31" s="51" t="s">
        <v>50</v>
      </c>
      <c r="H31" s="54">
        <f>B13*(1-B38)*1.028+B13*B38+(B11+B25)/60*$H$25</f>
        <v>356.16526282488866</v>
      </c>
      <c r="M31" s="67"/>
    </row>
    <row r="32" spans="1:13" ht="27" x14ac:dyDescent="0.25">
      <c r="A32" s="3" t="s">
        <v>19</v>
      </c>
      <c r="B32" s="4">
        <v>41.99</v>
      </c>
      <c r="C32" s="6">
        <f>B32/$B$36</f>
        <v>0.14780007039774726</v>
      </c>
      <c r="D32" s="3" t="s">
        <v>19</v>
      </c>
      <c r="E32" s="4">
        <v>82.34</v>
      </c>
      <c r="F32" s="50">
        <f>E32/$E$36</f>
        <v>0.20512181754770561</v>
      </c>
      <c r="G32" s="18" t="s">
        <v>51</v>
      </c>
      <c r="H32" s="55">
        <f>E13*(1-B38)*1.028+E13*B38+(E11+E25)/60*$H$25</f>
        <v>512.293079131686</v>
      </c>
      <c r="M32" s="62"/>
    </row>
    <row r="33" spans="1:14" ht="14.25" thickBot="1" x14ac:dyDescent="0.3">
      <c r="A33" s="3" t="s">
        <v>20</v>
      </c>
      <c r="B33" s="4">
        <v>149.19999999999999</v>
      </c>
      <c r="C33" s="6">
        <f t="shared" ref="C33:C36" si="1">B33/$B$36</f>
        <v>0.52516719464977113</v>
      </c>
      <c r="D33" s="3" t="s">
        <v>20</v>
      </c>
      <c r="E33" s="4">
        <v>213.14</v>
      </c>
      <c r="F33" s="6">
        <f t="shared" ref="F33:F36" si="2">E33/$E$36</f>
        <v>0.53096507398734483</v>
      </c>
      <c r="G33" s="52" t="s">
        <v>52</v>
      </c>
      <c r="H33" s="53">
        <f>H28/H3</f>
        <v>380.07000024985285</v>
      </c>
      <c r="M33" s="62"/>
      <c r="N33" s="62"/>
    </row>
    <row r="34" spans="1:14" x14ac:dyDescent="0.25">
      <c r="A34" s="3" t="s">
        <v>21</v>
      </c>
      <c r="B34" s="4">
        <v>61.34</v>
      </c>
      <c r="C34" s="6">
        <f t="shared" si="1"/>
        <v>0.21590989088349172</v>
      </c>
      <c r="D34" s="3" t="s">
        <v>21</v>
      </c>
      <c r="E34" s="4">
        <v>61.34</v>
      </c>
      <c r="F34" s="6">
        <f t="shared" si="2"/>
        <v>0.15280753325693786</v>
      </c>
    </row>
    <row r="35" spans="1:14" x14ac:dyDescent="0.25">
      <c r="A35" s="11" t="s">
        <v>22</v>
      </c>
      <c r="B35" s="4">
        <v>31.57</v>
      </c>
      <c r="C35" s="6">
        <f t="shared" si="1"/>
        <v>0.11112284406898978</v>
      </c>
      <c r="D35" s="11" t="s">
        <v>22</v>
      </c>
      <c r="E35" s="4">
        <v>44.6</v>
      </c>
      <c r="F35" s="6">
        <f t="shared" si="2"/>
        <v>0.11110557520801154</v>
      </c>
    </row>
    <row r="36" spans="1:14" ht="14.25" thickBot="1" x14ac:dyDescent="0.3">
      <c r="A36" s="7" t="s">
        <v>23</v>
      </c>
      <c r="B36" s="8">
        <f>SUM(B32:B35)</f>
        <v>284.10000000000002</v>
      </c>
      <c r="C36" s="9">
        <f t="shared" si="1"/>
        <v>1</v>
      </c>
      <c r="D36" s="7" t="s">
        <v>23</v>
      </c>
      <c r="E36" s="8">
        <f>SUM(E32:E35)</f>
        <v>401.42000000000007</v>
      </c>
      <c r="F36" s="9">
        <f t="shared" si="2"/>
        <v>1</v>
      </c>
    </row>
    <row r="37" spans="1:14" x14ac:dyDescent="0.25">
      <c r="B37" s="10">
        <f t="shared" ref="B37" si="3">B28*((B21+B25)/60)*2</f>
        <v>149.19333333333333</v>
      </c>
      <c r="E37" s="10">
        <f>E28*((E21+E25)/60)*2</f>
        <v>213.13333333333333</v>
      </c>
    </row>
    <row r="38" spans="1:14" ht="14.25" thickBot="1" x14ac:dyDescent="0.3">
      <c r="B38" s="71">
        <f>B37/B36</f>
        <v>0.52514372873401383</v>
      </c>
      <c r="C38" s="71"/>
      <c r="D38" s="71"/>
      <c r="E38" s="71">
        <f t="shared" ref="E38" si="4">E37/E36</f>
        <v>0.53094846627804615</v>
      </c>
    </row>
    <row r="39" spans="1:14" ht="27.75" thickBot="1" x14ac:dyDescent="0.3">
      <c r="A39" s="10" t="s">
        <v>33</v>
      </c>
      <c r="F39" s="56" t="s">
        <v>53</v>
      </c>
      <c r="G39" s="57" t="s">
        <v>54</v>
      </c>
      <c r="H39" s="57" t="s">
        <v>55</v>
      </c>
      <c r="I39" s="72" t="s">
        <v>56</v>
      </c>
      <c r="J39" s="57"/>
      <c r="K39" s="57"/>
      <c r="L39" s="57" t="s">
        <v>58</v>
      </c>
      <c r="M39" s="57" t="s">
        <v>59</v>
      </c>
      <c r="N39" s="57" t="s">
        <v>57</v>
      </c>
    </row>
    <row r="40" spans="1:14" ht="14.25" thickBot="1" x14ac:dyDescent="0.3">
      <c r="A40" s="10" t="s">
        <v>34</v>
      </c>
      <c r="F40" s="58">
        <v>2025</v>
      </c>
      <c r="G40" s="59">
        <f>H31</f>
        <v>356.16526282488866</v>
      </c>
      <c r="H40" s="59">
        <f>H32</f>
        <v>512.293079131686</v>
      </c>
      <c r="I40" s="60">
        <f>G40*177+H40*32</f>
        <v>79434.630052219247</v>
      </c>
      <c r="J40" s="59"/>
      <c r="K40" s="59"/>
      <c r="L40" s="60">
        <f>G40*75+H40*28</f>
        <v>41056.60092755386</v>
      </c>
    </row>
    <row r="41" spans="1:14" ht="14.25" thickBot="1" x14ac:dyDescent="0.3">
      <c r="A41" s="10" t="s">
        <v>35</v>
      </c>
      <c r="F41" s="58">
        <v>2026</v>
      </c>
      <c r="G41" s="59">
        <f t="shared" ref="G41:H44" si="5">G40*1.015</f>
        <v>361.50774176726196</v>
      </c>
      <c r="H41" s="59">
        <f t="shared" si="5"/>
        <v>519.97747531866128</v>
      </c>
      <c r="I41" s="59">
        <f t="shared" ref="I41:I44" si="6">G41*177+H41*32</f>
        <v>80626.149503002525</v>
      </c>
      <c r="J41" s="59"/>
      <c r="K41" s="59"/>
      <c r="L41" s="60">
        <f>I41</f>
        <v>80626.149503002525</v>
      </c>
    </row>
    <row r="42" spans="1:14" ht="14.25" thickBot="1" x14ac:dyDescent="0.3">
      <c r="A42" s="10" t="s">
        <v>36</v>
      </c>
      <c r="F42" s="58">
        <v>2027</v>
      </c>
      <c r="G42" s="59">
        <f t="shared" si="5"/>
        <v>366.93035789377086</v>
      </c>
      <c r="H42" s="59">
        <f t="shared" si="5"/>
        <v>527.77713744844118</v>
      </c>
      <c r="I42" s="59">
        <f t="shared" si="6"/>
        <v>81835.541745547554</v>
      </c>
      <c r="J42" s="59"/>
      <c r="K42" s="59"/>
      <c r="L42" s="60">
        <f>I42</f>
        <v>81835.541745547554</v>
      </c>
    </row>
    <row r="43" spans="1:14" ht="14.25" thickBot="1" x14ac:dyDescent="0.3">
      <c r="F43" s="58">
        <v>2028</v>
      </c>
      <c r="G43" s="59">
        <f t="shared" si="5"/>
        <v>372.4343132621774</v>
      </c>
      <c r="H43" s="59">
        <f t="shared" si="5"/>
        <v>535.69379451016778</v>
      </c>
      <c r="I43" s="59">
        <f>G43*177+H43*33</f>
        <v>83598.768666240925</v>
      </c>
      <c r="J43" s="59"/>
      <c r="K43" s="59"/>
      <c r="L43" s="60">
        <f>G43*102+H43*4</f>
        <v>40131.075130782767</v>
      </c>
      <c r="M43" s="60">
        <f>I43-L43</f>
        <v>43467.693535458158</v>
      </c>
    </row>
    <row r="44" spans="1:14" ht="14.25" thickBot="1" x14ac:dyDescent="0.3">
      <c r="F44" s="58">
        <v>2029</v>
      </c>
      <c r="G44" s="59">
        <f t="shared" si="5"/>
        <v>378.02082796111</v>
      </c>
      <c r="H44" s="59">
        <f t="shared" si="5"/>
        <v>543.72920142782027</v>
      </c>
      <c r="I44" s="59">
        <f t="shared" si="6"/>
        <v>84309.02099480672</v>
      </c>
      <c r="J44" s="63"/>
      <c r="K44" s="63"/>
      <c r="M44" s="60">
        <f>G44*102+H44*4</f>
        <v>40733.041257744502</v>
      </c>
    </row>
    <row r="45" spans="1:14" ht="14.25" thickBot="1" x14ac:dyDescent="0.3">
      <c r="L45" s="61">
        <f>SUM(L40:L43)</f>
        <v>243649.36730688671</v>
      </c>
      <c r="M45" s="61">
        <f>SUM(M40:M44)</f>
        <v>84200.734793202661</v>
      </c>
      <c r="N45" s="61">
        <f>L45+M45</f>
        <v>327850.10210008937</v>
      </c>
    </row>
  </sheetData>
  <mergeCells count="20">
    <mergeCell ref="G1:H1"/>
    <mergeCell ref="A2:C2"/>
    <mergeCell ref="D2:F2"/>
    <mergeCell ref="A16:C16"/>
    <mergeCell ref="D16:F16"/>
    <mergeCell ref="G16:H16"/>
    <mergeCell ref="A17:B17"/>
    <mergeCell ref="C17:C25"/>
    <mergeCell ref="D17:E17"/>
    <mergeCell ref="F17:F25"/>
    <mergeCell ref="A18:B18"/>
    <mergeCell ref="D18:E18"/>
    <mergeCell ref="A23:B23"/>
    <mergeCell ref="D23:E23"/>
    <mergeCell ref="A26:B26"/>
    <mergeCell ref="C26:C30"/>
    <mergeCell ref="D26:E26"/>
    <mergeCell ref="F26:F30"/>
    <mergeCell ref="A31:C31"/>
    <mergeCell ref="D31:F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ED75-5871-4B93-86CC-79340815A58C}">
  <dimension ref="A1:N56"/>
  <sheetViews>
    <sheetView tabSelected="1" topLeftCell="F28" zoomScaleNormal="100" workbookViewId="0">
      <selection activeCell="M52" sqref="M52"/>
    </sheetView>
  </sheetViews>
  <sheetFormatPr defaultColWidth="24.140625" defaultRowHeight="13.5" x14ac:dyDescent="0.25"/>
  <cols>
    <col min="1" max="2" width="24.140625" style="10"/>
    <col min="3" max="3" width="10.5703125" style="10" customWidth="1"/>
    <col min="4" max="5" width="24.140625" style="10"/>
    <col min="6" max="6" width="10.5703125" style="10" customWidth="1"/>
    <col min="7" max="7" width="26.28515625" style="10" bestFit="1" customWidth="1"/>
    <col min="8" max="8" width="24.140625" style="10"/>
    <col min="9" max="9" width="20.28515625" style="10" customWidth="1"/>
    <col min="10" max="10" width="20.28515625" style="64" customWidth="1"/>
    <col min="11" max="11" width="12.28515625" style="64" customWidth="1"/>
    <col min="12" max="12" width="51.140625" style="10" bestFit="1" customWidth="1"/>
    <col min="13" max="13" width="14.85546875" style="10" bestFit="1" customWidth="1"/>
    <col min="14" max="16384" width="24.140625" style="10"/>
  </cols>
  <sheetData>
    <row r="1" spans="1:13" ht="14.65" customHeight="1" thickBot="1" x14ac:dyDescent="0.3">
      <c r="G1" s="102" t="s">
        <v>43</v>
      </c>
      <c r="H1" s="103"/>
    </row>
    <row r="2" spans="1:13" ht="14.25" thickBot="1" x14ac:dyDescent="0.3">
      <c r="A2" s="95" t="s">
        <v>0</v>
      </c>
      <c r="B2" s="96"/>
      <c r="C2" s="97"/>
      <c r="D2" s="98" t="s">
        <v>24</v>
      </c>
      <c r="E2" s="99"/>
      <c r="F2" s="99"/>
      <c r="G2" s="44" t="s">
        <v>38</v>
      </c>
      <c r="H2" s="49" t="s">
        <v>40</v>
      </c>
    </row>
    <row r="3" spans="1:13" x14ac:dyDescent="0.25">
      <c r="A3" s="1" t="s">
        <v>25</v>
      </c>
      <c r="B3" s="22">
        <v>177</v>
      </c>
      <c r="C3" s="33"/>
      <c r="D3" s="30" t="s">
        <v>25</v>
      </c>
      <c r="E3" s="70">
        <v>32</v>
      </c>
      <c r="F3" s="35"/>
      <c r="G3" s="45">
        <f>B3+E3</f>
        <v>209</v>
      </c>
      <c r="H3" s="46">
        <f>G3</f>
        <v>209</v>
      </c>
    </row>
    <row r="4" spans="1:13" x14ac:dyDescent="0.25">
      <c r="A4" s="12" t="s">
        <v>26</v>
      </c>
      <c r="B4" s="23">
        <v>21</v>
      </c>
      <c r="C4" s="19"/>
      <c r="D4" s="31" t="s">
        <v>26</v>
      </c>
      <c r="E4" s="13">
        <v>70</v>
      </c>
      <c r="F4" s="11"/>
      <c r="G4" s="18"/>
      <c r="H4" s="37"/>
    </row>
    <row r="5" spans="1:13" x14ac:dyDescent="0.25">
      <c r="A5" s="12" t="s">
        <v>27</v>
      </c>
      <c r="B5" s="23">
        <f>B4*2</f>
        <v>42</v>
      </c>
      <c r="C5" s="19"/>
      <c r="D5" s="31" t="s">
        <v>27</v>
      </c>
      <c r="E5" s="13">
        <f>E4*2</f>
        <v>140</v>
      </c>
      <c r="F5" s="11"/>
      <c r="G5" s="18"/>
      <c r="H5" s="37"/>
    </row>
    <row r="6" spans="1:13" ht="14.25" thickBot="1" x14ac:dyDescent="0.3">
      <c r="A6" s="14" t="s">
        <v>1</v>
      </c>
      <c r="B6" s="24">
        <f>B5*B3</f>
        <v>7434</v>
      </c>
      <c r="C6" s="19"/>
      <c r="D6" s="32" t="s">
        <v>1</v>
      </c>
      <c r="E6" s="15">
        <f>E5*E3</f>
        <v>4480</v>
      </c>
      <c r="F6" s="11"/>
      <c r="G6" s="47">
        <f>B6+E6</f>
        <v>11914</v>
      </c>
      <c r="H6" s="36">
        <f>G6</f>
        <v>11914</v>
      </c>
    </row>
    <row r="7" spans="1:13" x14ac:dyDescent="0.25">
      <c r="A7" s="1" t="s">
        <v>3</v>
      </c>
      <c r="B7" s="25">
        <v>0.3576388888888889</v>
      </c>
      <c r="C7" s="19"/>
      <c r="D7" s="30" t="s">
        <v>3</v>
      </c>
      <c r="E7" s="16">
        <v>0.3125</v>
      </c>
      <c r="F7" s="11"/>
      <c r="G7" s="18"/>
      <c r="H7" s="37"/>
    </row>
    <row r="8" spans="1:13" x14ac:dyDescent="0.25">
      <c r="A8" s="12" t="s">
        <v>32</v>
      </c>
      <c r="B8" s="26">
        <v>0.41319444444444442</v>
      </c>
      <c r="C8" s="19"/>
      <c r="D8" s="31" t="s">
        <v>32</v>
      </c>
      <c r="E8" s="17">
        <v>0.40972222222222221</v>
      </c>
      <c r="F8" s="11"/>
      <c r="G8" s="18"/>
      <c r="H8" s="37"/>
    </row>
    <row r="9" spans="1:13" x14ac:dyDescent="0.25">
      <c r="A9" s="12" t="s">
        <v>28</v>
      </c>
      <c r="B9" s="26">
        <f>B8-B7</f>
        <v>5.5555555555555525E-2</v>
      </c>
      <c r="C9" s="19"/>
      <c r="D9" s="31" t="s">
        <v>28</v>
      </c>
      <c r="E9" s="17">
        <f>E8-E7</f>
        <v>9.722222222222221E-2</v>
      </c>
      <c r="F9" s="11"/>
      <c r="G9" s="18"/>
      <c r="H9" s="37"/>
    </row>
    <row r="10" spans="1:13" x14ac:dyDescent="0.25">
      <c r="A10" s="12" t="s">
        <v>29</v>
      </c>
      <c r="B10" s="27">
        <f>HOUR(B9)*60+MINUTE(B9)</f>
        <v>80</v>
      </c>
      <c r="C10" s="19"/>
      <c r="D10" s="31" t="s">
        <v>29</v>
      </c>
      <c r="E10" s="2">
        <f>HOUR(E9)*60+MINUTE(E9)</f>
        <v>140</v>
      </c>
      <c r="F10" s="11"/>
      <c r="G10" s="18"/>
      <c r="H10" s="37"/>
    </row>
    <row r="11" spans="1:13" x14ac:dyDescent="0.25">
      <c r="A11" s="12" t="s">
        <v>30</v>
      </c>
      <c r="B11" s="27">
        <f>B10*2</f>
        <v>160</v>
      </c>
      <c r="C11" s="19"/>
      <c r="D11" s="31" t="s">
        <v>30</v>
      </c>
      <c r="E11" s="2">
        <f>E10*2</f>
        <v>280</v>
      </c>
      <c r="F11" s="11"/>
      <c r="G11" s="18"/>
      <c r="H11" s="37"/>
    </row>
    <row r="12" spans="1:13" ht="14.25" thickBot="1" x14ac:dyDescent="0.3">
      <c r="A12" s="21" t="s">
        <v>31</v>
      </c>
      <c r="B12" s="28">
        <f>B11*B3</f>
        <v>28320</v>
      </c>
      <c r="C12" s="19"/>
      <c r="D12" s="32" t="s">
        <v>31</v>
      </c>
      <c r="E12" s="15">
        <f>E11*E3</f>
        <v>8960</v>
      </c>
      <c r="F12" s="11"/>
      <c r="G12" s="47">
        <f>B12+E12</f>
        <v>37280</v>
      </c>
      <c r="H12" s="36">
        <f>G12</f>
        <v>37280</v>
      </c>
    </row>
    <row r="13" spans="1:13" x14ac:dyDescent="0.25">
      <c r="A13" s="1" t="s">
        <v>37</v>
      </c>
      <c r="B13" s="29">
        <f>B36</f>
        <v>284.10000000000002</v>
      </c>
      <c r="C13" s="19"/>
      <c r="D13" s="1" t="s">
        <v>37</v>
      </c>
      <c r="E13" s="29">
        <f>E36</f>
        <v>401.42000000000007</v>
      </c>
      <c r="F13" s="11"/>
      <c r="G13" s="47"/>
      <c r="H13" s="36"/>
      <c r="M13" s="62"/>
    </row>
    <row r="14" spans="1:13" ht="14.25" thickBot="1" x14ac:dyDescent="0.3">
      <c r="A14" s="14" t="s">
        <v>39</v>
      </c>
      <c r="B14" s="24">
        <f>B13*B3</f>
        <v>50285.700000000004</v>
      </c>
      <c r="C14" s="20"/>
      <c r="D14" s="14" t="s">
        <v>39</v>
      </c>
      <c r="E14" s="24">
        <f>E13*E3</f>
        <v>12845.440000000002</v>
      </c>
      <c r="F14" s="34"/>
      <c r="G14" s="48">
        <f t="shared" ref="G14" si="0">B14+E14</f>
        <v>63131.140000000007</v>
      </c>
      <c r="H14" s="40">
        <f>G14*B38+G14*(1-B38)*1.028</f>
        <v>63970.530096752787</v>
      </c>
      <c r="M14" s="62"/>
    </row>
    <row r="15" spans="1:13" ht="14.25" thickBot="1" x14ac:dyDescent="0.3">
      <c r="M15" s="62"/>
    </row>
    <row r="16" spans="1:13" x14ac:dyDescent="0.25">
      <c r="A16" s="106" t="s">
        <v>0</v>
      </c>
      <c r="B16" s="107"/>
      <c r="C16" s="108"/>
      <c r="D16" s="104" t="s">
        <v>24</v>
      </c>
      <c r="E16" s="105"/>
      <c r="F16" s="105"/>
      <c r="G16" s="100" t="s">
        <v>42</v>
      </c>
      <c r="H16" s="101"/>
      <c r="J16" s="64" t="s">
        <v>62</v>
      </c>
      <c r="M16" s="62"/>
    </row>
    <row r="17" spans="1:13" x14ac:dyDescent="0.25">
      <c r="A17" s="109" t="s">
        <v>4</v>
      </c>
      <c r="B17" s="128"/>
      <c r="C17" s="125"/>
      <c r="D17" s="129" t="s">
        <v>4</v>
      </c>
      <c r="E17" s="130"/>
      <c r="F17" s="115"/>
      <c r="G17" s="18" t="s">
        <v>60</v>
      </c>
      <c r="H17" s="2">
        <v>16576</v>
      </c>
      <c r="M17" s="62"/>
    </row>
    <row r="18" spans="1:13" ht="15.75" customHeight="1" x14ac:dyDescent="0.25">
      <c r="A18" s="123" t="s">
        <v>5</v>
      </c>
      <c r="B18" s="124"/>
      <c r="C18" s="126"/>
      <c r="D18" s="123" t="s">
        <v>5</v>
      </c>
      <c r="E18" s="124"/>
      <c r="F18" s="116"/>
      <c r="G18" s="18" t="s">
        <v>61</v>
      </c>
      <c r="H18" s="2">
        <f>J18*1.028</f>
        <v>2724.3439199999998</v>
      </c>
      <c r="J18" s="65">
        <v>2650.14</v>
      </c>
      <c r="K18" s="62"/>
      <c r="M18" s="62"/>
    </row>
    <row r="19" spans="1:13" ht="27" x14ac:dyDescent="0.25">
      <c r="A19" s="3" t="s">
        <v>6</v>
      </c>
      <c r="B19" s="4">
        <v>2</v>
      </c>
      <c r="C19" s="126"/>
      <c r="D19" s="3" t="s">
        <v>6</v>
      </c>
      <c r="E19" s="4">
        <v>2</v>
      </c>
      <c r="F19" s="116"/>
      <c r="G19" s="18" t="s">
        <v>65</v>
      </c>
      <c r="H19" s="2">
        <f>(H17+H18)*J19</f>
        <v>1823.8805343963247</v>
      </c>
      <c r="J19" s="66">
        <f>3209.81/33966.28</f>
        <v>9.4499898134267277E-2</v>
      </c>
      <c r="M19" s="62"/>
    </row>
    <row r="20" spans="1:13" ht="27" x14ac:dyDescent="0.25">
      <c r="A20" s="3" t="s">
        <v>7</v>
      </c>
      <c r="B20" s="4">
        <f>B4</f>
        <v>21</v>
      </c>
      <c r="C20" s="126"/>
      <c r="D20" s="3" t="s">
        <v>7</v>
      </c>
      <c r="E20" s="4">
        <f>E4</f>
        <v>70</v>
      </c>
      <c r="F20" s="116"/>
      <c r="G20" s="18" t="s">
        <v>66</v>
      </c>
      <c r="H20" s="2">
        <f>SUM(H17:H19)</f>
        <v>21124.224454396324</v>
      </c>
      <c r="M20" s="62"/>
    </row>
    <row r="21" spans="1:13" ht="27" x14ac:dyDescent="0.25">
      <c r="A21" s="3" t="s">
        <v>8</v>
      </c>
      <c r="B21" s="4">
        <f>B10</f>
        <v>80</v>
      </c>
      <c r="C21" s="126"/>
      <c r="D21" s="3" t="s">
        <v>8</v>
      </c>
      <c r="E21" s="4">
        <f>E10</f>
        <v>140</v>
      </c>
      <c r="F21" s="116"/>
      <c r="G21" s="18" t="s">
        <v>63</v>
      </c>
      <c r="H21" s="2">
        <f>H20*J21</f>
        <v>7393.479802873745</v>
      </c>
      <c r="J21" s="69">
        <f>11888.2/33966.28</f>
        <v>0.35000005888192648</v>
      </c>
      <c r="M21" s="62"/>
    </row>
    <row r="22" spans="1:13" ht="27" x14ac:dyDescent="0.25">
      <c r="A22" s="3" t="s">
        <v>9</v>
      </c>
      <c r="B22" s="4">
        <v>0</v>
      </c>
      <c r="C22" s="126"/>
      <c r="D22" s="3" t="s">
        <v>9</v>
      </c>
      <c r="E22" s="4">
        <v>0</v>
      </c>
      <c r="F22" s="116"/>
      <c r="G22" s="18" t="s">
        <v>68</v>
      </c>
      <c r="H22" s="2">
        <f>(H21+H20)*0.03</f>
        <v>855.53112771810208</v>
      </c>
      <c r="M22" s="62"/>
    </row>
    <row r="23" spans="1:13" x14ac:dyDescent="0.25">
      <c r="A23" s="123" t="s">
        <v>10</v>
      </c>
      <c r="B23" s="124"/>
      <c r="C23" s="126"/>
      <c r="D23" s="123" t="s">
        <v>10</v>
      </c>
      <c r="E23" s="124"/>
      <c r="F23" s="116"/>
      <c r="G23" s="18" t="s">
        <v>69</v>
      </c>
      <c r="H23" s="2">
        <f>(H21+H20+H22)*0.02</f>
        <v>587.46470769976349</v>
      </c>
      <c r="M23" s="62"/>
    </row>
    <row r="24" spans="1:13" ht="27" x14ac:dyDescent="0.25">
      <c r="A24" s="3" t="s">
        <v>11</v>
      </c>
      <c r="B24" s="4">
        <v>30</v>
      </c>
      <c r="C24" s="126"/>
      <c r="D24" s="3" t="s">
        <v>11</v>
      </c>
      <c r="E24" s="4">
        <f>B24</f>
        <v>30</v>
      </c>
      <c r="F24" s="116"/>
      <c r="G24" s="3" t="s">
        <v>48</v>
      </c>
      <c r="H24" s="36">
        <f>SUM(H20:H23)</f>
        <v>29960.700092687937</v>
      </c>
      <c r="K24" s="68" t="s">
        <v>64</v>
      </c>
      <c r="M24" s="62"/>
    </row>
    <row r="25" spans="1:13" ht="27" x14ac:dyDescent="0.25">
      <c r="A25" s="3" t="s">
        <v>12</v>
      </c>
      <c r="B25" s="4">
        <v>60</v>
      </c>
      <c r="C25" s="127"/>
      <c r="D25" s="3" t="s">
        <v>12</v>
      </c>
      <c r="E25" s="4">
        <f>B25</f>
        <v>60</v>
      </c>
      <c r="F25" s="117"/>
      <c r="G25" s="3" t="s">
        <v>47</v>
      </c>
      <c r="H25" s="38">
        <f>H24/1826</f>
        <v>16.407831376061303</v>
      </c>
      <c r="M25" s="62"/>
    </row>
    <row r="26" spans="1:13" x14ac:dyDescent="0.25">
      <c r="A26" s="109" t="s">
        <v>13</v>
      </c>
      <c r="B26" s="110"/>
      <c r="C26" s="112"/>
      <c r="D26" s="129" t="s">
        <v>13</v>
      </c>
      <c r="E26" s="130"/>
      <c r="F26" s="118"/>
      <c r="G26" s="18" t="s">
        <v>46</v>
      </c>
      <c r="H26" s="38">
        <f>((B11+B25)*B3+(E11+E25)*E3)/60</f>
        <v>830.33333333333337</v>
      </c>
      <c r="M26" s="62"/>
    </row>
    <row r="27" spans="1:13" ht="14.25" thickBot="1" x14ac:dyDescent="0.3">
      <c r="A27" s="3" t="s">
        <v>15</v>
      </c>
      <c r="B27" s="4">
        <v>0.41170000000000001</v>
      </c>
      <c r="C27" s="113"/>
      <c r="D27" s="3" t="s">
        <v>15</v>
      </c>
      <c r="E27" s="4">
        <f>B27</f>
        <v>0.41170000000000001</v>
      </c>
      <c r="F27" s="119"/>
      <c r="G27" s="39" t="s">
        <v>49</v>
      </c>
      <c r="H27" s="40">
        <f>H25*H26</f>
        <v>13623.969319256235</v>
      </c>
      <c r="M27" s="62"/>
    </row>
    <row r="28" spans="1:13" ht="14.25" thickBot="1" x14ac:dyDescent="0.3">
      <c r="A28" s="3" t="s">
        <v>16</v>
      </c>
      <c r="B28" s="4">
        <v>31.97</v>
      </c>
      <c r="C28" s="113"/>
      <c r="D28" s="3" t="s">
        <v>16</v>
      </c>
      <c r="E28" s="4">
        <f>B28</f>
        <v>31.97</v>
      </c>
      <c r="F28" s="113"/>
      <c r="G28" s="42" t="s">
        <v>41</v>
      </c>
      <c r="H28" s="41">
        <f>H14+H27</f>
        <v>77594.499416009028</v>
      </c>
      <c r="M28" s="62"/>
    </row>
    <row r="29" spans="1:13" ht="14.25" thickBot="1" x14ac:dyDescent="0.3">
      <c r="A29" s="3" t="s">
        <v>17</v>
      </c>
      <c r="B29" s="5">
        <v>18156</v>
      </c>
      <c r="C29" s="113"/>
      <c r="D29" s="3" t="s">
        <v>17</v>
      </c>
      <c r="E29" s="5">
        <f>B29</f>
        <v>18156</v>
      </c>
      <c r="F29" s="113"/>
      <c r="M29" s="62"/>
    </row>
    <row r="30" spans="1:13" ht="14.25" thickBot="1" x14ac:dyDescent="0.3">
      <c r="A30" s="3" t="s">
        <v>18</v>
      </c>
      <c r="B30" s="4">
        <v>592</v>
      </c>
      <c r="C30" s="114"/>
      <c r="D30" s="3" t="s">
        <v>18</v>
      </c>
      <c r="E30" s="4">
        <f>B30</f>
        <v>592</v>
      </c>
      <c r="F30" s="120"/>
      <c r="G30" s="43" t="s">
        <v>2</v>
      </c>
      <c r="H30" s="41">
        <v>85597.48</v>
      </c>
      <c r="M30" s="62"/>
    </row>
    <row r="31" spans="1:13" x14ac:dyDescent="0.25">
      <c r="A31" s="109" t="s">
        <v>14</v>
      </c>
      <c r="B31" s="110"/>
      <c r="C31" s="111"/>
      <c r="D31" s="121" t="s">
        <v>14</v>
      </c>
      <c r="E31" s="122"/>
      <c r="F31" s="122"/>
      <c r="G31" s="51" t="s">
        <v>50</v>
      </c>
      <c r="H31" s="54">
        <f>B13*(1-B38)*1.028+B13*B38+(B11+B25)/60*$H$25</f>
        <v>348.03943504555809</v>
      </c>
      <c r="M31" s="67"/>
    </row>
    <row r="32" spans="1:13" ht="27" x14ac:dyDescent="0.25">
      <c r="A32" s="3" t="s">
        <v>19</v>
      </c>
      <c r="B32" s="4">
        <v>41.99</v>
      </c>
      <c r="C32" s="6">
        <f>B32/$B$36</f>
        <v>0.14780007039774726</v>
      </c>
      <c r="D32" s="3" t="s">
        <v>19</v>
      </c>
      <c r="E32" s="4">
        <v>82.34</v>
      </c>
      <c r="F32" s="50">
        <f>E32/$E$36</f>
        <v>0.20512181754770561</v>
      </c>
      <c r="G32" s="18" t="s">
        <v>51</v>
      </c>
      <c r="H32" s="55">
        <f>E13*(1-B38)*1.028+E13*B38+(E11+E25)/60*$H$25</f>
        <v>499.73498165453873</v>
      </c>
      <c r="M32" s="62"/>
    </row>
    <row r="33" spans="1:14" ht="14.25" thickBot="1" x14ac:dyDescent="0.3">
      <c r="A33" s="3" t="s">
        <v>20</v>
      </c>
      <c r="B33" s="4">
        <v>149.19999999999999</v>
      </c>
      <c r="C33" s="6">
        <f t="shared" ref="C33:C36" si="1">B33/$B$36</f>
        <v>0.52516719464977113</v>
      </c>
      <c r="D33" s="3" t="s">
        <v>20</v>
      </c>
      <c r="E33" s="4">
        <v>213.14</v>
      </c>
      <c r="F33" s="6">
        <f t="shared" ref="F33:F36" si="2">E33/$E$36</f>
        <v>0.53096507398734483</v>
      </c>
      <c r="G33" s="52" t="s">
        <v>52</v>
      </c>
      <c r="H33" s="53">
        <f>H28/H3</f>
        <v>371.26554744501925</v>
      </c>
      <c r="M33" s="62"/>
      <c r="N33" s="62"/>
    </row>
    <row r="34" spans="1:14" x14ac:dyDescent="0.25">
      <c r="A34" s="3" t="s">
        <v>21</v>
      </c>
      <c r="B34" s="4">
        <v>61.34</v>
      </c>
      <c r="C34" s="6">
        <f t="shared" si="1"/>
        <v>0.21590989088349172</v>
      </c>
      <c r="D34" s="3" t="s">
        <v>21</v>
      </c>
      <c r="E34" s="4">
        <v>61.34</v>
      </c>
      <c r="F34" s="6">
        <f t="shared" si="2"/>
        <v>0.15280753325693786</v>
      </c>
    </row>
    <row r="35" spans="1:14" x14ac:dyDescent="0.25">
      <c r="A35" s="11" t="s">
        <v>22</v>
      </c>
      <c r="B35" s="4">
        <v>31.57</v>
      </c>
      <c r="C35" s="6">
        <f t="shared" si="1"/>
        <v>0.11112284406898978</v>
      </c>
      <c r="D35" s="11" t="s">
        <v>22</v>
      </c>
      <c r="E35" s="4">
        <v>44.6</v>
      </c>
      <c r="F35" s="6">
        <f t="shared" si="2"/>
        <v>0.11110557520801154</v>
      </c>
    </row>
    <row r="36" spans="1:14" ht="14.25" thickBot="1" x14ac:dyDescent="0.3">
      <c r="A36" s="7" t="s">
        <v>23</v>
      </c>
      <c r="B36" s="8">
        <f>SUM(B32:B35)</f>
        <v>284.10000000000002</v>
      </c>
      <c r="C36" s="9">
        <f t="shared" si="1"/>
        <v>1</v>
      </c>
      <c r="D36" s="7" t="s">
        <v>23</v>
      </c>
      <c r="E36" s="8">
        <f>SUM(E32:E35)</f>
        <v>401.42000000000007</v>
      </c>
      <c r="F36" s="9">
        <f t="shared" si="2"/>
        <v>1</v>
      </c>
    </row>
    <row r="37" spans="1:14" x14ac:dyDescent="0.25">
      <c r="B37" s="10">
        <f t="shared" ref="B37" si="3">B28*((B21+B25)/60)*2</f>
        <v>149.19333333333333</v>
      </c>
      <c r="E37" s="10">
        <f>E28*((E21+E25)/60)*2</f>
        <v>213.13333333333333</v>
      </c>
    </row>
    <row r="38" spans="1:14" ht="14.25" thickBot="1" x14ac:dyDescent="0.3">
      <c r="B38" s="71">
        <f>B37/B36</f>
        <v>0.52514372873401383</v>
      </c>
      <c r="C38" s="71"/>
      <c r="D38" s="71"/>
      <c r="E38" s="71">
        <f t="shared" ref="E38" si="4">E37/E36</f>
        <v>0.53094846627804615</v>
      </c>
    </row>
    <row r="39" spans="1:14" ht="27.75" thickBot="1" x14ac:dyDescent="0.3">
      <c r="A39" s="10" t="s">
        <v>33</v>
      </c>
      <c r="F39" s="56" t="s">
        <v>53</v>
      </c>
      <c r="G39" s="57" t="s">
        <v>54</v>
      </c>
      <c r="H39" s="74" t="s">
        <v>55</v>
      </c>
      <c r="I39" s="76" t="s">
        <v>56</v>
      </c>
      <c r="L39" s="76" t="s">
        <v>58</v>
      </c>
      <c r="M39" s="57" t="s">
        <v>59</v>
      </c>
      <c r="N39" s="57" t="s">
        <v>57</v>
      </c>
    </row>
    <row r="40" spans="1:14" ht="14.25" thickBot="1" x14ac:dyDescent="0.3">
      <c r="A40" s="10" t="s">
        <v>34</v>
      </c>
      <c r="F40" s="58">
        <v>2025</v>
      </c>
      <c r="G40" s="59">
        <f>H31</f>
        <v>348.03943504555809</v>
      </c>
      <c r="H40" s="75">
        <f>H32</f>
        <v>499.73498165453873</v>
      </c>
      <c r="I40" s="77">
        <f>L40</f>
        <v>40095.537114743944</v>
      </c>
      <c r="L40" s="77">
        <f>G40*75+H40*28</f>
        <v>40095.537114743944</v>
      </c>
    </row>
    <row r="41" spans="1:14" ht="14.25" thickBot="1" x14ac:dyDescent="0.3">
      <c r="A41" s="10" t="s">
        <v>35</v>
      </c>
      <c r="F41" s="58">
        <v>2026</v>
      </c>
      <c r="G41" s="59">
        <f t="shared" ref="G41:H44" si="5">G40*1.02</f>
        <v>355.00022374646926</v>
      </c>
      <c r="H41" s="75">
        <f t="shared" si="5"/>
        <v>509.72968128762949</v>
      </c>
      <c r="I41" s="77">
        <f t="shared" ref="I41:I42" si="6">G41*177+H41*32</f>
        <v>79146.389404329195</v>
      </c>
      <c r="L41" s="77">
        <f>I41</f>
        <v>79146.389404329195</v>
      </c>
    </row>
    <row r="42" spans="1:14" ht="14.25" thickBot="1" x14ac:dyDescent="0.3">
      <c r="A42" s="10" t="s">
        <v>36</v>
      </c>
      <c r="F42" s="58">
        <v>2027</v>
      </c>
      <c r="G42" s="59">
        <f t="shared" si="5"/>
        <v>362.10022822139865</v>
      </c>
      <c r="H42" s="75">
        <f t="shared" si="5"/>
        <v>519.92427491338208</v>
      </c>
      <c r="I42" s="77">
        <f t="shared" si="6"/>
        <v>80729.317192415794</v>
      </c>
      <c r="L42" s="77">
        <f>G42*102+H42*4</f>
        <v>39013.920378236195</v>
      </c>
      <c r="M42" s="78">
        <f>G42*75+H42*28</f>
        <v>41715.396814179599</v>
      </c>
      <c r="N42" s="73"/>
    </row>
    <row r="43" spans="1:14" ht="14.25" thickBot="1" x14ac:dyDescent="0.3">
      <c r="F43" s="58">
        <v>2028</v>
      </c>
      <c r="G43" s="59">
        <f t="shared" si="5"/>
        <v>369.34223278582664</v>
      </c>
      <c r="H43" s="75">
        <f t="shared" si="5"/>
        <v>530.32276041164971</v>
      </c>
      <c r="I43" s="77">
        <f>G43*177+H43*33</f>
        <v>82874.226296675755</v>
      </c>
      <c r="M43" s="60">
        <f>I43</f>
        <v>82874.226296675755</v>
      </c>
    </row>
    <row r="44" spans="1:14" ht="14.25" thickBot="1" x14ac:dyDescent="0.3">
      <c r="F44" s="58">
        <v>2029</v>
      </c>
      <c r="G44" s="59">
        <f t="shared" si="5"/>
        <v>376.72907744154315</v>
      </c>
      <c r="H44" s="75">
        <f t="shared" si="5"/>
        <v>540.92921561988271</v>
      </c>
      <c r="I44" s="77">
        <f>M44</f>
        <v>40590.082761516933</v>
      </c>
      <c r="M44" s="60">
        <f>G44*102+H44*4</f>
        <v>40590.082761516933</v>
      </c>
    </row>
    <row r="45" spans="1:14" ht="14.25" thickBot="1" x14ac:dyDescent="0.3">
      <c r="F45" s="58" t="s">
        <v>67</v>
      </c>
      <c r="G45" s="59">
        <f>G46/(177*4)</f>
        <v>362.75378351533641</v>
      </c>
      <c r="H45" s="75">
        <f>H46/(32*4+1)</f>
        <v>516.32460496762349</v>
      </c>
      <c r="I45" s="77">
        <f>SUM(I40:I44)/4</f>
        <v>80858.888192420403</v>
      </c>
      <c r="L45" s="61">
        <f>SUM(L40:L42)</f>
        <v>158255.84689730933</v>
      </c>
      <c r="M45" s="61">
        <f>SUM(M42:M44)</f>
        <v>165179.70587237229</v>
      </c>
      <c r="N45" s="61">
        <f>L45+M45</f>
        <v>323435.55276968161</v>
      </c>
    </row>
    <row r="46" spans="1:14" ht="14.25" thickBot="1" x14ac:dyDescent="0.3">
      <c r="E46" s="73"/>
      <c r="G46" s="65">
        <f>G40*75+G41*B3+G42*B3+G43*B3+G44*102</f>
        <v>256829.67872885818</v>
      </c>
      <c r="H46" s="65">
        <f>H40*28+H41*E3+H42*E3+H43*(E3+1)+H44*4</f>
        <v>66605.87404082343</v>
      </c>
      <c r="I46" s="65">
        <f>(G45*(75+B3+B3+B3+102)+H45*(28+E3+E3+E3+1+4))/4</f>
        <v>80858.888192420403</v>
      </c>
      <c r="N46" s="59">
        <f>I46*4</f>
        <v>323435.55276968161</v>
      </c>
    </row>
    <row r="47" spans="1:14" ht="14.25" thickBot="1" x14ac:dyDescent="0.3">
      <c r="I47" s="65"/>
    </row>
    <row r="48" spans="1:14" ht="27.75" thickBot="1" x14ac:dyDescent="0.3">
      <c r="F48" s="56" t="s">
        <v>53</v>
      </c>
      <c r="G48" s="57" t="s">
        <v>54</v>
      </c>
      <c r="H48" s="57" t="s">
        <v>55</v>
      </c>
      <c r="I48" s="72" t="s">
        <v>56</v>
      </c>
      <c r="L48" s="57" t="s">
        <v>58</v>
      </c>
      <c r="M48" s="57" t="s">
        <v>59</v>
      </c>
      <c r="N48" s="57" t="s">
        <v>57</v>
      </c>
    </row>
    <row r="49" spans="6:14" ht="14.25" thickBot="1" x14ac:dyDescent="0.3">
      <c r="F49" s="58">
        <v>2025</v>
      </c>
      <c r="G49" s="59">
        <f>$G$45</f>
        <v>362.75378351533641</v>
      </c>
      <c r="H49" s="59">
        <f>$H$45</f>
        <v>516.32460496762349</v>
      </c>
      <c r="I49" s="60">
        <f>G49*75+H49*28</f>
        <v>41663.622702743683</v>
      </c>
      <c r="L49" s="60">
        <f>G49*75+H49*28</f>
        <v>41663.622702743683</v>
      </c>
    </row>
    <row r="50" spans="6:14" ht="14.25" thickBot="1" x14ac:dyDescent="0.3">
      <c r="F50" s="58">
        <v>2026</v>
      </c>
      <c r="G50" s="59">
        <f t="shared" ref="G50:G53" si="7">$G$45</f>
        <v>362.75378351533641</v>
      </c>
      <c r="H50" s="59">
        <f t="shared" ref="H50:H53" si="8">$H$45</f>
        <v>516.32460496762349</v>
      </c>
      <c r="I50" s="59">
        <f t="shared" ref="I50:I51" si="9">G50*177+H50*32</f>
        <v>80729.807041178501</v>
      </c>
      <c r="L50" s="60">
        <f>I50</f>
        <v>80729.807041178501</v>
      </c>
    </row>
    <row r="51" spans="6:14" ht="14.25" thickBot="1" x14ac:dyDescent="0.3">
      <c r="F51" s="58">
        <v>2027</v>
      </c>
      <c r="G51" s="59">
        <f t="shared" si="7"/>
        <v>362.75378351533641</v>
      </c>
      <c r="H51" s="59">
        <f t="shared" si="8"/>
        <v>516.32460496762349</v>
      </c>
      <c r="I51" s="59">
        <f t="shared" si="9"/>
        <v>80729.807041178501</v>
      </c>
      <c r="L51" s="60">
        <f>G51*102+H51*4</f>
        <v>39066.18433843481</v>
      </c>
      <c r="M51" s="60">
        <f>I51-L51</f>
        <v>41663.622702743691</v>
      </c>
      <c r="N51" s="62"/>
    </row>
    <row r="52" spans="6:14" ht="14.25" thickBot="1" x14ac:dyDescent="0.3">
      <c r="F52" s="58">
        <v>2028</v>
      </c>
      <c r="G52" s="59">
        <f t="shared" si="7"/>
        <v>362.75378351533641</v>
      </c>
      <c r="H52" s="59">
        <f t="shared" si="8"/>
        <v>516.32460496762349</v>
      </c>
      <c r="I52" s="59">
        <f>G52*177+H52*33</f>
        <v>81246.131646146125</v>
      </c>
      <c r="M52" s="60">
        <f>I52-L52</f>
        <v>81246.131646146125</v>
      </c>
    </row>
    <row r="53" spans="6:14" ht="14.25" thickBot="1" x14ac:dyDescent="0.3">
      <c r="F53" s="58">
        <v>2029</v>
      </c>
      <c r="G53" s="59">
        <f t="shared" si="7"/>
        <v>362.75378351533641</v>
      </c>
      <c r="H53" s="59">
        <f t="shared" si="8"/>
        <v>516.32460496762349</v>
      </c>
      <c r="I53" s="59">
        <f>G53*102+H53*4</f>
        <v>39066.18433843481</v>
      </c>
      <c r="M53" s="60">
        <f>G53*102+H53*4</f>
        <v>39066.18433843481</v>
      </c>
    </row>
    <row r="54" spans="6:14" ht="14.25" thickBot="1" x14ac:dyDescent="0.3">
      <c r="F54" s="58" t="s">
        <v>67</v>
      </c>
      <c r="G54" s="59">
        <f>SUM(G49*0.5,G50:G52,G53*0.5)/4</f>
        <v>362.75378351533641</v>
      </c>
      <c r="H54" s="59">
        <f t="shared" ref="H54" si="10">SUM(H49*0.5,H50:H52,H53*0.5)/4</f>
        <v>516.32460496762349</v>
      </c>
      <c r="I54" s="59">
        <f>SUM(I49:I53)/4</f>
        <v>80858.888192420418</v>
      </c>
      <c r="L54" s="61">
        <f>SUM(L49:L52)</f>
        <v>161459.614082357</v>
      </c>
      <c r="M54" s="61">
        <f>SUM(M49:M53)</f>
        <v>161975.93868732461</v>
      </c>
      <c r="N54" s="61">
        <f>L54+M54</f>
        <v>323435.55276968161</v>
      </c>
    </row>
    <row r="55" spans="6:14" x14ac:dyDescent="0.25">
      <c r="I55" s="65">
        <f>G54*(75+B3+B3+B3+102)/4+H54*(28+E3+E3+E3+1+4)/4</f>
        <v>80858.888192420403</v>
      </c>
    </row>
    <row r="56" spans="6:14" x14ac:dyDescent="0.25">
      <c r="I56" s="65"/>
    </row>
  </sheetData>
  <mergeCells count="20">
    <mergeCell ref="A26:B26"/>
    <mergeCell ref="C26:C30"/>
    <mergeCell ref="D26:E26"/>
    <mergeCell ref="F26:F30"/>
    <mergeCell ref="A31:C31"/>
    <mergeCell ref="D31:F31"/>
    <mergeCell ref="A17:B17"/>
    <mergeCell ref="C17:C25"/>
    <mergeCell ref="D17:E17"/>
    <mergeCell ref="F17:F25"/>
    <mergeCell ref="A18:B18"/>
    <mergeCell ref="D18:E18"/>
    <mergeCell ref="A23:B23"/>
    <mergeCell ref="D23:E23"/>
    <mergeCell ref="G1:H1"/>
    <mergeCell ref="A2:C2"/>
    <mergeCell ref="D2:F2"/>
    <mergeCell ref="A16:C16"/>
    <mergeCell ref="D16:F16"/>
    <mergeCell ref="G16:H16"/>
  </mergeCells>
  <pageMargins left="0.7" right="0.7" top="0.75" bottom="0.75" header="0.3" footer="0.3"/>
  <pageSetup paperSize="8" scale="57" orientation="landscape" r:id="rId1"/>
  <ignoredErrors>
    <ignoredError sqref="I52 I4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398E-A4A1-4BD1-B573-435444578F9F}">
  <dimension ref="B1:H22"/>
  <sheetViews>
    <sheetView zoomScaleNormal="100" workbookViewId="0">
      <selection activeCell="C13" sqref="C13"/>
    </sheetView>
  </sheetViews>
  <sheetFormatPr defaultRowHeight="15" x14ac:dyDescent="0.25"/>
  <cols>
    <col min="2" max="2" width="9.140625" style="79"/>
    <col min="3" max="3" width="37.42578125" style="79" bestFit="1" customWidth="1"/>
    <col min="4" max="4" width="12" bestFit="1" customWidth="1"/>
    <col min="5" max="5" width="12" customWidth="1"/>
    <col min="6" max="6" width="20.42578125" bestFit="1" customWidth="1"/>
    <col min="7" max="8" width="32.28515625" bestFit="1" customWidth="1"/>
  </cols>
  <sheetData>
    <row r="1" spans="2:8" ht="24.95" customHeight="1" thickBot="1" x14ac:dyDescent="0.3"/>
    <row r="2" spans="2:8" ht="24.95" customHeight="1" x14ac:dyDescent="0.25">
      <c r="B2" s="85" t="s">
        <v>53</v>
      </c>
      <c r="C2" s="86" t="s">
        <v>77</v>
      </c>
      <c r="D2" s="86" t="s">
        <v>70</v>
      </c>
      <c r="E2" s="86" t="s">
        <v>59</v>
      </c>
      <c r="F2" s="86" t="s">
        <v>71</v>
      </c>
      <c r="G2" s="86" t="s">
        <v>79</v>
      </c>
      <c r="H2" s="87" t="s">
        <v>72</v>
      </c>
    </row>
    <row r="3" spans="2:8" ht="24.95" customHeight="1" x14ac:dyDescent="0.25">
      <c r="B3" s="88">
        <v>2025</v>
      </c>
      <c r="C3" s="81">
        <v>17450.7</v>
      </c>
      <c r="D3" s="81">
        <v>41663.620000000003</v>
      </c>
      <c r="E3" s="82" t="s">
        <v>75</v>
      </c>
      <c r="F3" s="81">
        <v>85597.48</v>
      </c>
      <c r="G3" s="83">
        <f>C3+D3-F3</f>
        <v>-26483.159999999989</v>
      </c>
      <c r="H3" s="89" t="s">
        <v>74</v>
      </c>
    </row>
    <row r="4" spans="2:8" ht="24.95" customHeight="1" x14ac:dyDescent="0.25">
      <c r="B4" s="88">
        <v>2026</v>
      </c>
      <c r="C4" s="84" t="s">
        <v>75</v>
      </c>
      <c r="D4" s="81">
        <v>80729.81</v>
      </c>
      <c r="E4" s="82" t="s">
        <v>75</v>
      </c>
      <c r="F4" s="81">
        <v>85597.48</v>
      </c>
      <c r="G4" s="83">
        <f t="shared" ref="G4:G7" si="0">D4-F4</f>
        <v>-4867.6699999999983</v>
      </c>
      <c r="H4" s="89" t="s">
        <v>73</v>
      </c>
    </row>
    <row r="5" spans="2:8" ht="24.95" customHeight="1" x14ac:dyDescent="0.25">
      <c r="B5" s="88">
        <v>2027</v>
      </c>
      <c r="C5" s="84" t="s">
        <v>75</v>
      </c>
      <c r="D5" s="81">
        <v>39066.18</v>
      </c>
      <c r="E5" s="81">
        <v>41663.620000000003</v>
      </c>
      <c r="F5" s="81">
        <v>85597.48</v>
      </c>
      <c r="G5" s="83">
        <f>D5+E5-F5</f>
        <v>-4867.679999999993</v>
      </c>
      <c r="H5" s="89"/>
    </row>
    <row r="6" spans="2:8" ht="24.95" customHeight="1" x14ac:dyDescent="0.25">
      <c r="B6" s="88">
        <v>2028</v>
      </c>
      <c r="C6" s="84" t="s">
        <v>75</v>
      </c>
      <c r="D6" s="81"/>
      <c r="E6" s="82">
        <v>81246.13</v>
      </c>
      <c r="F6" s="81">
        <v>85597.48</v>
      </c>
      <c r="G6" s="83">
        <f>F6-E6</f>
        <v>4351.3499999999913</v>
      </c>
      <c r="H6" s="89"/>
    </row>
    <row r="7" spans="2:8" ht="24.95" customHeight="1" thickBot="1" x14ac:dyDescent="0.3">
      <c r="B7" s="90">
        <v>2029</v>
      </c>
      <c r="C7" s="91" t="s">
        <v>75</v>
      </c>
      <c r="D7" s="92"/>
      <c r="E7" s="93">
        <v>39066.18</v>
      </c>
      <c r="F7" s="92">
        <v>85597.48</v>
      </c>
      <c r="G7" s="83">
        <f>F7-E7</f>
        <v>46531.299999999996</v>
      </c>
      <c r="H7" s="94" t="s">
        <v>76</v>
      </c>
    </row>
    <row r="8" spans="2:8" ht="24.95" customHeight="1" x14ac:dyDescent="0.25"/>
    <row r="9" spans="2:8" ht="24.95" customHeight="1" x14ac:dyDescent="0.25">
      <c r="C9" s="80" t="s">
        <v>78</v>
      </c>
    </row>
    <row r="10" spans="2:8" ht="24.95" customHeight="1" x14ac:dyDescent="0.25"/>
    <row r="11" spans="2:8" ht="24.95" customHeight="1" x14ac:dyDescent="0.25"/>
    <row r="12" spans="2:8" ht="24.95" customHeight="1" x14ac:dyDescent="0.25"/>
    <row r="13" spans="2:8" ht="24.95" customHeight="1" x14ac:dyDescent="0.25"/>
    <row r="14" spans="2:8" ht="24.95" customHeight="1" x14ac:dyDescent="0.25"/>
    <row r="15" spans="2:8" ht="24.95" customHeight="1" x14ac:dyDescent="0.25"/>
    <row r="16" spans="2:8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</sheetData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Costos</vt:lpstr>
      <vt:lpstr>Costos (reducció de temps)</vt:lpstr>
      <vt:lpstr>Costos (reducció de km)</vt:lpstr>
      <vt:lpstr>Costos(no actualitzar personal)</vt:lpstr>
      <vt:lpstr>Costos(&lt;temps i no actu. perso)</vt:lpstr>
      <vt:lpstr>Costos proposta 2+2</vt:lpstr>
      <vt:lpstr>PBL i Aportació Generalitat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Sanz Cano</dc:creator>
  <cp:lastModifiedBy>Laia Puig Casulleras</cp:lastModifiedBy>
  <cp:lastPrinted>2025-05-06T09:00:22Z</cp:lastPrinted>
  <dcterms:created xsi:type="dcterms:W3CDTF">2025-01-09T14:43:51Z</dcterms:created>
  <dcterms:modified xsi:type="dcterms:W3CDTF">2025-05-20T05:56:19Z</dcterms:modified>
</cp:coreProperties>
</file>