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un\1-EXPEDIENTS\2267-LLAMBILLES\Annexos\Postinforme\Abril 2025\"/>
    </mc:Choice>
  </mc:AlternateContent>
  <xr:revisionPtr revIDLastSave="0" documentId="13_ncr:1_{8FD0FEE0-8A8C-4A00-BED6-A34A22425DAF}" xr6:coauthVersionLast="47" xr6:coauthVersionMax="47" xr10:uidLastSave="{00000000-0000-0000-0000-000000000000}"/>
  <bookViews>
    <workbookView xWindow="-120" yWindow="-120" windowWidth="29040" windowHeight="15840" xr2:uid="{D2BC1E0F-1742-4494-AD62-B441888897D1}"/>
  </bookViews>
  <sheets>
    <sheet name="Compte de resultats i inversio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C34" i="1"/>
  <c r="C63" i="1"/>
  <c r="D17" i="1" l="1"/>
  <c r="D63" i="1"/>
  <c r="E63" i="1" s="1"/>
  <c r="F63" i="1" s="1"/>
  <c r="G63" i="1" s="1"/>
  <c r="H63" i="1" s="1"/>
  <c r="I63" i="1" s="1"/>
  <c r="J63" i="1" s="1"/>
  <c r="K63" i="1" s="1"/>
  <c r="L63" i="1" s="1"/>
  <c r="M63" i="1" s="1"/>
  <c r="N63" i="1" s="1"/>
  <c r="O63" i="1" s="1"/>
  <c r="P63" i="1" s="1"/>
  <c r="Q63" i="1" s="1"/>
  <c r="R63" i="1" s="1"/>
  <c r="S63" i="1" s="1"/>
  <c r="T63" i="1" s="1"/>
  <c r="U63" i="1" s="1"/>
  <c r="V63" i="1" s="1"/>
  <c r="W63" i="1" s="1"/>
  <c r="C25" i="1" l="1"/>
  <c r="C64" i="1" l="1"/>
  <c r="D64" i="1" s="1"/>
  <c r="E69" i="1" l="1"/>
  <c r="F69" i="1"/>
  <c r="G69" i="1"/>
  <c r="H69" i="1"/>
  <c r="D69" i="1"/>
  <c r="D22" i="1" l="1"/>
  <c r="E22" i="1" s="1"/>
  <c r="F22" i="1" s="1"/>
  <c r="G22" i="1" s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R22" i="1" s="1"/>
  <c r="S22" i="1" s="1"/>
  <c r="T22" i="1" s="1"/>
  <c r="U22" i="1" s="1"/>
  <c r="V22" i="1" s="1"/>
  <c r="W22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O23" i="1" s="1"/>
  <c r="P23" i="1" s="1"/>
  <c r="Q23" i="1" s="1"/>
  <c r="R23" i="1" s="1"/>
  <c r="S23" i="1" s="1"/>
  <c r="T23" i="1" s="1"/>
  <c r="U23" i="1" s="1"/>
  <c r="V23" i="1" s="1"/>
  <c r="W23" i="1" s="1"/>
  <c r="D9" i="1"/>
  <c r="D61" i="1"/>
  <c r="C26" i="1"/>
  <c r="C48" i="1"/>
  <c r="D16" i="1"/>
  <c r="E16" i="1" s="1"/>
  <c r="F16" i="1" s="1"/>
  <c r="G16" i="1" s="1"/>
  <c r="H16" i="1" s="1"/>
  <c r="I16" i="1" s="1"/>
  <c r="J16" i="1" s="1"/>
  <c r="K16" i="1" s="1"/>
  <c r="L16" i="1" s="1"/>
  <c r="M16" i="1" s="1"/>
  <c r="N16" i="1" s="1"/>
  <c r="O16" i="1" s="1"/>
  <c r="P16" i="1" s="1"/>
  <c r="Q16" i="1" s="1"/>
  <c r="R16" i="1" s="1"/>
  <c r="S16" i="1" s="1"/>
  <c r="T16" i="1" s="1"/>
  <c r="U16" i="1" s="1"/>
  <c r="V16" i="1" s="1"/>
  <c r="W16" i="1" s="1"/>
  <c r="D15" i="1"/>
  <c r="D52" i="1"/>
  <c r="D53" i="1" s="1"/>
  <c r="D55" i="1"/>
  <c r="D10" i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E17" i="1"/>
  <c r="F17" i="1" s="1"/>
  <c r="G17" i="1" s="1"/>
  <c r="H17" i="1" s="1"/>
  <c r="I17" i="1" s="1"/>
  <c r="J17" i="1" s="1"/>
  <c r="K17" i="1" s="1"/>
  <c r="L17" i="1" s="1"/>
  <c r="M17" i="1" s="1"/>
  <c r="N17" i="1" s="1"/>
  <c r="O17" i="1" s="1"/>
  <c r="P17" i="1" s="1"/>
  <c r="Q17" i="1" s="1"/>
  <c r="R17" i="1" s="1"/>
  <c r="S17" i="1" s="1"/>
  <c r="T17" i="1" s="1"/>
  <c r="U17" i="1" s="1"/>
  <c r="V17" i="1" s="1"/>
  <c r="W17" i="1" s="1"/>
  <c r="D18" i="1"/>
  <c r="E18" i="1" s="1"/>
  <c r="F18" i="1" s="1"/>
  <c r="G18" i="1" s="1"/>
  <c r="H18" i="1" s="1"/>
  <c r="I18" i="1" s="1"/>
  <c r="J18" i="1" s="1"/>
  <c r="K18" i="1" s="1"/>
  <c r="L18" i="1" s="1"/>
  <c r="M18" i="1" s="1"/>
  <c r="N18" i="1" s="1"/>
  <c r="O18" i="1" s="1"/>
  <c r="P18" i="1" s="1"/>
  <c r="Q18" i="1" s="1"/>
  <c r="R18" i="1" s="1"/>
  <c r="S18" i="1" s="1"/>
  <c r="T18" i="1" s="1"/>
  <c r="U18" i="1" s="1"/>
  <c r="V18" i="1" s="1"/>
  <c r="W18" i="1" s="1"/>
  <c r="D19" i="1"/>
  <c r="E19" i="1" s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P19" i="1" s="1"/>
  <c r="Q19" i="1" s="1"/>
  <c r="R19" i="1" s="1"/>
  <c r="S19" i="1" s="1"/>
  <c r="T19" i="1" s="1"/>
  <c r="U19" i="1" s="1"/>
  <c r="V19" i="1" s="1"/>
  <c r="W19" i="1" s="1"/>
  <c r="D20" i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D32" i="1"/>
  <c r="D77" i="1"/>
  <c r="E52" i="1"/>
  <c r="F52" i="1"/>
  <c r="G52" i="1"/>
  <c r="G91" i="1" s="1"/>
  <c r="H52" i="1"/>
  <c r="I52" i="1"/>
  <c r="J52" i="1"/>
  <c r="J91" i="1" s="1"/>
  <c r="K52" i="1"/>
  <c r="K91" i="1" s="1"/>
  <c r="L52" i="1"/>
  <c r="M52" i="1"/>
  <c r="N52" i="1"/>
  <c r="O52" i="1"/>
  <c r="O91" i="1" s="1"/>
  <c r="P52" i="1"/>
  <c r="P91" i="1" s="1"/>
  <c r="Q52" i="1"/>
  <c r="Q91" i="1" s="1"/>
  <c r="R52" i="1"/>
  <c r="R91" i="1" s="1"/>
  <c r="S52" i="1"/>
  <c r="S91" i="1" s="1"/>
  <c r="T52" i="1"/>
  <c r="U52" i="1"/>
  <c r="U91" i="1" s="1"/>
  <c r="V52" i="1"/>
  <c r="V91" i="1" s="1"/>
  <c r="W52" i="1"/>
  <c r="W91" i="1" s="1"/>
  <c r="F118" i="1"/>
  <c r="E4" i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N91" i="1"/>
  <c r="T91" i="1"/>
  <c r="C12" i="1"/>
  <c r="C27" i="1" s="1"/>
  <c r="D60" i="1"/>
  <c r="E60" i="1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E15" i="1" l="1"/>
  <c r="D25" i="1"/>
  <c r="D26" i="1" s="1"/>
  <c r="O93" i="1"/>
  <c r="N93" i="1"/>
  <c r="D12" i="1"/>
  <c r="E7" i="1"/>
  <c r="Q4" i="1"/>
  <c r="R4" i="1" s="1"/>
  <c r="S4" i="1" s="1"/>
  <c r="T4" i="1" s="1"/>
  <c r="P93" i="1"/>
  <c r="J93" i="1"/>
  <c r="K93" i="1"/>
  <c r="G93" i="1"/>
  <c r="D48" i="1"/>
  <c r="D62" i="1"/>
  <c r="F60" i="1"/>
  <c r="X69" i="1"/>
  <c r="D91" i="1"/>
  <c r="D93" i="1" s="1"/>
  <c r="L91" i="1"/>
  <c r="L93" i="1" s="1"/>
  <c r="I91" i="1"/>
  <c r="I93" i="1" s="1"/>
  <c r="F91" i="1"/>
  <c r="F93" i="1" s="1"/>
  <c r="X52" i="1"/>
  <c r="E91" i="1"/>
  <c r="D56" i="1"/>
  <c r="D33" i="1" s="1"/>
  <c r="E53" i="1"/>
  <c r="M91" i="1"/>
  <c r="M93" i="1" s="1"/>
  <c r="H91" i="1"/>
  <c r="H93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E64" i="1"/>
  <c r="D100" i="1" l="1"/>
  <c r="D101" i="1" s="1"/>
  <c r="D102" i="1" s="1"/>
  <c r="D103" i="1" s="1"/>
  <c r="C35" i="1"/>
  <c r="D73" i="1"/>
  <c r="E48" i="1"/>
  <c r="D82" i="1"/>
  <c r="F15" i="1"/>
  <c r="F25" i="1" s="1"/>
  <c r="F82" i="1" s="1"/>
  <c r="E61" i="1"/>
  <c r="F7" i="1"/>
  <c r="U4" i="1"/>
  <c r="T93" i="1"/>
  <c r="R93" i="1"/>
  <c r="Q93" i="1"/>
  <c r="S93" i="1"/>
  <c r="E62" i="1"/>
  <c r="F62" i="1"/>
  <c r="G60" i="1"/>
  <c r="E54" i="1"/>
  <c r="F53" i="1"/>
  <c r="D78" i="1"/>
  <c r="D57" i="1"/>
  <c r="E93" i="1"/>
  <c r="Z91" i="1"/>
  <c r="E25" i="1"/>
  <c r="E82" i="1" s="1"/>
  <c r="D34" i="1"/>
  <c r="D27" i="1"/>
  <c r="F64" i="1"/>
  <c r="E9" i="1"/>
  <c r="E12" i="1" s="1"/>
  <c r="F48" i="1" l="1"/>
  <c r="C37" i="1"/>
  <c r="C41" i="1"/>
  <c r="G15" i="1"/>
  <c r="G25" i="1" s="1"/>
  <c r="G82" i="1" s="1"/>
  <c r="F54" i="1"/>
  <c r="F32" i="1" s="1"/>
  <c r="F77" i="1" s="1"/>
  <c r="G7" i="1"/>
  <c r="F61" i="1"/>
  <c r="D58" i="1"/>
  <c r="V4" i="1"/>
  <c r="U93" i="1"/>
  <c r="E32" i="1"/>
  <c r="E77" i="1" s="1"/>
  <c r="G62" i="1"/>
  <c r="H60" i="1"/>
  <c r="E55" i="1"/>
  <c r="G53" i="1"/>
  <c r="E26" i="1"/>
  <c r="F26" i="1"/>
  <c r="E73" i="1"/>
  <c r="E27" i="1"/>
  <c r="F9" i="1"/>
  <c r="F12" i="1" s="1"/>
  <c r="G64" i="1"/>
  <c r="F34" i="1" l="1"/>
  <c r="F100" i="1"/>
  <c r="E34" i="1"/>
  <c r="E100" i="1"/>
  <c r="G48" i="1"/>
  <c r="H15" i="1"/>
  <c r="H25" i="1" s="1"/>
  <c r="H82" i="1" s="1"/>
  <c r="C42" i="1"/>
  <c r="C43" i="1"/>
  <c r="F55" i="1"/>
  <c r="F56" i="1" s="1"/>
  <c r="F33" i="1" s="1"/>
  <c r="F78" i="1" s="1"/>
  <c r="G54" i="1"/>
  <c r="G32" i="1" s="1"/>
  <c r="G77" i="1" s="1"/>
  <c r="G61" i="1"/>
  <c r="H7" i="1"/>
  <c r="W4" i="1"/>
  <c r="W93" i="1" s="1"/>
  <c r="V93" i="1"/>
  <c r="H62" i="1"/>
  <c r="I60" i="1"/>
  <c r="E56" i="1"/>
  <c r="E33" i="1" s="1"/>
  <c r="H53" i="1"/>
  <c r="E58" i="1"/>
  <c r="G26" i="1"/>
  <c r="F73" i="1"/>
  <c r="F27" i="1"/>
  <c r="H64" i="1"/>
  <c r="G9" i="1"/>
  <c r="G12" i="1" s="1"/>
  <c r="G34" i="1" l="1"/>
  <c r="G100" i="1"/>
  <c r="I15" i="1"/>
  <c r="J15" i="1" s="1"/>
  <c r="H48" i="1"/>
  <c r="C44" i="1"/>
  <c r="C45" i="1"/>
  <c r="G55" i="1"/>
  <c r="G56" i="1" s="1"/>
  <c r="G33" i="1" s="1"/>
  <c r="G78" i="1" s="1"/>
  <c r="H54" i="1"/>
  <c r="H32" i="1" s="1"/>
  <c r="H77" i="1" s="1"/>
  <c r="E78" i="1"/>
  <c r="Z93" i="1"/>
  <c r="H61" i="1"/>
  <c r="I7" i="1"/>
  <c r="F57" i="1"/>
  <c r="E57" i="1"/>
  <c r="I62" i="1"/>
  <c r="J60" i="1"/>
  <c r="I53" i="1"/>
  <c r="H26" i="1"/>
  <c r="I48" i="1"/>
  <c r="I25" i="1"/>
  <c r="I82" i="1" s="1"/>
  <c r="G73" i="1"/>
  <c r="G27" i="1"/>
  <c r="H9" i="1"/>
  <c r="H12" i="1" s="1"/>
  <c r="I64" i="1"/>
  <c r="H34" i="1" l="1"/>
  <c r="H100" i="1"/>
  <c r="I54" i="1"/>
  <c r="I32" i="1" s="1"/>
  <c r="I77" i="1" s="1"/>
  <c r="H55" i="1"/>
  <c r="H56" i="1" s="1"/>
  <c r="H33" i="1" s="1"/>
  <c r="H78" i="1" s="1"/>
  <c r="G57" i="1"/>
  <c r="I61" i="1"/>
  <c r="J7" i="1"/>
  <c r="J62" i="1"/>
  <c r="K60" i="1"/>
  <c r="J53" i="1"/>
  <c r="H57" i="1"/>
  <c r="I26" i="1"/>
  <c r="J48" i="1"/>
  <c r="J25" i="1"/>
  <c r="J82" i="1" s="1"/>
  <c r="K15" i="1"/>
  <c r="H73" i="1"/>
  <c r="H27" i="1"/>
  <c r="J64" i="1"/>
  <c r="I9" i="1"/>
  <c r="I12" i="1" s="1"/>
  <c r="I34" i="1" l="1"/>
  <c r="I100" i="1"/>
  <c r="J54" i="1"/>
  <c r="K54" i="1" s="1"/>
  <c r="I55" i="1"/>
  <c r="I56" i="1" s="1"/>
  <c r="I33" i="1" s="1"/>
  <c r="I78" i="1" s="1"/>
  <c r="J61" i="1"/>
  <c r="K7" i="1"/>
  <c r="L60" i="1"/>
  <c r="K62" i="1"/>
  <c r="K53" i="1"/>
  <c r="K25" i="1"/>
  <c r="K82" i="1" s="1"/>
  <c r="L15" i="1"/>
  <c r="K48" i="1"/>
  <c r="J26" i="1"/>
  <c r="J9" i="1"/>
  <c r="J12" i="1" s="1"/>
  <c r="K64" i="1"/>
  <c r="I73" i="1"/>
  <c r="I27" i="1"/>
  <c r="J34" i="1" l="1"/>
  <c r="J100" i="1"/>
  <c r="J32" i="1"/>
  <c r="J77" i="1" s="1"/>
  <c r="L54" i="1"/>
  <c r="L32" i="1" s="1"/>
  <c r="L77" i="1" s="1"/>
  <c r="K32" i="1"/>
  <c r="K77" i="1" s="1"/>
  <c r="I57" i="1"/>
  <c r="J55" i="1"/>
  <c r="J56" i="1" s="1"/>
  <c r="J33" i="1" s="1"/>
  <c r="J78" i="1" s="1"/>
  <c r="L7" i="1"/>
  <c r="K61" i="1"/>
  <c r="L62" i="1"/>
  <c r="M60" i="1"/>
  <c r="L53" i="1"/>
  <c r="K26" i="1"/>
  <c r="L48" i="1"/>
  <c r="L25" i="1"/>
  <c r="L82" i="1" s="1"/>
  <c r="M15" i="1"/>
  <c r="L64" i="1"/>
  <c r="K9" i="1"/>
  <c r="K12" i="1" s="1"/>
  <c r="J73" i="1"/>
  <c r="J27" i="1"/>
  <c r="K34" i="1" l="1"/>
  <c r="K100" i="1"/>
  <c r="M54" i="1"/>
  <c r="N54" i="1" s="1"/>
  <c r="J57" i="1"/>
  <c r="K55" i="1"/>
  <c r="K56" i="1" s="1"/>
  <c r="K33" i="1" s="1"/>
  <c r="K57" i="1" s="1"/>
  <c r="L55" i="1"/>
  <c r="L61" i="1"/>
  <c r="M7" i="1"/>
  <c r="M62" i="1"/>
  <c r="N60" i="1"/>
  <c r="M53" i="1"/>
  <c r="L26" i="1"/>
  <c r="N15" i="1"/>
  <c r="M48" i="1"/>
  <c r="M25" i="1"/>
  <c r="M82" i="1" s="1"/>
  <c r="K73" i="1"/>
  <c r="K27" i="1"/>
  <c r="L9" i="1"/>
  <c r="L12" i="1" s="1"/>
  <c r="M64" i="1"/>
  <c r="L34" i="1" l="1"/>
  <c r="L100" i="1"/>
  <c r="M32" i="1"/>
  <c r="M77" i="1" s="1"/>
  <c r="M55" i="1"/>
  <c r="N55" i="1" s="1"/>
  <c r="K78" i="1"/>
  <c r="L56" i="1"/>
  <c r="L33" i="1" s="1"/>
  <c r="L57" i="1" s="1"/>
  <c r="M61" i="1"/>
  <c r="N7" i="1"/>
  <c r="N62" i="1"/>
  <c r="O60" i="1"/>
  <c r="M56" i="1"/>
  <c r="M33" i="1" s="1"/>
  <c r="N53" i="1"/>
  <c r="N32" i="1"/>
  <c r="N77" i="1" s="1"/>
  <c r="O54" i="1"/>
  <c r="M26" i="1"/>
  <c r="O15" i="1"/>
  <c r="N25" i="1"/>
  <c r="N82" i="1" s="1"/>
  <c r="N48" i="1"/>
  <c r="N64" i="1"/>
  <c r="M9" i="1"/>
  <c r="M12" i="1" s="1"/>
  <c r="L73" i="1"/>
  <c r="L27" i="1"/>
  <c r="M34" i="1" l="1"/>
  <c r="M100" i="1"/>
  <c r="L78" i="1"/>
  <c r="N61" i="1"/>
  <c r="O7" i="1"/>
  <c r="P60" i="1"/>
  <c r="O62" i="1"/>
  <c r="O55" i="1"/>
  <c r="M78" i="1"/>
  <c r="M57" i="1"/>
  <c r="O32" i="1"/>
  <c r="O77" i="1" s="1"/>
  <c r="P54" i="1"/>
  <c r="N56" i="1"/>
  <c r="N33" i="1" s="1"/>
  <c r="O53" i="1"/>
  <c r="N26" i="1"/>
  <c r="P15" i="1"/>
  <c r="O25" i="1"/>
  <c r="O82" i="1" s="1"/>
  <c r="O48" i="1"/>
  <c r="M73" i="1"/>
  <c r="M27" i="1"/>
  <c r="N9" i="1"/>
  <c r="N12" i="1" s="1"/>
  <c r="O64" i="1"/>
  <c r="N34" i="1" l="1"/>
  <c r="N100" i="1"/>
  <c r="P7" i="1"/>
  <c r="O61" i="1"/>
  <c r="P62" i="1"/>
  <c r="Q60" i="1"/>
  <c r="N78" i="1"/>
  <c r="N57" i="1"/>
  <c r="P32" i="1"/>
  <c r="P77" i="1" s="1"/>
  <c r="Q54" i="1"/>
  <c r="O56" i="1"/>
  <c r="O33" i="1" s="1"/>
  <c r="P53" i="1"/>
  <c r="P55" i="1"/>
  <c r="O26" i="1"/>
  <c r="P48" i="1"/>
  <c r="Q15" i="1"/>
  <c r="P25" i="1"/>
  <c r="P82" i="1" s="1"/>
  <c r="N27" i="1"/>
  <c r="N73" i="1"/>
  <c r="P64" i="1"/>
  <c r="O9" i="1"/>
  <c r="O12" i="1" s="1"/>
  <c r="O34" i="1" l="1"/>
  <c r="O100" i="1"/>
  <c r="P61" i="1"/>
  <c r="Q7" i="1"/>
  <c r="R60" i="1"/>
  <c r="Q62" i="1"/>
  <c r="P56" i="1"/>
  <c r="P33" i="1" s="1"/>
  <c r="Q53" i="1"/>
  <c r="O57" i="1"/>
  <c r="O78" i="1"/>
  <c r="Q32" i="1"/>
  <c r="Q77" i="1" s="1"/>
  <c r="R54" i="1"/>
  <c r="Q55" i="1"/>
  <c r="P26" i="1"/>
  <c r="R15" i="1"/>
  <c r="Q48" i="1"/>
  <c r="Q25" i="1"/>
  <c r="Q82" i="1" s="1"/>
  <c r="O73" i="1"/>
  <c r="O27" i="1"/>
  <c r="P9" i="1"/>
  <c r="P12" i="1" s="1"/>
  <c r="Q64" i="1"/>
  <c r="P34" i="1" l="1"/>
  <c r="P100" i="1"/>
  <c r="R7" i="1"/>
  <c r="Q61" i="1"/>
  <c r="R62" i="1"/>
  <c r="S60" i="1"/>
  <c r="R32" i="1"/>
  <c r="R77" i="1" s="1"/>
  <c r="S54" i="1"/>
  <c r="P78" i="1"/>
  <c r="P57" i="1"/>
  <c r="R55" i="1"/>
  <c r="Q56" i="1"/>
  <c r="Q33" i="1" s="1"/>
  <c r="R53" i="1"/>
  <c r="Q26" i="1"/>
  <c r="S15" i="1"/>
  <c r="R25" i="1"/>
  <c r="R82" i="1" s="1"/>
  <c r="R48" i="1"/>
  <c r="R64" i="1"/>
  <c r="Q9" i="1"/>
  <c r="Q12" i="1" s="1"/>
  <c r="P73" i="1"/>
  <c r="P27" i="1"/>
  <c r="Q34" i="1" l="1"/>
  <c r="Q100" i="1"/>
  <c r="S7" i="1"/>
  <c r="R61" i="1"/>
  <c r="S62" i="1"/>
  <c r="T60" i="1"/>
  <c r="Q78" i="1"/>
  <c r="Q57" i="1"/>
  <c r="S32" i="1"/>
  <c r="S77" i="1" s="1"/>
  <c r="T54" i="1"/>
  <c r="S55" i="1"/>
  <c r="R56" i="1"/>
  <c r="R33" i="1" s="1"/>
  <c r="S53" i="1"/>
  <c r="R26" i="1"/>
  <c r="T15" i="1"/>
  <c r="S25" i="1"/>
  <c r="S82" i="1" s="1"/>
  <c r="S48" i="1"/>
  <c r="Q73" i="1"/>
  <c r="Q27" i="1"/>
  <c r="R9" i="1"/>
  <c r="R12" i="1" s="1"/>
  <c r="S64" i="1"/>
  <c r="R34" i="1" l="1"/>
  <c r="R100" i="1"/>
  <c r="T7" i="1"/>
  <c r="S61" i="1"/>
  <c r="T62" i="1"/>
  <c r="U60" i="1"/>
  <c r="T32" i="1"/>
  <c r="T77" i="1" s="1"/>
  <c r="U54" i="1"/>
  <c r="S56" i="1"/>
  <c r="S33" i="1" s="1"/>
  <c r="T53" i="1"/>
  <c r="R78" i="1"/>
  <c r="R57" i="1"/>
  <c r="T55" i="1"/>
  <c r="S26" i="1"/>
  <c r="T48" i="1"/>
  <c r="U15" i="1"/>
  <c r="T25" i="1"/>
  <c r="T82" i="1" s="1"/>
  <c r="T64" i="1"/>
  <c r="S9" i="1"/>
  <c r="S12" i="1" s="1"/>
  <c r="R27" i="1"/>
  <c r="R73" i="1"/>
  <c r="S34" i="1" l="1"/>
  <c r="S100" i="1"/>
  <c r="T61" i="1"/>
  <c r="U7" i="1"/>
  <c r="V60" i="1"/>
  <c r="U62" i="1"/>
  <c r="U32" i="1"/>
  <c r="U77" i="1" s="1"/>
  <c r="V54" i="1"/>
  <c r="T56" i="1"/>
  <c r="T33" i="1" s="1"/>
  <c r="U53" i="1"/>
  <c r="U55" i="1"/>
  <c r="S57" i="1"/>
  <c r="S78" i="1"/>
  <c r="T26" i="1"/>
  <c r="V15" i="1"/>
  <c r="U48" i="1"/>
  <c r="U25" i="1"/>
  <c r="U82" i="1" s="1"/>
  <c r="S73" i="1"/>
  <c r="S27" i="1"/>
  <c r="T9" i="1"/>
  <c r="T12" i="1" s="1"/>
  <c r="U64" i="1"/>
  <c r="T34" i="1" l="1"/>
  <c r="T100" i="1"/>
  <c r="U61" i="1"/>
  <c r="V7" i="1"/>
  <c r="W7" i="1" s="1"/>
  <c r="V62" i="1"/>
  <c r="W60" i="1"/>
  <c r="W62" i="1" s="1"/>
  <c r="V55" i="1"/>
  <c r="U56" i="1"/>
  <c r="U33" i="1" s="1"/>
  <c r="V53" i="1"/>
  <c r="T78" i="1"/>
  <c r="T57" i="1"/>
  <c r="V32" i="1"/>
  <c r="V77" i="1" s="1"/>
  <c r="W54" i="1"/>
  <c r="X54" i="1" s="1"/>
  <c r="U26" i="1"/>
  <c r="W15" i="1"/>
  <c r="V25" i="1"/>
  <c r="V82" i="1" s="1"/>
  <c r="V48" i="1"/>
  <c r="V64" i="1"/>
  <c r="U9" i="1"/>
  <c r="U12" i="1" s="1"/>
  <c r="T73" i="1"/>
  <c r="T27" i="1"/>
  <c r="U34" i="1" l="1"/>
  <c r="U100" i="1"/>
  <c r="V61" i="1"/>
  <c r="W55" i="1"/>
  <c r="U78" i="1"/>
  <c r="U57" i="1"/>
  <c r="W32" i="1"/>
  <c r="W77" i="1" s="1"/>
  <c r="Z77" i="1" s="1"/>
  <c r="V56" i="1"/>
  <c r="V33" i="1" s="1"/>
  <c r="W53" i="1"/>
  <c r="W25" i="1"/>
  <c r="W82" i="1" s="1"/>
  <c r="Z82" i="1" s="1"/>
  <c r="W48" i="1"/>
  <c r="V26" i="1"/>
  <c r="U73" i="1"/>
  <c r="U27" i="1"/>
  <c r="V9" i="1"/>
  <c r="V12" i="1" s="1"/>
  <c r="W64" i="1"/>
  <c r="V34" i="1" l="1"/>
  <c r="V100" i="1"/>
  <c r="X64" i="1"/>
  <c r="W9" i="1"/>
  <c r="W12" i="1" s="1"/>
  <c r="X12" i="1" s="1"/>
  <c r="W61" i="1"/>
  <c r="W56" i="1"/>
  <c r="W33" i="1" s="1"/>
  <c r="V78" i="1"/>
  <c r="V57" i="1"/>
  <c r="W26" i="1"/>
  <c r="V27" i="1"/>
  <c r="V73" i="1"/>
  <c r="W34" i="1" l="1"/>
  <c r="W100" i="1"/>
  <c r="W78" i="1"/>
  <c r="Z78" i="1" s="1"/>
  <c r="Z79" i="1" s="1"/>
  <c r="X33" i="1"/>
  <c r="W57" i="1"/>
  <c r="X57" i="1" s="1"/>
  <c r="W73" i="1"/>
  <c r="W27" i="1"/>
  <c r="D31" i="1"/>
  <c r="R31" i="1" l="1"/>
  <c r="X28" i="1"/>
  <c r="D28" i="1" s="1"/>
  <c r="D35" i="1" s="1"/>
  <c r="E31" i="1"/>
  <c r="F31" i="1"/>
  <c r="H31" i="1"/>
  <c r="J31" i="1"/>
  <c r="G31" i="1"/>
  <c r="O31" i="1"/>
  <c r="P31" i="1"/>
  <c r="W31" i="1"/>
  <c r="I31" i="1"/>
  <c r="Q31" i="1"/>
  <c r="L31" i="1"/>
  <c r="S31" i="1"/>
  <c r="T31" i="1"/>
  <c r="K31" i="1"/>
  <c r="M31" i="1"/>
  <c r="N31" i="1"/>
  <c r="U31" i="1"/>
  <c r="V31" i="1"/>
  <c r="D40" i="1" l="1"/>
  <c r="D41" i="1" s="1"/>
  <c r="D42" i="1" s="1"/>
  <c r="D37" i="1"/>
  <c r="X31" i="1"/>
  <c r="D75" i="1"/>
  <c r="N28" i="1"/>
  <c r="R28" i="1"/>
  <c r="V28" i="1"/>
  <c r="E28" i="1"/>
  <c r="E35" i="1" s="1"/>
  <c r="F28" i="1"/>
  <c r="F35" i="1" s="1"/>
  <c r="G28" i="1"/>
  <c r="H28" i="1"/>
  <c r="I28" i="1"/>
  <c r="J28" i="1"/>
  <c r="K28" i="1"/>
  <c r="L28" i="1"/>
  <c r="M28" i="1"/>
  <c r="Q28" i="1"/>
  <c r="P28" i="1"/>
  <c r="T28" i="1"/>
  <c r="O28" i="1"/>
  <c r="S28" i="1"/>
  <c r="W28" i="1"/>
  <c r="U28" i="1"/>
  <c r="E40" i="1" l="1"/>
  <c r="E41" i="1" s="1"/>
  <c r="E42" i="1" s="1"/>
  <c r="E37" i="1"/>
  <c r="F40" i="1"/>
  <c r="F41" i="1" s="1"/>
  <c r="F42" i="1" s="1"/>
  <c r="F37" i="1"/>
  <c r="U75" i="1"/>
  <c r="U79" i="1" s="1"/>
  <c r="U81" i="1" s="1"/>
  <c r="U83" i="1" s="1"/>
  <c r="U85" i="1" s="1"/>
  <c r="U35" i="1"/>
  <c r="L75" i="1"/>
  <c r="L79" i="1" s="1"/>
  <c r="L81" i="1" s="1"/>
  <c r="L83" i="1" s="1"/>
  <c r="L85" i="1" s="1"/>
  <c r="L35" i="1"/>
  <c r="W75" i="1"/>
  <c r="W79" i="1" s="1"/>
  <c r="W81" i="1" s="1"/>
  <c r="W83" i="1" s="1"/>
  <c r="W85" i="1" s="1"/>
  <c r="W35" i="1"/>
  <c r="V75" i="1"/>
  <c r="V79" i="1" s="1"/>
  <c r="V81" i="1" s="1"/>
  <c r="V83" i="1" s="1"/>
  <c r="V85" i="1" s="1"/>
  <c r="V35" i="1"/>
  <c r="T75" i="1"/>
  <c r="T79" i="1" s="1"/>
  <c r="T81" i="1" s="1"/>
  <c r="T83" i="1" s="1"/>
  <c r="T85" i="1" s="1"/>
  <c r="T35" i="1"/>
  <c r="H75" i="1"/>
  <c r="H79" i="1" s="1"/>
  <c r="H81" i="1" s="1"/>
  <c r="H83" i="1" s="1"/>
  <c r="H85" i="1" s="1"/>
  <c r="H35" i="1"/>
  <c r="D79" i="1"/>
  <c r="D81" i="1" s="1"/>
  <c r="P75" i="1"/>
  <c r="P79" i="1" s="1"/>
  <c r="P81" i="1" s="1"/>
  <c r="P83" i="1" s="1"/>
  <c r="P85" i="1" s="1"/>
  <c r="P35" i="1"/>
  <c r="K75" i="1"/>
  <c r="K79" i="1" s="1"/>
  <c r="K81" i="1" s="1"/>
  <c r="K83" i="1" s="1"/>
  <c r="K85" i="1" s="1"/>
  <c r="K35" i="1"/>
  <c r="G75" i="1"/>
  <c r="G79" i="1" s="1"/>
  <c r="G81" i="1" s="1"/>
  <c r="G83" i="1" s="1"/>
  <c r="G85" i="1" s="1"/>
  <c r="G35" i="1"/>
  <c r="S75" i="1"/>
  <c r="S79" i="1" s="1"/>
  <c r="S81" i="1" s="1"/>
  <c r="S83" i="1" s="1"/>
  <c r="S85" i="1" s="1"/>
  <c r="S35" i="1"/>
  <c r="Q75" i="1"/>
  <c r="Q79" i="1" s="1"/>
  <c r="Q81" i="1" s="1"/>
  <c r="Q83" i="1" s="1"/>
  <c r="Q85" i="1" s="1"/>
  <c r="Q35" i="1"/>
  <c r="J75" i="1"/>
  <c r="J79" i="1" s="1"/>
  <c r="J81" i="1" s="1"/>
  <c r="J83" i="1" s="1"/>
  <c r="J85" i="1" s="1"/>
  <c r="J35" i="1"/>
  <c r="F75" i="1"/>
  <c r="F79" i="1" s="1"/>
  <c r="F81" i="1" s="1"/>
  <c r="F83" i="1" s="1"/>
  <c r="F85" i="1" s="1"/>
  <c r="R75" i="1"/>
  <c r="R79" i="1" s="1"/>
  <c r="R81" i="1" s="1"/>
  <c r="R83" i="1" s="1"/>
  <c r="R85" i="1" s="1"/>
  <c r="R35" i="1"/>
  <c r="O75" i="1"/>
  <c r="O79" i="1" s="1"/>
  <c r="O81" i="1" s="1"/>
  <c r="O83" i="1" s="1"/>
  <c r="O85" i="1" s="1"/>
  <c r="O35" i="1"/>
  <c r="M75" i="1"/>
  <c r="M79" i="1" s="1"/>
  <c r="M81" i="1" s="1"/>
  <c r="M83" i="1" s="1"/>
  <c r="M85" i="1" s="1"/>
  <c r="M35" i="1"/>
  <c r="I75" i="1"/>
  <c r="I79" i="1" s="1"/>
  <c r="I81" i="1" s="1"/>
  <c r="I83" i="1" s="1"/>
  <c r="I85" i="1" s="1"/>
  <c r="I35" i="1"/>
  <c r="E75" i="1"/>
  <c r="E79" i="1" s="1"/>
  <c r="E81" i="1" s="1"/>
  <c r="E83" i="1" s="1"/>
  <c r="E85" i="1" s="1"/>
  <c r="N75" i="1"/>
  <c r="N79" i="1" s="1"/>
  <c r="N81" i="1" s="1"/>
  <c r="N83" i="1" s="1"/>
  <c r="N85" i="1" s="1"/>
  <c r="N35" i="1"/>
  <c r="M101" i="1" l="1"/>
  <c r="M102" i="1" s="1"/>
  <c r="M37" i="1"/>
  <c r="M49" i="1" s="1"/>
  <c r="R101" i="1"/>
  <c r="R102" i="1" s="1"/>
  <c r="R37" i="1"/>
  <c r="R49" i="1" s="1"/>
  <c r="S101" i="1"/>
  <c r="S102" i="1" s="1"/>
  <c r="S37" i="1"/>
  <c r="S49" i="1" s="1"/>
  <c r="H101" i="1"/>
  <c r="H102" i="1" s="1"/>
  <c r="H37" i="1"/>
  <c r="H49" i="1" s="1"/>
  <c r="V101" i="1"/>
  <c r="V102" i="1" s="1"/>
  <c r="V37" i="1"/>
  <c r="V49" i="1" s="1"/>
  <c r="L101" i="1"/>
  <c r="L102" i="1" s="1"/>
  <c r="L37" i="1"/>
  <c r="L49" i="1" s="1"/>
  <c r="E101" i="1"/>
  <c r="E102" i="1" s="1"/>
  <c r="E103" i="1" s="1"/>
  <c r="J101" i="1"/>
  <c r="J102" i="1" s="1"/>
  <c r="J37" i="1"/>
  <c r="J49" i="1" s="1"/>
  <c r="K101" i="1"/>
  <c r="K102" i="1" s="1"/>
  <c r="K37" i="1"/>
  <c r="K49" i="1" s="1"/>
  <c r="N101" i="1"/>
  <c r="N102" i="1" s="1"/>
  <c r="N37" i="1"/>
  <c r="N49" i="1" s="1"/>
  <c r="I101" i="1"/>
  <c r="I102" i="1" s="1"/>
  <c r="I37" i="1"/>
  <c r="I49" i="1" s="1"/>
  <c r="O101" i="1"/>
  <c r="O102" i="1" s="1"/>
  <c r="O37" i="1"/>
  <c r="O49" i="1" s="1"/>
  <c r="F101" i="1"/>
  <c r="F102" i="1" s="1"/>
  <c r="F49" i="1"/>
  <c r="Q101" i="1"/>
  <c r="Q102" i="1" s="1"/>
  <c r="Q37" i="1"/>
  <c r="Q49" i="1" s="1"/>
  <c r="G101" i="1"/>
  <c r="G102" i="1" s="1"/>
  <c r="G37" i="1"/>
  <c r="G49" i="1" s="1"/>
  <c r="P101" i="1"/>
  <c r="P102" i="1" s="1"/>
  <c r="P37" i="1"/>
  <c r="P49" i="1" s="1"/>
  <c r="T101" i="1"/>
  <c r="T102" i="1" s="1"/>
  <c r="T37" i="1"/>
  <c r="T49" i="1" s="1"/>
  <c r="W101" i="1"/>
  <c r="W102" i="1" s="1"/>
  <c r="W37" i="1"/>
  <c r="W49" i="1" s="1"/>
  <c r="U101" i="1"/>
  <c r="U102" i="1" s="1"/>
  <c r="U37" i="1"/>
  <c r="U49" i="1" s="1"/>
  <c r="M97" i="1"/>
  <c r="M87" i="1"/>
  <c r="N40" i="1"/>
  <c r="N41" i="1" s="1"/>
  <c r="I40" i="1"/>
  <c r="I41" i="1" s="1"/>
  <c r="O40" i="1"/>
  <c r="O41" i="1" s="1"/>
  <c r="Q40" i="1"/>
  <c r="Q41" i="1" s="1"/>
  <c r="G40" i="1"/>
  <c r="G41" i="1" s="1"/>
  <c r="P40" i="1"/>
  <c r="P41" i="1" s="1"/>
  <c r="H40" i="1"/>
  <c r="H41" i="1" s="1"/>
  <c r="V40" i="1"/>
  <c r="V41" i="1" s="1"/>
  <c r="L40" i="1"/>
  <c r="L41" i="1" s="1"/>
  <c r="N87" i="1"/>
  <c r="N97" i="1"/>
  <c r="I97" i="1"/>
  <c r="I87" i="1"/>
  <c r="O87" i="1"/>
  <c r="O97" i="1"/>
  <c r="F87" i="1"/>
  <c r="F97" i="1"/>
  <c r="Q97" i="1"/>
  <c r="Q87" i="1"/>
  <c r="G87" i="1"/>
  <c r="G97" i="1"/>
  <c r="P97" i="1"/>
  <c r="P87" i="1"/>
  <c r="H97" i="1"/>
  <c r="H87" i="1"/>
  <c r="V87" i="1"/>
  <c r="V97" i="1"/>
  <c r="L97" i="1"/>
  <c r="L87" i="1"/>
  <c r="M40" i="1"/>
  <c r="M41" i="1" s="1"/>
  <c r="R40" i="1"/>
  <c r="R41" i="1" s="1"/>
  <c r="J40" i="1"/>
  <c r="J41" i="1" s="1"/>
  <c r="S40" i="1"/>
  <c r="S41" i="1" s="1"/>
  <c r="K40" i="1"/>
  <c r="K41" i="1" s="1"/>
  <c r="X35" i="1"/>
  <c r="T40" i="1"/>
  <c r="T41" i="1" s="1"/>
  <c r="W40" i="1"/>
  <c r="W41" i="1" s="1"/>
  <c r="U40" i="1"/>
  <c r="U41" i="1" s="1"/>
  <c r="E97" i="1"/>
  <c r="E87" i="1"/>
  <c r="R87" i="1"/>
  <c r="R97" i="1"/>
  <c r="J87" i="1"/>
  <c r="J97" i="1"/>
  <c r="S97" i="1"/>
  <c r="S87" i="1"/>
  <c r="K97" i="1"/>
  <c r="K87" i="1"/>
  <c r="D83" i="1"/>
  <c r="D85" i="1" s="1"/>
  <c r="Z81" i="1"/>
  <c r="Z83" i="1" s="1"/>
  <c r="T97" i="1"/>
  <c r="T87" i="1"/>
  <c r="W87" i="1"/>
  <c r="W97" i="1"/>
  <c r="U97" i="1"/>
  <c r="U87" i="1"/>
  <c r="X37" i="1" l="1"/>
  <c r="E49" i="1"/>
  <c r="F103" i="1"/>
  <c r="G103" i="1" s="1"/>
  <c r="H103" i="1" s="1"/>
  <c r="I103" i="1" s="1"/>
  <c r="J103" i="1" s="1"/>
  <c r="K103" i="1" s="1"/>
  <c r="L103" i="1" s="1"/>
  <c r="M103" i="1" s="1"/>
  <c r="N103" i="1" s="1"/>
  <c r="O103" i="1" s="1"/>
  <c r="P103" i="1" s="1"/>
  <c r="Q103" i="1" s="1"/>
  <c r="R103" i="1" s="1"/>
  <c r="S103" i="1" s="1"/>
  <c r="T103" i="1" s="1"/>
  <c r="U103" i="1" s="1"/>
  <c r="V103" i="1" s="1"/>
  <c r="W103" i="1" s="1"/>
  <c r="M43" i="1"/>
  <c r="M42" i="1"/>
  <c r="K42" i="1"/>
  <c r="K43" i="1"/>
  <c r="W43" i="1"/>
  <c r="W42" i="1"/>
  <c r="D43" i="1"/>
  <c r="S42" i="1"/>
  <c r="S43" i="1"/>
  <c r="R43" i="1"/>
  <c r="R42" i="1"/>
  <c r="E43" i="1"/>
  <c r="V43" i="1"/>
  <c r="V42" i="1"/>
  <c r="P43" i="1"/>
  <c r="P42" i="1"/>
  <c r="Q43" i="1"/>
  <c r="Q42" i="1"/>
  <c r="O43" i="1"/>
  <c r="O42" i="1"/>
  <c r="N43" i="1"/>
  <c r="N42" i="1"/>
  <c r="D49" i="1"/>
  <c r="J42" i="1"/>
  <c r="J43" i="1"/>
  <c r="C108" i="1"/>
  <c r="D97" i="1"/>
  <c r="D108" i="1" s="1"/>
  <c r="D87" i="1"/>
  <c r="Z89" i="1" s="1"/>
  <c r="E108" i="1" s="1"/>
  <c r="Z85" i="1"/>
  <c r="U43" i="1"/>
  <c r="U42" i="1"/>
  <c r="T43" i="1"/>
  <c r="T42" i="1"/>
  <c r="L43" i="1"/>
  <c r="L42" i="1"/>
  <c r="H42" i="1"/>
  <c r="H43" i="1"/>
  <c r="G43" i="1"/>
  <c r="G42" i="1"/>
  <c r="F43" i="1"/>
  <c r="I43" i="1"/>
  <c r="I42" i="1"/>
  <c r="X49" i="1" l="1"/>
  <c r="H44" i="1"/>
  <c r="H45" i="1"/>
  <c r="J44" i="1"/>
  <c r="J45" i="1"/>
  <c r="K45" i="1"/>
  <c r="K44" i="1"/>
  <c r="F45" i="1"/>
  <c r="F44" i="1"/>
  <c r="T44" i="1"/>
  <c r="T45" i="1"/>
  <c r="Z94" i="1"/>
  <c r="N45" i="1"/>
  <c r="N44" i="1"/>
  <c r="Q45" i="1"/>
  <c r="Q44" i="1"/>
  <c r="V45" i="1"/>
  <c r="V44" i="1"/>
  <c r="R44" i="1"/>
  <c r="R45" i="1"/>
  <c r="D44" i="1"/>
  <c r="D45" i="1"/>
  <c r="S44" i="1"/>
  <c r="S45" i="1"/>
  <c r="I45" i="1"/>
  <c r="I44" i="1"/>
  <c r="G45" i="1"/>
  <c r="G44" i="1"/>
  <c r="L44" i="1"/>
  <c r="L45" i="1"/>
  <c r="U45" i="1"/>
  <c r="U44" i="1"/>
  <c r="O45" i="1"/>
  <c r="O44" i="1"/>
  <c r="P44" i="1"/>
  <c r="P45" i="1"/>
  <c r="E45" i="1"/>
  <c r="E44" i="1"/>
  <c r="W44" i="1"/>
  <c r="W45" i="1"/>
  <c r="M45" i="1"/>
  <c r="M44" i="1"/>
</calcChain>
</file>

<file path=xl/sharedStrings.xml><?xml version="1.0" encoding="utf-8"?>
<sst xmlns="http://schemas.openxmlformats.org/spreadsheetml/2006/main" count="113" uniqueCount="111">
  <si>
    <t>Total ingressos</t>
  </si>
  <si>
    <t>Despeses</t>
  </si>
  <si>
    <t>Personal</t>
  </si>
  <si>
    <t>Energia elèctrica</t>
  </si>
  <si>
    <t>Compra d'aigua</t>
  </si>
  <si>
    <t>Tractament</t>
  </si>
  <si>
    <t>Transports</t>
  </si>
  <si>
    <t>Total despeses d'explotació</t>
  </si>
  <si>
    <t xml:space="preserve">Total despeses </t>
  </si>
  <si>
    <t>Resultat de l'exercici</t>
  </si>
  <si>
    <t>Any base</t>
  </si>
  <si>
    <t>CRITERIS</t>
  </si>
  <si>
    <t>Increment població</t>
  </si>
  <si>
    <t>Increment cost personal</t>
  </si>
  <si>
    <t>Increment preu compra aigua</t>
  </si>
  <si>
    <t>Increment energia elèctrica</t>
  </si>
  <si>
    <t>Increment resta de costos</t>
  </si>
  <si>
    <t xml:space="preserve">Retribució de la inversió </t>
  </si>
  <si>
    <t>Cost financer del net revertible</t>
  </si>
  <si>
    <t>Inversions anuals (€)</t>
  </si>
  <si>
    <t>Inversió acumulada (€)</t>
  </si>
  <si>
    <t>Amortització anual (€)</t>
  </si>
  <si>
    <t>Amortització acumulada (€)</t>
  </si>
  <si>
    <t>Net revertible (€)</t>
  </si>
  <si>
    <t>m3 subministrats</t>
  </si>
  <si>
    <t>Rendiment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</si>
  <si>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facturats</t>
    </r>
  </si>
  <si>
    <t>Increment volum venda aigua per abonat</t>
  </si>
  <si>
    <t>TOTAL INGRESSOS</t>
  </si>
  <si>
    <t>DESPESES D'EXPLOTACIÓ</t>
  </si>
  <si>
    <t>Retribució inversió</t>
  </si>
  <si>
    <t>RESULTAT DE L'EXERCICI</t>
  </si>
  <si>
    <t>CASH-FLOW OPERATIU</t>
  </si>
  <si>
    <t>CASH-FLOW NET</t>
  </si>
  <si>
    <t>CASH-FLOW NET ACTUALITZAT</t>
  </si>
  <si>
    <t>VALOR ACTUALITZAT NET (VAN)</t>
  </si>
  <si>
    <t xml:space="preserve">Taxa de descompte aplicada </t>
  </si>
  <si>
    <t>Inversió anual</t>
  </si>
  <si>
    <t>Inversió anual actualitzada</t>
  </si>
  <si>
    <t>VAN INVERSIONS</t>
  </si>
  <si>
    <t>TIR</t>
  </si>
  <si>
    <t>ROI = Rendibilidad de la inversió</t>
  </si>
  <si>
    <t>Per calcular la TIR, es cerquen les entrades i sortides de capital anuals: En el nostre cas es calculen per diferència entre l'inversió anual menys el cash flow net:</t>
  </si>
  <si>
    <t>Calculada per la relació entre el VAN del Cash flow amb el VAN de les inversions anuals</t>
  </si>
  <si>
    <t>Diferència VAN Cash flow -VAN Inversions</t>
  </si>
  <si>
    <t>Ingressos tarifaris</t>
  </si>
  <si>
    <t>Ingressos no tarifaris</t>
  </si>
  <si>
    <t>Increment anual tarifa mitjana</t>
  </si>
  <si>
    <t>Retribució teòrica del concessionari</t>
  </si>
  <si>
    <t>TOTAL DESPESES (sense retr.concessionari)</t>
  </si>
  <si>
    <t>Amortització inversió</t>
  </si>
  <si>
    <t>El mateix resultat s'obté veient quin es el valor que s'ha de donar a la taxa de descompte, per obtenir que la diferència entre el Van del cash flow-VAN de les inversions sigui 0</t>
  </si>
  <si>
    <t>Total amortiz.</t>
  </si>
  <si>
    <t>Cost finanancer</t>
  </si>
  <si>
    <t>Total</t>
  </si>
  <si>
    <t>Suma resultats</t>
  </si>
  <si>
    <t>Suma retrib.</t>
  </si>
  <si>
    <t xml:space="preserve"> </t>
  </si>
  <si>
    <t>Cash-Flow net</t>
  </si>
  <si>
    <t>Totals reals</t>
  </si>
  <si>
    <t>Retribució concessionari</t>
  </si>
  <si>
    <t>Excés retrib</t>
  </si>
  <si>
    <t>Amortització de les inversions</t>
  </si>
  <si>
    <t>m3 facturats</t>
  </si>
  <si>
    <t>Durada 20 anys</t>
  </si>
  <si>
    <t>Despeses constitució i licitació</t>
  </si>
  <si>
    <t>Inversions a realitzar en els 20 anys de concessió</t>
  </si>
  <si>
    <t>m3 registrats (facturats+municipals)</t>
  </si>
  <si>
    <t>Retribució del concessionari</t>
  </si>
  <si>
    <t>Aval garantia definitiva</t>
  </si>
  <si>
    <t>Import de Transmissions Patrimonials</t>
  </si>
  <si>
    <t xml:space="preserve">Tarifa mitjana servei aigua </t>
  </si>
  <si>
    <t>Increment volum compra aigua. Valor increment rendiment anual</t>
  </si>
  <si>
    <t>Resultat + Retribució</t>
  </si>
  <si>
    <t>Import PEC s.IVA</t>
  </si>
  <si>
    <t>Tarifa Mitjana Global</t>
  </si>
  <si>
    <t>EL RESULTAT FINAL DE LA SUMA DELS EXERCICIS HA DE SER POSITIU</t>
  </si>
  <si>
    <t>Treballs de tercers</t>
  </si>
  <si>
    <t>Materials de conservació</t>
  </si>
  <si>
    <t>Generals</t>
  </si>
  <si>
    <t>Impostos i taxes</t>
  </si>
  <si>
    <t>Retribució sobre despeses</t>
  </si>
  <si>
    <t>Retribució sobre compra d'aigua</t>
  </si>
  <si>
    <t>12 % sobre despeses d'explotació i 6% sobre compra aigua</t>
  </si>
  <si>
    <t>Inversió - Cash Flow Net</t>
  </si>
  <si>
    <t>VAN</t>
  </si>
  <si>
    <t xml:space="preserve">ROI </t>
  </si>
  <si>
    <t>Net revertible equilibri tarifa</t>
  </si>
  <si>
    <t>Despeses brutes</t>
  </si>
  <si>
    <t>Resultat brut d'explotació</t>
  </si>
  <si>
    <t>EBITDA</t>
  </si>
  <si>
    <t>Resultat brut d'explotació - Amortització anual</t>
  </si>
  <si>
    <t xml:space="preserve">EBIT </t>
  </si>
  <si>
    <t>Resultat abans d'impostos</t>
  </si>
  <si>
    <t>Inversions Previstes</t>
  </si>
  <si>
    <t xml:space="preserve">Inversió </t>
  </si>
  <si>
    <t>Fons de reposició</t>
  </si>
  <si>
    <t xml:space="preserve">Flux de caixa lliure </t>
  </si>
  <si>
    <t>Flux de caixa lliure descomptat</t>
  </si>
  <si>
    <t>Flux de caixa lliure descomptat acumulat</t>
  </si>
  <si>
    <t>Periode de recuperació de la inversió</t>
  </si>
  <si>
    <t>X</t>
  </si>
  <si>
    <t>Ingressos aigua</t>
  </si>
  <si>
    <t>Servei Municipal d'Aigües de LLAMBILLES - Concessió</t>
  </si>
  <si>
    <t xml:space="preserve">Canon Ajuntament </t>
  </si>
  <si>
    <t>Taxa de  descompte: s'aplica una  taxa de descompte equivalents al rendiment mitjà en el mercat secundari del deute de l'Estat a 10 anys en el últims 6 mesos incrementat en un diferencial de 200 punts básics.</t>
  </si>
  <si>
    <t>Amortitzacions en el període restant de la concessió, a partir de 2025</t>
  </si>
  <si>
    <t>Amb les millores, el rendiment augmenta en 26 punts, fins el 70%</t>
  </si>
  <si>
    <t>Impagats (1,5%)</t>
  </si>
  <si>
    <t>Seguiment i control (1,2%)</t>
  </si>
  <si>
    <t>Aquest valor de maig 2024 a octubre2024 correspon a 3,27% + 2% = 5,27%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</si>
</sst>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164" formatCode="0.0000"/>
    <numFmt numFmtId="165" formatCode="0.0%"/>
    <numFmt numFmtId="166" formatCode="#,##0_ ;[Red]\-#,##0\ "/>
    <numFmt numFmtId="167" formatCode="0.00000"/>
  </numFmts>
  <fonts count="2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Helvetica"/>
      <family val="2"/>
    </font>
    <font>
      <sz val="10"/>
      <name val="Helvetica"/>
      <family val="2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u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 Narrow"/>
      <family val="2"/>
    </font>
    <font>
      <i/>
      <sz val="12"/>
      <color theme="1"/>
      <name val="Arial Narrow"/>
      <family val="2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theme="4" tint="0.399945066682943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4506668294322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8" tint="0.59999389629810485"/>
      </left>
      <right/>
      <top/>
      <bottom/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</borders>
  <cellStyleXfs count="20">
    <xf numFmtId="0" fontId="0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" fontId="16" fillId="0" borderId="0"/>
    <xf numFmtId="0" fontId="23" fillId="0" borderId="17" applyNumberFormat="0" applyFill="0" applyAlignment="0" applyProtection="0"/>
    <xf numFmtId="9" fontId="8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0" fillId="0" borderId="3" xfId="0" applyBorder="1"/>
    <xf numFmtId="10" fontId="0" fillId="0" borderId="3" xfId="0" applyNumberFormat="1" applyBorder="1"/>
    <xf numFmtId="9" fontId="0" fillId="0" borderId="3" xfId="0" applyNumberFormat="1" applyBorder="1"/>
    <xf numFmtId="0" fontId="0" fillId="0" borderId="1" xfId="0" applyBorder="1"/>
    <xf numFmtId="10" fontId="0" fillId="0" borderId="1" xfId="0" applyNumberFormat="1" applyBorder="1"/>
    <xf numFmtId="0" fontId="3" fillId="0" borderId="0" xfId="0" applyFont="1"/>
    <xf numFmtId="0" fontId="4" fillId="0" borderId="0" xfId="0" applyFont="1"/>
    <xf numFmtId="0" fontId="1" fillId="2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3" fontId="2" fillId="4" borderId="13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3" fontId="0" fillId="0" borderId="0" xfId="0" applyNumberFormat="1"/>
    <xf numFmtId="3" fontId="2" fillId="6" borderId="0" xfId="0" applyNumberFormat="1" applyFont="1" applyFill="1"/>
    <xf numFmtId="0" fontId="14" fillId="6" borderId="4" xfId="0" applyFont="1" applyFill="1" applyBorder="1"/>
    <xf numFmtId="3" fontId="15" fillId="6" borderId="5" xfId="0" applyNumberFormat="1" applyFont="1" applyFill="1" applyBorder="1"/>
    <xf numFmtId="0" fontId="0" fillId="0" borderId="14" xfId="0" applyBorder="1"/>
    <xf numFmtId="3" fontId="0" fillId="0" borderId="14" xfId="0" applyNumberFormat="1" applyBorder="1"/>
    <xf numFmtId="3" fontId="10" fillId="6" borderId="4" xfId="0" applyNumberFormat="1" applyFont="1" applyFill="1" applyBorder="1" applyAlignment="1">
      <alignment horizontal="right"/>
    </xf>
    <xf numFmtId="3" fontId="2" fillId="6" borderId="5" xfId="0" applyNumberFormat="1" applyFont="1" applyFill="1" applyBorder="1"/>
    <xf numFmtId="0" fontId="17" fillId="0" borderId="0" xfId="0" applyFont="1"/>
    <xf numFmtId="0" fontId="18" fillId="0" borderId="0" xfId="0" applyFont="1"/>
    <xf numFmtId="0" fontId="2" fillId="0" borderId="14" xfId="0" applyFont="1" applyBorder="1"/>
    <xf numFmtId="3" fontId="2" fillId="0" borderId="14" xfId="0" applyNumberFormat="1" applyFont="1" applyBorder="1"/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3" fontId="0" fillId="3" borderId="18" xfId="0" applyNumberFormat="1" applyFill="1" applyBorder="1"/>
    <xf numFmtId="3" fontId="0" fillId="8" borderId="0" xfId="0" applyNumberFormat="1" applyFill="1"/>
    <xf numFmtId="3" fontId="9" fillId="8" borderId="0" xfId="0" applyNumberFormat="1" applyFont="1" applyFill="1"/>
    <xf numFmtId="0" fontId="19" fillId="0" borderId="0" xfId="0" applyFont="1" applyAlignment="1">
      <alignment vertical="top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19" xfId="0" applyFont="1" applyBorder="1"/>
    <xf numFmtId="0" fontId="2" fillId="0" borderId="20" xfId="0" applyFont="1" applyBorder="1"/>
    <xf numFmtId="0" fontId="2" fillId="0" borderId="6" xfId="0" applyFont="1" applyBorder="1"/>
    <xf numFmtId="3" fontId="2" fillId="3" borderId="4" xfId="0" applyNumberFormat="1" applyFont="1" applyFill="1" applyBorder="1"/>
    <xf numFmtId="0" fontId="0" fillId="0" borderId="22" xfId="0" applyBorder="1"/>
    <xf numFmtId="3" fontId="2" fillId="9" borderId="4" xfId="0" applyNumberFormat="1" applyFont="1" applyFill="1" applyBorder="1"/>
    <xf numFmtId="3" fontId="2" fillId="9" borderId="21" xfId="0" applyNumberFormat="1" applyFont="1" applyFill="1" applyBorder="1"/>
    <xf numFmtId="3" fontId="10" fillId="9" borderId="4" xfId="0" applyNumberFormat="1" applyFont="1" applyFill="1" applyBorder="1"/>
    <xf numFmtId="3" fontId="2" fillId="9" borderId="19" xfId="0" applyNumberFormat="1" applyFont="1" applyFill="1" applyBorder="1"/>
    <xf numFmtId="3" fontId="2" fillId="9" borderId="19" xfId="0" applyNumberFormat="1" applyFont="1" applyFill="1" applyBorder="1" applyAlignment="1">
      <alignment vertical="center" wrapText="1"/>
    </xf>
    <xf numFmtId="3" fontId="0" fillId="9" borderId="14" xfId="0" applyNumberFormat="1" applyFill="1" applyBorder="1"/>
    <xf numFmtId="3" fontId="2" fillId="9" borderId="14" xfId="0" applyNumberFormat="1" applyFont="1" applyFill="1" applyBorder="1"/>
    <xf numFmtId="3" fontId="0" fillId="8" borderId="14" xfId="0" applyNumberFormat="1" applyFill="1" applyBorder="1"/>
    <xf numFmtId="3" fontId="9" fillId="0" borderId="0" xfId="0" applyNumberFormat="1" applyFont="1"/>
    <xf numFmtId="0" fontId="9" fillId="0" borderId="2" xfId="0" applyFont="1" applyBorder="1"/>
    <xf numFmtId="10" fontId="9" fillId="0" borderId="2" xfId="0" applyNumberFormat="1" applyFont="1" applyBorder="1"/>
    <xf numFmtId="3" fontId="2" fillId="9" borderId="5" xfId="0" applyNumberFormat="1" applyFont="1" applyFill="1" applyBorder="1"/>
    <xf numFmtId="0" fontId="25" fillId="0" borderId="0" xfId="0" applyFont="1" applyAlignment="1">
      <alignment horizontal="center"/>
    </xf>
    <xf numFmtId="0" fontId="2" fillId="4" borderId="23" xfId="0" applyFont="1" applyFill="1" applyBorder="1" applyAlignment="1">
      <alignment vertical="center"/>
    </xf>
    <xf numFmtId="0" fontId="0" fillId="11" borderId="13" xfId="0" applyFill="1" applyBorder="1"/>
    <xf numFmtId="0" fontId="0" fillId="0" borderId="8" xfId="0" applyBorder="1" applyAlignment="1">
      <alignment vertical="center"/>
    </xf>
    <xf numFmtId="0" fontId="0" fillId="0" borderId="10" xfId="0" applyBorder="1"/>
    <xf numFmtId="3" fontId="0" fillId="0" borderId="16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/>
    <xf numFmtId="3" fontId="9" fillId="0" borderId="16" xfId="0" applyNumberFormat="1" applyFont="1" applyBorder="1" applyAlignment="1">
      <alignment vertical="center"/>
    </xf>
    <xf numFmtId="0" fontId="2" fillId="4" borderId="24" xfId="0" applyFont="1" applyFill="1" applyBorder="1" applyAlignment="1">
      <alignment vertical="center"/>
    </xf>
    <xf numFmtId="0" fontId="0" fillId="11" borderId="7" xfId="0" applyFill="1" applyBorder="1"/>
    <xf numFmtId="0" fontId="2" fillId="4" borderId="6" xfId="0" applyFont="1" applyFill="1" applyBorder="1" applyAlignment="1">
      <alignment vertical="center"/>
    </xf>
    <xf numFmtId="0" fontId="0" fillId="11" borderId="4" xfId="0" applyFill="1" applyBorder="1"/>
    <xf numFmtId="3" fontId="2" fillId="4" borderId="4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6" borderId="0" xfId="0" applyFont="1" applyFill="1"/>
    <xf numFmtId="0" fontId="0" fillId="6" borderId="0" xfId="0" applyFill="1"/>
    <xf numFmtId="0" fontId="10" fillId="0" borderId="0" xfId="0" applyFont="1"/>
    <xf numFmtId="0" fontId="10" fillId="6" borderId="25" xfId="0" applyFont="1" applyFill="1" applyBorder="1"/>
    <xf numFmtId="0" fontId="0" fillId="6" borderId="25" xfId="0" applyFill="1" applyBorder="1"/>
    <xf numFmtId="3" fontId="10" fillId="6" borderId="25" xfId="0" applyNumberFormat="1" applyFont="1" applyFill="1" applyBorder="1" applyAlignment="1">
      <alignment horizontal="right"/>
    </xf>
    <xf numFmtId="0" fontId="10" fillId="6" borderId="6" xfId="0" applyFont="1" applyFill="1" applyBorder="1"/>
    <xf numFmtId="0" fontId="0" fillId="6" borderId="4" xfId="0" applyFill="1" applyBorder="1"/>
    <xf numFmtId="0" fontId="10" fillId="6" borderId="15" xfId="0" applyFont="1" applyFill="1" applyBorder="1"/>
    <xf numFmtId="0" fontId="0" fillId="6" borderId="16" xfId="0" applyFill="1" applyBorder="1"/>
    <xf numFmtId="3" fontId="0" fillId="6" borderId="26" xfId="0" applyNumberFormat="1" applyFill="1" applyBorder="1"/>
    <xf numFmtId="3" fontId="10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6" borderId="15" xfId="0" applyFont="1" applyFill="1" applyBorder="1"/>
    <xf numFmtId="0" fontId="0" fillId="6" borderId="13" xfId="0" applyFill="1" applyBorder="1"/>
    <xf numFmtId="3" fontId="0" fillId="6" borderId="13" xfId="0" applyNumberFormat="1" applyFill="1" applyBorder="1"/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7" xfId="0" applyBorder="1"/>
    <xf numFmtId="0" fontId="9" fillId="0" borderId="14" xfId="0" applyFont="1" applyBorder="1"/>
    <xf numFmtId="3" fontId="9" fillId="0" borderId="14" xfId="0" applyNumberFormat="1" applyFont="1" applyBorder="1"/>
    <xf numFmtId="0" fontId="2" fillId="6" borderId="4" xfId="0" applyFont="1" applyFill="1" applyBorder="1"/>
    <xf numFmtId="10" fontId="0" fillId="0" borderId="0" xfId="19" applyNumberFormat="1" applyFont="1"/>
    <xf numFmtId="0" fontId="0" fillId="11" borderId="0" xfId="0" applyFill="1"/>
    <xf numFmtId="0" fontId="0" fillId="0" borderId="31" xfId="0" applyBorder="1"/>
    <xf numFmtId="3" fontId="0" fillId="9" borderId="31" xfId="0" applyNumberFormat="1" applyFill="1" applyBorder="1"/>
    <xf numFmtId="3" fontId="9" fillId="9" borderId="31" xfId="0" applyNumberFormat="1" applyFont="1" applyFill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34" xfId="0" applyNumberFormat="1" applyBorder="1"/>
    <xf numFmtId="3" fontId="5" fillId="9" borderId="31" xfId="0" applyNumberFormat="1" applyFont="1" applyFill="1" applyBorder="1"/>
    <xf numFmtId="3" fontId="6" fillId="9" borderId="31" xfId="0" applyNumberFormat="1" applyFont="1" applyFill="1" applyBorder="1"/>
    <xf numFmtId="3" fontId="0" fillId="11" borderId="0" xfId="0" applyNumberFormat="1" applyFill="1"/>
    <xf numFmtId="3" fontId="23" fillId="5" borderId="31" xfId="18" applyNumberFormat="1" applyFill="1" applyBorder="1"/>
    <xf numFmtId="3" fontId="5" fillId="0" borderId="31" xfId="0" applyNumberFormat="1" applyFont="1" applyBorder="1"/>
    <xf numFmtId="3" fontId="6" fillId="0" borderId="31" xfId="0" applyNumberFormat="1" applyFont="1" applyBorder="1"/>
    <xf numFmtId="3" fontId="2" fillId="9" borderId="31" xfId="0" applyNumberFormat="1" applyFont="1" applyFill="1" applyBorder="1"/>
    <xf numFmtId="164" fontId="0" fillId="3" borderId="0" xfId="0" applyNumberFormat="1" applyFill="1"/>
    <xf numFmtId="2" fontId="0" fillId="0" borderId="31" xfId="0" applyNumberFormat="1" applyBorder="1"/>
    <xf numFmtId="164" fontId="0" fillId="9" borderId="31" xfId="0" applyNumberFormat="1" applyFill="1" applyBorder="1"/>
    <xf numFmtId="10" fontId="0" fillId="8" borderId="31" xfId="0" applyNumberFormat="1" applyFill="1" applyBorder="1"/>
    <xf numFmtId="3" fontId="0" fillId="9" borderId="37" xfId="0" applyNumberFormat="1" applyFill="1" applyBorder="1"/>
    <xf numFmtId="3" fontId="0" fillId="9" borderId="38" xfId="0" applyNumberFormat="1" applyFill="1" applyBorder="1"/>
    <xf numFmtId="3" fontId="0" fillId="9" borderId="39" xfId="0" applyNumberFormat="1" applyFill="1" applyBorder="1"/>
    <xf numFmtId="0" fontId="0" fillId="0" borderId="40" xfId="0" applyBorder="1"/>
    <xf numFmtId="0" fontId="9" fillId="8" borderId="8" xfId="0" applyFont="1" applyFill="1" applyBorder="1" applyAlignment="1">
      <alignment vertical="center" wrapText="1"/>
    </xf>
    <xf numFmtId="0" fontId="0" fillId="8" borderId="11" xfId="0" applyFill="1" applyBorder="1"/>
    <xf numFmtId="165" fontId="0" fillId="8" borderId="2" xfId="19" applyNumberFormat="1" applyFont="1" applyFill="1" applyBorder="1"/>
    <xf numFmtId="9" fontId="0" fillId="8" borderId="1" xfId="19" applyFont="1" applyFill="1" applyBorder="1"/>
    <xf numFmtId="3" fontId="9" fillId="8" borderId="14" xfId="0" applyNumberFormat="1" applyFont="1" applyFill="1" applyBorder="1"/>
    <xf numFmtId="0" fontId="2" fillId="0" borderId="2" xfId="0" applyFont="1" applyBorder="1"/>
    <xf numFmtId="0" fontId="20" fillId="7" borderId="2" xfId="0" applyFont="1" applyFill="1" applyBorder="1"/>
    <xf numFmtId="10" fontId="9" fillId="0" borderId="10" xfId="19" applyNumberFormat="1" applyFont="1" applyBorder="1"/>
    <xf numFmtId="0" fontId="10" fillId="0" borderId="12" xfId="0" applyFont="1" applyBorder="1"/>
    <xf numFmtId="0" fontId="0" fillId="12" borderId="0" xfId="0" applyFill="1"/>
    <xf numFmtId="6" fontId="10" fillId="9" borderId="29" xfId="0" applyNumberFormat="1" applyFont="1" applyFill="1" applyBorder="1" applyAlignment="1">
      <alignment horizontal="center"/>
    </xf>
    <xf numFmtId="10" fontId="2" fillId="9" borderId="30" xfId="0" applyNumberFormat="1" applyFont="1" applyFill="1" applyBorder="1" applyAlignment="1">
      <alignment horizontal="center"/>
    </xf>
    <xf numFmtId="2" fontId="2" fillId="9" borderId="29" xfId="0" applyNumberFormat="1" applyFont="1" applyFill="1" applyBorder="1" applyAlignment="1">
      <alignment horizontal="center"/>
    </xf>
    <xf numFmtId="166" fontId="0" fillId="0" borderId="0" xfId="0" applyNumberFormat="1"/>
    <xf numFmtId="0" fontId="0" fillId="13" borderId="0" xfId="0" applyFill="1" applyAlignment="1">
      <alignment horizontal="center"/>
    </xf>
    <xf numFmtId="3" fontId="10" fillId="10" borderId="19" xfId="0" applyNumberFormat="1" applyFont="1" applyFill="1" applyBorder="1"/>
    <xf numFmtId="2" fontId="9" fillId="3" borderId="0" xfId="0" applyNumberFormat="1" applyFont="1" applyFill="1"/>
    <xf numFmtId="167" fontId="0" fillId="9" borderId="31" xfId="0" applyNumberFormat="1" applyFill="1" applyBorder="1" applyAlignment="1">
      <alignment horizontal="right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10" fontId="0" fillId="5" borderId="3" xfId="0" applyNumberFormat="1" applyFill="1" applyBorder="1" applyAlignment="1">
      <alignment horizontal="right" vertical="center" wrapText="1"/>
    </xf>
    <xf numFmtId="0" fontId="0" fillId="0" borderId="14" xfId="0" applyBorder="1" applyAlignment="1">
      <alignment horizont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</cellXfs>
  <cellStyles count="20">
    <cellStyle name="Celda vinculada" xfId="18" builtinId="24"/>
    <cellStyle name="Normal" xfId="0" builtinId="0"/>
    <cellStyle name="Normal 10" xfId="4" xr:uid="{C34F25EE-9C6D-40D2-ACDA-205CC304F83B}"/>
    <cellStyle name="Normal 10 2" xfId="5" xr:uid="{5AF98275-5DEC-4817-BE3F-ACD4BBC4DB00}"/>
    <cellStyle name="Normal 11" xfId="6" xr:uid="{059E5DE3-4670-4C5E-A036-C83424EE8D47}"/>
    <cellStyle name="Normal 12" xfId="17" xr:uid="{B2EC3E67-316B-49C3-8BB4-BB616240CC4C}"/>
    <cellStyle name="Normal 2" xfId="1" xr:uid="{083A3F48-8D03-4381-8AD9-A6C812C6E084}"/>
    <cellStyle name="Normal 2 2" xfId="2" xr:uid="{6516C351-1018-41BB-A10A-6CAE2C41EC54}"/>
    <cellStyle name="Normal 3" xfId="7" xr:uid="{A279752D-1E76-4883-B190-C3974D41A2F3}"/>
    <cellStyle name="Normal 4" xfId="8" xr:uid="{9BE8C1C6-FE22-4593-AEAE-2C9BCD2A50D2}"/>
    <cellStyle name="Normal 4 2" xfId="9" xr:uid="{83F52EC9-DB2E-4F1D-96C0-844176A2A835}"/>
    <cellStyle name="Normal 5" xfId="10" xr:uid="{FC4B6CC3-8214-4B97-BB72-D2E4113325DA}"/>
    <cellStyle name="Normal 6" xfId="11" xr:uid="{89658DDB-B6E8-41B0-B6D2-B0D09D529149}"/>
    <cellStyle name="Normal 7" xfId="12" xr:uid="{298B9570-0BB5-4D69-8C1D-6FA43224174A}"/>
    <cellStyle name="Normal 8" xfId="13" xr:uid="{CE70999B-8A9A-48B0-BAC0-1EC34AA93FDE}"/>
    <cellStyle name="Normal 9" xfId="14" xr:uid="{24D064B1-6977-4E6E-AF6D-91980FFA45FB}"/>
    <cellStyle name="Porcentaje" xfId="19" builtinId="5"/>
    <cellStyle name="Porcentaje 2" xfId="3" xr:uid="{38E01D92-0794-43FA-96E8-92F6DBDF540A}"/>
    <cellStyle name="Porcentaje 3" xfId="15" xr:uid="{0177B834-75FC-4CC4-81E9-A9C1B9A936D7}"/>
    <cellStyle name="Porcentaje 6" xfId="16" xr:uid="{BA348D8D-583F-4778-8BCF-5B234225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3669A-CF2A-4E38-9A13-102C45BBF2CA}">
  <sheetPr>
    <tabColor rgb="FF00B050"/>
    <pageSetUpPr fitToPage="1"/>
  </sheetPr>
  <dimension ref="A2:Z118"/>
  <sheetViews>
    <sheetView tabSelected="1" topLeftCell="B1" zoomScale="80" zoomScaleNormal="80" workbookViewId="0">
      <selection activeCell="F66" sqref="F66"/>
    </sheetView>
  </sheetViews>
  <sheetFormatPr baseColWidth="10" defaultColWidth="11.42578125" defaultRowHeight="15" x14ac:dyDescent="0.25"/>
  <cols>
    <col min="1" max="1" width="3.7109375" customWidth="1"/>
    <col min="2" max="2" width="41.5703125" customWidth="1"/>
    <col min="3" max="3" width="11.5703125" customWidth="1"/>
    <col min="4" max="23" width="10.7109375" customWidth="1"/>
    <col min="24" max="24" width="11.85546875" customWidth="1"/>
    <col min="25" max="25" width="35.28515625" customWidth="1"/>
  </cols>
  <sheetData>
    <row r="2" spans="2:26" ht="18.75" customHeight="1" x14ac:dyDescent="0.35">
      <c r="B2" s="8" t="s">
        <v>103</v>
      </c>
      <c r="C2" s="9"/>
      <c r="G2" s="26" t="s">
        <v>64</v>
      </c>
      <c r="H2" s="27"/>
    </row>
    <row r="4" spans="2:26" x14ac:dyDescent="0.25">
      <c r="C4" s="11" t="s">
        <v>10</v>
      </c>
      <c r="D4" s="58">
        <v>1</v>
      </c>
      <c r="E4" s="58">
        <f>1+D4</f>
        <v>2</v>
      </c>
      <c r="F4" s="58">
        <f t="shared" ref="F4:W4" si="0">1+E4</f>
        <v>3</v>
      </c>
      <c r="G4" s="58">
        <f t="shared" si="0"/>
        <v>4</v>
      </c>
      <c r="H4" s="58">
        <f t="shared" si="0"/>
        <v>5</v>
      </c>
      <c r="I4" s="58">
        <f t="shared" si="0"/>
        <v>6</v>
      </c>
      <c r="J4" s="58">
        <f t="shared" si="0"/>
        <v>7</v>
      </c>
      <c r="K4" s="58">
        <f t="shared" si="0"/>
        <v>8</v>
      </c>
      <c r="L4" s="58">
        <f t="shared" si="0"/>
        <v>9</v>
      </c>
      <c r="M4" s="58">
        <f t="shared" si="0"/>
        <v>10</v>
      </c>
      <c r="N4" s="58">
        <f t="shared" si="0"/>
        <v>11</v>
      </c>
      <c r="O4" s="58">
        <f t="shared" si="0"/>
        <v>12</v>
      </c>
      <c r="P4" s="58">
        <f t="shared" si="0"/>
        <v>13</v>
      </c>
      <c r="Q4" s="58">
        <f t="shared" si="0"/>
        <v>14</v>
      </c>
      <c r="R4" s="58">
        <f t="shared" si="0"/>
        <v>15</v>
      </c>
      <c r="S4" s="58">
        <f t="shared" si="0"/>
        <v>16</v>
      </c>
      <c r="T4" s="58">
        <f t="shared" si="0"/>
        <v>17</v>
      </c>
      <c r="U4" s="58">
        <f t="shared" si="0"/>
        <v>18</v>
      </c>
      <c r="V4" s="58">
        <f t="shared" si="0"/>
        <v>19</v>
      </c>
      <c r="W4" s="58">
        <f t="shared" si="0"/>
        <v>20</v>
      </c>
    </row>
    <row r="5" spans="2:26" x14ac:dyDescent="0.25">
      <c r="C5" s="11">
        <v>2024</v>
      </c>
      <c r="D5" s="10">
        <v>2025</v>
      </c>
      <c r="E5" s="10">
        <f>+D5+1</f>
        <v>2026</v>
      </c>
      <c r="F5" s="10">
        <f t="shared" ref="F5:R5" si="1">+E5+1</f>
        <v>2027</v>
      </c>
      <c r="G5" s="10">
        <f t="shared" si="1"/>
        <v>2028</v>
      </c>
      <c r="H5" s="10">
        <f t="shared" si="1"/>
        <v>2029</v>
      </c>
      <c r="I5" s="10">
        <f t="shared" si="1"/>
        <v>2030</v>
      </c>
      <c r="J5" s="10">
        <f t="shared" si="1"/>
        <v>2031</v>
      </c>
      <c r="K5" s="10">
        <f t="shared" si="1"/>
        <v>2032</v>
      </c>
      <c r="L5" s="10">
        <f t="shared" si="1"/>
        <v>2033</v>
      </c>
      <c r="M5" s="10">
        <f t="shared" si="1"/>
        <v>2034</v>
      </c>
      <c r="N5" s="10">
        <f t="shared" si="1"/>
        <v>2035</v>
      </c>
      <c r="O5" s="10">
        <f t="shared" si="1"/>
        <v>2036</v>
      </c>
      <c r="P5" s="10">
        <f t="shared" si="1"/>
        <v>2037</v>
      </c>
      <c r="Q5" s="10">
        <f t="shared" si="1"/>
        <v>2038</v>
      </c>
      <c r="R5" s="10">
        <f t="shared" si="1"/>
        <v>2039</v>
      </c>
      <c r="S5" s="10">
        <f>+R5+1</f>
        <v>2040</v>
      </c>
      <c r="T5" s="10">
        <f>+S5+1</f>
        <v>2041</v>
      </c>
      <c r="U5" s="10">
        <f>+T5+1</f>
        <v>2042</v>
      </c>
      <c r="V5" s="10">
        <f>+U5+1</f>
        <v>2043</v>
      </c>
      <c r="W5" s="10">
        <f>+V5+1</f>
        <v>2044</v>
      </c>
      <c r="Y5" s="1" t="s">
        <v>11</v>
      </c>
    </row>
    <row r="6" spans="2:26" x14ac:dyDescent="0.25">
      <c r="C6" s="12"/>
      <c r="Y6" s="55" t="s">
        <v>27</v>
      </c>
      <c r="Z6" s="56">
        <v>0</v>
      </c>
    </row>
    <row r="7" spans="2:26" ht="17.25" x14ac:dyDescent="0.25">
      <c r="B7" t="s">
        <v>26</v>
      </c>
      <c r="C7" s="13">
        <v>25828</v>
      </c>
      <c r="D7" s="35">
        <f>+C7*(1+$Z$7)*(1+$Z$6)</f>
        <v>26086.28</v>
      </c>
      <c r="E7" s="35">
        <f>+D7*(1+$Z$7)*(1+$Z$6)</f>
        <v>26347.142799999998</v>
      </c>
      <c r="F7" s="35">
        <f t="shared" ref="F7:R7" si="2">+E7*(1+$Z$7)*(1+$Z$6)</f>
        <v>26610.614227999999</v>
      </c>
      <c r="G7" s="35">
        <f t="shared" si="2"/>
        <v>26876.72037028</v>
      </c>
      <c r="H7" s="35">
        <f t="shared" si="2"/>
        <v>27145.487573982798</v>
      </c>
      <c r="I7" s="35">
        <f t="shared" si="2"/>
        <v>27416.942449722628</v>
      </c>
      <c r="J7" s="35">
        <f t="shared" si="2"/>
        <v>27691.111874219856</v>
      </c>
      <c r="K7" s="35">
        <f t="shared" si="2"/>
        <v>27968.022992962055</v>
      </c>
      <c r="L7" s="35">
        <f t="shared" si="2"/>
        <v>28247.703222891676</v>
      </c>
      <c r="M7" s="35">
        <f t="shared" si="2"/>
        <v>28530.180255120595</v>
      </c>
      <c r="N7" s="35">
        <f t="shared" si="2"/>
        <v>28815.482057671801</v>
      </c>
      <c r="O7" s="35">
        <f t="shared" si="2"/>
        <v>29103.636878248519</v>
      </c>
      <c r="P7" s="35">
        <f t="shared" si="2"/>
        <v>29394.673247031005</v>
      </c>
      <c r="Q7" s="35">
        <f t="shared" si="2"/>
        <v>29688.619979501316</v>
      </c>
      <c r="R7" s="35">
        <f t="shared" si="2"/>
        <v>29985.506179296328</v>
      </c>
      <c r="S7" s="35">
        <f>+R7*(1+$Z$7)*(1+$Z$6)</f>
        <v>30285.361241089293</v>
      </c>
      <c r="T7" s="35">
        <f>+S7*(1+$Z$7)*(1+$Z$6)</f>
        <v>30588.214853500187</v>
      </c>
      <c r="U7" s="35">
        <f>+T7*(1+$Z$7)*(1+$Z$6)</f>
        <v>30894.097002035189</v>
      </c>
      <c r="V7" s="35">
        <f>+U7*(1+$Z$7)*(1+$Z$6)</f>
        <v>31203.037972055539</v>
      </c>
      <c r="W7" s="35">
        <f>+V7*(1+$Z$7)*(1+$Z$6)</f>
        <v>31515.068351776095</v>
      </c>
      <c r="Y7" s="3" t="s">
        <v>12</v>
      </c>
      <c r="Z7" s="4">
        <v>0.01</v>
      </c>
    </row>
    <row r="8" spans="2:26" x14ac:dyDescent="0.25">
      <c r="B8" s="1" t="s">
        <v>102</v>
      </c>
      <c r="C8" s="13"/>
      <c r="Y8" s="3" t="s">
        <v>13</v>
      </c>
      <c r="Z8" s="5">
        <v>0.02</v>
      </c>
    </row>
    <row r="9" spans="2:26" x14ac:dyDescent="0.25">
      <c r="B9" t="s">
        <v>45</v>
      </c>
      <c r="C9" s="13">
        <v>52471</v>
      </c>
      <c r="D9" s="104">
        <f>+D7*D64</f>
        <v>65566.29241200001</v>
      </c>
      <c r="E9" s="104">
        <f t="shared" ref="E9:W9" si="3">+E7*E64</f>
        <v>81929.803141847675</v>
      </c>
      <c r="F9" s="104">
        <f t="shared" si="3"/>
        <v>102377.1879715649</v>
      </c>
      <c r="G9" s="104">
        <f t="shared" si="3"/>
        <v>107536.99824533176</v>
      </c>
      <c r="H9" s="104">
        <f t="shared" si="3"/>
        <v>112956.86295689648</v>
      </c>
      <c r="I9" s="104">
        <f t="shared" si="3"/>
        <v>118649.88884992409</v>
      </c>
      <c r="J9" s="104">
        <f t="shared" si="3"/>
        <v>124629.84324796028</v>
      </c>
      <c r="K9" s="104">
        <f t="shared" si="3"/>
        <v>130911.18734765747</v>
      </c>
      <c r="L9" s="104">
        <f t="shared" si="3"/>
        <v>136848.00969387373</v>
      </c>
      <c r="M9" s="104">
        <f t="shared" si="3"/>
        <v>143054.06693349089</v>
      </c>
      <c r="N9" s="104">
        <f t="shared" si="3"/>
        <v>149541.56886892469</v>
      </c>
      <c r="O9" s="104">
        <f t="shared" si="3"/>
        <v>156323.27901713044</v>
      </c>
      <c r="P9" s="104">
        <f t="shared" si="3"/>
        <v>163412.53972055728</v>
      </c>
      <c r="Q9" s="104">
        <f t="shared" si="3"/>
        <v>170823.29839688455</v>
      </c>
      <c r="R9" s="104">
        <f t="shared" si="3"/>
        <v>178570.13497918326</v>
      </c>
      <c r="S9" s="104">
        <f t="shared" si="3"/>
        <v>186668.29060048921</v>
      </c>
      <c r="T9" s="104">
        <f t="shared" si="3"/>
        <v>195133.69757922139</v>
      </c>
      <c r="U9" s="104">
        <f t="shared" si="3"/>
        <v>203983.01076443907</v>
      </c>
      <c r="V9" s="104">
        <f t="shared" si="3"/>
        <v>213233.64030260636</v>
      </c>
      <c r="W9" s="104">
        <f t="shared" si="3"/>
        <v>222903.78589032954</v>
      </c>
      <c r="Y9" s="3" t="s">
        <v>14</v>
      </c>
      <c r="Z9" s="5">
        <v>0.02</v>
      </c>
    </row>
    <row r="10" spans="2:26" x14ac:dyDescent="0.25">
      <c r="B10" t="s">
        <v>46</v>
      </c>
      <c r="C10" s="13">
        <v>2425</v>
      </c>
      <c r="D10" s="104">
        <f>+C10*1.01</f>
        <v>2449.25</v>
      </c>
      <c r="E10" s="104">
        <f>+D10*1.01</f>
        <v>2473.7424999999998</v>
      </c>
      <c r="F10" s="104">
        <f t="shared" ref="F10:M10" si="4">+E10*1.01</f>
        <v>2498.4799249999996</v>
      </c>
      <c r="G10" s="104">
        <f t="shared" si="4"/>
        <v>2523.4647242499996</v>
      </c>
      <c r="H10" s="104">
        <f t="shared" si="4"/>
        <v>2548.6993714924997</v>
      </c>
      <c r="I10" s="104">
        <f t="shared" si="4"/>
        <v>2574.1863652074248</v>
      </c>
      <c r="J10" s="104">
        <f t="shared" si="4"/>
        <v>2599.9282288594991</v>
      </c>
      <c r="K10" s="104">
        <f t="shared" si="4"/>
        <v>2625.9275111480943</v>
      </c>
      <c r="L10" s="104">
        <f t="shared" si="4"/>
        <v>2652.186786259575</v>
      </c>
      <c r="M10" s="104">
        <f t="shared" si="4"/>
        <v>2678.7086541221706</v>
      </c>
      <c r="N10" s="104">
        <f t="shared" ref="N10:W10" si="5">+M10*1.01</f>
        <v>2705.4957406633926</v>
      </c>
      <c r="O10" s="104">
        <f t="shared" si="5"/>
        <v>2732.5506980700266</v>
      </c>
      <c r="P10" s="104">
        <f t="shared" si="5"/>
        <v>2759.8762050507266</v>
      </c>
      <c r="Q10" s="104">
        <f t="shared" si="5"/>
        <v>2787.4749671012341</v>
      </c>
      <c r="R10" s="104">
        <f t="shared" si="5"/>
        <v>2815.3497167722467</v>
      </c>
      <c r="S10" s="104">
        <f t="shared" si="5"/>
        <v>2843.5032139399691</v>
      </c>
      <c r="T10" s="104">
        <f t="shared" si="5"/>
        <v>2871.938246079369</v>
      </c>
      <c r="U10" s="104">
        <f t="shared" si="5"/>
        <v>2900.6576285401629</v>
      </c>
      <c r="V10" s="104">
        <f t="shared" si="5"/>
        <v>2929.6642048255644</v>
      </c>
      <c r="W10" s="104">
        <f t="shared" si="5"/>
        <v>2958.9608468738202</v>
      </c>
      <c r="Y10" s="149" t="s">
        <v>72</v>
      </c>
      <c r="Z10" s="145">
        <v>-0.01</v>
      </c>
    </row>
    <row r="11" spans="2:26" ht="15.75" thickBot="1" x14ac:dyDescent="0.3">
      <c r="C11" s="13"/>
      <c r="D11" s="107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9"/>
      <c r="Y11" s="149"/>
      <c r="Z11" s="145"/>
    </row>
    <row r="12" spans="2:26" ht="15.75" thickBot="1" x14ac:dyDescent="0.3">
      <c r="B12" s="42" t="s">
        <v>0</v>
      </c>
      <c r="C12" s="44">
        <f>SUM(C9:C10)</f>
        <v>54896</v>
      </c>
      <c r="D12" s="47">
        <f>SUM(D9:D10)</f>
        <v>68015.54241200001</v>
      </c>
      <c r="E12" s="47">
        <f t="shared" ref="E12:W12" si="6">SUM(E9:E10)</f>
        <v>84403.545641847668</v>
      </c>
      <c r="F12" s="47">
        <f t="shared" si="6"/>
        <v>104875.6678965649</v>
      </c>
      <c r="G12" s="47">
        <f t="shared" si="6"/>
        <v>110060.46296958177</v>
      </c>
      <c r="H12" s="47">
        <f t="shared" si="6"/>
        <v>115505.56232838899</v>
      </c>
      <c r="I12" s="47">
        <f t="shared" si="6"/>
        <v>121224.07521513151</v>
      </c>
      <c r="J12" s="47">
        <f t="shared" si="6"/>
        <v>127229.77147681978</v>
      </c>
      <c r="K12" s="47">
        <f t="shared" si="6"/>
        <v>133537.11485880555</v>
      </c>
      <c r="L12" s="47">
        <f t="shared" si="6"/>
        <v>139500.19648013331</v>
      </c>
      <c r="M12" s="47">
        <f t="shared" si="6"/>
        <v>145732.77558761305</v>
      </c>
      <c r="N12" s="47">
        <f t="shared" si="6"/>
        <v>152247.06460958809</v>
      </c>
      <c r="O12" s="47">
        <f t="shared" si="6"/>
        <v>159055.82971520047</v>
      </c>
      <c r="P12" s="47">
        <f t="shared" si="6"/>
        <v>166172.41592560802</v>
      </c>
      <c r="Q12" s="47">
        <f t="shared" si="6"/>
        <v>173610.77336398579</v>
      </c>
      <c r="R12" s="47">
        <f t="shared" si="6"/>
        <v>181385.4846959555</v>
      </c>
      <c r="S12" s="47">
        <f t="shared" si="6"/>
        <v>189511.79381442917</v>
      </c>
      <c r="T12" s="47">
        <f t="shared" si="6"/>
        <v>198005.63582530076</v>
      </c>
      <c r="U12" s="47">
        <f t="shared" si="6"/>
        <v>206883.66839297922</v>
      </c>
      <c r="V12" s="47">
        <f t="shared" si="6"/>
        <v>216163.30450743192</v>
      </c>
      <c r="W12" s="47">
        <f t="shared" si="6"/>
        <v>225862.74673720336</v>
      </c>
      <c r="X12" s="49">
        <f>SUM(D12:W12)</f>
        <v>3018983.4324545688</v>
      </c>
      <c r="Y12" s="45" t="s">
        <v>15</v>
      </c>
      <c r="Z12" s="5">
        <v>2.1999999999999999E-2</v>
      </c>
    </row>
    <row r="13" spans="2:26" x14ac:dyDescent="0.25">
      <c r="Y13" s="3" t="s">
        <v>16</v>
      </c>
      <c r="Z13" s="5">
        <v>0.02</v>
      </c>
    </row>
    <row r="14" spans="2:26" x14ac:dyDescent="0.25">
      <c r="B14" s="1" t="s">
        <v>1</v>
      </c>
      <c r="C14" s="18"/>
      <c r="W14" s="34"/>
      <c r="X14" s="2"/>
      <c r="Y14" s="6" t="s">
        <v>17</v>
      </c>
      <c r="Z14" s="7">
        <v>0.03</v>
      </c>
    </row>
    <row r="15" spans="2:26" ht="15" customHeight="1" x14ac:dyDescent="0.25">
      <c r="B15" t="s">
        <v>2</v>
      </c>
      <c r="C15" s="36">
        <v>19046</v>
      </c>
      <c r="D15" s="104">
        <f>+C15*(1+$Z$8)</f>
        <v>19426.920000000002</v>
      </c>
      <c r="E15" s="104">
        <f t="shared" ref="E15:R15" si="7">+D15*(1+$Z$8)</f>
        <v>19815.458400000003</v>
      </c>
      <c r="F15" s="104">
        <f t="shared" si="7"/>
        <v>20211.767568000003</v>
      </c>
      <c r="G15" s="104">
        <f t="shared" si="7"/>
        <v>20616.002919360002</v>
      </c>
      <c r="H15" s="104">
        <f t="shared" si="7"/>
        <v>21028.322977747204</v>
      </c>
      <c r="I15" s="104">
        <f t="shared" si="7"/>
        <v>21448.88943730215</v>
      </c>
      <c r="J15" s="104">
        <f t="shared" si="7"/>
        <v>21877.867226048194</v>
      </c>
      <c r="K15" s="104">
        <f t="shared" si="7"/>
        <v>22315.424570569157</v>
      </c>
      <c r="L15" s="104">
        <f t="shared" si="7"/>
        <v>22761.73306198054</v>
      </c>
      <c r="M15" s="104">
        <f t="shared" si="7"/>
        <v>23216.96772322015</v>
      </c>
      <c r="N15" s="104">
        <f t="shared" si="7"/>
        <v>23681.307077684552</v>
      </c>
      <c r="O15" s="104">
        <f t="shared" si="7"/>
        <v>24154.933219238243</v>
      </c>
      <c r="P15" s="104">
        <f t="shared" si="7"/>
        <v>24638.031883623007</v>
      </c>
      <c r="Q15" s="104">
        <f t="shared" si="7"/>
        <v>25130.792521295469</v>
      </c>
      <c r="R15" s="104">
        <f t="shared" si="7"/>
        <v>25633.40837172138</v>
      </c>
      <c r="S15" s="104">
        <f>+R15*(1+$Z$8)</f>
        <v>26146.076539155809</v>
      </c>
      <c r="T15" s="104">
        <f>+S15*(1+$Z$8)</f>
        <v>26668.998069938927</v>
      </c>
      <c r="U15" s="104">
        <f>+T15*(1+$Z$8)</f>
        <v>27202.378031337706</v>
      </c>
      <c r="V15" s="104">
        <f>+U15*(1+$Z$8)</f>
        <v>27746.42559196446</v>
      </c>
      <c r="W15" s="104">
        <f>+V15*(1+$Z$8)</f>
        <v>28301.354103803751</v>
      </c>
      <c r="Y15" s="146" t="s">
        <v>106</v>
      </c>
      <c r="Z15" s="146"/>
    </row>
    <row r="16" spans="2:26" x14ac:dyDescent="0.25">
      <c r="B16" t="s">
        <v>3</v>
      </c>
      <c r="C16" s="36">
        <v>3487</v>
      </c>
      <c r="D16" s="104">
        <f>+C16*(1+$Z$12)*(1+$Z$10)*(1+$Z$6)*(1+$Z$7)</f>
        <v>3563.3576286000002</v>
      </c>
      <c r="E16" s="104">
        <f t="shared" ref="E16:R16" si="8">+D16*(1+$Z$12)*(1+$Z$10)*(1+$Z$6)*(1+$Z$7)</f>
        <v>3641.3873212795575</v>
      </c>
      <c r="F16" s="104">
        <f t="shared" si="8"/>
        <v>3721.125692563473</v>
      </c>
      <c r="G16" s="104">
        <f t="shared" si="8"/>
        <v>3802.6101587540893</v>
      </c>
      <c r="H16" s="104">
        <f t="shared" si="8"/>
        <v>3885.8789554884547</v>
      </c>
      <c r="I16" s="104">
        <f t="shared" si="8"/>
        <v>3970.9711556799498</v>
      </c>
      <c r="J16" s="104">
        <f t="shared" si="8"/>
        <v>4057.9266878527983</v>
      </c>
      <c r="K16" s="104">
        <f t="shared" si="8"/>
        <v>4146.7863548780606</v>
      </c>
      <c r="L16" s="104">
        <f t="shared" si="8"/>
        <v>4237.5918531199095</v>
      </c>
      <c r="M16" s="104">
        <f t="shared" si="8"/>
        <v>4330.3857920011587</v>
      </c>
      <c r="N16" s="104">
        <f t="shared" si="8"/>
        <v>4425.2117139972424</v>
      </c>
      <c r="O16" s="104">
        <f t="shared" si="8"/>
        <v>4522.1141150680114</v>
      </c>
      <c r="P16" s="104">
        <f t="shared" si="8"/>
        <v>4621.1384655369484</v>
      </c>
      <c r="Q16" s="104">
        <f t="shared" si="8"/>
        <v>4722.3312314275836</v>
      </c>
      <c r="R16" s="104">
        <f t="shared" si="8"/>
        <v>4825.7398962671386</v>
      </c>
      <c r="S16" s="104">
        <f>+R16*(1+$Z$12)*(1+$Z$10)*(1+$Z$6)*(1+$Z$7)</f>
        <v>4931.412983367617</v>
      </c>
      <c r="T16" s="104">
        <f>+S16*(1+$Z$12)*(1+$Z$10)*(1+$Z$6)*(1+$Z$7)</f>
        <v>5039.4000785948037</v>
      </c>
      <c r="U16" s="104">
        <f>+T16*(1+$Z$12)*(1+$Z$10)*(1+$Z$6)*(1+$Z$7)</f>
        <v>5149.7518536358575</v>
      </c>
      <c r="V16" s="104">
        <f>+U16*(1+$Z$12)*(1+$Z$10)*(1+$Z$6)*(1+$Z$7)</f>
        <v>5262.5200897764043</v>
      </c>
      <c r="W16" s="104">
        <f>+V16*(1+$Z$12)*(1+$Z$10)*(1+$Z$6)*(1+$Z$7)</f>
        <v>5377.7577021983097</v>
      </c>
      <c r="Y16" s="146"/>
      <c r="Z16" s="146"/>
    </row>
    <row r="17" spans="1:26" ht="15" customHeight="1" x14ac:dyDescent="0.25">
      <c r="B17" t="s">
        <v>4</v>
      </c>
      <c r="C17" s="36">
        <v>31079</v>
      </c>
      <c r="D17" s="104">
        <f>+C17*(1+$Z$9)*(1+$Z$10)*(1+$Z$6)</f>
        <v>31383.574200000003</v>
      </c>
      <c r="E17" s="104">
        <f t="shared" ref="E17:R17" si="9">+D17*(1+$Z$9)*(1+$Z$10)*(1+$Z$6)*(1+$Z$7)</f>
        <v>32008.044559431604</v>
      </c>
      <c r="F17" s="104">
        <f t="shared" si="9"/>
        <v>32644.940630075173</v>
      </c>
      <c r="G17" s="104">
        <f t="shared" si="9"/>
        <v>33294.509658732408</v>
      </c>
      <c r="H17" s="104">
        <f t="shared" si="9"/>
        <v>33957.003811921866</v>
      </c>
      <c r="I17" s="104">
        <f t="shared" si="9"/>
        <v>34632.680273771482</v>
      </c>
      <c r="J17" s="104">
        <f t="shared" si="9"/>
        <v>35321.801345858992</v>
      </c>
      <c r="K17" s="104">
        <f t="shared" si="9"/>
        <v>36024.634549038892</v>
      </c>
      <c r="L17" s="104">
        <f t="shared" si="9"/>
        <v>36741.452727295662</v>
      </c>
      <c r="M17" s="104">
        <f t="shared" si="9"/>
        <v>37472.534153663393</v>
      </c>
      <c r="N17" s="104">
        <f t="shared" si="9"/>
        <v>38218.162638252994</v>
      </c>
      <c r="O17" s="104">
        <f t="shared" si="9"/>
        <v>38978.627638428952</v>
      </c>
      <c r="P17" s="104">
        <f t="shared" si="9"/>
        <v>39754.22437117841</v>
      </c>
      <c r="Q17" s="104">
        <f t="shared" si="9"/>
        <v>40545.25392771612</v>
      </c>
      <c r="R17" s="104">
        <f t="shared" si="9"/>
        <v>41352.023390369817</v>
      </c>
      <c r="S17" s="104">
        <f>+R17*(1+$Z$9)*(1+$Z$10)*(1+$Z$6)*(1+$Z$7)</f>
        <v>42174.845951791402</v>
      </c>
      <c r="T17" s="104">
        <f>+S17*(1+$Z$9)*(1+$Z$10)*(1+$Z$6)*(1+$Z$7)</f>
        <v>43014.041036540148</v>
      </c>
      <c r="U17" s="104">
        <f>+T17*(1+$Z$9)*(1+$Z$10)*(1+$Z$6)*(1+$Z$7)</f>
        <v>43869.93442508523</v>
      </c>
      <c r="V17" s="104">
        <f>+U17*(1+$Z$9)*(1+$Z$10)*(1+$Z$6)*(1+$Z$7)</f>
        <v>44742.858380275575</v>
      </c>
      <c r="W17" s="104">
        <f>+V17*(1+$Z$9)*(1+$Z$10)*(1+$Z$6)*(1+$Z$7)</f>
        <v>45633.151776326304</v>
      </c>
      <c r="Y17" s="147" t="s">
        <v>107</v>
      </c>
      <c r="Z17" s="147"/>
    </row>
    <row r="18" spans="1:26" x14ac:dyDescent="0.25">
      <c r="B18" t="s">
        <v>78</v>
      </c>
      <c r="C18" s="36">
        <v>7772</v>
      </c>
      <c r="D18" s="104">
        <f t="shared" ref="D18:R18" si="10">+C18*(1+$Z$13)</f>
        <v>7927.4400000000005</v>
      </c>
      <c r="E18" s="104">
        <f t="shared" si="10"/>
        <v>8085.988800000001</v>
      </c>
      <c r="F18" s="104">
        <f t="shared" si="10"/>
        <v>8247.7085760000009</v>
      </c>
      <c r="G18" s="104">
        <f t="shared" si="10"/>
        <v>8412.6627475200003</v>
      </c>
      <c r="H18" s="104">
        <f t="shared" si="10"/>
        <v>8580.9160024703997</v>
      </c>
      <c r="I18" s="104">
        <f t="shared" si="10"/>
        <v>8752.5343225198085</v>
      </c>
      <c r="J18" s="104">
        <f t="shared" si="10"/>
        <v>8927.5850089702053</v>
      </c>
      <c r="K18" s="104">
        <f t="shared" si="10"/>
        <v>9106.1367091496104</v>
      </c>
      <c r="L18" s="104">
        <f t="shared" si="10"/>
        <v>9288.259443332603</v>
      </c>
      <c r="M18" s="104">
        <f t="shared" si="10"/>
        <v>9474.0246321992545</v>
      </c>
      <c r="N18" s="104">
        <f t="shared" si="10"/>
        <v>9663.5051248432392</v>
      </c>
      <c r="O18" s="104">
        <f t="shared" si="10"/>
        <v>9856.7752273401038</v>
      </c>
      <c r="P18" s="104">
        <f t="shared" si="10"/>
        <v>10053.910731886906</v>
      </c>
      <c r="Q18" s="104">
        <f t="shared" si="10"/>
        <v>10254.988946524645</v>
      </c>
      <c r="R18" s="104">
        <f t="shared" si="10"/>
        <v>10460.088725455138</v>
      </c>
      <c r="S18" s="104">
        <f t="shared" ref="S18:W21" si="11">+R18*(1+$Z$13)</f>
        <v>10669.290499964241</v>
      </c>
      <c r="T18" s="104">
        <f t="shared" si="11"/>
        <v>10882.676309963526</v>
      </c>
      <c r="U18" s="104">
        <f t="shared" si="11"/>
        <v>11100.329836162797</v>
      </c>
      <c r="V18" s="104">
        <f t="shared" si="11"/>
        <v>11322.336432886053</v>
      </c>
      <c r="W18" s="104">
        <f t="shared" si="11"/>
        <v>11548.783161543775</v>
      </c>
      <c r="Y18" s="147"/>
      <c r="Z18" s="147"/>
    </row>
    <row r="19" spans="1:26" ht="15" customHeight="1" x14ac:dyDescent="0.25">
      <c r="B19" t="s">
        <v>77</v>
      </c>
      <c r="C19" s="36">
        <v>13280</v>
      </c>
      <c r="D19" s="104">
        <f>+C19*(1+$Z$13)</f>
        <v>13545.6</v>
      </c>
      <c r="E19" s="104">
        <f t="shared" ref="E19:R19" si="12">+D19*(1+$Z$13)</f>
        <v>13816.512000000001</v>
      </c>
      <c r="F19" s="104">
        <f t="shared" si="12"/>
        <v>14092.842240000002</v>
      </c>
      <c r="G19" s="104">
        <f t="shared" si="12"/>
        <v>14374.699084800002</v>
      </c>
      <c r="H19" s="104">
        <f t="shared" si="12"/>
        <v>14662.193066496002</v>
      </c>
      <c r="I19" s="104">
        <f t="shared" si="12"/>
        <v>14955.436927825922</v>
      </c>
      <c r="J19" s="104">
        <f t="shared" si="12"/>
        <v>15254.545666382441</v>
      </c>
      <c r="K19" s="104">
        <f t="shared" si="12"/>
        <v>15559.63657971009</v>
      </c>
      <c r="L19" s="104">
        <f t="shared" si="12"/>
        <v>15870.829311304291</v>
      </c>
      <c r="M19" s="104">
        <f t="shared" si="12"/>
        <v>16188.245897530376</v>
      </c>
      <c r="N19" s="104">
        <f t="shared" si="12"/>
        <v>16512.010815480982</v>
      </c>
      <c r="O19" s="104">
        <f t="shared" si="12"/>
        <v>16842.251031790602</v>
      </c>
      <c r="P19" s="104">
        <f t="shared" si="12"/>
        <v>17179.096052426416</v>
      </c>
      <c r="Q19" s="104">
        <f t="shared" si="12"/>
        <v>17522.677973474943</v>
      </c>
      <c r="R19" s="104">
        <f t="shared" si="12"/>
        <v>17873.131532944444</v>
      </c>
      <c r="S19" s="104">
        <f t="shared" si="11"/>
        <v>18230.594163603335</v>
      </c>
      <c r="T19" s="104">
        <f t="shared" si="11"/>
        <v>18595.206046875403</v>
      </c>
      <c r="U19" s="104">
        <f t="shared" si="11"/>
        <v>18967.110167812913</v>
      </c>
      <c r="V19" s="104">
        <f t="shared" si="11"/>
        <v>19346.452371169173</v>
      </c>
      <c r="W19" s="104">
        <f t="shared" si="11"/>
        <v>19733.381418592555</v>
      </c>
      <c r="Y19" s="125" t="s">
        <v>81</v>
      </c>
      <c r="Z19" s="127">
        <v>0.12</v>
      </c>
    </row>
    <row r="20" spans="1:26" ht="15" customHeight="1" x14ac:dyDescent="0.25">
      <c r="B20" t="s">
        <v>5</v>
      </c>
      <c r="C20" s="36">
        <v>3764</v>
      </c>
      <c r="D20" s="104">
        <f t="shared" ref="D20:R20" si="13">+C20*(1+$Z$13)</f>
        <v>3839.28</v>
      </c>
      <c r="E20" s="104">
        <f t="shared" si="13"/>
        <v>3916.0656000000004</v>
      </c>
      <c r="F20" s="104">
        <f t="shared" si="13"/>
        <v>3994.3869120000004</v>
      </c>
      <c r="G20" s="104">
        <f t="shared" si="13"/>
        <v>4074.2746502400005</v>
      </c>
      <c r="H20" s="104">
        <f t="shared" si="13"/>
        <v>4155.7601432448009</v>
      </c>
      <c r="I20" s="104">
        <f t="shared" si="13"/>
        <v>4238.8753461096967</v>
      </c>
      <c r="J20" s="104">
        <f t="shared" si="13"/>
        <v>4323.652853031891</v>
      </c>
      <c r="K20" s="104">
        <f t="shared" si="13"/>
        <v>4410.125910092529</v>
      </c>
      <c r="L20" s="104">
        <f t="shared" si="13"/>
        <v>4498.3284282943796</v>
      </c>
      <c r="M20" s="104">
        <f t="shared" si="13"/>
        <v>4588.294996860267</v>
      </c>
      <c r="N20" s="104">
        <f t="shared" si="13"/>
        <v>4680.0608967974722</v>
      </c>
      <c r="O20" s="104">
        <f t="shared" si="13"/>
        <v>4773.6621147334217</v>
      </c>
      <c r="P20" s="104">
        <f t="shared" si="13"/>
        <v>4869.1353570280899</v>
      </c>
      <c r="Q20" s="104">
        <f t="shared" si="13"/>
        <v>4966.518064168652</v>
      </c>
      <c r="R20" s="104">
        <f t="shared" si="13"/>
        <v>5065.8484254520254</v>
      </c>
      <c r="S20" s="104">
        <f t="shared" si="11"/>
        <v>5167.165393961066</v>
      </c>
      <c r="T20" s="104">
        <f t="shared" si="11"/>
        <v>5270.5087018402874</v>
      </c>
      <c r="U20" s="104">
        <f t="shared" si="11"/>
        <v>5375.9188758770933</v>
      </c>
      <c r="V20" s="104">
        <f t="shared" si="11"/>
        <v>5483.4372533946353</v>
      </c>
      <c r="W20" s="104">
        <f t="shared" si="11"/>
        <v>5593.1059984625281</v>
      </c>
      <c r="X20" s="124"/>
      <c r="Y20" s="126" t="s">
        <v>82</v>
      </c>
      <c r="Z20" s="128">
        <v>0.06</v>
      </c>
    </row>
    <row r="21" spans="1:26" ht="14.45" customHeight="1" x14ac:dyDescent="0.25">
      <c r="B21" t="s">
        <v>6</v>
      </c>
      <c r="C21" s="37">
        <v>2795</v>
      </c>
      <c r="D21" s="105">
        <f t="shared" ref="D21:R21" si="14">+C21*(1+$Z$13)</f>
        <v>2850.9</v>
      </c>
      <c r="E21" s="105">
        <f t="shared" si="14"/>
        <v>2907.9180000000001</v>
      </c>
      <c r="F21" s="105">
        <f t="shared" si="14"/>
        <v>2966.07636</v>
      </c>
      <c r="G21" s="105">
        <f t="shared" si="14"/>
        <v>3025.3978872000002</v>
      </c>
      <c r="H21" s="105">
        <f t="shared" si="14"/>
        <v>3085.9058449440004</v>
      </c>
      <c r="I21" s="105">
        <f t="shared" si="14"/>
        <v>3147.6239618428804</v>
      </c>
      <c r="J21" s="105">
        <f t="shared" si="14"/>
        <v>3210.5764410797378</v>
      </c>
      <c r="K21" s="105">
        <f t="shared" si="14"/>
        <v>3274.7879699013329</v>
      </c>
      <c r="L21" s="105">
        <f t="shared" si="14"/>
        <v>3340.2837292993595</v>
      </c>
      <c r="M21" s="105">
        <f t="shared" si="14"/>
        <v>3407.0894038853467</v>
      </c>
      <c r="N21" s="105">
        <f t="shared" si="14"/>
        <v>3475.2311919630538</v>
      </c>
      <c r="O21" s="105">
        <f t="shared" si="14"/>
        <v>3544.7358158023148</v>
      </c>
      <c r="P21" s="105">
        <f t="shared" si="14"/>
        <v>3615.6305321183613</v>
      </c>
      <c r="Q21" s="105">
        <f t="shared" si="14"/>
        <v>3687.9431427607287</v>
      </c>
      <c r="R21" s="105">
        <f t="shared" si="14"/>
        <v>3761.7020056159436</v>
      </c>
      <c r="S21" s="105">
        <f t="shared" si="11"/>
        <v>3836.9360457282623</v>
      </c>
      <c r="T21" s="105">
        <f t="shared" si="11"/>
        <v>3913.6747666428278</v>
      </c>
      <c r="U21" s="105">
        <f t="shared" si="11"/>
        <v>3991.9482619756845</v>
      </c>
      <c r="V21" s="105">
        <f t="shared" si="11"/>
        <v>4071.7872272151985</v>
      </c>
      <c r="W21" s="105">
        <f t="shared" si="11"/>
        <v>4153.2229717595028</v>
      </c>
      <c r="Y21" s="40"/>
    </row>
    <row r="22" spans="1:26" ht="14.25" customHeight="1" x14ac:dyDescent="0.25">
      <c r="A22" s="32"/>
      <c r="B22" t="s">
        <v>80</v>
      </c>
      <c r="C22" s="36">
        <v>1913</v>
      </c>
      <c r="D22" s="104">
        <f>+C22*(1+$Z$12)</f>
        <v>1955.086</v>
      </c>
      <c r="E22" s="104">
        <f t="shared" ref="E22:V22" si="15">+D22*(1+$Z$12)</f>
        <v>1998.097892</v>
      </c>
      <c r="F22" s="104">
        <f t="shared" si="15"/>
        <v>2042.056045624</v>
      </c>
      <c r="G22" s="104">
        <f t="shared" si="15"/>
        <v>2086.981278627728</v>
      </c>
      <c r="H22" s="104">
        <f t="shared" si="15"/>
        <v>2132.8948667575382</v>
      </c>
      <c r="I22" s="104">
        <f t="shared" si="15"/>
        <v>2179.8185538262042</v>
      </c>
      <c r="J22" s="104">
        <f t="shared" si="15"/>
        <v>2227.7745620103806</v>
      </c>
      <c r="K22" s="104">
        <f t="shared" si="15"/>
        <v>2276.785602374609</v>
      </c>
      <c r="L22" s="104">
        <f t="shared" si="15"/>
        <v>2326.8748856268503</v>
      </c>
      <c r="M22" s="104">
        <f t="shared" si="15"/>
        <v>2378.0661331106412</v>
      </c>
      <c r="N22" s="104">
        <f t="shared" si="15"/>
        <v>2430.3835880390752</v>
      </c>
      <c r="O22" s="104">
        <f t="shared" si="15"/>
        <v>2483.8520269759351</v>
      </c>
      <c r="P22" s="104">
        <f t="shared" si="15"/>
        <v>2538.4967715694056</v>
      </c>
      <c r="Q22" s="104">
        <f t="shared" si="15"/>
        <v>2594.3437005439328</v>
      </c>
      <c r="R22" s="104">
        <f t="shared" si="15"/>
        <v>2651.4192619558994</v>
      </c>
      <c r="S22" s="104">
        <f t="shared" si="15"/>
        <v>2709.7504857189292</v>
      </c>
      <c r="T22" s="104">
        <f t="shared" si="15"/>
        <v>2769.3649964047459</v>
      </c>
      <c r="U22" s="104">
        <f t="shared" si="15"/>
        <v>2830.2910263256504</v>
      </c>
      <c r="V22" s="104">
        <f t="shared" si="15"/>
        <v>2892.5574289048145</v>
      </c>
      <c r="W22" s="104">
        <f>+V22*(1+$Z$12)</f>
        <v>2956.1936923407206</v>
      </c>
      <c r="Y22" s="148" t="s">
        <v>76</v>
      </c>
      <c r="Z22" s="148"/>
    </row>
    <row r="23" spans="1:26" ht="15.75" x14ac:dyDescent="0.25">
      <c r="A23" s="32"/>
      <c r="B23" t="s">
        <v>79</v>
      </c>
      <c r="C23" s="36">
        <v>7615</v>
      </c>
      <c r="D23" s="104">
        <f>+C23*(1+$Z$13)</f>
        <v>7767.3</v>
      </c>
      <c r="E23" s="104">
        <f t="shared" ref="E23:W23" si="16">+D23*(1+$Z$13)</f>
        <v>7922.6460000000006</v>
      </c>
      <c r="F23" s="104">
        <f t="shared" si="16"/>
        <v>8081.0989200000004</v>
      </c>
      <c r="G23" s="104">
        <f t="shared" si="16"/>
        <v>8242.7208984000008</v>
      </c>
      <c r="H23" s="104">
        <f t="shared" si="16"/>
        <v>8407.5753163680001</v>
      </c>
      <c r="I23" s="104">
        <f t="shared" si="16"/>
        <v>8575.7268226953602</v>
      </c>
      <c r="J23" s="104">
        <f t="shared" si="16"/>
        <v>8747.2413591492677</v>
      </c>
      <c r="K23" s="104">
        <f t="shared" si="16"/>
        <v>8922.1861863322538</v>
      </c>
      <c r="L23" s="104">
        <f t="shared" si="16"/>
        <v>9100.6299100588985</v>
      </c>
      <c r="M23" s="104">
        <f t="shared" si="16"/>
        <v>9282.6425082600763</v>
      </c>
      <c r="N23" s="104">
        <f t="shared" si="16"/>
        <v>9468.2953584252773</v>
      </c>
      <c r="O23" s="104">
        <f t="shared" si="16"/>
        <v>9657.6612655937824</v>
      </c>
      <c r="P23" s="104">
        <f t="shared" si="16"/>
        <v>9850.8144909056591</v>
      </c>
      <c r="Q23" s="104">
        <f t="shared" si="16"/>
        <v>10047.830780723772</v>
      </c>
      <c r="R23" s="104">
        <f t="shared" si="16"/>
        <v>10248.787396338248</v>
      </c>
      <c r="S23" s="104">
        <f t="shared" si="16"/>
        <v>10453.763144265013</v>
      </c>
      <c r="T23" s="104">
        <f t="shared" si="16"/>
        <v>10662.838407150313</v>
      </c>
      <c r="U23" s="104">
        <f t="shared" si="16"/>
        <v>10876.09517529332</v>
      </c>
      <c r="V23" s="104">
        <f t="shared" si="16"/>
        <v>11093.617078799187</v>
      </c>
      <c r="W23" s="104">
        <f t="shared" si="16"/>
        <v>11315.48942037517</v>
      </c>
      <c r="Y23" s="148"/>
      <c r="Z23" s="148"/>
    </row>
    <row r="24" spans="1:26" ht="15.75" x14ac:dyDescent="0.25">
      <c r="A24" s="32"/>
      <c r="B24" t="s">
        <v>65</v>
      </c>
      <c r="C24" s="12"/>
      <c r="D24" s="106">
        <v>10000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Y24" s="39"/>
    </row>
    <row r="25" spans="1:26" ht="16.5" thickBot="1" x14ac:dyDescent="0.3">
      <c r="A25" s="33"/>
      <c r="B25" t="s">
        <v>68</v>
      </c>
      <c r="C25" s="13">
        <f>+(SUM(C15:C24)-C17)*$Z$19+(C17*$Z$20)</f>
        <v>9025.3799999999992</v>
      </c>
      <c r="D25" s="121">
        <f>+(SUM(D15:D24)-D17)*$Z$19+(D17*$Z$20)</f>
        <v>10388.120487431999</v>
      </c>
      <c r="E25" s="121">
        <f t="shared" ref="E25:W25" si="17">+(SUM(E15:E24)-E17)*$Z$19+(E17*$Z$20)</f>
        <v>9372.9715551594454</v>
      </c>
      <c r="F25" s="121">
        <f t="shared" si="17"/>
        <v>9561.5439155070089</v>
      </c>
      <c r="G25" s="121">
        <f t="shared" si="17"/>
        <v>9753.9125345121629</v>
      </c>
      <c r="H25" s="121">
        <f t="shared" si="17"/>
        <v>9950.1538895372814</v>
      </c>
      <c r="I25" s="121">
        <f t="shared" si="17"/>
        <v>10150.345999762525</v>
      </c>
      <c r="J25" s="121">
        <f t="shared" si="17"/>
        <v>10354.56845729453</v>
      </c>
      <c r="K25" s="121">
        <f t="shared" si="17"/>
        <v>10562.902458903249</v>
      </c>
      <c r="L25" s="121">
        <f t="shared" si="17"/>
        <v>10775.43083839976</v>
      </c>
      <c r="M25" s="121">
        <f t="shared" si="17"/>
        <v>10992.238099667875</v>
      </c>
      <c r="N25" s="121">
        <f t="shared" si="17"/>
        <v>11213.410450362888</v>
      </c>
      <c r="O25" s="121">
        <f t="shared" si="17"/>
        <v>11439.035836290823</v>
      </c>
      <c r="P25" s="121">
        <f t="shared" si="17"/>
        <v>11669.20397648208</v>
      </c>
      <c r="Q25" s="121">
        <f t="shared" si="17"/>
        <v>11904.006398973333</v>
      </c>
      <c r="R25" s="121">
        <f t="shared" si="17"/>
        <v>12143.536477312213</v>
      </c>
      <c r="S25" s="121">
        <f t="shared" si="17"/>
        <v>12387.889467799198</v>
      </c>
      <c r="T25" s="121">
        <f t="shared" si="17"/>
        <v>12637.162547481708</v>
      </c>
      <c r="U25" s="121">
        <f t="shared" si="17"/>
        <v>12891.454852915636</v>
      </c>
      <c r="V25" s="121">
        <f t="shared" si="17"/>
        <v>13150.867519709722</v>
      </c>
      <c r="W25" s="121">
        <f t="shared" si="17"/>
        <v>13415.503722868738</v>
      </c>
      <c r="Y25" s="39"/>
    </row>
    <row r="26" spans="1:26" ht="15.6" customHeight="1" thickBot="1" x14ac:dyDescent="0.3">
      <c r="A26" s="30"/>
      <c r="B26" s="43" t="s">
        <v>7</v>
      </c>
      <c r="C26" s="44">
        <f>SUM(C15:C25)</f>
        <v>99776.38</v>
      </c>
      <c r="D26" s="46">
        <f>SUM(D15:D25)</f>
        <v>112647.578316032</v>
      </c>
      <c r="E26" s="46">
        <f t="shared" ref="E26:W26" si="18">SUM(E15:E25)</f>
        <v>103485.09012787063</v>
      </c>
      <c r="F26" s="46">
        <f t="shared" si="18"/>
        <v>105563.54685976967</v>
      </c>
      <c r="G26" s="46">
        <f t="shared" si="18"/>
        <v>107683.77181814639</v>
      </c>
      <c r="H26" s="46">
        <f t="shared" si="18"/>
        <v>109846.60487497556</v>
      </c>
      <c r="I26" s="46">
        <f t="shared" si="18"/>
        <v>112052.90280133599</v>
      </c>
      <c r="J26" s="46">
        <f t="shared" si="18"/>
        <v>114303.53960767844</v>
      </c>
      <c r="K26" s="46">
        <f t="shared" si="18"/>
        <v>116599.40689094977</v>
      </c>
      <c r="L26" s="46">
        <f t="shared" si="18"/>
        <v>118941.41418871225</v>
      </c>
      <c r="M26" s="46">
        <f t="shared" si="18"/>
        <v>121330.48934039852</v>
      </c>
      <c r="N26" s="46">
        <f t="shared" si="18"/>
        <v>123767.57885584679</v>
      </c>
      <c r="O26" s="46">
        <f t="shared" si="18"/>
        <v>126253.64829126216</v>
      </c>
      <c r="P26" s="46">
        <f t="shared" si="18"/>
        <v>128789.6826327553</v>
      </c>
      <c r="Q26" s="46">
        <f t="shared" si="18"/>
        <v>131376.68668760918</v>
      </c>
      <c r="R26" s="46">
        <f t="shared" si="18"/>
        <v>134015.68548343226</v>
      </c>
      <c r="S26" s="46">
        <f t="shared" si="18"/>
        <v>136707.7246753549</v>
      </c>
      <c r="T26" s="46">
        <f t="shared" si="18"/>
        <v>139453.87096143269</v>
      </c>
      <c r="U26" s="46">
        <f t="shared" si="18"/>
        <v>142255.2125064219</v>
      </c>
      <c r="V26" s="46">
        <f t="shared" si="18"/>
        <v>145112.85937409519</v>
      </c>
      <c r="W26" s="57">
        <f t="shared" si="18"/>
        <v>148027.94396827137</v>
      </c>
      <c r="X26" s="18"/>
      <c r="Y26" s="39"/>
    </row>
    <row r="27" spans="1:26" ht="15.75" x14ac:dyDescent="0.25">
      <c r="A27" s="30"/>
      <c r="B27" t="s">
        <v>108</v>
      </c>
      <c r="C27" s="13">
        <f>C12*0.015</f>
        <v>823.43999999999994</v>
      </c>
      <c r="D27" s="122">
        <f t="shared" ref="D27:W27" si="19">D12*0.015</f>
        <v>1020.2331361800001</v>
      </c>
      <c r="E27" s="122">
        <f t="shared" si="19"/>
        <v>1266.0531846277149</v>
      </c>
      <c r="F27" s="122">
        <f t="shared" si="19"/>
        <v>1573.1350184484736</v>
      </c>
      <c r="G27" s="122">
        <f t="shared" si="19"/>
        <v>1650.9069445437265</v>
      </c>
      <c r="H27" s="122">
        <f t="shared" si="19"/>
        <v>1732.5834349258348</v>
      </c>
      <c r="I27" s="122">
        <f t="shared" si="19"/>
        <v>1818.3611282269726</v>
      </c>
      <c r="J27" s="122">
        <f t="shared" si="19"/>
        <v>1908.4465721522965</v>
      </c>
      <c r="K27" s="122">
        <f t="shared" si="19"/>
        <v>2003.0567228820832</v>
      </c>
      <c r="L27" s="122">
        <f t="shared" si="19"/>
        <v>2092.5029472019996</v>
      </c>
      <c r="M27" s="122">
        <f t="shared" si="19"/>
        <v>2185.9916338141957</v>
      </c>
      <c r="N27" s="122">
        <f t="shared" si="19"/>
        <v>2283.7059691438212</v>
      </c>
      <c r="O27" s="122">
        <f t="shared" si="19"/>
        <v>2385.837445728007</v>
      </c>
      <c r="P27" s="122">
        <f t="shared" si="19"/>
        <v>2492.5862388841201</v>
      </c>
      <c r="Q27" s="122">
        <f t="shared" si="19"/>
        <v>2604.1616004597868</v>
      </c>
      <c r="R27" s="122">
        <f t="shared" si="19"/>
        <v>2720.7822704393325</v>
      </c>
      <c r="S27" s="122">
        <f t="shared" si="19"/>
        <v>2842.6769072164375</v>
      </c>
      <c r="T27" s="122">
        <f t="shared" si="19"/>
        <v>2970.0845373795114</v>
      </c>
      <c r="U27" s="122">
        <f t="shared" si="19"/>
        <v>3103.2550258946881</v>
      </c>
      <c r="V27" s="122">
        <f t="shared" si="19"/>
        <v>3242.4495676114789</v>
      </c>
      <c r="W27" s="122">
        <f t="shared" si="19"/>
        <v>3387.9412010580504</v>
      </c>
      <c r="Y27" s="39"/>
    </row>
    <row r="28" spans="1:26" ht="15.75" x14ac:dyDescent="0.25">
      <c r="A28" s="30"/>
      <c r="B28" t="s">
        <v>70</v>
      </c>
      <c r="C28" s="13"/>
      <c r="D28" s="104">
        <f>+$X$28/20</f>
        <v>7547.4585811364213</v>
      </c>
      <c r="E28" s="104">
        <f t="shared" ref="E28:W28" si="20">+$X$28/20</f>
        <v>7547.4585811364213</v>
      </c>
      <c r="F28" s="104">
        <f t="shared" si="20"/>
        <v>7547.4585811364213</v>
      </c>
      <c r="G28" s="104">
        <f t="shared" si="20"/>
        <v>7547.4585811364213</v>
      </c>
      <c r="H28" s="104">
        <f t="shared" si="20"/>
        <v>7547.4585811364213</v>
      </c>
      <c r="I28" s="104">
        <f t="shared" si="20"/>
        <v>7547.4585811364213</v>
      </c>
      <c r="J28" s="104">
        <f t="shared" si="20"/>
        <v>7547.4585811364213</v>
      </c>
      <c r="K28" s="104">
        <f t="shared" si="20"/>
        <v>7547.4585811364213</v>
      </c>
      <c r="L28" s="104">
        <f t="shared" si="20"/>
        <v>7547.4585811364213</v>
      </c>
      <c r="M28" s="104">
        <f t="shared" si="20"/>
        <v>7547.4585811364213</v>
      </c>
      <c r="N28" s="104">
        <f t="shared" si="20"/>
        <v>7547.4585811364213</v>
      </c>
      <c r="O28" s="104">
        <f t="shared" si="20"/>
        <v>7547.4585811364213</v>
      </c>
      <c r="P28" s="104">
        <f t="shared" si="20"/>
        <v>7547.4585811364213</v>
      </c>
      <c r="Q28" s="104">
        <f t="shared" si="20"/>
        <v>7547.4585811364213</v>
      </c>
      <c r="R28" s="104">
        <f t="shared" si="20"/>
        <v>7547.4585811364213</v>
      </c>
      <c r="S28" s="104">
        <f t="shared" si="20"/>
        <v>7547.4585811364213</v>
      </c>
      <c r="T28" s="104">
        <f t="shared" si="20"/>
        <v>7547.4585811364213</v>
      </c>
      <c r="U28" s="104">
        <f t="shared" si="20"/>
        <v>7547.4585811364213</v>
      </c>
      <c r="V28" s="104">
        <f t="shared" si="20"/>
        <v>7547.4585811364213</v>
      </c>
      <c r="W28" s="123">
        <f t="shared" si="20"/>
        <v>7547.4585811364213</v>
      </c>
      <c r="X28" s="51">
        <f>+X12/20</f>
        <v>150949.17162272843</v>
      </c>
      <c r="Y28" s="39"/>
    </row>
    <row r="29" spans="1:26" ht="15.75" x14ac:dyDescent="0.25">
      <c r="A29" s="30"/>
      <c r="B29" t="s">
        <v>104</v>
      </c>
      <c r="C29" s="13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Y29" s="39"/>
    </row>
    <row r="30" spans="1:26" ht="15.75" x14ac:dyDescent="0.25">
      <c r="A30" s="30"/>
      <c r="B30" t="s">
        <v>96</v>
      </c>
      <c r="C30" s="13"/>
      <c r="D30" s="104">
        <v>6000</v>
      </c>
      <c r="E30" s="104">
        <v>6000</v>
      </c>
      <c r="F30" s="104">
        <v>6000</v>
      </c>
      <c r="G30" s="104">
        <v>6000</v>
      </c>
      <c r="H30" s="104">
        <v>6000</v>
      </c>
      <c r="I30" s="104">
        <v>6000</v>
      </c>
      <c r="J30" s="104">
        <v>6000</v>
      </c>
      <c r="K30" s="104">
        <v>6000</v>
      </c>
      <c r="L30" s="104">
        <v>6000</v>
      </c>
      <c r="M30" s="104">
        <v>6000</v>
      </c>
      <c r="N30" s="104">
        <v>6000</v>
      </c>
      <c r="O30" s="104">
        <v>6000</v>
      </c>
      <c r="P30" s="104">
        <v>6000</v>
      </c>
      <c r="Q30" s="104">
        <v>6000</v>
      </c>
      <c r="R30" s="104">
        <v>6000</v>
      </c>
      <c r="S30" s="104">
        <v>6000</v>
      </c>
      <c r="T30" s="104">
        <v>6000</v>
      </c>
      <c r="U30" s="104">
        <v>6000</v>
      </c>
      <c r="V30" s="104">
        <v>6000</v>
      </c>
      <c r="W30" s="104">
        <v>6000</v>
      </c>
      <c r="Y30" s="39"/>
    </row>
    <row r="31" spans="1:26" ht="15.75" x14ac:dyDescent="0.25">
      <c r="A31" s="31"/>
      <c r="B31" t="s">
        <v>69</v>
      </c>
      <c r="C31" s="12"/>
      <c r="D31" s="122">
        <f>+$X$12*0.05*0.0075</f>
        <v>1132.1187871704633</v>
      </c>
      <c r="E31" s="122">
        <f t="shared" ref="E31:W31" si="21">+$X$12*0.05*0.0075</f>
        <v>1132.1187871704633</v>
      </c>
      <c r="F31" s="122">
        <f t="shared" si="21"/>
        <v>1132.1187871704633</v>
      </c>
      <c r="G31" s="122">
        <f t="shared" si="21"/>
        <v>1132.1187871704633</v>
      </c>
      <c r="H31" s="122">
        <f t="shared" si="21"/>
        <v>1132.1187871704633</v>
      </c>
      <c r="I31" s="122">
        <f t="shared" si="21"/>
        <v>1132.1187871704633</v>
      </c>
      <c r="J31" s="122">
        <f t="shared" si="21"/>
        <v>1132.1187871704633</v>
      </c>
      <c r="K31" s="122">
        <f t="shared" si="21"/>
        <v>1132.1187871704633</v>
      </c>
      <c r="L31" s="122">
        <f t="shared" si="21"/>
        <v>1132.1187871704633</v>
      </c>
      <c r="M31" s="122">
        <f t="shared" si="21"/>
        <v>1132.1187871704633</v>
      </c>
      <c r="N31" s="122">
        <f t="shared" si="21"/>
        <v>1132.1187871704633</v>
      </c>
      <c r="O31" s="122">
        <f t="shared" si="21"/>
        <v>1132.1187871704633</v>
      </c>
      <c r="P31" s="122">
        <f t="shared" si="21"/>
        <v>1132.1187871704633</v>
      </c>
      <c r="Q31" s="122">
        <f t="shared" si="21"/>
        <v>1132.1187871704633</v>
      </c>
      <c r="R31" s="122">
        <f t="shared" si="21"/>
        <v>1132.1187871704633</v>
      </c>
      <c r="S31" s="122">
        <f t="shared" si="21"/>
        <v>1132.1187871704633</v>
      </c>
      <c r="T31" s="122">
        <f t="shared" si="21"/>
        <v>1132.1187871704633</v>
      </c>
      <c r="U31" s="122">
        <f t="shared" si="21"/>
        <v>1132.1187871704633</v>
      </c>
      <c r="V31" s="122">
        <f t="shared" si="21"/>
        <v>1132.1187871704633</v>
      </c>
      <c r="W31" s="122">
        <f t="shared" si="21"/>
        <v>1132.1187871704633</v>
      </c>
      <c r="X31" s="18">
        <f>+SUM(D31:W31)</f>
        <v>22642.375743409277</v>
      </c>
      <c r="Y31" s="39"/>
    </row>
    <row r="32" spans="1:26" ht="15.75" x14ac:dyDescent="0.25">
      <c r="A32" s="30"/>
      <c r="B32" t="s">
        <v>62</v>
      </c>
      <c r="C32" s="13"/>
      <c r="D32" s="110">
        <f t="shared" ref="D32:W32" si="22">+D54</f>
        <v>5000</v>
      </c>
      <c r="E32" s="110">
        <f t="shared" si="22"/>
        <v>1421.0526315789473</v>
      </c>
      <c r="F32" s="110">
        <f t="shared" si="22"/>
        <v>2309.9415204678362</v>
      </c>
      <c r="G32" s="110">
        <f t="shared" si="22"/>
        <v>3251.1179910560713</v>
      </c>
      <c r="H32" s="110">
        <f t="shared" si="22"/>
        <v>4251.1179910560713</v>
      </c>
      <c r="I32" s="110">
        <f t="shared" si="22"/>
        <v>4251.1179910560713</v>
      </c>
      <c r="J32" s="110">
        <f t="shared" si="22"/>
        <v>4251.1179910560713</v>
      </c>
      <c r="K32" s="110">
        <f t="shared" si="22"/>
        <v>4251.1179910560713</v>
      </c>
      <c r="L32" s="110">
        <f t="shared" si="22"/>
        <v>4251.1179910560713</v>
      </c>
      <c r="M32" s="110">
        <f t="shared" si="22"/>
        <v>4251.1179910560713</v>
      </c>
      <c r="N32" s="110">
        <f t="shared" si="22"/>
        <v>4251.1179910560713</v>
      </c>
      <c r="O32" s="110">
        <f t="shared" si="22"/>
        <v>4251.1179910560713</v>
      </c>
      <c r="P32" s="110">
        <f t="shared" si="22"/>
        <v>4251.1179910560713</v>
      </c>
      <c r="Q32" s="110">
        <f t="shared" si="22"/>
        <v>4251.1179910560713</v>
      </c>
      <c r="R32" s="110">
        <f t="shared" si="22"/>
        <v>4251.1179910560713</v>
      </c>
      <c r="S32" s="110">
        <f t="shared" si="22"/>
        <v>4251.1179910560713</v>
      </c>
      <c r="T32" s="110">
        <f t="shared" si="22"/>
        <v>4251.1179910560713</v>
      </c>
      <c r="U32" s="110">
        <f t="shared" si="22"/>
        <v>4251.1179910560713</v>
      </c>
      <c r="V32" s="110">
        <f t="shared" si="22"/>
        <v>4251.1179910560713</v>
      </c>
      <c r="W32" s="110">
        <f t="shared" si="22"/>
        <v>4251.1179910560713</v>
      </c>
      <c r="X32" s="18"/>
      <c r="Y32" s="39"/>
    </row>
    <row r="33" spans="2:25" x14ac:dyDescent="0.25">
      <c r="B33" t="s">
        <v>18</v>
      </c>
      <c r="C33" s="13"/>
      <c r="D33" s="111">
        <f t="shared" ref="D33:W33" si="23">+D56*$Z$14</f>
        <v>330</v>
      </c>
      <c r="E33" s="111">
        <f t="shared" si="23"/>
        <v>767.36842105263156</v>
      </c>
      <c r="F33" s="111">
        <f t="shared" si="23"/>
        <v>1178.0701754385964</v>
      </c>
      <c r="G33" s="111">
        <f t="shared" si="23"/>
        <v>1560.5366357069142</v>
      </c>
      <c r="H33" s="111">
        <f t="shared" si="23"/>
        <v>1913.0030959752321</v>
      </c>
      <c r="I33" s="111">
        <f t="shared" si="23"/>
        <v>1785.4695562435502</v>
      </c>
      <c r="J33" s="111">
        <f t="shared" si="23"/>
        <v>1657.9360165118678</v>
      </c>
      <c r="K33" s="111">
        <f t="shared" si="23"/>
        <v>1530.4024767801857</v>
      </c>
      <c r="L33" s="111">
        <f t="shared" si="23"/>
        <v>1402.8689370485035</v>
      </c>
      <c r="M33" s="111">
        <f t="shared" si="23"/>
        <v>1275.3353973168216</v>
      </c>
      <c r="N33" s="111">
        <f t="shared" si="23"/>
        <v>1147.8018575851393</v>
      </c>
      <c r="O33" s="111">
        <f t="shared" si="23"/>
        <v>1020.2683178534571</v>
      </c>
      <c r="P33" s="111">
        <f t="shared" si="23"/>
        <v>892.73477812177487</v>
      </c>
      <c r="Q33" s="111">
        <f t="shared" si="23"/>
        <v>765.20123839009261</v>
      </c>
      <c r="R33" s="111">
        <f t="shared" si="23"/>
        <v>637.66769865841036</v>
      </c>
      <c r="S33" s="111">
        <f t="shared" si="23"/>
        <v>510.13415892672811</v>
      </c>
      <c r="T33" s="111">
        <f t="shared" si="23"/>
        <v>382.60061919504585</v>
      </c>
      <c r="U33" s="111">
        <f t="shared" si="23"/>
        <v>255.06707946336363</v>
      </c>
      <c r="V33" s="111">
        <f t="shared" si="23"/>
        <v>127.53353973168137</v>
      </c>
      <c r="W33" s="111">
        <f t="shared" si="23"/>
        <v>0</v>
      </c>
      <c r="X33" s="18">
        <f>+SUM(D33:W33)</f>
        <v>19139.999999999996</v>
      </c>
      <c r="Y33" s="39"/>
    </row>
    <row r="34" spans="2:25" ht="15.75" thickBot="1" x14ac:dyDescent="0.3">
      <c r="B34" t="s">
        <v>109</v>
      </c>
      <c r="C34" s="13">
        <f>0.012*(SUM(C26))</f>
        <v>1197.31656</v>
      </c>
      <c r="D34" s="121">
        <f t="shared" ref="D34:W34" si="24">0.005*(SUM(D26))</f>
        <v>563.23789158015995</v>
      </c>
      <c r="E34" s="121">
        <f t="shared" si="24"/>
        <v>517.42545063935313</v>
      </c>
      <c r="F34" s="121">
        <f t="shared" si="24"/>
        <v>527.81773429884834</v>
      </c>
      <c r="G34" s="121">
        <f t="shared" si="24"/>
        <v>538.41885909073198</v>
      </c>
      <c r="H34" s="121">
        <f t="shared" si="24"/>
        <v>549.2330243748778</v>
      </c>
      <c r="I34" s="121">
        <f t="shared" si="24"/>
        <v>560.26451400667997</v>
      </c>
      <c r="J34" s="121">
        <f t="shared" si="24"/>
        <v>571.51769803839215</v>
      </c>
      <c r="K34" s="121">
        <f t="shared" si="24"/>
        <v>582.99703445474893</v>
      </c>
      <c r="L34" s="121">
        <f t="shared" si="24"/>
        <v>594.70707094356123</v>
      </c>
      <c r="M34" s="121">
        <f t="shared" si="24"/>
        <v>606.65244670199263</v>
      </c>
      <c r="N34" s="121">
        <f t="shared" si="24"/>
        <v>618.83789427923398</v>
      </c>
      <c r="O34" s="121">
        <f t="shared" si="24"/>
        <v>631.26824145631076</v>
      </c>
      <c r="P34" s="121">
        <f t="shared" si="24"/>
        <v>643.94841316377654</v>
      </c>
      <c r="Q34" s="121">
        <f t="shared" si="24"/>
        <v>656.88343343804593</v>
      </c>
      <c r="R34" s="121">
        <f t="shared" si="24"/>
        <v>670.07842741716127</v>
      </c>
      <c r="S34" s="121">
        <f t="shared" si="24"/>
        <v>683.53862337677447</v>
      </c>
      <c r="T34" s="121">
        <f t="shared" si="24"/>
        <v>697.2693548071635</v>
      </c>
      <c r="U34" s="121">
        <f t="shared" si="24"/>
        <v>711.27606253210956</v>
      </c>
      <c r="V34" s="121">
        <f t="shared" si="24"/>
        <v>725.56429687047591</v>
      </c>
      <c r="W34" s="121">
        <f t="shared" si="24"/>
        <v>740.13971984135685</v>
      </c>
    </row>
    <row r="35" spans="2:25" ht="15.75" thickBot="1" x14ac:dyDescent="0.3">
      <c r="B35" s="43" t="s">
        <v>8</v>
      </c>
      <c r="C35" s="46">
        <f t="shared" ref="C35:W35" si="25">SUM(C26:C34)</f>
        <v>101797.13656000001</v>
      </c>
      <c r="D35" s="46">
        <f t="shared" si="25"/>
        <v>134240.62671209904</v>
      </c>
      <c r="E35" s="46">
        <f t="shared" si="25"/>
        <v>122136.56718407615</v>
      </c>
      <c r="F35" s="46">
        <f t="shared" si="25"/>
        <v>125832.08867673032</v>
      </c>
      <c r="G35" s="46">
        <f t="shared" si="25"/>
        <v>129364.32961685071</v>
      </c>
      <c r="H35" s="46">
        <f t="shared" si="25"/>
        <v>132972.11978961446</v>
      </c>
      <c r="I35" s="46">
        <f t="shared" si="25"/>
        <v>135147.69335917613</v>
      </c>
      <c r="J35" s="46">
        <f t="shared" si="25"/>
        <v>137372.13525374397</v>
      </c>
      <c r="K35" s="46">
        <f t="shared" si="25"/>
        <v>139646.55848442973</v>
      </c>
      <c r="L35" s="46">
        <f t="shared" si="25"/>
        <v>141962.18850326928</v>
      </c>
      <c r="M35" s="46">
        <f t="shared" si="25"/>
        <v>144329.16417759447</v>
      </c>
      <c r="N35" s="46">
        <f t="shared" si="25"/>
        <v>146748.61993621796</v>
      </c>
      <c r="O35" s="46">
        <f t="shared" si="25"/>
        <v>149221.71765566285</v>
      </c>
      <c r="P35" s="46">
        <f t="shared" si="25"/>
        <v>151749.64742228793</v>
      </c>
      <c r="Q35" s="46">
        <f t="shared" si="25"/>
        <v>154333.62831926005</v>
      </c>
      <c r="R35" s="46">
        <f t="shared" si="25"/>
        <v>156974.90923931013</v>
      </c>
      <c r="S35" s="46">
        <f t="shared" si="25"/>
        <v>159674.76972423779</v>
      </c>
      <c r="T35" s="46">
        <f t="shared" si="25"/>
        <v>162434.52083217737</v>
      </c>
      <c r="U35" s="46">
        <f t="shared" si="25"/>
        <v>165255.50603367502</v>
      </c>
      <c r="V35" s="46">
        <f t="shared" si="25"/>
        <v>168139.10213767178</v>
      </c>
      <c r="W35" s="46">
        <f t="shared" si="25"/>
        <v>171086.72024853373</v>
      </c>
      <c r="X35" s="50">
        <f>SUM(D35:W35)</f>
        <v>2928622.6133066188</v>
      </c>
      <c r="Y35" s="39"/>
    </row>
    <row r="36" spans="2:25" ht="15.75" thickBot="1" x14ac:dyDescent="0.3">
      <c r="Y36" s="39"/>
    </row>
    <row r="37" spans="2:25" ht="15.75" thickBot="1" x14ac:dyDescent="0.3">
      <c r="B37" s="41" t="s">
        <v>9</v>
      </c>
      <c r="C37" s="48">
        <f t="shared" ref="C37" si="26">+C12-C35</f>
        <v>-46901.136560000014</v>
      </c>
      <c r="D37" s="48">
        <f>+D12-D35</f>
        <v>-66225.084300099028</v>
      </c>
      <c r="E37" s="48">
        <f t="shared" ref="E37:W37" si="27">+E12-E35</f>
        <v>-37733.021542228482</v>
      </c>
      <c r="F37" s="48">
        <f t="shared" si="27"/>
        <v>-20956.420780165412</v>
      </c>
      <c r="G37" s="48">
        <f t="shared" si="27"/>
        <v>-19303.866647268937</v>
      </c>
      <c r="H37" s="48">
        <f t="shared" si="27"/>
        <v>-17466.557461225471</v>
      </c>
      <c r="I37" s="48">
        <f t="shared" si="27"/>
        <v>-13923.618144044623</v>
      </c>
      <c r="J37" s="48">
        <f t="shared" si="27"/>
        <v>-10142.36377692419</v>
      </c>
      <c r="K37" s="48">
        <f t="shared" si="27"/>
        <v>-6109.4436256241752</v>
      </c>
      <c r="L37" s="48">
        <f t="shared" si="27"/>
        <v>-2461.992023135972</v>
      </c>
      <c r="M37" s="48">
        <f t="shared" si="27"/>
        <v>1403.6114100185805</v>
      </c>
      <c r="N37" s="48">
        <f t="shared" si="27"/>
        <v>5498.4446733701334</v>
      </c>
      <c r="O37" s="48">
        <f t="shared" si="27"/>
        <v>9834.1120595376124</v>
      </c>
      <c r="P37" s="48">
        <f t="shared" si="27"/>
        <v>14422.768503320083</v>
      </c>
      <c r="Q37" s="48">
        <f t="shared" si="27"/>
        <v>19277.145044725738</v>
      </c>
      <c r="R37" s="48">
        <f t="shared" si="27"/>
        <v>24410.575456645369</v>
      </c>
      <c r="S37" s="48">
        <f t="shared" si="27"/>
        <v>29837.024090191378</v>
      </c>
      <c r="T37" s="48">
        <f t="shared" si="27"/>
        <v>35571.114993123396</v>
      </c>
      <c r="U37" s="48">
        <f t="shared" si="27"/>
        <v>41628.162359304202</v>
      </c>
      <c r="V37" s="48">
        <f t="shared" si="27"/>
        <v>48024.20236976014</v>
      </c>
      <c r="W37" s="48">
        <f t="shared" si="27"/>
        <v>54776.026488669624</v>
      </c>
      <c r="X37" s="140">
        <f>+SUM(D37:W37)</f>
        <v>90360.819147949951</v>
      </c>
      <c r="Y37" s="39"/>
    </row>
    <row r="38" spans="2:25" x14ac:dyDescent="0.25">
      <c r="Y38" s="39"/>
    </row>
    <row r="40" spans="2:25" x14ac:dyDescent="0.25">
      <c r="B40" t="s">
        <v>88</v>
      </c>
      <c r="C40" s="18">
        <v>101797</v>
      </c>
      <c r="D40" s="18">
        <f t="shared" ref="D40:W40" si="28">+D35-D33-D32</f>
        <v>128910.62671209904</v>
      </c>
      <c r="E40" s="18">
        <f t="shared" si="28"/>
        <v>119948.14613144458</v>
      </c>
      <c r="F40" s="18">
        <f t="shared" si="28"/>
        <v>122344.07698082388</v>
      </c>
      <c r="G40" s="18">
        <f t="shared" si="28"/>
        <v>124552.67499008772</v>
      </c>
      <c r="H40" s="18">
        <f t="shared" si="28"/>
        <v>126807.99870258315</v>
      </c>
      <c r="I40" s="18">
        <f t="shared" si="28"/>
        <v>129111.10581187652</v>
      </c>
      <c r="J40" s="18">
        <f t="shared" si="28"/>
        <v>131463.08124617604</v>
      </c>
      <c r="K40" s="18">
        <f t="shared" si="28"/>
        <v>133865.03801659349</v>
      </c>
      <c r="L40" s="18">
        <f t="shared" si="28"/>
        <v>136308.20157516471</v>
      </c>
      <c r="M40" s="18">
        <f t="shared" si="28"/>
        <v>138802.7107892216</v>
      </c>
      <c r="N40" s="18">
        <f t="shared" si="28"/>
        <v>141349.70008757676</v>
      </c>
      <c r="O40" s="18">
        <f t="shared" si="28"/>
        <v>143950.33134675334</v>
      </c>
      <c r="P40" s="18">
        <f t="shared" si="28"/>
        <v>146605.79465311009</v>
      </c>
      <c r="Q40" s="18">
        <f t="shared" si="28"/>
        <v>149317.30908981391</v>
      </c>
      <c r="R40" s="18">
        <f t="shared" si="28"/>
        <v>152086.12354959565</v>
      </c>
      <c r="S40" s="18">
        <f t="shared" si="28"/>
        <v>154913.51757425501</v>
      </c>
      <c r="T40" s="18">
        <f t="shared" si="28"/>
        <v>157800.80222192625</v>
      </c>
      <c r="U40" s="18">
        <f t="shared" si="28"/>
        <v>160749.32096315559</v>
      </c>
      <c r="V40" s="18">
        <f t="shared" si="28"/>
        <v>163760.45060688403</v>
      </c>
      <c r="W40" s="18">
        <f t="shared" si="28"/>
        <v>166835.60225747767</v>
      </c>
    </row>
    <row r="41" spans="2:25" x14ac:dyDescent="0.25">
      <c r="B41" t="s">
        <v>89</v>
      </c>
      <c r="C41" s="18">
        <f t="shared" ref="C41:W41" si="29">+C12-C40</f>
        <v>-46901</v>
      </c>
      <c r="D41" s="18">
        <f t="shared" si="29"/>
        <v>-60895.084300099028</v>
      </c>
      <c r="E41" s="18">
        <f t="shared" si="29"/>
        <v>-35544.600489596909</v>
      </c>
      <c r="F41" s="18">
        <f t="shared" si="29"/>
        <v>-17468.409084258979</v>
      </c>
      <c r="G41" s="18">
        <f t="shared" si="29"/>
        <v>-14492.212020505947</v>
      </c>
      <c r="H41" s="18">
        <f t="shared" si="29"/>
        <v>-11302.436374194163</v>
      </c>
      <c r="I41" s="18">
        <f t="shared" si="29"/>
        <v>-7887.0305967450113</v>
      </c>
      <c r="J41" s="18">
        <f t="shared" si="29"/>
        <v>-4233.3097693562595</v>
      </c>
      <c r="K41" s="18">
        <f t="shared" si="29"/>
        <v>-327.92315778794</v>
      </c>
      <c r="L41" s="18">
        <f t="shared" si="29"/>
        <v>3191.9949049685965</v>
      </c>
      <c r="M41" s="18">
        <f t="shared" si="29"/>
        <v>6930.0647983914532</v>
      </c>
      <c r="N41" s="18">
        <f t="shared" si="29"/>
        <v>10897.364522011339</v>
      </c>
      <c r="O41" s="18">
        <f t="shared" si="29"/>
        <v>15105.498368447123</v>
      </c>
      <c r="P41" s="18">
        <f t="shared" si="29"/>
        <v>19566.621272497927</v>
      </c>
      <c r="Q41" s="18">
        <f t="shared" si="29"/>
        <v>24293.464274171885</v>
      </c>
      <c r="R41" s="18">
        <f t="shared" si="29"/>
        <v>29299.36114635985</v>
      </c>
      <c r="S41" s="18">
        <f t="shared" si="29"/>
        <v>34598.276240174164</v>
      </c>
      <c r="T41" s="18">
        <f t="shared" si="29"/>
        <v>40204.833603374514</v>
      </c>
      <c r="U41" s="18">
        <f t="shared" si="29"/>
        <v>46134.347429823625</v>
      </c>
      <c r="V41" s="18">
        <f t="shared" si="29"/>
        <v>52402.853900547896</v>
      </c>
      <c r="W41" s="18">
        <f t="shared" si="29"/>
        <v>59027.144479725685</v>
      </c>
    </row>
    <row r="42" spans="2:25" x14ac:dyDescent="0.25">
      <c r="B42" s="1" t="s">
        <v>90</v>
      </c>
      <c r="C42" s="101">
        <f t="shared" ref="C42:W42" si="30">+C41/C12</f>
        <v>-0.85436097347712037</v>
      </c>
      <c r="D42" s="101">
        <f t="shared" si="30"/>
        <v>-0.89531130886571131</v>
      </c>
      <c r="E42" s="101">
        <f t="shared" si="30"/>
        <v>-0.42112686403512573</v>
      </c>
      <c r="F42" s="101">
        <f t="shared" si="30"/>
        <v>-0.16656303063058861</v>
      </c>
      <c r="G42" s="101">
        <f t="shared" si="30"/>
        <v>-0.13167500507890165</v>
      </c>
      <c r="H42" s="101">
        <f t="shared" si="30"/>
        <v>-9.7851879566290351E-2</v>
      </c>
      <c r="I42" s="101">
        <f t="shared" si="30"/>
        <v>-6.5061586015386905E-2</v>
      </c>
      <c r="J42" s="101">
        <f t="shared" si="30"/>
        <v>-3.3272949563754692E-2</v>
      </c>
      <c r="K42" s="101">
        <f t="shared" si="30"/>
        <v>-2.4556705312576733E-3</v>
      </c>
      <c r="L42" s="101">
        <f t="shared" si="30"/>
        <v>2.2881651678699818E-2</v>
      </c>
      <c r="M42" s="101">
        <f t="shared" si="30"/>
        <v>4.75532341331492E-2</v>
      </c>
      <c r="N42" s="101">
        <f t="shared" si="30"/>
        <v>7.1576844847260554E-2</v>
      </c>
      <c r="O42" s="101">
        <f t="shared" si="30"/>
        <v>9.4969787624222729E-2</v>
      </c>
      <c r="P42" s="101">
        <f t="shared" si="30"/>
        <v>0.11774891255873358</v>
      </c>
      <c r="Q42" s="101">
        <f t="shared" si="30"/>
        <v>0.13993062644355098</v>
      </c>
      <c r="R42" s="101">
        <f t="shared" si="30"/>
        <v>0.16153090306797388</v>
      </c>
      <c r="S42" s="101">
        <f t="shared" si="30"/>
        <v>0.18256529339832517</v>
      </c>
      <c r="T42" s="101">
        <f t="shared" si="30"/>
        <v>0.20304893563154439</v>
      </c>
      <c r="U42" s="101">
        <f t="shared" si="30"/>
        <v>0.22299656511402635</v>
      </c>
      <c r="V42" s="101">
        <f t="shared" si="30"/>
        <v>0.24242252411877904</v>
      </c>
      <c r="W42" s="101">
        <f t="shared" si="30"/>
        <v>0.26134077147483359</v>
      </c>
    </row>
    <row r="43" spans="2:25" x14ac:dyDescent="0.25">
      <c r="B43" t="s">
        <v>91</v>
      </c>
      <c r="C43" s="18">
        <f>+C41-C32</f>
        <v>-46901</v>
      </c>
      <c r="D43" s="18">
        <f t="shared" ref="D43:W43" si="31">+D41-D32</f>
        <v>-65895.084300099028</v>
      </c>
      <c r="E43" s="18">
        <f t="shared" si="31"/>
        <v>-36965.653121175856</v>
      </c>
      <c r="F43" s="18">
        <f t="shared" si="31"/>
        <v>-19778.350604726817</v>
      </c>
      <c r="G43" s="18">
        <f t="shared" si="31"/>
        <v>-17743.330011562019</v>
      </c>
      <c r="H43" s="18">
        <f t="shared" si="31"/>
        <v>-15553.554365250235</v>
      </c>
      <c r="I43" s="18">
        <f t="shared" si="31"/>
        <v>-12138.148587801083</v>
      </c>
      <c r="J43" s="18">
        <f t="shared" si="31"/>
        <v>-8484.4277604123308</v>
      </c>
      <c r="K43" s="18">
        <f t="shared" si="31"/>
        <v>-4579.0411488440113</v>
      </c>
      <c r="L43" s="18">
        <f t="shared" si="31"/>
        <v>-1059.1230860874748</v>
      </c>
      <c r="M43" s="18">
        <f t="shared" si="31"/>
        <v>2678.9468073353819</v>
      </c>
      <c r="N43" s="18">
        <f t="shared" si="31"/>
        <v>6646.2465309552681</v>
      </c>
      <c r="O43" s="18">
        <f t="shared" si="31"/>
        <v>10854.380377391051</v>
      </c>
      <c r="P43" s="18">
        <f t="shared" si="31"/>
        <v>15315.503281441856</v>
      </c>
      <c r="Q43" s="18">
        <f t="shared" si="31"/>
        <v>20042.346283115814</v>
      </c>
      <c r="R43" s="18">
        <f t="shared" si="31"/>
        <v>25048.243155303779</v>
      </c>
      <c r="S43" s="18">
        <f t="shared" si="31"/>
        <v>30347.158249118092</v>
      </c>
      <c r="T43" s="18">
        <f t="shared" si="31"/>
        <v>35953.71561231844</v>
      </c>
      <c r="U43" s="18">
        <f t="shared" si="31"/>
        <v>41883.22943876755</v>
      </c>
      <c r="V43" s="18">
        <f t="shared" si="31"/>
        <v>48151.735909491821</v>
      </c>
      <c r="W43" s="18">
        <f t="shared" si="31"/>
        <v>54776.02648866961</v>
      </c>
    </row>
    <row r="44" spans="2:25" x14ac:dyDescent="0.25">
      <c r="B44" s="1" t="s">
        <v>92</v>
      </c>
      <c r="C44" s="101">
        <f t="shared" ref="C44:W44" si="32">+C43/C12</f>
        <v>-0.85436097347712037</v>
      </c>
      <c r="D44" s="101">
        <f t="shared" si="32"/>
        <v>-0.96882391822950653</v>
      </c>
      <c r="E44" s="101">
        <f t="shared" si="32"/>
        <v>-0.43796327322590717</v>
      </c>
      <c r="F44" s="101">
        <f t="shared" si="32"/>
        <v>-0.18858855444175565</v>
      </c>
      <c r="G44" s="101">
        <f t="shared" si="32"/>
        <v>-0.16121438646379194</v>
      </c>
      <c r="H44" s="101">
        <f t="shared" si="32"/>
        <v>-0.13465632348536238</v>
      </c>
      <c r="I44" s="101">
        <f t="shared" si="32"/>
        <v>-0.10012985099090256</v>
      </c>
      <c r="J44" s="101">
        <f t="shared" si="32"/>
        <v>-6.6685868110343369E-2</v>
      </c>
      <c r="K44" s="101">
        <f t="shared" si="32"/>
        <v>-3.4290400490422646E-2</v>
      </c>
      <c r="L44" s="101">
        <f t="shared" si="32"/>
        <v>-7.5922694936010936E-3</v>
      </c>
      <c r="M44" s="101">
        <f t="shared" si="32"/>
        <v>1.8382596478613188E-2</v>
      </c>
      <c r="N44" s="101">
        <f t="shared" si="32"/>
        <v>4.3654349251320189E-2</v>
      </c>
      <c r="O44" s="101">
        <f t="shared" si="32"/>
        <v>6.8242581217089038E-2</v>
      </c>
      <c r="P44" s="101">
        <f t="shared" si="32"/>
        <v>9.2166339377880213E-2</v>
      </c>
      <c r="Q44" s="101">
        <f t="shared" si="32"/>
        <v>0.11544413917848168</v>
      </c>
      <c r="R44" s="101">
        <f t="shared" si="32"/>
        <v>0.13809397812228741</v>
      </c>
      <c r="S44" s="101">
        <f t="shared" si="32"/>
        <v>0.16013334916155231</v>
      </c>
      <c r="T44" s="101">
        <f t="shared" si="32"/>
        <v>0.18157925385538115</v>
      </c>
      <c r="U44" s="101">
        <f t="shared" si="32"/>
        <v>0.20244821528981016</v>
      </c>
      <c r="V44" s="101">
        <f t="shared" si="32"/>
        <v>0.22275629075533637</v>
      </c>
      <c r="W44" s="101">
        <f t="shared" si="32"/>
        <v>0.24251908417815715</v>
      </c>
    </row>
    <row r="45" spans="2:25" x14ac:dyDescent="0.25">
      <c r="B45" t="s">
        <v>93</v>
      </c>
      <c r="C45" s="18">
        <f>+C43-C33</f>
        <v>-46901</v>
      </c>
      <c r="D45" s="18">
        <f t="shared" ref="D45:W45" si="33">+D43-D33</f>
        <v>-66225.084300099028</v>
      </c>
      <c r="E45" s="18">
        <f t="shared" si="33"/>
        <v>-37733.021542228489</v>
      </c>
      <c r="F45" s="18">
        <f t="shared" si="33"/>
        <v>-20956.420780165412</v>
      </c>
      <c r="G45" s="18">
        <f t="shared" si="33"/>
        <v>-19303.866647268933</v>
      </c>
      <c r="H45" s="18">
        <f t="shared" si="33"/>
        <v>-17466.557461225468</v>
      </c>
      <c r="I45" s="18">
        <f t="shared" si="33"/>
        <v>-13923.618144044633</v>
      </c>
      <c r="J45" s="18">
        <f t="shared" si="33"/>
        <v>-10142.363776924198</v>
      </c>
      <c r="K45" s="18">
        <f t="shared" si="33"/>
        <v>-6109.443625624197</v>
      </c>
      <c r="L45" s="18">
        <f t="shared" si="33"/>
        <v>-2461.9920231359783</v>
      </c>
      <c r="M45" s="18">
        <f t="shared" si="33"/>
        <v>1403.6114100185603</v>
      </c>
      <c r="N45" s="18">
        <f t="shared" si="33"/>
        <v>5498.4446733701288</v>
      </c>
      <c r="O45" s="18">
        <f t="shared" si="33"/>
        <v>9834.1120595375942</v>
      </c>
      <c r="P45" s="18">
        <f t="shared" si="33"/>
        <v>14422.768503320081</v>
      </c>
      <c r="Q45" s="18">
        <f t="shared" si="33"/>
        <v>19277.145044725723</v>
      </c>
      <c r="R45" s="18">
        <f t="shared" si="33"/>
        <v>24410.575456645369</v>
      </c>
      <c r="S45" s="18">
        <f t="shared" si="33"/>
        <v>29837.024090191364</v>
      </c>
      <c r="T45" s="18">
        <f t="shared" si="33"/>
        <v>35571.114993123396</v>
      </c>
      <c r="U45" s="18">
        <f t="shared" si="33"/>
        <v>41628.162359304188</v>
      </c>
      <c r="V45" s="18">
        <f t="shared" si="33"/>
        <v>48024.20236976014</v>
      </c>
      <c r="W45" s="18">
        <f t="shared" si="33"/>
        <v>54776.02648866961</v>
      </c>
    </row>
    <row r="46" spans="2:25" x14ac:dyDescent="0.25">
      <c r="Y46" s="39"/>
    </row>
    <row r="47" spans="2:25" ht="15" customHeight="1" x14ac:dyDescent="0.25">
      <c r="B47" s="1" t="s">
        <v>60</v>
      </c>
      <c r="C47" s="18"/>
      <c r="X47" s="40"/>
      <c r="Y47" s="39"/>
    </row>
    <row r="48" spans="2:25" x14ac:dyDescent="0.25">
      <c r="B48" t="s">
        <v>83</v>
      </c>
      <c r="C48" s="112">
        <f t="shared" ref="C48:W48" si="34">+(SUM(C15:C24)-C17)*$Z$19+(C17*$Z$20)</f>
        <v>9025.3799999999992</v>
      </c>
      <c r="D48" s="104">
        <f t="shared" si="34"/>
        <v>10388.120487431999</v>
      </c>
      <c r="E48" s="104">
        <f t="shared" si="34"/>
        <v>9372.9715551594454</v>
      </c>
      <c r="F48" s="104">
        <f t="shared" si="34"/>
        <v>9561.5439155070089</v>
      </c>
      <c r="G48" s="104">
        <f t="shared" si="34"/>
        <v>9753.9125345121629</v>
      </c>
      <c r="H48" s="104">
        <f t="shared" si="34"/>
        <v>9950.1538895372814</v>
      </c>
      <c r="I48" s="104">
        <f t="shared" si="34"/>
        <v>10150.345999762525</v>
      </c>
      <c r="J48" s="104">
        <f t="shared" si="34"/>
        <v>10354.56845729453</v>
      </c>
      <c r="K48" s="104">
        <f t="shared" si="34"/>
        <v>10562.902458903249</v>
      </c>
      <c r="L48" s="104">
        <f t="shared" si="34"/>
        <v>10775.43083839976</v>
      </c>
      <c r="M48" s="104">
        <f t="shared" si="34"/>
        <v>10992.238099667875</v>
      </c>
      <c r="N48" s="104">
        <f t="shared" si="34"/>
        <v>11213.410450362888</v>
      </c>
      <c r="O48" s="104">
        <f t="shared" si="34"/>
        <v>11439.035836290823</v>
      </c>
      <c r="P48" s="104">
        <f t="shared" si="34"/>
        <v>11669.20397648208</v>
      </c>
      <c r="Q48" s="104">
        <f t="shared" si="34"/>
        <v>11904.006398973333</v>
      </c>
      <c r="R48" s="104">
        <f t="shared" si="34"/>
        <v>12143.536477312213</v>
      </c>
      <c r="S48" s="104">
        <f t="shared" si="34"/>
        <v>12387.889467799198</v>
      </c>
      <c r="T48" s="104">
        <f t="shared" si="34"/>
        <v>12637.162547481708</v>
      </c>
      <c r="U48" s="104">
        <f t="shared" si="34"/>
        <v>12891.454852915636</v>
      </c>
      <c r="V48" s="104">
        <f t="shared" si="34"/>
        <v>13150.867519709722</v>
      </c>
      <c r="W48" s="104">
        <f t="shared" si="34"/>
        <v>13415.503722868738</v>
      </c>
      <c r="X48" s="40"/>
      <c r="Y48" s="39"/>
    </row>
    <row r="49" spans="2:26" x14ac:dyDescent="0.25">
      <c r="B49" t="s">
        <v>73</v>
      </c>
      <c r="C49" s="102"/>
      <c r="D49" s="104">
        <f t="shared" ref="D49:W49" si="35">+D37+D48</f>
        <v>-55836.963812667032</v>
      </c>
      <c r="E49" s="104">
        <f t="shared" si="35"/>
        <v>-28360.049987069036</v>
      </c>
      <c r="F49" s="104">
        <f t="shared" si="35"/>
        <v>-11394.876864658403</v>
      </c>
      <c r="G49" s="104">
        <f t="shared" si="35"/>
        <v>-9549.9541127567736</v>
      </c>
      <c r="H49" s="104">
        <f t="shared" si="35"/>
        <v>-7516.4035716881899</v>
      </c>
      <c r="I49" s="104">
        <f t="shared" si="35"/>
        <v>-3773.2721442820985</v>
      </c>
      <c r="J49" s="104">
        <f t="shared" si="35"/>
        <v>212.2046803703397</v>
      </c>
      <c r="K49" s="104">
        <f t="shared" si="35"/>
        <v>4453.4588332790736</v>
      </c>
      <c r="L49" s="104">
        <f t="shared" si="35"/>
        <v>8313.4388152637875</v>
      </c>
      <c r="M49" s="104">
        <f t="shared" si="35"/>
        <v>12395.849509686455</v>
      </c>
      <c r="N49" s="104">
        <f t="shared" si="35"/>
        <v>16711.855123733021</v>
      </c>
      <c r="O49" s="104">
        <f t="shared" si="35"/>
        <v>21273.147895828435</v>
      </c>
      <c r="P49" s="104">
        <f t="shared" si="35"/>
        <v>26091.972479802163</v>
      </c>
      <c r="Q49" s="104">
        <f t="shared" si="35"/>
        <v>31181.151443699069</v>
      </c>
      <c r="R49" s="104">
        <f t="shared" si="35"/>
        <v>36554.111933957582</v>
      </c>
      <c r="S49" s="104">
        <f t="shared" si="35"/>
        <v>42224.913557990578</v>
      </c>
      <c r="T49" s="104">
        <f t="shared" si="35"/>
        <v>48208.277540605108</v>
      </c>
      <c r="U49" s="104">
        <f t="shared" si="35"/>
        <v>54519.61721221984</v>
      </c>
      <c r="V49" s="104">
        <f t="shared" si="35"/>
        <v>61175.069889469858</v>
      </c>
      <c r="W49" s="104">
        <f t="shared" si="35"/>
        <v>68191.530211538367</v>
      </c>
      <c r="X49" s="104">
        <f>SUM(D49:W49)</f>
        <v>315075.0786343221</v>
      </c>
      <c r="Y49" s="39"/>
    </row>
    <row r="50" spans="2:26" x14ac:dyDescent="0.25">
      <c r="Y50" s="39"/>
    </row>
    <row r="51" spans="2:26" x14ac:dyDescent="0.25">
      <c r="B51" t="s">
        <v>66</v>
      </c>
      <c r="Y51" s="38"/>
    </row>
    <row r="52" spans="2:26" s="18" customFormat="1" x14ac:dyDescent="0.25">
      <c r="B52" t="s">
        <v>19</v>
      </c>
      <c r="C52" s="12"/>
      <c r="D52" s="106">
        <f t="shared" ref="D52:W52" si="36">D69</f>
        <v>16000</v>
      </c>
      <c r="E52" s="106">
        <f t="shared" si="36"/>
        <v>16000</v>
      </c>
      <c r="F52" s="106">
        <f t="shared" si="36"/>
        <v>16000</v>
      </c>
      <c r="G52" s="106">
        <f t="shared" si="36"/>
        <v>16000</v>
      </c>
      <c r="H52" s="106">
        <f t="shared" si="36"/>
        <v>16000</v>
      </c>
      <c r="I52" s="106">
        <f t="shared" si="36"/>
        <v>0</v>
      </c>
      <c r="J52" s="106">
        <f t="shared" si="36"/>
        <v>0</v>
      </c>
      <c r="K52" s="106">
        <f t="shared" si="36"/>
        <v>0</v>
      </c>
      <c r="L52" s="106">
        <f t="shared" si="36"/>
        <v>0</v>
      </c>
      <c r="M52" s="106">
        <f t="shared" si="36"/>
        <v>0</v>
      </c>
      <c r="N52" s="106">
        <f t="shared" si="36"/>
        <v>0</v>
      </c>
      <c r="O52" s="106">
        <f t="shared" si="36"/>
        <v>0</v>
      </c>
      <c r="P52" s="106">
        <f t="shared" si="36"/>
        <v>0</v>
      </c>
      <c r="Q52" s="106">
        <f t="shared" si="36"/>
        <v>0</v>
      </c>
      <c r="R52" s="106">
        <f t="shared" si="36"/>
        <v>0</v>
      </c>
      <c r="S52" s="106">
        <f t="shared" si="36"/>
        <v>0</v>
      </c>
      <c r="T52" s="106">
        <f t="shared" si="36"/>
        <v>0</v>
      </c>
      <c r="U52" s="106">
        <f t="shared" si="36"/>
        <v>0</v>
      </c>
      <c r="V52" s="106">
        <f t="shared" si="36"/>
        <v>0</v>
      </c>
      <c r="W52" s="106">
        <f t="shared" si="36"/>
        <v>0</v>
      </c>
      <c r="X52" s="116">
        <f>SUM(D52:W52)</f>
        <v>80000</v>
      </c>
      <c r="Y52" s="38"/>
      <c r="Z52"/>
    </row>
    <row r="53" spans="2:26" x14ac:dyDescent="0.25">
      <c r="B53" t="s">
        <v>20</v>
      </c>
      <c r="C53" s="12"/>
      <c r="D53" s="106">
        <f>+D52</f>
        <v>16000</v>
      </c>
      <c r="E53" s="106">
        <f>+D53+E52</f>
        <v>32000</v>
      </c>
      <c r="F53" s="106">
        <f t="shared" ref="F53:M53" si="37">+E53+F52</f>
        <v>48000</v>
      </c>
      <c r="G53" s="106">
        <f t="shared" si="37"/>
        <v>64000</v>
      </c>
      <c r="H53" s="106">
        <f t="shared" si="37"/>
        <v>80000</v>
      </c>
      <c r="I53" s="106">
        <f t="shared" si="37"/>
        <v>80000</v>
      </c>
      <c r="J53" s="106">
        <f t="shared" si="37"/>
        <v>80000</v>
      </c>
      <c r="K53" s="106">
        <f t="shared" si="37"/>
        <v>80000</v>
      </c>
      <c r="L53" s="106">
        <f t="shared" si="37"/>
        <v>80000</v>
      </c>
      <c r="M53" s="106">
        <f t="shared" si="37"/>
        <v>80000</v>
      </c>
      <c r="N53" s="106">
        <f t="shared" ref="N53:W53" si="38">+M53+N52</f>
        <v>80000</v>
      </c>
      <c r="O53" s="106">
        <f t="shared" si="38"/>
        <v>80000</v>
      </c>
      <c r="P53" s="106">
        <f t="shared" si="38"/>
        <v>80000</v>
      </c>
      <c r="Q53" s="106">
        <f t="shared" si="38"/>
        <v>80000</v>
      </c>
      <c r="R53" s="106">
        <f t="shared" si="38"/>
        <v>80000</v>
      </c>
      <c r="S53" s="106">
        <f t="shared" si="38"/>
        <v>80000</v>
      </c>
      <c r="T53" s="106">
        <f t="shared" si="38"/>
        <v>80000</v>
      </c>
      <c r="U53" s="106">
        <f t="shared" si="38"/>
        <v>80000</v>
      </c>
      <c r="V53" s="106">
        <f t="shared" si="38"/>
        <v>80000</v>
      </c>
      <c r="W53" s="106">
        <f t="shared" si="38"/>
        <v>80000</v>
      </c>
      <c r="Y53" s="38"/>
    </row>
    <row r="54" spans="2:26" ht="15" customHeight="1" x14ac:dyDescent="0.25">
      <c r="B54" t="s">
        <v>21</v>
      </c>
      <c r="C54" s="12"/>
      <c r="D54" s="113">
        <v>5000</v>
      </c>
      <c r="E54" s="114">
        <f>+((E52)/19)+(D56/19)</f>
        <v>1421.0526315789473</v>
      </c>
      <c r="F54" s="114">
        <f>+F52/18+(E54)</f>
        <v>2309.9415204678362</v>
      </c>
      <c r="G54" s="114">
        <f>+G52/17+(F54)</f>
        <v>3251.1179910560713</v>
      </c>
      <c r="H54" s="114">
        <f>+H52/16+(G54)</f>
        <v>4251.1179910560713</v>
      </c>
      <c r="I54" s="114">
        <f>+I52/15+(H54)</f>
        <v>4251.1179910560713</v>
      </c>
      <c r="J54" s="114">
        <f>+J52/14+(I54)</f>
        <v>4251.1179910560713</v>
      </c>
      <c r="K54" s="114">
        <f>+K52/13+(J54)</f>
        <v>4251.1179910560713</v>
      </c>
      <c r="L54" s="114">
        <f>+L52/12+(K54)</f>
        <v>4251.1179910560713</v>
      </c>
      <c r="M54" s="114">
        <f>+M52/11+(L54)</f>
        <v>4251.1179910560713</v>
      </c>
      <c r="N54" s="114">
        <f>+N52/10+(M54)</f>
        <v>4251.1179910560713</v>
      </c>
      <c r="O54" s="114">
        <f>+O52/9+(N54)</f>
        <v>4251.1179910560713</v>
      </c>
      <c r="P54" s="114">
        <f>+P52/8+(O54)</f>
        <v>4251.1179910560713</v>
      </c>
      <c r="Q54" s="114">
        <f>+Q52/7+(P54)</f>
        <v>4251.1179910560713</v>
      </c>
      <c r="R54" s="114">
        <f>+R52/6+(Q54)</f>
        <v>4251.1179910560713</v>
      </c>
      <c r="S54" s="114">
        <f>+S52/5+(R54)</f>
        <v>4251.1179910560713</v>
      </c>
      <c r="T54" s="114">
        <f>+T52/4+(S54)</f>
        <v>4251.1179910560713</v>
      </c>
      <c r="U54" s="114">
        <f>+U52/3+(T54)</f>
        <v>4251.1179910560713</v>
      </c>
      <c r="V54" s="114">
        <f>+V52/2+(U54)</f>
        <v>4251.1179910560713</v>
      </c>
      <c r="W54" s="114">
        <f>+W52/1+(V54)</f>
        <v>4251.1179910560713</v>
      </c>
      <c r="X54" s="116">
        <f>SUM(D54:W54)</f>
        <v>80000.000000000029</v>
      </c>
      <c r="Y54" s="38"/>
    </row>
    <row r="55" spans="2:26" ht="15" customHeight="1" x14ac:dyDescent="0.25">
      <c r="B55" t="s">
        <v>22</v>
      </c>
      <c r="C55" s="12"/>
      <c r="D55" s="106">
        <f>+D54</f>
        <v>5000</v>
      </c>
      <c r="E55" s="106">
        <f>+D55+E54</f>
        <v>6421.0526315789475</v>
      </c>
      <c r="F55" s="106">
        <f t="shared" ref="F55:M55" si="39">+E55+F54</f>
        <v>8730.9941520467837</v>
      </c>
      <c r="G55" s="106">
        <f t="shared" si="39"/>
        <v>11982.112143102855</v>
      </c>
      <c r="H55" s="106">
        <f t="shared" si="39"/>
        <v>16233.230134158926</v>
      </c>
      <c r="I55" s="106">
        <f t="shared" si="39"/>
        <v>20484.348125214998</v>
      </c>
      <c r="J55" s="106">
        <f t="shared" si="39"/>
        <v>24735.466116271069</v>
      </c>
      <c r="K55" s="106">
        <f t="shared" si="39"/>
        <v>28986.58410732714</v>
      </c>
      <c r="L55" s="106">
        <f t="shared" si="39"/>
        <v>33237.702098383212</v>
      </c>
      <c r="M55" s="106">
        <f t="shared" si="39"/>
        <v>37488.820089439279</v>
      </c>
      <c r="N55" s="106">
        <f t="shared" ref="N55:W55" si="40">+M55+N54</f>
        <v>41739.938080495354</v>
      </c>
      <c r="O55" s="106">
        <f t="shared" si="40"/>
        <v>45991.056071551429</v>
      </c>
      <c r="P55" s="106">
        <f t="shared" si="40"/>
        <v>50242.174062607504</v>
      </c>
      <c r="Q55" s="106">
        <f t="shared" si="40"/>
        <v>54493.292053663579</v>
      </c>
      <c r="R55" s="106">
        <f t="shared" si="40"/>
        <v>58744.410044719654</v>
      </c>
      <c r="S55" s="106">
        <f t="shared" si="40"/>
        <v>62995.528035775729</v>
      </c>
      <c r="T55" s="106">
        <f t="shared" si="40"/>
        <v>67246.646026831804</v>
      </c>
      <c r="U55" s="106">
        <f t="shared" si="40"/>
        <v>71497.764017887879</v>
      </c>
      <c r="V55" s="106">
        <f t="shared" si="40"/>
        <v>75748.882008943954</v>
      </c>
      <c r="W55" s="106">
        <f t="shared" si="40"/>
        <v>80000.000000000029</v>
      </c>
    </row>
    <row r="56" spans="2:26" x14ac:dyDescent="0.25">
      <c r="B56" t="s">
        <v>23</v>
      </c>
      <c r="C56" s="12"/>
      <c r="D56" s="106">
        <f>+D53-D55</f>
        <v>11000</v>
      </c>
      <c r="E56" s="106">
        <f>+E53-E55</f>
        <v>25578.947368421053</v>
      </c>
      <c r="F56" s="106">
        <f t="shared" ref="F56:M56" si="41">+F53-F55</f>
        <v>39269.005847953216</v>
      </c>
      <c r="G56" s="106">
        <f t="shared" si="41"/>
        <v>52017.887856897141</v>
      </c>
      <c r="H56" s="106">
        <f t="shared" si="41"/>
        <v>63766.769865841074</v>
      </c>
      <c r="I56" s="106">
        <f t="shared" si="41"/>
        <v>59515.651874785006</v>
      </c>
      <c r="J56" s="106">
        <f t="shared" si="41"/>
        <v>55264.533883728931</v>
      </c>
      <c r="K56" s="106">
        <f t="shared" si="41"/>
        <v>51013.415892672856</v>
      </c>
      <c r="L56" s="106">
        <f t="shared" si="41"/>
        <v>46762.297901616788</v>
      </c>
      <c r="M56" s="106">
        <f t="shared" si="41"/>
        <v>42511.179910560721</v>
      </c>
      <c r="N56" s="106">
        <f t="shared" ref="N56:W56" si="42">+N53-N55</f>
        <v>38260.061919504646</v>
      </c>
      <c r="O56" s="106">
        <f t="shared" si="42"/>
        <v>34008.943928448571</v>
      </c>
      <c r="P56" s="106">
        <f t="shared" si="42"/>
        <v>29757.825937392496</v>
      </c>
      <c r="Q56" s="106">
        <f t="shared" si="42"/>
        <v>25506.707946336421</v>
      </c>
      <c r="R56" s="106">
        <f t="shared" si="42"/>
        <v>21255.589955280346</v>
      </c>
      <c r="S56" s="106">
        <f t="shared" si="42"/>
        <v>17004.471964224271</v>
      </c>
      <c r="T56" s="106">
        <f t="shared" si="42"/>
        <v>12753.353973168196</v>
      </c>
      <c r="U56" s="106">
        <f t="shared" si="42"/>
        <v>8502.2359821121208</v>
      </c>
      <c r="V56" s="106">
        <f t="shared" si="42"/>
        <v>4251.1179910560459</v>
      </c>
      <c r="W56" s="106">
        <f t="shared" si="42"/>
        <v>0</v>
      </c>
    </row>
    <row r="57" spans="2:26" x14ac:dyDescent="0.25">
      <c r="B57" t="s">
        <v>18</v>
      </c>
      <c r="C57" s="12"/>
      <c r="D57" s="115">
        <f t="shared" ref="D57:W57" si="43">+D33</f>
        <v>330</v>
      </c>
      <c r="E57" s="115">
        <f t="shared" si="43"/>
        <v>767.36842105263156</v>
      </c>
      <c r="F57" s="115">
        <f t="shared" si="43"/>
        <v>1178.0701754385964</v>
      </c>
      <c r="G57" s="115">
        <f t="shared" si="43"/>
        <v>1560.5366357069142</v>
      </c>
      <c r="H57" s="115">
        <f t="shared" si="43"/>
        <v>1913.0030959752321</v>
      </c>
      <c r="I57" s="115">
        <f t="shared" si="43"/>
        <v>1785.4695562435502</v>
      </c>
      <c r="J57" s="115">
        <f t="shared" si="43"/>
        <v>1657.9360165118678</v>
      </c>
      <c r="K57" s="115">
        <f t="shared" si="43"/>
        <v>1530.4024767801857</v>
      </c>
      <c r="L57" s="115">
        <f t="shared" si="43"/>
        <v>1402.8689370485035</v>
      </c>
      <c r="M57" s="115">
        <f t="shared" si="43"/>
        <v>1275.3353973168216</v>
      </c>
      <c r="N57" s="115">
        <f t="shared" si="43"/>
        <v>1147.8018575851393</v>
      </c>
      <c r="O57" s="115">
        <f t="shared" si="43"/>
        <v>1020.2683178534571</v>
      </c>
      <c r="P57" s="115">
        <f t="shared" si="43"/>
        <v>892.73477812177487</v>
      </c>
      <c r="Q57" s="115">
        <f t="shared" si="43"/>
        <v>765.20123839009261</v>
      </c>
      <c r="R57" s="115">
        <f t="shared" si="43"/>
        <v>637.66769865841036</v>
      </c>
      <c r="S57" s="115">
        <f t="shared" si="43"/>
        <v>510.13415892672811</v>
      </c>
      <c r="T57" s="115">
        <f t="shared" si="43"/>
        <v>382.60061919504585</v>
      </c>
      <c r="U57" s="115">
        <f t="shared" si="43"/>
        <v>255.06707946336363</v>
      </c>
      <c r="V57" s="115">
        <f t="shared" si="43"/>
        <v>127.53353973168137</v>
      </c>
      <c r="W57" s="115">
        <f t="shared" si="43"/>
        <v>0</v>
      </c>
      <c r="X57" s="104">
        <f>SUM(D57:W57)</f>
        <v>19139.999999999996</v>
      </c>
    </row>
    <row r="58" spans="2:26" x14ac:dyDescent="0.25">
      <c r="B58" t="s">
        <v>87</v>
      </c>
      <c r="C58" s="12"/>
      <c r="D58" s="106">
        <f>+D26-D12</f>
        <v>44632.035904031989</v>
      </c>
      <c r="E58" s="106">
        <f>+E26-E12</f>
        <v>19081.544486022962</v>
      </c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</row>
    <row r="59" spans="2:26" x14ac:dyDescent="0.25">
      <c r="Y59" s="18"/>
      <c r="Z59" s="18"/>
    </row>
    <row r="60" spans="2:26" ht="15" customHeight="1" x14ac:dyDescent="0.25">
      <c r="B60" s="18" t="s">
        <v>67</v>
      </c>
      <c r="C60" s="13">
        <v>25325</v>
      </c>
      <c r="D60" s="104">
        <f>C60*(1+$Z$7)*(1+$Z$6)</f>
        <v>25578.25</v>
      </c>
      <c r="E60" s="104">
        <f t="shared" ref="E60:W60" si="44">D60*(1+$Z$7)*(1+$Z$6)</f>
        <v>25834.032500000001</v>
      </c>
      <c r="F60" s="104">
        <f t="shared" si="44"/>
        <v>26092.372825000002</v>
      </c>
      <c r="G60" s="104">
        <f t="shared" si="44"/>
        <v>26353.296553250002</v>
      </c>
      <c r="H60" s="104">
        <f t="shared" si="44"/>
        <v>26616.829518782502</v>
      </c>
      <c r="I60" s="104">
        <f t="shared" si="44"/>
        <v>26882.997813970327</v>
      </c>
      <c r="J60" s="104">
        <f t="shared" si="44"/>
        <v>27151.827792110031</v>
      </c>
      <c r="K60" s="104">
        <f t="shared" si="44"/>
        <v>27423.34607003113</v>
      </c>
      <c r="L60" s="104">
        <f t="shared" si="44"/>
        <v>27697.57953073144</v>
      </c>
      <c r="M60" s="104">
        <f t="shared" si="44"/>
        <v>27974.555326038753</v>
      </c>
      <c r="N60" s="104">
        <f t="shared" si="44"/>
        <v>28254.300879299142</v>
      </c>
      <c r="O60" s="104">
        <f t="shared" si="44"/>
        <v>28536.843888092135</v>
      </c>
      <c r="P60" s="104">
        <f t="shared" si="44"/>
        <v>28822.212326973058</v>
      </c>
      <c r="Q60" s="104">
        <f t="shared" si="44"/>
        <v>29110.434450242788</v>
      </c>
      <c r="R60" s="104">
        <f t="shared" si="44"/>
        <v>29401.538794745218</v>
      </c>
      <c r="S60" s="104">
        <f t="shared" si="44"/>
        <v>29695.554182692671</v>
      </c>
      <c r="T60" s="104">
        <f t="shared" si="44"/>
        <v>29992.509724519598</v>
      </c>
      <c r="U60" s="104">
        <f t="shared" si="44"/>
        <v>30292.434821764793</v>
      </c>
      <c r="V60" s="104">
        <f t="shared" si="44"/>
        <v>30595.359169982443</v>
      </c>
      <c r="W60" s="104">
        <f t="shared" si="44"/>
        <v>30901.312761682268</v>
      </c>
      <c r="X60" s="18"/>
    </row>
    <row r="61" spans="2:26" x14ac:dyDescent="0.25">
      <c r="B61" t="s">
        <v>63</v>
      </c>
      <c r="C61" s="13">
        <v>25828</v>
      </c>
      <c r="D61" s="104">
        <f t="shared" ref="D61:W61" si="45">+D7</f>
        <v>26086.28</v>
      </c>
      <c r="E61" s="104">
        <f t="shared" si="45"/>
        <v>26347.142799999998</v>
      </c>
      <c r="F61" s="104">
        <f t="shared" si="45"/>
        <v>26610.614227999999</v>
      </c>
      <c r="G61" s="104">
        <f t="shared" si="45"/>
        <v>26876.72037028</v>
      </c>
      <c r="H61" s="104">
        <f t="shared" si="45"/>
        <v>27145.487573982798</v>
      </c>
      <c r="I61" s="104">
        <f t="shared" si="45"/>
        <v>27416.942449722628</v>
      </c>
      <c r="J61" s="104">
        <f t="shared" si="45"/>
        <v>27691.111874219856</v>
      </c>
      <c r="K61" s="104">
        <f t="shared" si="45"/>
        <v>27968.022992962055</v>
      </c>
      <c r="L61" s="104">
        <f t="shared" si="45"/>
        <v>28247.703222891676</v>
      </c>
      <c r="M61" s="104">
        <f t="shared" si="45"/>
        <v>28530.180255120595</v>
      </c>
      <c r="N61" s="104">
        <f t="shared" si="45"/>
        <v>28815.482057671801</v>
      </c>
      <c r="O61" s="104">
        <f t="shared" si="45"/>
        <v>29103.636878248519</v>
      </c>
      <c r="P61" s="104">
        <f t="shared" si="45"/>
        <v>29394.673247031005</v>
      </c>
      <c r="Q61" s="104">
        <f t="shared" si="45"/>
        <v>29688.619979501316</v>
      </c>
      <c r="R61" s="104">
        <f t="shared" si="45"/>
        <v>29985.506179296328</v>
      </c>
      <c r="S61" s="104">
        <f t="shared" si="45"/>
        <v>30285.361241089293</v>
      </c>
      <c r="T61" s="104">
        <f t="shared" si="45"/>
        <v>30588.214853500187</v>
      </c>
      <c r="U61" s="104">
        <f t="shared" si="45"/>
        <v>30894.097002035189</v>
      </c>
      <c r="V61" s="104">
        <f t="shared" si="45"/>
        <v>31203.037972055539</v>
      </c>
      <c r="W61" s="104">
        <f t="shared" si="45"/>
        <v>31515.068351776095</v>
      </c>
      <c r="X61" s="143" t="s">
        <v>75</v>
      </c>
    </row>
    <row r="62" spans="2:26" x14ac:dyDescent="0.25">
      <c r="B62" t="s">
        <v>24</v>
      </c>
      <c r="C62" s="13">
        <v>57780</v>
      </c>
      <c r="D62" s="104">
        <f>D60/D63</f>
        <v>56654.735171132103</v>
      </c>
      <c r="E62" s="104">
        <f t="shared" ref="E62:W62" si="46">E60/E63</f>
        <v>56654.735171132103</v>
      </c>
      <c r="F62" s="104">
        <f t="shared" si="46"/>
        <v>56654.735171132103</v>
      </c>
      <c r="G62" s="104">
        <f t="shared" si="46"/>
        <v>56654.73517113211</v>
      </c>
      <c r="H62" s="104">
        <f t="shared" si="46"/>
        <v>56654.735171132103</v>
      </c>
      <c r="I62" s="104">
        <f t="shared" si="46"/>
        <v>56654.735171132103</v>
      </c>
      <c r="J62" s="104">
        <f t="shared" si="46"/>
        <v>56654.73517113211</v>
      </c>
      <c r="K62" s="104">
        <f t="shared" si="46"/>
        <v>56654.735171132103</v>
      </c>
      <c r="L62" s="104">
        <f t="shared" si="46"/>
        <v>56654.735171132103</v>
      </c>
      <c r="M62" s="104">
        <f t="shared" si="46"/>
        <v>56654.735171132095</v>
      </c>
      <c r="N62" s="104">
        <f t="shared" si="46"/>
        <v>56654.735171132095</v>
      </c>
      <c r="O62" s="104">
        <f t="shared" si="46"/>
        <v>56654.735171132095</v>
      </c>
      <c r="P62" s="104">
        <f t="shared" si="46"/>
        <v>56654.735171132095</v>
      </c>
      <c r="Q62" s="104">
        <f t="shared" si="46"/>
        <v>56654.735171132095</v>
      </c>
      <c r="R62" s="104">
        <f t="shared" si="46"/>
        <v>56654.735171132103</v>
      </c>
      <c r="S62" s="104">
        <f t="shared" si="46"/>
        <v>56654.735171132095</v>
      </c>
      <c r="T62" s="104">
        <f t="shared" si="46"/>
        <v>56654.735171132095</v>
      </c>
      <c r="U62" s="104">
        <f t="shared" si="46"/>
        <v>56654.735171132103</v>
      </c>
      <c r="V62" s="104">
        <f t="shared" si="46"/>
        <v>56654.735171132103</v>
      </c>
      <c r="W62" s="104">
        <f t="shared" si="46"/>
        <v>56654.735171132103</v>
      </c>
      <c r="X62" s="143"/>
    </row>
    <row r="63" spans="2:26" ht="15" customHeight="1" x14ac:dyDescent="0.25">
      <c r="B63" t="s">
        <v>25</v>
      </c>
      <c r="C63" s="141">
        <f>+C61/C62</f>
        <v>0.44700588438906197</v>
      </c>
      <c r="D63" s="118">
        <f>C63*1.01</f>
        <v>0.45147594323295259</v>
      </c>
      <c r="E63" s="118">
        <f t="shared" ref="E63:V63" si="47">D63*1.01</f>
        <v>0.45599070266528213</v>
      </c>
      <c r="F63" s="118">
        <f t="shared" si="47"/>
        <v>0.46055060969193495</v>
      </c>
      <c r="G63" s="118">
        <f t="shared" si="47"/>
        <v>0.4651561157888543</v>
      </c>
      <c r="H63" s="118">
        <f t="shared" si="47"/>
        <v>0.46980767694674286</v>
      </c>
      <c r="I63" s="118">
        <f t="shared" si="47"/>
        <v>0.47450575371621029</v>
      </c>
      <c r="J63" s="118">
        <f t="shared" si="47"/>
        <v>0.47925081125337238</v>
      </c>
      <c r="K63" s="118">
        <f t="shared" si="47"/>
        <v>0.48404331936590611</v>
      </c>
      <c r="L63" s="118">
        <f t="shared" si="47"/>
        <v>0.48888375255956518</v>
      </c>
      <c r="M63" s="118">
        <f t="shared" si="47"/>
        <v>0.49377259008516083</v>
      </c>
      <c r="N63" s="118">
        <f t="shared" si="47"/>
        <v>0.49871031598601245</v>
      </c>
      <c r="O63" s="118">
        <f t="shared" si="47"/>
        <v>0.50369741914587263</v>
      </c>
      <c r="P63" s="118">
        <f t="shared" si="47"/>
        <v>0.50873439333733139</v>
      </c>
      <c r="Q63" s="118">
        <f t="shared" si="47"/>
        <v>0.51382173727070468</v>
      </c>
      <c r="R63" s="118">
        <f t="shared" si="47"/>
        <v>0.51895995464341171</v>
      </c>
      <c r="S63" s="118">
        <f t="shared" si="47"/>
        <v>0.52414955418984588</v>
      </c>
      <c r="T63" s="118">
        <f t="shared" si="47"/>
        <v>0.52939104973174433</v>
      </c>
      <c r="U63" s="118">
        <f t="shared" si="47"/>
        <v>0.53468496022906176</v>
      </c>
      <c r="V63" s="118">
        <f t="shared" si="47"/>
        <v>0.54003180983135235</v>
      </c>
      <c r="W63" s="118">
        <f>V63*1.01</f>
        <v>0.54543212792966589</v>
      </c>
      <c r="X63" s="144"/>
    </row>
    <row r="64" spans="2:26" ht="15" customHeight="1" x14ac:dyDescent="0.25">
      <c r="B64" t="s">
        <v>71</v>
      </c>
      <c r="C64" s="117">
        <f>+C9/C61</f>
        <v>2.0315549016571164</v>
      </c>
      <c r="D64" s="119">
        <f>C64*(1+D65)</f>
        <v>2.5134397243301847</v>
      </c>
      <c r="E64" s="119">
        <f t="shared" ref="E64:W64" si="48">D64*(1+E65)</f>
        <v>3.1096276269413048</v>
      </c>
      <c r="F64" s="119">
        <f t="shared" si="48"/>
        <v>3.8472313000517824</v>
      </c>
      <c r="G64" s="119">
        <f t="shared" si="48"/>
        <v>4.0011205520538535</v>
      </c>
      <c r="H64" s="119">
        <f t="shared" si="48"/>
        <v>4.161165374136008</v>
      </c>
      <c r="I64" s="119">
        <f t="shared" si="48"/>
        <v>4.3276119891014488</v>
      </c>
      <c r="J64" s="119">
        <f t="shared" si="48"/>
        <v>4.500716468665507</v>
      </c>
      <c r="K64" s="119">
        <f t="shared" si="48"/>
        <v>4.680745127412127</v>
      </c>
      <c r="L64" s="119">
        <f t="shared" si="48"/>
        <v>4.8445712068715512</v>
      </c>
      <c r="M64" s="119">
        <f t="shared" si="48"/>
        <v>5.0141311991120547</v>
      </c>
      <c r="N64" s="119">
        <f t="shared" si="48"/>
        <v>5.1896257910809762</v>
      </c>
      <c r="O64" s="119">
        <f t="shared" si="48"/>
        <v>5.3712626937688102</v>
      </c>
      <c r="P64" s="119">
        <f t="shared" si="48"/>
        <v>5.5592568880507178</v>
      </c>
      <c r="Q64" s="119">
        <f t="shared" si="48"/>
        <v>5.7538308791324928</v>
      </c>
      <c r="R64" s="119">
        <f t="shared" si="48"/>
        <v>5.95521495990213</v>
      </c>
      <c r="S64" s="119">
        <f t="shared" si="48"/>
        <v>6.1636474834987043</v>
      </c>
      <c r="T64" s="119">
        <f t="shared" si="48"/>
        <v>6.3793751454211582</v>
      </c>
      <c r="U64" s="119">
        <f t="shared" si="48"/>
        <v>6.6026532755108986</v>
      </c>
      <c r="V64" s="119">
        <f t="shared" si="48"/>
        <v>6.8337461401537798</v>
      </c>
      <c r="W64" s="119">
        <f t="shared" si="48"/>
        <v>7.0729272550591613</v>
      </c>
      <c r="X64" s="142">
        <f>AVERAGE(D64:W64)</f>
        <v>5.0940950540127341</v>
      </c>
    </row>
    <row r="65" spans="2:26" x14ac:dyDescent="0.25">
      <c r="B65" t="s">
        <v>47</v>
      </c>
      <c r="C65" s="12"/>
      <c r="D65" s="120">
        <v>0.23719999999999999</v>
      </c>
      <c r="E65" s="120">
        <v>0.23719999999999999</v>
      </c>
      <c r="F65" s="120">
        <v>0.23719999999999999</v>
      </c>
      <c r="G65" s="120">
        <v>0.04</v>
      </c>
      <c r="H65" s="120">
        <v>0.04</v>
      </c>
      <c r="I65" s="120">
        <v>0.04</v>
      </c>
      <c r="J65" s="120">
        <v>0.04</v>
      </c>
      <c r="K65" s="120">
        <v>0.04</v>
      </c>
      <c r="L65" s="120">
        <v>3.5000000000000003E-2</v>
      </c>
      <c r="M65" s="120">
        <v>3.5000000000000003E-2</v>
      </c>
      <c r="N65" s="120">
        <v>3.5000000000000003E-2</v>
      </c>
      <c r="O65" s="120">
        <v>3.5000000000000003E-2</v>
      </c>
      <c r="P65" s="120">
        <v>3.5000000000000003E-2</v>
      </c>
      <c r="Q65" s="120">
        <v>3.5000000000000003E-2</v>
      </c>
      <c r="R65" s="120">
        <v>3.5000000000000003E-2</v>
      </c>
      <c r="S65" s="120">
        <v>3.5000000000000003E-2</v>
      </c>
      <c r="T65" s="120">
        <v>3.5000000000000003E-2</v>
      </c>
      <c r="U65" s="120">
        <v>3.5000000000000003E-2</v>
      </c>
      <c r="V65" s="120">
        <v>3.5000000000000003E-2</v>
      </c>
      <c r="W65" s="120">
        <v>3.5000000000000003E-2</v>
      </c>
    </row>
    <row r="68" spans="2:26" x14ac:dyDescent="0.25">
      <c r="B68" s="130" t="s">
        <v>94</v>
      </c>
      <c r="C68" s="131" t="s">
        <v>74</v>
      </c>
      <c r="X68" s="28" t="s">
        <v>59</v>
      </c>
    </row>
    <row r="69" spans="2:26" x14ac:dyDescent="0.25">
      <c r="B69" s="22" t="s">
        <v>95</v>
      </c>
      <c r="C69" s="129">
        <v>80000</v>
      </c>
      <c r="D69" s="53">
        <f>+$C$69/5</f>
        <v>16000</v>
      </c>
      <c r="E69" s="53">
        <f t="shared" ref="E69:H69" si="49">+$C$69/5</f>
        <v>16000</v>
      </c>
      <c r="F69" s="53">
        <f t="shared" si="49"/>
        <v>16000</v>
      </c>
      <c r="G69" s="53">
        <f t="shared" si="49"/>
        <v>16000</v>
      </c>
      <c r="H69" s="53">
        <f t="shared" si="49"/>
        <v>16000</v>
      </c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2">
        <f>+SUM(D69:W69)</f>
        <v>80000</v>
      </c>
    </row>
    <row r="71" spans="2:26" ht="7.5" customHeight="1" x14ac:dyDescent="0.25"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3" spans="2:26" x14ac:dyDescent="0.25">
      <c r="B73" s="59" t="s">
        <v>28</v>
      </c>
      <c r="C73" s="60"/>
      <c r="D73" s="14">
        <f>+D12</f>
        <v>68015.54241200001</v>
      </c>
      <c r="E73" s="14">
        <f t="shared" ref="E73:W73" si="50">+E12</f>
        <v>84403.545641847668</v>
      </c>
      <c r="F73" s="14">
        <f t="shared" si="50"/>
        <v>104875.6678965649</v>
      </c>
      <c r="G73" s="14">
        <f t="shared" si="50"/>
        <v>110060.46296958177</v>
      </c>
      <c r="H73" s="14">
        <f t="shared" si="50"/>
        <v>115505.56232838899</v>
      </c>
      <c r="I73" s="14">
        <f t="shared" si="50"/>
        <v>121224.07521513151</v>
      </c>
      <c r="J73" s="14">
        <f t="shared" si="50"/>
        <v>127229.77147681978</v>
      </c>
      <c r="K73" s="14">
        <f t="shared" si="50"/>
        <v>133537.11485880555</v>
      </c>
      <c r="L73" s="14">
        <f t="shared" si="50"/>
        <v>139500.19648013331</v>
      </c>
      <c r="M73" s="14">
        <f t="shared" si="50"/>
        <v>145732.77558761305</v>
      </c>
      <c r="N73" s="14">
        <f t="shared" si="50"/>
        <v>152247.06460958809</v>
      </c>
      <c r="O73" s="14">
        <f t="shared" si="50"/>
        <v>159055.82971520047</v>
      </c>
      <c r="P73" s="14">
        <f t="shared" si="50"/>
        <v>166172.41592560802</v>
      </c>
      <c r="Q73" s="14">
        <f t="shared" si="50"/>
        <v>173610.77336398579</v>
      </c>
      <c r="R73" s="14">
        <f t="shared" si="50"/>
        <v>181385.4846959555</v>
      </c>
      <c r="S73" s="14">
        <f t="shared" si="50"/>
        <v>189511.79381442917</v>
      </c>
      <c r="T73" s="14">
        <f t="shared" si="50"/>
        <v>198005.63582530076</v>
      </c>
      <c r="U73" s="14">
        <f t="shared" si="50"/>
        <v>206883.66839297922</v>
      </c>
      <c r="V73" s="14">
        <f t="shared" si="50"/>
        <v>216163.30450743192</v>
      </c>
      <c r="W73" s="14">
        <f t="shared" si="50"/>
        <v>225862.74673720336</v>
      </c>
      <c r="X73" s="2"/>
    </row>
    <row r="74" spans="2:26" x14ac:dyDescent="0.25">
      <c r="B74" s="16"/>
      <c r="S74" s="18"/>
      <c r="T74" s="18"/>
      <c r="U74" s="18"/>
      <c r="V74" s="18"/>
      <c r="W74" s="18"/>
      <c r="X74" s="2"/>
    </row>
    <row r="75" spans="2:26" x14ac:dyDescent="0.25">
      <c r="B75" s="59" t="s">
        <v>29</v>
      </c>
      <c r="C75" s="60"/>
      <c r="D75" s="14">
        <f>+D26+D28</f>
        <v>120195.03689716842</v>
      </c>
      <c r="E75" s="14">
        <f t="shared" ref="E75:W75" si="51">+E26+E28</f>
        <v>111032.54870900705</v>
      </c>
      <c r="F75" s="14">
        <f t="shared" si="51"/>
        <v>113111.0054409061</v>
      </c>
      <c r="G75" s="14">
        <f t="shared" si="51"/>
        <v>115231.23039928281</v>
      </c>
      <c r="H75" s="14">
        <f t="shared" si="51"/>
        <v>117394.06345611198</v>
      </c>
      <c r="I75" s="14">
        <f t="shared" si="51"/>
        <v>119600.36138247242</v>
      </c>
      <c r="J75" s="14">
        <f t="shared" si="51"/>
        <v>121850.99818881486</v>
      </c>
      <c r="K75" s="14">
        <f t="shared" si="51"/>
        <v>124146.8654720862</v>
      </c>
      <c r="L75" s="14">
        <f t="shared" si="51"/>
        <v>126488.87276984868</v>
      </c>
      <c r="M75" s="14">
        <f t="shared" si="51"/>
        <v>128877.94792153494</v>
      </c>
      <c r="N75" s="14">
        <f t="shared" si="51"/>
        <v>131315.0374369832</v>
      </c>
      <c r="O75" s="14">
        <f t="shared" si="51"/>
        <v>133801.10687239858</v>
      </c>
      <c r="P75" s="14">
        <f t="shared" si="51"/>
        <v>136337.14121389171</v>
      </c>
      <c r="Q75" s="14">
        <f t="shared" si="51"/>
        <v>138924.1452687456</v>
      </c>
      <c r="R75" s="14">
        <f t="shared" si="51"/>
        <v>141563.14406456868</v>
      </c>
      <c r="S75" s="14">
        <f t="shared" si="51"/>
        <v>144255.18325649132</v>
      </c>
      <c r="T75" s="14">
        <f t="shared" si="51"/>
        <v>147001.32954256912</v>
      </c>
      <c r="U75" s="14">
        <f t="shared" si="51"/>
        <v>149802.67108755832</v>
      </c>
      <c r="V75" s="14">
        <f t="shared" si="51"/>
        <v>152660.31795523161</v>
      </c>
      <c r="W75" s="14">
        <f t="shared" si="51"/>
        <v>155575.40254940779</v>
      </c>
      <c r="X75" s="2"/>
    </row>
    <row r="76" spans="2:26" x14ac:dyDescent="0.25">
      <c r="B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8"/>
      <c r="T76" s="18"/>
      <c r="U76" s="18"/>
      <c r="V76" s="18"/>
      <c r="W76" s="18"/>
      <c r="X76" s="2"/>
    </row>
    <row r="77" spans="2:26" x14ac:dyDescent="0.25">
      <c r="B77" s="61" t="s">
        <v>50</v>
      </c>
      <c r="C77" s="62"/>
      <c r="D77" s="63">
        <f t="shared" ref="D77:W77" si="52">+D32</f>
        <v>5000</v>
      </c>
      <c r="E77" s="63">
        <f t="shared" si="52"/>
        <v>1421.0526315789473</v>
      </c>
      <c r="F77" s="63">
        <f t="shared" si="52"/>
        <v>2309.9415204678362</v>
      </c>
      <c r="G77" s="63">
        <f t="shared" si="52"/>
        <v>3251.1179910560713</v>
      </c>
      <c r="H77" s="63">
        <f t="shared" si="52"/>
        <v>4251.1179910560713</v>
      </c>
      <c r="I77" s="63">
        <f t="shared" si="52"/>
        <v>4251.1179910560713</v>
      </c>
      <c r="J77" s="63">
        <f t="shared" si="52"/>
        <v>4251.1179910560713</v>
      </c>
      <c r="K77" s="63">
        <f t="shared" si="52"/>
        <v>4251.1179910560713</v>
      </c>
      <c r="L77" s="63">
        <f t="shared" si="52"/>
        <v>4251.1179910560713</v>
      </c>
      <c r="M77" s="63">
        <f t="shared" si="52"/>
        <v>4251.1179910560713</v>
      </c>
      <c r="N77" s="63">
        <f t="shared" si="52"/>
        <v>4251.1179910560713</v>
      </c>
      <c r="O77" s="63">
        <f t="shared" si="52"/>
        <v>4251.1179910560713</v>
      </c>
      <c r="P77" s="63">
        <f t="shared" si="52"/>
        <v>4251.1179910560713</v>
      </c>
      <c r="Q77" s="63">
        <f t="shared" si="52"/>
        <v>4251.1179910560713</v>
      </c>
      <c r="R77" s="63">
        <f t="shared" si="52"/>
        <v>4251.1179910560713</v>
      </c>
      <c r="S77" s="63">
        <f t="shared" si="52"/>
        <v>4251.1179910560713</v>
      </c>
      <c r="T77" s="63">
        <f t="shared" si="52"/>
        <v>4251.1179910560713</v>
      </c>
      <c r="U77" s="63">
        <f t="shared" si="52"/>
        <v>4251.1179910560713</v>
      </c>
      <c r="V77" s="63">
        <f t="shared" si="52"/>
        <v>4251.1179910560713</v>
      </c>
      <c r="W77" s="63">
        <f t="shared" si="52"/>
        <v>4251.1179910560713</v>
      </c>
      <c r="X77" s="2"/>
      <c r="Y77" s="22" t="s">
        <v>52</v>
      </c>
      <c r="Z77" s="23">
        <f>SUM(D77:W77)</f>
        <v>80000.000000000029</v>
      </c>
    </row>
    <row r="78" spans="2:26" x14ac:dyDescent="0.25">
      <c r="B78" s="64" t="s">
        <v>30</v>
      </c>
      <c r="C78" s="65"/>
      <c r="D78" s="66">
        <f t="shared" ref="D78:W78" si="53">+D33</f>
        <v>330</v>
      </c>
      <c r="E78" s="66">
        <f t="shared" si="53"/>
        <v>767.36842105263156</v>
      </c>
      <c r="F78" s="66">
        <f t="shared" si="53"/>
        <v>1178.0701754385964</v>
      </c>
      <c r="G78" s="66">
        <f t="shared" si="53"/>
        <v>1560.5366357069142</v>
      </c>
      <c r="H78" s="66">
        <f t="shared" si="53"/>
        <v>1913.0030959752321</v>
      </c>
      <c r="I78" s="66">
        <f t="shared" si="53"/>
        <v>1785.4695562435502</v>
      </c>
      <c r="J78" s="66">
        <f t="shared" si="53"/>
        <v>1657.9360165118678</v>
      </c>
      <c r="K78" s="66">
        <f t="shared" si="53"/>
        <v>1530.4024767801857</v>
      </c>
      <c r="L78" s="66">
        <f t="shared" si="53"/>
        <v>1402.8689370485035</v>
      </c>
      <c r="M78" s="66">
        <f t="shared" si="53"/>
        <v>1275.3353973168216</v>
      </c>
      <c r="N78" s="66">
        <f t="shared" si="53"/>
        <v>1147.8018575851393</v>
      </c>
      <c r="O78" s="66">
        <f t="shared" si="53"/>
        <v>1020.2683178534571</v>
      </c>
      <c r="P78" s="66">
        <f t="shared" si="53"/>
        <v>892.73477812177487</v>
      </c>
      <c r="Q78" s="66">
        <f t="shared" si="53"/>
        <v>765.20123839009261</v>
      </c>
      <c r="R78" s="66">
        <f t="shared" si="53"/>
        <v>637.66769865841036</v>
      </c>
      <c r="S78" s="66">
        <f t="shared" si="53"/>
        <v>510.13415892672811</v>
      </c>
      <c r="T78" s="66">
        <f t="shared" si="53"/>
        <v>382.60061919504585</v>
      </c>
      <c r="U78" s="66">
        <f t="shared" si="53"/>
        <v>255.06707946336363</v>
      </c>
      <c r="V78" s="66">
        <f t="shared" si="53"/>
        <v>127.53353973168137</v>
      </c>
      <c r="W78" s="66">
        <f t="shared" si="53"/>
        <v>0</v>
      </c>
      <c r="X78" s="2"/>
      <c r="Y78" s="22" t="s">
        <v>53</v>
      </c>
      <c r="Z78" s="23">
        <f>SUM(D78:W78)</f>
        <v>19139.999999999996</v>
      </c>
    </row>
    <row r="79" spans="2:26" x14ac:dyDescent="0.25">
      <c r="B79" s="67" t="s">
        <v>49</v>
      </c>
      <c r="C79" s="68"/>
      <c r="D79" s="14">
        <f>D75+D77+D78</f>
        <v>125525.03689716842</v>
      </c>
      <c r="E79" s="14">
        <f t="shared" ref="E79:W79" si="54">E75+E77+E78</f>
        <v>113220.96976163863</v>
      </c>
      <c r="F79" s="14">
        <f t="shared" si="54"/>
        <v>116599.01713681253</v>
      </c>
      <c r="G79" s="14">
        <f t="shared" si="54"/>
        <v>120042.8850260458</v>
      </c>
      <c r="H79" s="14">
        <f t="shared" si="54"/>
        <v>123558.18454314329</v>
      </c>
      <c r="I79" s="14">
        <f t="shared" si="54"/>
        <v>125636.94892977204</v>
      </c>
      <c r="J79" s="14">
        <f t="shared" si="54"/>
        <v>127760.05219638281</v>
      </c>
      <c r="K79" s="14">
        <f t="shared" si="54"/>
        <v>129928.38593992246</v>
      </c>
      <c r="L79" s="14">
        <f t="shared" si="54"/>
        <v>132142.85969795324</v>
      </c>
      <c r="M79" s="14">
        <f t="shared" si="54"/>
        <v>134404.40130990781</v>
      </c>
      <c r="N79" s="14">
        <f t="shared" si="54"/>
        <v>136713.9572856244</v>
      </c>
      <c r="O79" s="14">
        <f t="shared" si="54"/>
        <v>139072.49318130809</v>
      </c>
      <c r="P79" s="14">
        <f t="shared" si="54"/>
        <v>141480.99398306955</v>
      </c>
      <c r="Q79" s="14">
        <f t="shared" si="54"/>
        <v>143940.46449819175</v>
      </c>
      <c r="R79" s="14">
        <f t="shared" si="54"/>
        <v>146451.92975428316</v>
      </c>
      <c r="S79" s="14">
        <f t="shared" si="54"/>
        <v>149016.43540647411</v>
      </c>
      <c r="T79" s="14">
        <f t="shared" si="54"/>
        <v>151635.04815282024</v>
      </c>
      <c r="U79" s="14">
        <f t="shared" si="54"/>
        <v>154308.85615807775</v>
      </c>
      <c r="V79" s="14">
        <f t="shared" si="54"/>
        <v>157038.96948601937</v>
      </c>
      <c r="W79" s="14">
        <f t="shared" si="54"/>
        <v>159826.52054046385</v>
      </c>
      <c r="X79" s="2"/>
      <c r="Y79" s="28" t="s">
        <v>54</v>
      </c>
      <c r="Z79" s="29">
        <f>SUM(Z77:Z78)</f>
        <v>99140.000000000029</v>
      </c>
    </row>
    <row r="80" spans="2:26" ht="15.75" thickBot="1" x14ac:dyDescent="0.3">
      <c r="B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8"/>
      <c r="T80" s="18"/>
      <c r="U80" s="18"/>
      <c r="V80" s="18"/>
      <c r="W80" s="18"/>
      <c r="X80" s="2"/>
    </row>
    <row r="81" spans="2:26" ht="15.75" thickBot="1" x14ac:dyDescent="0.3">
      <c r="B81" s="69" t="s">
        <v>31</v>
      </c>
      <c r="C81" s="70"/>
      <c r="D81" s="71">
        <f>+D73-D79</f>
        <v>-57509.494485168412</v>
      </c>
      <c r="E81" s="71">
        <f t="shared" ref="E81:W81" si="55">+E73-E79</f>
        <v>-28817.424119790958</v>
      </c>
      <c r="F81" s="71">
        <f t="shared" si="55"/>
        <v>-11723.349240247626</v>
      </c>
      <c r="G81" s="71">
        <f t="shared" si="55"/>
        <v>-9982.4220564640273</v>
      </c>
      <c r="H81" s="71">
        <f t="shared" si="55"/>
        <v>-8052.6222147543012</v>
      </c>
      <c r="I81" s="71">
        <f t="shared" si="55"/>
        <v>-4412.8737146405329</v>
      </c>
      <c r="J81" s="71">
        <f t="shared" si="55"/>
        <v>-530.28071956303029</v>
      </c>
      <c r="K81" s="71">
        <f t="shared" si="55"/>
        <v>3608.728918883091</v>
      </c>
      <c r="L81" s="71">
        <f t="shared" si="55"/>
        <v>7357.3367821800639</v>
      </c>
      <c r="M81" s="71">
        <f t="shared" si="55"/>
        <v>11328.374277705239</v>
      </c>
      <c r="N81" s="71">
        <f t="shared" si="55"/>
        <v>15533.10732396369</v>
      </c>
      <c r="O81" s="71">
        <f t="shared" si="55"/>
        <v>19983.336533892376</v>
      </c>
      <c r="P81" s="71">
        <f t="shared" si="55"/>
        <v>24691.421942538465</v>
      </c>
      <c r="Q81" s="71">
        <f t="shared" si="55"/>
        <v>29670.308865794039</v>
      </c>
      <c r="R81" s="71">
        <f t="shared" si="55"/>
        <v>34933.554941672337</v>
      </c>
      <c r="S81" s="71">
        <f t="shared" si="55"/>
        <v>40495.358407955064</v>
      </c>
      <c r="T81" s="71">
        <f t="shared" si="55"/>
        <v>46370.587672480528</v>
      </c>
      <c r="U81" s="71">
        <f t="shared" si="55"/>
        <v>52574.812234901474</v>
      </c>
      <c r="V81" s="71">
        <f t="shared" si="55"/>
        <v>59124.335021412553</v>
      </c>
      <c r="W81" s="71">
        <f t="shared" si="55"/>
        <v>66036.226196739502</v>
      </c>
      <c r="X81" s="2"/>
      <c r="Y81" s="22" t="s">
        <v>55</v>
      </c>
      <c r="Z81" s="23">
        <f>SUM(D81:W81)</f>
        <v>290679.02256948955</v>
      </c>
    </row>
    <row r="82" spans="2:26" x14ac:dyDescent="0.25">
      <c r="B82" s="72" t="s">
        <v>48</v>
      </c>
      <c r="C82" s="73"/>
      <c r="D82" s="54">
        <f t="shared" ref="D82:W82" si="56">+D25</f>
        <v>10388.120487431999</v>
      </c>
      <c r="E82" s="54">
        <f t="shared" si="56"/>
        <v>9372.9715551594454</v>
      </c>
      <c r="F82" s="54">
        <f t="shared" si="56"/>
        <v>9561.5439155070089</v>
      </c>
      <c r="G82" s="54">
        <f t="shared" si="56"/>
        <v>9753.9125345121629</v>
      </c>
      <c r="H82" s="54">
        <f t="shared" si="56"/>
        <v>9950.1538895372814</v>
      </c>
      <c r="I82" s="54">
        <f t="shared" si="56"/>
        <v>10150.345999762525</v>
      </c>
      <c r="J82" s="54">
        <f t="shared" si="56"/>
        <v>10354.56845729453</v>
      </c>
      <c r="K82" s="54">
        <f t="shared" si="56"/>
        <v>10562.902458903249</v>
      </c>
      <c r="L82" s="54">
        <f t="shared" si="56"/>
        <v>10775.43083839976</v>
      </c>
      <c r="M82" s="54">
        <f t="shared" si="56"/>
        <v>10992.238099667875</v>
      </c>
      <c r="N82" s="54">
        <f t="shared" si="56"/>
        <v>11213.410450362888</v>
      </c>
      <c r="O82" s="54">
        <f t="shared" si="56"/>
        <v>11439.035836290823</v>
      </c>
      <c r="P82" s="54">
        <f t="shared" si="56"/>
        <v>11669.20397648208</v>
      </c>
      <c r="Q82" s="54">
        <f t="shared" si="56"/>
        <v>11904.006398973333</v>
      </c>
      <c r="R82" s="54">
        <f t="shared" si="56"/>
        <v>12143.536477312213</v>
      </c>
      <c r="S82" s="54">
        <f t="shared" si="56"/>
        <v>12387.889467799198</v>
      </c>
      <c r="T82" s="54">
        <f t="shared" si="56"/>
        <v>12637.162547481708</v>
      </c>
      <c r="U82" s="54">
        <f t="shared" si="56"/>
        <v>12891.454852915636</v>
      </c>
      <c r="V82" s="54">
        <f t="shared" si="56"/>
        <v>13150.867519709722</v>
      </c>
      <c r="W82" s="54">
        <f t="shared" si="56"/>
        <v>13415.503722868738</v>
      </c>
      <c r="X82" s="18"/>
      <c r="Y82" s="98" t="s">
        <v>56</v>
      </c>
      <c r="Z82" s="99">
        <f>SUM(D82:W82)</f>
        <v>224714.25948637215</v>
      </c>
    </row>
    <row r="83" spans="2:26" x14ac:dyDescent="0.25">
      <c r="B83" s="74" t="s">
        <v>32</v>
      </c>
      <c r="C83" s="75"/>
      <c r="D83" s="19">
        <f>D81+D77</f>
        <v>-52509.494485168412</v>
      </c>
      <c r="E83" s="19">
        <f t="shared" ref="E83:W83" si="57">E81+E77</f>
        <v>-27396.371488212011</v>
      </c>
      <c r="F83" s="19">
        <f t="shared" si="57"/>
        <v>-9413.4077197797887</v>
      </c>
      <c r="G83" s="19">
        <f t="shared" si="57"/>
        <v>-6731.3040654079559</v>
      </c>
      <c r="H83" s="19">
        <f t="shared" si="57"/>
        <v>-3801.5042236982299</v>
      </c>
      <c r="I83" s="19">
        <f t="shared" si="57"/>
        <v>-161.75572358446152</v>
      </c>
      <c r="J83" s="19">
        <f t="shared" si="57"/>
        <v>3720.837271493041</v>
      </c>
      <c r="K83" s="19">
        <f t="shared" si="57"/>
        <v>7859.8469099391623</v>
      </c>
      <c r="L83" s="19">
        <f t="shared" si="57"/>
        <v>11608.454773236135</v>
      </c>
      <c r="M83" s="19">
        <f t="shared" si="57"/>
        <v>15579.492268761311</v>
      </c>
      <c r="N83" s="19">
        <f t="shared" si="57"/>
        <v>19784.225315019761</v>
      </c>
      <c r="O83" s="19">
        <f t="shared" si="57"/>
        <v>24234.454524948447</v>
      </c>
      <c r="P83" s="19">
        <f t="shared" si="57"/>
        <v>28942.539933594537</v>
      </c>
      <c r="Q83" s="19">
        <f t="shared" si="57"/>
        <v>33921.426856850114</v>
      </c>
      <c r="R83" s="19">
        <f t="shared" si="57"/>
        <v>39184.672932728412</v>
      </c>
      <c r="S83" s="19">
        <f t="shared" si="57"/>
        <v>44746.476399011139</v>
      </c>
      <c r="T83" s="19">
        <f t="shared" si="57"/>
        <v>50621.705663536603</v>
      </c>
      <c r="U83" s="19">
        <f t="shared" si="57"/>
        <v>56825.930225957549</v>
      </c>
      <c r="V83" s="19">
        <f t="shared" si="57"/>
        <v>63375.453012468628</v>
      </c>
      <c r="W83" s="19">
        <f t="shared" si="57"/>
        <v>70287.344187795577</v>
      </c>
      <c r="Y83" s="22" t="s">
        <v>61</v>
      </c>
      <c r="Z83" s="23">
        <f>+Z81-Z82</f>
        <v>65964.763083117403</v>
      </c>
    </row>
    <row r="84" spans="2:26" x14ac:dyDescent="0.25">
      <c r="B84" s="76"/>
      <c r="Y84" t="s">
        <v>57</v>
      </c>
    </row>
    <row r="85" spans="2:26" x14ac:dyDescent="0.25">
      <c r="B85" s="74" t="s">
        <v>33</v>
      </c>
      <c r="C85" s="75"/>
      <c r="D85" s="19">
        <f>D83+D78</f>
        <v>-52179.494485168412</v>
      </c>
      <c r="E85" s="19">
        <f t="shared" ref="E85:W85" si="58">E83+E78</f>
        <v>-26629.003067159381</v>
      </c>
      <c r="F85" s="19">
        <f t="shared" si="58"/>
        <v>-8235.3375443411933</v>
      </c>
      <c r="G85" s="19">
        <f t="shared" si="58"/>
        <v>-5170.7674297010417</v>
      </c>
      <c r="H85" s="19">
        <f t="shared" si="58"/>
        <v>-1888.5011277229978</v>
      </c>
      <c r="I85" s="19">
        <f t="shared" si="58"/>
        <v>1623.7138326590887</v>
      </c>
      <c r="J85" s="19">
        <f t="shared" si="58"/>
        <v>5378.7732880049089</v>
      </c>
      <c r="K85" s="19">
        <f t="shared" si="58"/>
        <v>9390.249386719348</v>
      </c>
      <c r="L85" s="19">
        <f t="shared" si="58"/>
        <v>13011.32371028464</v>
      </c>
      <c r="M85" s="19">
        <f t="shared" si="58"/>
        <v>16854.827666078134</v>
      </c>
      <c r="N85" s="19">
        <f t="shared" si="58"/>
        <v>20932.0271726049</v>
      </c>
      <c r="O85" s="19">
        <f t="shared" si="58"/>
        <v>25254.722842801904</v>
      </c>
      <c r="P85" s="19">
        <f t="shared" si="58"/>
        <v>29835.274711716313</v>
      </c>
      <c r="Q85" s="19">
        <f t="shared" si="58"/>
        <v>34686.628095240208</v>
      </c>
      <c r="R85" s="19">
        <f t="shared" si="58"/>
        <v>39822.340631386825</v>
      </c>
      <c r="S85" s="19">
        <f t="shared" si="58"/>
        <v>45256.610557937864</v>
      </c>
      <c r="T85" s="19">
        <f t="shared" si="58"/>
        <v>51004.306282731646</v>
      </c>
      <c r="U85" s="19">
        <f t="shared" si="58"/>
        <v>57080.997305420911</v>
      </c>
      <c r="V85" s="19">
        <f t="shared" si="58"/>
        <v>63502.986552200309</v>
      </c>
      <c r="W85" s="19">
        <f t="shared" si="58"/>
        <v>70287.344187795577</v>
      </c>
      <c r="Y85" s="28" t="s">
        <v>58</v>
      </c>
      <c r="Z85" s="29">
        <f>SUM(D85:W85)</f>
        <v>389819.02256948961</v>
      </c>
    </row>
    <row r="86" spans="2:26" x14ac:dyDescent="0.25">
      <c r="B86" s="76"/>
    </row>
    <row r="87" spans="2:26" ht="15.75" thickBot="1" x14ac:dyDescent="0.3">
      <c r="B87" s="77" t="s">
        <v>34</v>
      </c>
      <c r="C87" s="78"/>
      <c r="D87" s="79">
        <f t="shared" ref="D87:W87" si="59">D85/POWER($F$118,D4)</f>
        <v>-49567.297886547371</v>
      </c>
      <c r="E87" s="79">
        <f t="shared" si="59"/>
        <v>-24029.55132491425</v>
      </c>
      <c r="F87" s="79">
        <f t="shared" si="59"/>
        <v>-7059.3958554079454</v>
      </c>
      <c r="G87" s="79">
        <f t="shared" si="59"/>
        <v>-4210.5275448847651</v>
      </c>
      <c r="H87" s="79">
        <f t="shared" si="59"/>
        <v>-1460.8113476680253</v>
      </c>
      <c r="I87" s="79">
        <f t="shared" si="59"/>
        <v>1193.1134812055438</v>
      </c>
      <c r="J87" s="79">
        <f t="shared" si="59"/>
        <v>3754.4893684308422</v>
      </c>
      <c r="K87" s="79">
        <f t="shared" si="59"/>
        <v>6226.4448100637856</v>
      </c>
      <c r="L87" s="79">
        <f t="shared" si="59"/>
        <v>8195.5834251017077</v>
      </c>
      <c r="M87" s="79">
        <f t="shared" si="59"/>
        <v>10085.050727452468</v>
      </c>
      <c r="N87" s="79">
        <f t="shared" si="59"/>
        <v>11897.629417027036</v>
      </c>
      <c r="O87" s="79">
        <f t="shared" si="59"/>
        <v>13636.004362605414</v>
      </c>
      <c r="P87" s="79">
        <f t="shared" si="59"/>
        <v>15302.766194066087</v>
      </c>
      <c r="Q87" s="79">
        <f t="shared" si="59"/>
        <v>16900.414755030652</v>
      </c>
      <c r="R87" s="79">
        <f t="shared" si="59"/>
        <v>18431.362421678114</v>
      </c>
      <c r="S87" s="79">
        <f t="shared" si="59"/>
        <v>19897.937293235595</v>
      </c>
      <c r="T87" s="79">
        <f t="shared" si="59"/>
        <v>21302.386259410538</v>
      </c>
      <c r="U87" s="79">
        <f t="shared" si="59"/>
        <v>22646.877949802561</v>
      </c>
      <c r="V87" s="79">
        <f t="shared" si="59"/>
        <v>23933.505570114812</v>
      </c>
      <c r="W87" s="79">
        <f t="shared" si="59"/>
        <v>25164.289629775954</v>
      </c>
    </row>
    <row r="88" spans="2:26" ht="16.5" thickTop="1" thickBot="1" x14ac:dyDescent="0.3">
      <c r="B88" s="76"/>
    </row>
    <row r="89" spans="2:26" ht="16.5" thickBot="1" x14ac:dyDescent="0.3">
      <c r="B89" s="80" t="s">
        <v>35</v>
      </c>
      <c r="C89" s="8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1">
        <f>SUM(D87:W87)</f>
        <v>132240.27170557875</v>
      </c>
    </row>
    <row r="90" spans="2:26" x14ac:dyDescent="0.25">
      <c r="B90" s="76"/>
    </row>
    <row r="91" spans="2:26" x14ac:dyDescent="0.25">
      <c r="B91" s="82" t="s">
        <v>37</v>
      </c>
      <c r="C91" s="83"/>
      <c r="D91" s="84">
        <f t="shared" ref="D91:W91" si="60">+D52</f>
        <v>16000</v>
      </c>
      <c r="E91" s="84">
        <f t="shared" si="60"/>
        <v>16000</v>
      </c>
      <c r="F91" s="84">
        <f t="shared" si="60"/>
        <v>16000</v>
      </c>
      <c r="G91" s="84">
        <f t="shared" si="60"/>
        <v>16000</v>
      </c>
      <c r="H91" s="84">
        <f t="shared" si="60"/>
        <v>16000</v>
      </c>
      <c r="I91" s="84">
        <f t="shared" si="60"/>
        <v>0</v>
      </c>
      <c r="J91" s="84">
        <f t="shared" si="60"/>
        <v>0</v>
      </c>
      <c r="K91" s="84">
        <f t="shared" si="60"/>
        <v>0</v>
      </c>
      <c r="L91" s="84">
        <f t="shared" si="60"/>
        <v>0</v>
      </c>
      <c r="M91" s="84">
        <f t="shared" si="60"/>
        <v>0</v>
      </c>
      <c r="N91" s="84">
        <f t="shared" si="60"/>
        <v>0</v>
      </c>
      <c r="O91" s="84">
        <f t="shared" si="60"/>
        <v>0</v>
      </c>
      <c r="P91" s="84">
        <f t="shared" si="60"/>
        <v>0</v>
      </c>
      <c r="Q91" s="84">
        <f t="shared" si="60"/>
        <v>0</v>
      </c>
      <c r="R91" s="84">
        <f t="shared" si="60"/>
        <v>0</v>
      </c>
      <c r="S91" s="84">
        <f t="shared" si="60"/>
        <v>0</v>
      </c>
      <c r="T91" s="84">
        <f t="shared" si="60"/>
        <v>0</v>
      </c>
      <c r="U91" s="84">
        <f t="shared" si="60"/>
        <v>0</v>
      </c>
      <c r="V91" s="84">
        <f t="shared" si="60"/>
        <v>0</v>
      </c>
      <c r="W91" s="84">
        <f t="shared" si="60"/>
        <v>0</v>
      </c>
      <c r="Z91" s="2">
        <f>SUM(D91:W91)</f>
        <v>80000</v>
      </c>
    </row>
    <row r="92" spans="2:26" ht="15.75" thickBot="1" x14ac:dyDescent="0.3"/>
    <row r="93" spans="2:26" ht="15.75" thickBot="1" x14ac:dyDescent="0.3">
      <c r="B93" s="80" t="s">
        <v>38</v>
      </c>
      <c r="C93" s="81"/>
      <c r="D93" s="24">
        <f t="shared" ref="D93:W93" si="61">D91/POWER($F$118,D4)</f>
        <v>15199.012064215827</v>
      </c>
      <c r="E93" s="24">
        <f t="shared" si="61"/>
        <v>14438.122983011139</v>
      </c>
      <c r="F93" s="24">
        <f t="shared" si="61"/>
        <v>13715.325337713632</v>
      </c>
      <c r="G93" s="24">
        <f t="shared" si="61"/>
        <v>13028.712204534655</v>
      </c>
      <c r="H93" s="24">
        <f t="shared" si="61"/>
        <v>12376.472123619887</v>
      </c>
      <c r="I93" s="24">
        <f t="shared" si="61"/>
        <v>0</v>
      </c>
      <c r="J93" s="24">
        <f t="shared" si="61"/>
        <v>0</v>
      </c>
      <c r="K93" s="24">
        <f t="shared" si="61"/>
        <v>0</v>
      </c>
      <c r="L93" s="24">
        <f t="shared" si="61"/>
        <v>0</v>
      </c>
      <c r="M93" s="24">
        <f t="shared" si="61"/>
        <v>0</v>
      </c>
      <c r="N93" s="24">
        <f t="shared" si="61"/>
        <v>0</v>
      </c>
      <c r="O93" s="24">
        <f t="shared" si="61"/>
        <v>0</v>
      </c>
      <c r="P93" s="24">
        <f t="shared" si="61"/>
        <v>0</v>
      </c>
      <c r="Q93" s="24">
        <f t="shared" si="61"/>
        <v>0</v>
      </c>
      <c r="R93" s="24">
        <f t="shared" si="61"/>
        <v>0</v>
      </c>
      <c r="S93" s="24">
        <f t="shared" si="61"/>
        <v>0</v>
      </c>
      <c r="T93" s="24">
        <f t="shared" si="61"/>
        <v>0</v>
      </c>
      <c r="U93" s="24">
        <f t="shared" si="61"/>
        <v>0</v>
      </c>
      <c r="V93" s="24">
        <f t="shared" si="61"/>
        <v>0</v>
      </c>
      <c r="W93" s="24">
        <f t="shared" si="61"/>
        <v>0</v>
      </c>
      <c r="X93" s="24"/>
      <c r="Y93" s="100" t="s">
        <v>39</v>
      </c>
      <c r="Z93" s="25">
        <f>SUM(D93:W93)</f>
        <v>68757.644713095142</v>
      </c>
    </row>
    <row r="94" spans="2:26" x14ac:dyDescent="0.25">
      <c r="B94" s="76"/>
      <c r="D94" s="85"/>
      <c r="E94" s="85"/>
      <c r="F94" s="85"/>
      <c r="G94" s="85"/>
      <c r="H94" s="85"/>
      <c r="I94" s="85"/>
      <c r="J94" s="85"/>
      <c r="K94" s="85"/>
      <c r="L94" s="85"/>
      <c r="N94" s="86"/>
      <c r="O94" s="86"/>
      <c r="P94" s="86"/>
      <c r="Q94" s="86"/>
      <c r="R94" s="86"/>
      <c r="Y94" s="86" t="s">
        <v>44</v>
      </c>
      <c r="Z94" s="2">
        <f>+Z89-Z93</f>
        <v>63482.626992483609</v>
      </c>
    </row>
    <row r="95" spans="2:26" x14ac:dyDescent="0.25">
      <c r="B95" s="76"/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  <c r="R95" s="87"/>
    </row>
    <row r="97" spans="2:23" x14ac:dyDescent="0.25">
      <c r="B97" s="88" t="s">
        <v>84</v>
      </c>
      <c r="C97" s="89"/>
      <c r="D97" s="90">
        <f>+D91-D85</f>
        <v>68179.494485168412</v>
      </c>
      <c r="E97" s="90">
        <f t="shared" ref="E97:W97" si="62">+E91-E85</f>
        <v>42629.003067159385</v>
      </c>
      <c r="F97" s="90">
        <f t="shared" si="62"/>
        <v>24235.337544341193</v>
      </c>
      <c r="G97" s="90">
        <f t="shared" si="62"/>
        <v>21170.767429701042</v>
      </c>
      <c r="H97" s="90">
        <f t="shared" si="62"/>
        <v>17888.501127722997</v>
      </c>
      <c r="I97" s="90">
        <f t="shared" si="62"/>
        <v>-1623.7138326590887</v>
      </c>
      <c r="J97" s="90">
        <f t="shared" si="62"/>
        <v>-5378.7732880049089</v>
      </c>
      <c r="K97" s="90">
        <f t="shared" si="62"/>
        <v>-9390.249386719348</v>
      </c>
      <c r="L97" s="90">
        <f t="shared" si="62"/>
        <v>-13011.32371028464</v>
      </c>
      <c r="M97" s="90">
        <f t="shared" si="62"/>
        <v>-16854.827666078134</v>
      </c>
      <c r="N97" s="90">
        <f t="shared" si="62"/>
        <v>-20932.0271726049</v>
      </c>
      <c r="O97" s="90">
        <f t="shared" si="62"/>
        <v>-25254.722842801904</v>
      </c>
      <c r="P97" s="90">
        <f t="shared" si="62"/>
        <v>-29835.274711716313</v>
      </c>
      <c r="Q97" s="90">
        <f t="shared" si="62"/>
        <v>-34686.628095240208</v>
      </c>
      <c r="R97" s="90">
        <f t="shared" si="62"/>
        <v>-39822.340631386825</v>
      </c>
      <c r="S97" s="90">
        <f t="shared" si="62"/>
        <v>-45256.610557937864</v>
      </c>
      <c r="T97" s="90">
        <f t="shared" si="62"/>
        <v>-51004.306282731646</v>
      </c>
      <c r="U97" s="90">
        <f t="shared" si="62"/>
        <v>-57080.997305420911</v>
      </c>
      <c r="V97" s="90">
        <f t="shared" si="62"/>
        <v>-63502.986552200309</v>
      </c>
      <c r="W97" s="90">
        <f t="shared" si="62"/>
        <v>-70287.344187795577</v>
      </c>
    </row>
    <row r="100" spans="2:23" x14ac:dyDescent="0.25">
      <c r="B100" t="s">
        <v>90</v>
      </c>
      <c r="D100" s="138">
        <f>+D12-(D26)-D25</f>
        <v>-55020.156391463985</v>
      </c>
      <c r="E100" s="138">
        <f t="shared" ref="E100:W100" si="63">+E12-(E26)-E25</f>
        <v>-28454.516041182407</v>
      </c>
      <c r="F100" s="138">
        <f t="shared" si="63"/>
        <v>-10249.422878711779</v>
      </c>
      <c r="G100" s="138">
        <f t="shared" si="63"/>
        <v>-7377.2213830767778</v>
      </c>
      <c r="H100" s="138">
        <f t="shared" si="63"/>
        <v>-4291.1964361238515</v>
      </c>
      <c r="I100" s="138">
        <f t="shared" si="63"/>
        <v>-979.17358596700797</v>
      </c>
      <c r="J100" s="138">
        <f t="shared" si="63"/>
        <v>2571.6634118468082</v>
      </c>
      <c r="K100" s="138">
        <f t="shared" si="63"/>
        <v>6374.8055089525296</v>
      </c>
      <c r="L100" s="138">
        <f t="shared" si="63"/>
        <v>9783.351453021296</v>
      </c>
      <c r="M100" s="138">
        <f t="shared" si="63"/>
        <v>13410.04814754666</v>
      </c>
      <c r="N100" s="138">
        <f t="shared" si="63"/>
        <v>17266.075303378417</v>
      </c>
      <c r="O100" s="138">
        <f t="shared" si="63"/>
        <v>21363.145587647487</v>
      </c>
      <c r="P100" s="138">
        <f t="shared" si="63"/>
        <v>25713.529316370637</v>
      </c>
      <c r="Q100" s="138">
        <f t="shared" si="63"/>
        <v>30330.080277403278</v>
      </c>
      <c r="R100" s="138">
        <f t="shared" si="63"/>
        <v>35226.262735211028</v>
      </c>
      <c r="S100" s="138">
        <f t="shared" si="63"/>
        <v>40416.179671275073</v>
      </c>
      <c r="T100" s="138">
        <f t="shared" si="63"/>
        <v>45914.602316386357</v>
      </c>
      <c r="U100" s="138">
        <f t="shared" si="63"/>
        <v>51737.001033641682</v>
      </c>
      <c r="V100" s="138">
        <f t="shared" si="63"/>
        <v>57899.577613627014</v>
      </c>
      <c r="W100" s="138">
        <f t="shared" si="63"/>
        <v>64419.29904606325</v>
      </c>
    </row>
    <row r="101" spans="2:23" x14ac:dyDescent="0.25">
      <c r="B101" t="s">
        <v>97</v>
      </c>
      <c r="D101" s="138">
        <f>+D100-D91</f>
        <v>-71020.156391463985</v>
      </c>
      <c r="E101" s="138">
        <f t="shared" ref="E101:W101" si="64">+E100-E91</f>
        <v>-44454.516041182404</v>
      </c>
      <c r="F101" s="138">
        <f t="shared" si="64"/>
        <v>-26249.422878711779</v>
      </c>
      <c r="G101" s="138">
        <f t="shared" si="64"/>
        <v>-23377.22138307678</v>
      </c>
      <c r="H101" s="138">
        <f t="shared" si="64"/>
        <v>-20291.19643612385</v>
      </c>
      <c r="I101" s="138">
        <f t="shared" si="64"/>
        <v>-979.17358596700797</v>
      </c>
      <c r="J101" s="138">
        <f t="shared" si="64"/>
        <v>2571.6634118468082</v>
      </c>
      <c r="K101" s="138">
        <f t="shared" si="64"/>
        <v>6374.8055089525296</v>
      </c>
      <c r="L101" s="138">
        <f t="shared" si="64"/>
        <v>9783.351453021296</v>
      </c>
      <c r="M101" s="138">
        <f t="shared" si="64"/>
        <v>13410.04814754666</v>
      </c>
      <c r="N101" s="138">
        <f t="shared" si="64"/>
        <v>17266.075303378417</v>
      </c>
      <c r="O101" s="138">
        <f t="shared" si="64"/>
        <v>21363.145587647487</v>
      </c>
      <c r="P101" s="138">
        <f t="shared" si="64"/>
        <v>25713.529316370637</v>
      </c>
      <c r="Q101" s="138">
        <f t="shared" si="64"/>
        <v>30330.080277403278</v>
      </c>
      <c r="R101" s="138">
        <f t="shared" si="64"/>
        <v>35226.262735211028</v>
      </c>
      <c r="S101" s="138">
        <f t="shared" si="64"/>
        <v>40416.179671275073</v>
      </c>
      <c r="T101" s="138">
        <f t="shared" si="64"/>
        <v>45914.602316386357</v>
      </c>
      <c r="U101" s="138">
        <f t="shared" si="64"/>
        <v>51737.001033641682</v>
      </c>
      <c r="V101" s="138">
        <f t="shared" si="64"/>
        <v>57899.577613627014</v>
      </c>
      <c r="W101" s="138">
        <f t="shared" si="64"/>
        <v>64419.29904606325</v>
      </c>
    </row>
    <row r="102" spans="2:23" x14ac:dyDescent="0.25">
      <c r="B102" t="s">
        <v>98</v>
      </c>
      <c r="D102" s="138">
        <f>+D101/($F$118^D4)</f>
        <v>-67464.763362272235</v>
      </c>
      <c r="E102" s="138">
        <f t="shared" ref="E102:W102" si="65">+E101/($F$118^E4)</f>
        <v>-40114.985609552066</v>
      </c>
      <c r="F102" s="138">
        <f t="shared" si="65"/>
        <v>-22501.210919297224</v>
      </c>
      <c r="G102" s="138">
        <f t="shared" si="65"/>
        <v>-19035.943096362556</v>
      </c>
      <c r="H102" s="138">
        <f t="shared" si="65"/>
        <v>-15695.839190411378</v>
      </c>
      <c r="I102" s="138">
        <f t="shared" si="65"/>
        <v>-719.50191121079092</v>
      </c>
      <c r="J102" s="138">
        <f t="shared" si="65"/>
        <v>1795.0715566490737</v>
      </c>
      <c r="K102" s="138">
        <f t="shared" si="65"/>
        <v>4226.9776916170649</v>
      </c>
      <c r="L102" s="138">
        <f t="shared" si="65"/>
        <v>6162.3455688023914</v>
      </c>
      <c r="M102" s="138">
        <f t="shared" si="65"/>
        <v>8023.8741389075631</v>
      </c>
      <c r="N102" s="138">
        <f t="shared" si="65"/>
        <v>9813.9259877768818</v>
      </c>
      <c r="O102" s="138">
        <f t="shared" si="65"/>
        <v>11534.790868440048</v>
      </c>
      <c r="P102" s="138">
        <f t="shared" si="65"/>
        <v>13188.687919074568</v>
      </c>
      <c r="Q102" s="138">
        <f t="shared" si="65"/>
        <v>14777.767813984479</v>
      </c>
      <c r="R102" s="138">
        <f t="shared" si="65"/>
        <v>16304.114849597621</v>
      </c>
      <c r="S102" s="138">
        <f t="shared" si="65"/>
        <v>17769.748967427273</v>
      </c>
      <c r="T102" s="138">
        <f t="shared" si="65"/>
        <v>19176.627715884391</v>
      </c>
      <c r="U102" s="138">
        <f t="shared" si="65"/>
        <v>20526.648152771835</v>
      </c>
      <c r="V102" s="138">
        <f t="shared" si="65"/>
        <v>21821.648690238217</v>
      </c>
      <c r="W102" s="138">
        <f t="shared" si="65"/>
        <v>23063.410883915018</v>
      </c>
    </row>
    <row r="103" spans="2:23" x14ac:dyDescent="0.25">
      <c r="B103" t="s">
        <v>99</v>
      </c>
      <c r="D103" s="138">
        <f>+D102</f>
        <v>-67464.763362272235</v>
      </c>
      <c r="E103" s="138">
        <f>+E102+D103</f>
        <v>-107579.7489718243</v>
      </c>
      <c r="F103" s="138">
        <f t="shared" ref="F103:W103" si="66">+F102+E103</f>
        <v>-130080.95989112153</v>
      </c>
      <c r="G103" s="138">
        <f t="shared" si="66"/>
        <v>-149116.90298748409</v>
      </c>
      <c r="H103" s="138">
        <f t="shared" si="66"/>
        <v>-164812.74217789547</v>
      </c>
      <c r="I103" s="138">
        <f t="shared" si="66"/>
        <v>-165532.24408910627</v>
      </c>
      <c r="J103" s="138">
        <f t="shared" si="66"/>
        <v>-163737.17253245719</v>
      </c>
      <c r="K103" s="138">
        <f t="shared" si="66"/>
        <v>-159510.19484084012</v>
      </c>
      <c r="L103" s="138">
        <f t="shared" si="66"/>
        <v>-153347.84927203774</v>
      </c>
      <c r="M103" s="138">
        <f t="shared" si="66"/>
        <v>-145323.97513313018</v>
      </c>
      <c r="N103" s="138">
        <f t="shared" si="66"/>
        <v>-135510.04914535329</v>
      </c>
      <c r="O103" s="138">
        <f t="shared" si="66"/>
        <v>-123975.25827691324</v>
      </c>
      <c r="P103" s="138">
        <f t="shared" si="66"/>
        <v>-110786.57035783867</v>
      </c>
      <c r="Q103" s="138">
        <f t="shared" si="66"/>
        <v>-96008.802543854195</v>
      </c>
      <c r="R103" s="138">
        <f t="shared" si="66"/>
        <v>-79704.687694256572</v>
      </c>
      <c r="S103" s="138">
        <f t="shared" si="66"/>
        <v>-61934.938726829299</v>
      </c>
      <c r="T103" s="138">
        <f t="shared" si="66"/>
        <v>-42758.311010944904</v>
      </c>
      <c r="U103" s="138">
        <f t="shared" si="66"/>
        <v>-22231.662858173069</v>
      </c>
      <c r="V103" s="138">
        <f t="shared" si="66"/>
        <v>-410.01416793485259</v>
      </c>
      <c r="W103" s="138">
        <f t="shared" si="66"/>
        <v>22653.396715980165</v>
      </c>
    </row>
    <row r="104" spans="2:23" x14ac:dyDescent="0.25">
      <c r="B104" t="s">
        <v>100</v>
      </c>
      <c r="W104" s="139" t="s">
        <v>101</v>
      </c>
    </row>
    <row r="106" spans="2:23" ht="15.75" thickBot="1" x14ac:dyDescent="0.3"/>
    <row r="107" spans="2:23" x14ac:dyDescent="0.25">
      <c r="C107" s="91" t="s">
        <v>85</v>
      </c>
      <c r="D107" s="92" t="s">
        <v>40</v>
      </c>
      <c r="E107" s="91" t="s">
        <v>86</v>
      </c>
      <c r="G107" t="s">
        <v>41</v>
      </c>
    </row>
    <row r="108" spans="2:23" ht="15.75" thickBot="1" x14ac:dyDescent="0.3">
      <c r="C108" s="135">
        <f>NPV(F117,D85:W85)-Z93</f>
        <v>63482.626992483696</v>
      </c>
      <c r="D108" s="136">
        <f>+IRR(D97:W97)</f>
        <v>8.1339083566632775E-2</v>
      </c>
      <c r="E108" s="137">
        <f>+Z89/Z93</f>
        <v>1.9232810003509779</v>
      </c>
      <c r="G108" t="s">
        <v>43</v>
      </c>
    </row>
    <row r="110" spans="2:23" x14ac:dyDescent="0.25">
      <c r="B110" s="93" t="s">
        <v>42</v>
      </c>
      <c r="C110" s="93"/>
      <c r="D110" s="93"/>
      <c r="E110" s="93"/>
      <c r="F110" s="93"/>
      <c r="G110" s="93"/>
      <c r="H110" s="93"/>
      <c r="I110" s="93"/>
      <c r="J110" s="93"/>
      <c r="K110" s="93"/>
      <c r="Q110" s="18"/>
    </row>
    <row r="111" spans="2:23" x14ac:dyDescent="0.25">
      <c r="B111" s="93" t="s">
        <v>51</v>
      </c>
      <c r="C111" s="93"/>
      <c r="D111" s="93"/>
      <c r="E111" s="93"/>
      <c r="F111" s="93"/>
      <c r="G111" s="93"/>
      <c r="H111" s="93"/>
      <c r="I111" s="93"/>
      <c r="J111" s="93"/>
      <c r="K111" s="93"/>
      <c r="L111" s="93"/>
      <c r="Q111" s="18"/>
    </row>
    <row r="113" spans="2:16" x14ac:dyDescent="0.25">
      <c r="B113" s="15" t="s">
        <v>105</v>
      </c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</row>
    <row r="115" spans="2:16" x14ac:dyDescent="0.25">
      <c r="C115" s="15" t="s">
        <v>110</v>
      </c>
      <c r="E115" s="15"/>
      <c r="F115" s="15"/>
      <c r="G115" s="15"/>
      <c r="H115" s="15"/>
    </row>
    <row r="117" spans="2:16" x14ac:dyDescent="0.25">
      <c r="C117" s="94" t="s">
        <v>36</v>
      </c>
      <c r="D117" s="95"/>
      <c r="E117" s="95"/>
      <c r="F117" s="132">
        <v>5.2699999999999997E-2</v>
      </c>
      <c r="P117" s="18"/>
    </row>
    <row r="118" spans="2:16" x14ac:dyDescent="0.25">
      <c r="C118" s="96"/>
      <c r="D118" s="97"/>
      <c r="E118" s="97"/>
      <c r="F118" s="133">
        <f>1+F117</f>
        <v>1.0527</v>
      </c>
      <c r="P118" s="18"/>
    </row>
  </sheetData>
  <mergeCells count="6">
    <mergeCell ref="X61:X63"/>
    <mergeCell ref="Z10:Z11"/>
    <mergeCell ref="Y15:Z16"/>
    <mergeCell ref="Y17:Z18"/>
    <mergeCell ref="Y22:Z23"/>
    <mergeCell ref="Y10:Y11"/>
  </mergeCells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Compte de resultats i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Miquel Comas</dc:creator>
  <cp:lastModifiedBy>Francesc Heras</cp:lastModifiedBy>
  <cp:lastPrinted>2025-04-30T08:37:02Z</cp:lastPrinted>
  <dcterms:created xsi:type="dcterms:W3CDTF">2019-01-12T11:43:22Z</dcterms:created>
  <dcterms:modified xsi:type="dcterms:W3CDTF">2025-04-30T08:37:03Z</dcterms:modified>
</cp:coreProperties>
</file>