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comments1.xml" ContentType="application/vnd.openxmlformats-officedocument.spreadsheetml.comments+xml"/>
  <Override PartName="/xl/externalLinks/externalLink7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m\Desktop\JOSEP M\HCB\SAP\Compres\Plecs\"/>
    </mc:Choice>
  </mc:AlternateContent>
  <xr:revisionPtr revIDLastSave="0" documentId="8_{E563CD9B-E459-4795-B9AE-EFF286664B13}" xr6:coauthVersionLast="47" xr6:coauthVersionMax="47" xr10:uidLastSave="{00000000-0000-0000-0000-000000000000}"/>
  <bookViews>
    <workbookView xWindow="-120" yWindow="-120" windowWidth="29040" windowHeight="15720" tabRatio="912" firstSheet="3" activeTab="3" xr2:uid="{00000000-000D-0000-FFFF-FFFF00000000}"/>
  </bookViews>
  <sheets>
    <sheet name="estalvis concursos" sheetId="5" state="hidden" r:id="rId1"/>
    <sheet name="PO cgcs_llistat BO" sheetId="1" state="hidden" r:id="rId2"/>
    <sheet name="resum PO 30,09" sheetId="2" state="hidden" r:id="rId3"/>
    <sheet name="PO FEBRER 2025" sheetId="25" r:id="rId4"/>
    <sheet name="PO 1018 SAP HCB" sheetId="14" state="hidden" r:id="rId5"/>
    <sheet name="PO 1018 SAP CGCS" sheetId="15" state="hidden" r:id="rId6"/>
    <sheet name="bq" sheetId="11" state="hidden" r:id="rId7"/>
    <sheet name="Resum per projecte" sheetId="13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A">#REF!</definedName>
    <definedName name="\b">'[1]GRUP AGBAR'!#REF!</definedName>
    <definedName name="\c">'[1]GRUP AGBAR'!#REF!</definedName>
    <definedName name="\G">#REF!</definedName>
    <definedName name="\I">#REF!</definedName>
    <definedName name="\J">#REF!</definedName>
    <definedName name="\M">#REF!</definedName>
    <definedName name="\P">#REF!</definedName>
    <definedName name="\pppp">#REF!</definedName>
    <definedName name="\R">#REF!</definedName>
    <definedName name="\T">#REF!</definedName>
    <definedName name="_______DAT1">#REF!</definedName>
    <definedName name="_______DAT2">#REF!</definedName>
    <definedName name="_______DAT3">#REF!</definedName>
    <definedName name="_______DAT4">#REF!</definedName>
    <definedName name="_______DAT5">#REF!</definedName>
    <definedName name="______DAT1">#REF!</definedName>
    <definedName name="______DAT2">#REF!</definedName>
    <definedName name="______DAT3">#REF!</definedName>
    <definedName name="______DAT4">#REF!</definedName>
    <definedName name="______DAT5">#REF!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r">[2]desplegables!$N$3:$N$6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r">[3]desplegables!$Y$3:$Y$8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r">[2]desplegables!$N$3:$N$6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r">[2]desplegables!$N$3:$N$6</definedName>
    <definedName name="_0">#REF!</definedName>
    <definedName name="_A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3" hidden="1">'PO FEBRER 2025'!$A$1:$Z$36</definedName>
    <definedName name="_G">#REF!</definedName>
    <definedName name="_I">#REF!</definedName>
    <definedName name="_J">#REF!</definedName>
    <definedName name="_M">#REF!</definedName>
    <definedName name="_P">#REF!</definedName>
    <definedName name="_pppp">#REF!</definedName>
    <definedName name="_r">[2]desplegables!$N$3:$N$6</definedName>
    <definedName name="_T">#REF!</definedName>
    <definedName name="a">'[4]Agrupació CP'!$A$1:$A$99</definedName>
    <definedName name="aa">[5]desplegables!#REF!</definedName>
    <definedName name="AAII">[6]desplegables!$B$3:$B$17</definedName>
    <definedName name="AAJJ">[7]desplegables!$F$3:$F$52</definedName>
    <definedName name="afas">[8]desplegables!$D$3:$D$42</definedName>
    <definedName name="Agrupació">'[9]Agrupació Personal Mèdic'!$B$2:$B$12</definedName>
    <definedName name="agrupacio_ajust">[10]desplegables!$Y$3:$Y$7</definedName>
    <definedName name="agrupacion">'[4]Agrupació CP'!$A$1:$A$99</definedName>
    <definedName name="AJCA">#REF!</definedName>
    <definedName name="AJEX">[11]desplegables!$G$3:$G$52</definedName>
    <definedName name="ajust">[12]desplegables!#REF!</definedName>
    <definedName name="aprovacio">[13]desplegables!$C$3:$C$4</definedName>
    <definedName name="aprovació">[5]desplegables!$M$3:$M$4</definedName>
    <definedName name="_xlnm.Print_Area" localSheetId="1">'PO cgcs_llistat BO'!$C$1:$AO$37</definedName>
    <definedName name="_xlnm.Print_Area" localSheetId="3">'PO FEBRER 2025'!$C$1:$W$36</definedName>
    <definedName name="_xlnm.Print_Area" localSheetId="2">'resum PO 30,09'!$A$1:$F$43</definedName>
    <definedName name="areaD10">#REF!</definedName>
    <definedName name="areaD11">#REF!</definedName>
    <definedName name="areaD2_1">#REF!</definedName>
    <definedName name="areaD2_2">#REF!</definedName>
    <definedName name="areaD3_1">#REF!</definedName>
    <definedName name="areaD3_2">#REF!</definedName>
    <definedName name="areaD3_3">#REF!</definedName>
    <definedName name="areaD3_4">#REF!</definedName>
    <definedName name="areaD4_1">#REF!</definedName>
    <definedName name="areaD4_2">#REF!</definedName>
    <definedName name="areaD4a">#REF!</definedName>
    <definedName name="areaD50">#REF!</definedName>
    <definedName name="AS2DocOpenMode" hidden="1">"AS2DocumentEdit"</definedName>
    <definedName name="AS2HasNoAutoHeaderFooter" hidden="1">" "</definedName>
    <definedName name="asd">#REF!</definedName>
    <definedName name="ATAD23">'[14]Compres Nov13-Oct14'!#REF!</definedName>
    <definedName name="b">[5]desplegables!#REF!</definedName>
    <definedName name="bw">'[15]query-bw'!$A:$IV</definedName>
    <definedName name="Categoria">'[16]2010 sin RDL'!#REF!</definedName>
    <definedName name="categorias">#REF!</definedName>
    <definedName name="categories">[11]desplegables!$T$3:$T$154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obertura">[11]desplegables!$S$3:$S$4</definedName>
    <definedName name="codi_ajust_adm">[17]desplegables!$AD$3:$AD$32</definedName>
    <definedName name="codi_ajust_far">[5]desplegables!#REF!</definedName>
    <definedName name="codi_ajust_indirectes">[18]desplegables!$AI$3:$AI$32</definedName>
    <definedName name="codi_ajust_inf">[10]desplegables!$AC$3:$AC$32</definedName>
    <definedName name="codi_ajust_ingressos">[5]desplegables!#REF!</definedName>
    <definedName name="codi_ajust_mag">[5]desplegables!#REF!</definedName>
    <definedName name="codi_ajust_medic">[5]desplegables!#REF!</definedName>
    <definedName name="codi_ajust_serv_grals">[5]desplegables!#REF!</definedName>
    <definedName name="codi_NNAA_AAII">[19]desplegables!$B$3:$B$52</definedName>
    <definedName name="COMPARATIVA_INVERSIONES_TIPO_2_4_PERIODOS">#REF!</definedName>
    <definedName name="comptes_altr_desp_dir">[20]desplegables!$BB$3:$BB$66</definedName>
    <definedName name="comptes_farmacia">[21]desplegables!#REF!</definedName>
    <definedName name="comptes_indirectes">[17]desplegables!$AL$3:$AL$100</definedName>
    <definedName name="comptes_ing_cats">[20]desplegables!$BL$3:$BL$19</definedName>
    <definedName name="comptes_ingressos">[11]desplegables!$AY$3:$AY$95</definedName>
    <definedName name="comptes_magatzem">[21]desplegables!#REF!</definedName>
    <definedName name="concepte">[5]desplegables!#REF!</definedName>
    <definedName name="concepte_motiu">[21]desplegables!#REF!</definedName>
    <definedName name="concepte_motiu_AAII">[22]desplegables!$W$3:$W$17</definedName>
    <definedName name="Concepte_motiu_NACP">[11]desplegables!$V$3:$V$6</definedName>
    <definedName name="concepte_motiu_NNAA">[23]desplegables!$V$3:$V$12</definedName>
    <definedName name="concepte_motiu_RRCC">[11]desplegables!$U$3:$U$4</definedName>
    <definedName name="conf_desp_asoc">[24]desplegables!$AH$3</definedName>
    <definedName name="convocatoria">[20]desplegables!$O$3:$O$4</definedName>
    <definedName name="csocial03">#REF!</definedName>
    <definedName name="csocials">#REF!</definedName>
    <definedName name="d">[5]desplegables!#REF!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'[25]Compres Nov13-Oct14'!#REF!</definedName>
    <definedName name="DATA26">'[14]Compres Nov13-Oct14'!#REF!</definedName>
    <definedName name="DATA26.">'[14]Compres Nov13-Oct14'!#REF!</definedName>
    <definedName name="DATA27">'[14]Compres Nov13-Oct14'!#REF!</definedName>
    <definedName name="DATA3">#REF!</definedName>
    <definedName name="DATA32">'[25]Compres Nov13-Oct14'!#REF!</definedName>
    <definedName name="DATA33">'[25]Compres Nov13-Oct14'!#REF!</definedName>
    <definedName name="DATA4">#REF!</definedName>
    <definedName name="DATA40">'[25]Compres Nov13-Oct14'!#REF!</definedName>
    <definedName name="DATA41">'[25]Compres Nov13-Oct14'!#REF!</definedName>
    <definedName name="DATA42">'[14]Compres Nov13-Oct14'!#REF!</definedName>
    <definedName name="DATA43">'[14]Compres Nov13-Oct14'!#REF!</definedName>
    <definedName name="DATA44">'[14]Compres Nov13-Oct14'!#REF!</definedName>
    <definedName name="DATA45">'[14]Compres Nov13-Oct14'!#REF!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ES_PX">#REF!</definedName>
    <definedName name="dd">[26]desplegables!$U$3:$U$160</definedName>
    <definedName name="ddd">[26]desplegables!$W$3:$W$17</definedName>
    <definedName name="descr_compt_altr_desp_dir">[11]desplegables!$AR$3:$AR$45</definedName>
    <definedName name="descr_compt_far">[27]desplegables!$O$3:$O$41</definedName>
    <definedName name="descr_compt_far1">[28]desplegables!$AN$3:$AN$57</definedName>
    <definedName name="descr_compt_ind">[27]desplegables!$AS$3:$AS$116</definedName>
    <definedName name="descr_compt_ing">[27]desplegables!$AX$3:$AX$85</definedName>
    <definedName name="descr_compt_ing_catsalut">[11]desplegables!$BB$3:$BB$20</definedName>
    <definedName name="descr_compt_mag">[11]desplegables!$AO$3:$AO$23</definedName>
    <definedName name="dsd">[19]desplegables!#REF!</definedName>
    <definedName name="e">[29]desplegables!$AI$3:$AI$82</definedName>
    <definedName name="ee">[29]desplegables!$AG$3:$AG$7</definedName>
    <definedName name="eee">[29]desplegables!$AF$3:$AF$6</definedName>
    <definedName name="eeeeee">[29]desplegables!$U$3:$U$6</definedName>
    <definedName name="eeeeeee">[29]desplegables!$AA$3:$AA$160</definedName>
    <definedName name="eeeeeeeeeeee">[29]desplegables!$S$3:$S$6</definedName>
    <definedName name="eeeeeeeeeeeee">[29]desplegables!$V$3:$V$5</definedName>
    <definedName name="eeeeeeeeeeeeeeeeeee">[29]desplegables!$Z$3:$Z$4</definedName>
    <definedName name="eeeeeeeeeeeeeeeeeeeeeee">[29]desplegables!$Y$3:$Y$8</definedName>
    <definedName name="eeeeeeeeeeeeeeeeeeeeeeeeeeeee">[29]desplegables!$W$3:$W$5</definedName>
    <definedName name="eeeeeeeeeeeeeeeeeeeeeeeeeeeeeee">[29]desplegables!$X$3:$X$4</definedName>
    <definedName name="eeeeeeeeeeeeeeeeeeeeeeeeeeeeeeeee">[29]desplegables!$T$3:$T$6</definedName>
    <definedName name="eeeeeeeeeeeeeeeeeeeeeeeeeeeeeeeeeeee">[29]desplegables!$F$3:$F$52</definedName>
    <definedName name="eeeeeeeeeeeeeeeeeeeeeeeeeeeeeeeeeeeeeeeeeeeeeeeeeeeee">[29]desplegables!$AH$3:$AH$37</definedName>
    <definedName name="ergter">[30]desplegables!$BE$3:$BE$166</definedName>
    <definedName name="estament">[11]desplegables!$N$3:$N$6</definedName>
    <definedName name="Excel_BuiltIn_Print_Area_3">#REF!</definedName>
    <definedName name="Excel_BuiltIn_Print_Area_5_1">#REF!</definedName>
    <definedName name="FAMILIA">'[31]Codificació família'!$B$2:$B$2061</definedName>
    <definedName name="ff">[32]Magatz!#REF!</definedName>
    <definedName name="Format">#REF!</definedName>
    <definedName name="Funció">[20]desplegables!$T$3:$T$488</definedName>
    <definedName name="g">[5]desplegables!#REF!</definedName>
    <definedName name="gg">[5]desplegables!#REF!</definedName>
    <definedName name="ggg">[26]desplegables!$Q$3:$Q$5</definedName>
    <definedName name="h">#REF!</definedName>
    <definedName name="Header">#REF!</definedName>
    <definedName name="hh">'[32]R11 F. Inferm.'!#REF!</definedName>
    <definedName name="incl_ppto">[11]desplegables!$Y$3:$Y$6</definedName>
    <definedName name="incl_ppto_2008">[10]desplegables!$X$3:$X$5</definedName>
    <definedName name="inferm">'[21]R11 F. Inferm.'!#REF!</definedName>
    <definedName name="j">[5]desplegables!#REF!</definedName>
    <definedName name="jj">#REF!</definedName>
    <definedName name="jornada">[11]desplegables!$Q$3:$Q$4</definedName>
    <definedName name="k">#REF!</definedName>
    <definedName name="KK">'[33]Dades econòmiques'!$B$6:$B$91</definedName>
    <definedName name="ll">[5]desplegables!#REF!</definedName>
    <definedName name="lll">#REF!</definedName>
    <definedName name="m">[5]desplegables!#REF!</definedName>
    <definedName name="maghs1">'[21]Mat. sanitari'!#REF!</definedName>
    <definedName name="maghs2">'[34]Resum H1M TOTAL'!#REF!</definedName>
    <definedName name="metges">#REF!</definedName>
    <definedName name="mm">[35]desplegables!$O$3:$O$6</definedName>
    <definedName name="MMEE">[24]desplegables!$G$3:$G$22</definedName>
    <definedName name="monica">'[36]Dades econòmiques'!#REF!</definedName>
    <definedName name="MOPP">[11]desplegables!$I$3:$I$22</definedName>
    <definedName name="motiu_nec_rep">[20]desplegables!$AA$3:$AA$6</definedName>
    <definedName name="motiu_vacant">[20]desplegables!$AC$3:$AC$8</definedName>
    <definedName name="MPXA">[11]desplegables!#REF!</definedName>
    <definedName name="MPXE">[11]desplegables!#REF!</definedName>
    <definedName name="n">[5]desplegables!#REF!</definedName>
    <definedName name="NACP">[11]desplegables!$B$3:$B$44</definedName>
    <definedName name="Nec_rep">[20]desplegables!$AB$3:$AB$4</definedName>
    <definedName name="NNAA">[23]desplegables!$A$3:$A$17</definedName>
    <definedName name="NOMEN_MHDA_NOU_V_EP">#REF!</definedName>
    <definedName name="nova_modificacio">[27]desplegables!$S$3:$S$6</definedName>
    <definedName name="num_ppto">[27]desplegables!$AI$3:$AI$83</definedName>
    <definedName name="num_ppto_2008">[10]desplegables!$AA$3:$AA$47</definedName>
    <definedName name="ñ">#REF!</definedName>
    <definedName name="ññ">[35]desplegables!$B$3:$B$17</definedName>
    <definedName name="o">[37]desplegables!$AA$3:$AA$160</definedName>
    <definedName name="oo">[37]desplegables!$V$3:$V$5</definedName>
    <definedName name="ooo">[37]desplegables!$Z$3:$Z$4</definedName>
    <definedName name="oooo">[37]desplegables!$Y$3:$Y$8</definedName>
    <definedName name="oooooo">[37]desplegables!$X$3:$X$4</definedName>
    <definedName name="ooooooo">[37]desplegables!$W$3:$W$5</definedName>
    <definedName name="ooooooooooo">[37]desplegables!$T$3:$T$6</definedName>
    <definedName name="ooooooooooooooooooo">[37]desplegables!$F$3:$F$52</definedName>
    <definedName name="oooooooooooooooooooooooo">[37]desplegables!$AH$3:$AH$37</definedName>
    <definedName name="plurimetges">#REF!</definedName>
    <definedName name="plus_perillositat">[20]desplegables!$W$3:$W$4</definedName>
    <definedName name="posició_RS">[20]desplegables!$X$3:$X$4</definedName>
    <definedName name="posicion">'[21]R11 F. Inferm.'!#REF!</definedName>
    <definedName name="POSICIÓN">#REF!</definedName>
    <definedName name="PXMT">[38]desplegables!$C$3:$C$42</definedName>
    <definedName name="q">[5]desplegables!#REF!</definedName>
    <definedName name="RawData">#REF!</definedName>
    <definedName name="RawHeader">#REF!</definedName>
    <definedName name="RE">[39]query!$A:$IV</definedName>
    <definedName name="RECAT">[21]desplegables!#REF!</definedName>
    <definedName name="Reinv">[40]desplegables!$K$3:$K$17</definedName>
    <definedName name="responsabilitat">[11]desplegables!$P$3:$P$5</definedName>
    <definedName name="rr">[41]desplegables!$X$3:$X$4</definedName>
    <definedName name="RRCC">[27]desplegables!$A$3:$A$17</definedName>
    <definedName name="RREE">[11]desplegables!$J$3:$J$17</definedName>
    <definedName name="rrrr">[41]desplegables!$W$3:$W$5</definedName>
    <definedName name="rrrrr">[41]desplegables!$T$3:$T$6</definedName>
    <definedName name="rrrrrrrr">[41]desplegables!$F$3:$F$52</definedName>
    <definedName name="rrrrrrrrrrrrr">[41]desplegables!$AH$3:$AH$37</definedName>
    <definedName name="s">[41]desplegables!$AF$3:$AF$6</definedName>
    <definedName name="SAPBEXrevision" hidden="1">19</definedName>
    <definedName name="SAPBEXsysID" hidden="1">"DWH"</definedName>
    <definedName name="SAPBEXwbID" hidden="1">"1TQVKS4RW1Q2OBL2LRI1J25WF"</definedName>
    <definedName name="sfds">[42]desplegables!$AW$3:$AW$168</definedName>
    <definedName name="ss">[41]desplegables!$AG$3:$AG$7</definedName>
    <definedName name="sss">[41]desplegables!$Z$3:$Z$4</definedName>
    <definedName name="ssss">[41]desplegables!$U$3:$U$6</definedName>
    <definedName name="ssssss">[41]desplegables!$AA$3:$AA$160</definedName>
    <definedName name="sssssssssssssss">[41]desplegables!$S$3:$S$6</definedName>
    <definedName name="sup">#REF!</definedName>
    <definedName name="suport">#REF!</definedName>
    <definedName name="t">[37]desplegables!$V$3:$V$5</definedName>
    <definedName name="temporalitat">[11]desplegables!$O$3:$O$5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RangeCount" hidden="1">7</definedName>
    <definedName name="tipologia">[11]desplegables!$M$3:$M$6</definedName>
    <definedName name="tipus_ajust">[11]desplegables!$AA$3:$AA$37</definedName>
    <definedName name="tipus_sol_cat_nocat">[38]desplegables!$L$3:$L$4</definedName>
    <definedName name="tipus_sol·licitud">[19]desplegables!$A$3:$A$5</definedName>
    <definedName name="torn">[11]desplegables!$R$3:$R$8</definedName>
    <definedName name="TOTAL">[43]TOTAL!$C$1:$BL$523</definedName>
    <definedName name="TOTAL_PPTO">#REF!</definedName>
    <definedName name="tt">[37]desplegables!$Y$3:$Y$8</definedName>
    <definedName name="ttt">[37]desplegables!$X$3:$X$4</definedName>
    <definedName name="tttt">[37]desplegables!$F$3:$F$52</definedName>
    <definedName name="ttttt">[37]desplegables!$T$3:$T$6</definedName>
    <definedName name="tttttttt">[41]desplegables!$AI$3:$AI$82</definedName>
    <definedName name="tttttttttttt">[37]desplegables!$AH$3:$AH$37</definedName>
    <definedName name="voperativas">'[44]VARIABLES OPERATIVAS'!$A$1:$D$112</definedName>
    <definedName name="w">[5]desplegables!#REF!</definedName>
    <definedName name="weq">[19]desplegables!#REF!</definedName>
    <definedName name="wre">#REF!</definedName>
    <definedName name="x">'[5]Dades econòmiques'!#REF!</definedName>
    <definedName name="y">[5]desplegables!#REF!</definedName>
    <definedName name="z">[5]desplegables!#REF!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5" i="25" l="1"/>
  <c r="W34" i="25"/>
  <c r="W33" i="25"/>
  <c r="W32" i="25"/>
  <c r="W31" i="25"/>
  <c r="T34" i="25"/>
  <c r="P26" i="25"/>
  <c r="Q26" i="25"/>
  <c r="M6" i="25"/>
  <c r="N6" i="25"/>
  <c r="O6" i="25"/>
  <c r="P6" i="25"/>
  <c r="S6" i="25"/>
  <c r="T6" i="25"/>
  <c r="U6" i="25"/>
  <c r="V6" i="25"/>
  <c r="U20" i="25"/>
  <c r="T20" i="25"/>
  <c r="T21" i="25" l="1"/>
  <c r="W21" i="25" s="1"/>
  <c r="Q2" i="25"/>
  <c r="Q5" i="25"/>
  <c r="Q3" i="25"/>
  <c r="Q4" i="25"/>
  <c r="V9" i="25"/>
  <c r="U9" i="25"/>
  <c r="P9" i="25"/>
  <c r="O9" i="25"/>
  <c r="N9" i="25"/>
  <c r="M9" i="25"/>
  <c r="L9" i="25"/>
  <c r="L6" i="25"/>
  <c r="V23" i="25"/>
  <c r="U23" i="25"/>
  <c r="P23" i="25"/>
  <c r="O23" i="25"/>
  <c r="N23" i="25"/>
  <c r="M23" i="25"/>
  <c r="L23" i="25"/>
  <c r="V18" i="25"/>
  <c r="S18" i="25"/>
  <c r="P18" i="25"/>
  <c r="O18" i="25"/>
  <c r="N18" i="25"/>
  <c r="M18" i="25"/>
  <c r="L18" i="25"/>
  <c r="T18" i="25"/>
  <c r="Q17" i="25"/>
  <c r="R17" i="25" s="1"/>
  <c r="R18" i="25" s="1"/>
  <c r="Q6" i="25" l="1"/>
  <c r="Q18" i="25"/>
  <c r="U17" i="25"/>
  <c r="W17" i="25" l="1"/>
  <c r="W18" i="25" s="1"/>
  <c r="U18" i="25"/>
  <c r="S26" i="25" l="1"/>
  <c r="T23" i="25" l="1"/>
  <c r="S20" i="25"/>
  <c r="S23" i="25" s="1"/>
  <c r="W22" i="25"/>
  <c r="Q22" i="25"/>
  <c r="W11" i="25"/>
  <c r="V11" i="25"/>
  <c r="U11" i="25"/>
  <c r="T11" i="25"/>
  <c r="S11" i="25"/>
  <c r="P11" i="25"/>
  <c r="O11" i="25"/>
  <c r="N11" i="25"/>
  <c r="M11" i="25"/>
  <c r="L11" i="25"/>
  <c r="Q10" i="25"/>
  <c r="R10" i="25" s="1"/>
  <c r="R11" i="25" s="1"/>
  <c r="S16" i="25"/>
  <c r="V16" i="25"/>
  <c r="U16" i="25"/>
  <c r="P16" i="25"/>
  <c r="O16" i="25"/>
  <c r="N16" i="25"/>
  <c r="M16" i="25"/>
  <c r="L16" i="25"/>
  <c r="R22" i="25" l="1"/>
  <c r="Q11" i="25"/>
  <c r="Q19" i="25" l="1"/>
  <c r="Q23" i="25" s="1"/>
  <c r="W19" i="25"/>
  <c r="Q14" i="25"/>
  <c r="Q15" i="25"/>
  <c r="R15" i="25" s="1"/>
  <c r="Q12" i="25"/>
  <c r="R12" i="25" s="1"/>
  <c r="R19" i="25" l="1"/>
  <c r="R23" i="25" s="1"/>
  <c r="W20" i="25"/>
  <c r="W23" i="25" s="1"/>
  <c r="Q16" i="25"/>
  <c r="R14" i="25"/>
  <c r="R16" i="25" s="1"/>
  <c r="W14" i="25"/>
  <c r="J14" i="25" l="1"/>
  <c r="Q9" i="25" l="1"/>
  <c r="V13" i="25"/>
  <c r="V31" i="25" s="1"/>
  <c r="Q13" i="25"/>
  <c r="P13" i="25"/>
  <c r="P28" i="25" s="1"/>
  <c r="O13" i="25"/>
  <c r="N13" i="25"/>
  <c r="M13" i="25"/>
  <c r="L13" i="25"/>
  <c r="S13" i="25"/>
  <c r="W27" i="25"/>
  <c r="W24" i="25"/>
  <c r="W5" i="25"/>
  <c r="W4" i="25"/>
  <c r="W3" i="25"/>
  <c r="W2" i="25"/>
  <c r="S9" i="25"/>
  <c r="R13" i="25"/>
  <c r="R5" i="25"/>
  <c r="R4" i="25"/>
  <c r="R3" i="25"/>
  <c r="R2" i="25"/>
  <c r="R6" i="25" s="1"/>
  <c r="W6" i="25" l="1"/>
  <c r="R7" i="25"/>
  <c r="W7" i="25"/>
  <c r="R25" i="25"/>
  <c r="R26" i="25" s="1"/>
  <c r="T13" i="25" l="1"/>
  <c r="W15" i="25" l="1"/>
  <c r="T16" i="25"/>
  <c r="U13" i="25"/>
  <c r="W12" i="25"/>
  <c r="W13" i="25" s="1"/>
  <c r="J15" i="25" l="1"/>
  <c r="W16" i="25"/>
  <c r="J12" i="25"/>
  <c r="U31" i="25" l="1"/>
  <c r="T9" i="25" l="1"/>
  <c r="R8" i="25"/>
  <c r="R9" i="25" s="1"/>
  <c r="T31" i="25" l="1"/>
  <c r="W8" i="25"/>
  <c r="W9" i="25" s="1"/>
  <c r="W28" i="25" l="1"/>
  <c r="Q28" i="25"/>
  <c r="H28" i="25" l="1"/>
  <c r="S34" i="25" s="1"/>
  <c r="S31" i="25" s="1"/>
  <c r="N26" i="25" l="1"/>
  <c r="N28" i="25" s="1"/>
  <c r="J3" i="25" l="1"/>
  <c r="J7" i="25"/>
  <c r="J8" i="25" l="1"/>
  <c r="M26" i="25"/>
  <c r="M28" i="25" s="1"/>
  <c r="L26" i="25"/>
  <c r="L28" i="25" s="1"/>
  <c r="R28" i="25" l="1"/>
  <c r="O26" i="25" l="1"/>
  <c r="O28" i="25" s="1"/>
  <c r="S32" i="25" l="1"/>
  <c r="S33" i="25" s="1"/>
  <c r="S28" i="25"/>
  <c r="T25" i="25"/>
  <c r="T26" i="25" s="1"/>
  <c r="S35" i="25" l="1"/>
  <c r="T32" i="25"/>
  <c r="T33" i="25" s="1"/>
  <c r="T28" i="25"/>
  <c r="U25" i="25"/>
  <c r="W36" i="25"/>
  <c r="U32" i="25" l="1"/>
  <c r="U33" i="25" s="1"/>
  <c r="U26" i="25"/>
  <c r="T35" i="25"/>
  <c r="V25" i="25"/>
  <c r="V26" i="25" s="1"/>
  <c r="U28" i="25"/>
  <c r="F19" i="13"/>
  <c r="D6" i="13"/>
  <c r="D7" i="13"/>
  <c r="D8" i="13"/>
  <c r="D22" i="13"/>
  <c r="D14" i="13"/>
  <c r="D20" i="13"/>
  <c r="D19" i="13"/>
  <c r="D10" i="13"/>
  <c r="D16" i="13"/>
  <c r="D18" i="13"/>
  <c r="D5" i="13"/>
  <c r="D4" i="13"/>
  <c r="D3" i="13"/>
  <c r="D13" i="13"/>
  <c r="D23" i="13"/>
  <c r="D12" i="13"/>
  <c r="D24" i="13"/>
  <c r="D11" i="13"/>
  <c r="D27" i="13"/>
  <c r="D26" i="13"/>
  <c r="D17" i="13"/>
  <c r="D9" i="13"/>
  <c r="D15" i="13"/>
  <c r="D21" i="13"/>
  <c r="D25" i="13"/>
  <c r="F7" i="13"/>
  <c r="F8" i="13"/>
  <c r="F22" i="13"/>
  <c r="U35" i="25" l="1"/>
  <c r="V28" i="25"/>
  <c r="V32" i="25"/>
  <c r="V33" i="25" s="1"/>
  <c r="E19" i="13"/>
  <c r="D28" i="13"/>
  <c r="E22" i="13"/>
  <c r="E7" i="13"/>
  <c r="E8" i="13"/>
  <c r="V35" i="25" l="1"/>
  <c r="D33" i="13"/>
  <c r="F6" i="13" l="1"/>
  <c r="E6" i="13" s="1"/>
  <c r="F20" i="13"/>
  <c r="E20" i="13" s="1"/>
  <c r="F9" i="13"/>
  <c r="E9" i="13" s="1"/>
  <c r="F10" i="13"/>
  <c r="E10" i="13" s="1"/>
  <c r="F13" i="13" l="1"/>
  <c r="E13" i="13" s="1"/>
  <c r="F25" i="13"/>
  <c r="E25" i="13" s="1"/>
  <c r="F3" i="13"/>
  <c r="E3" i="13" s="1"/>
  <c r="F4" i="13"/>
  <c r="E4" i="13" s="1"/>
  <c r="F5" i="13"/>
  <c r="E5" i="13" s="1"/>
  <c r="F14" i="13" l="1"/>
  <c r="E14" i="13" s="1"/>
  <c r="G6" i="11" l="1"/>
  <c r="G5" i="11"/>
  <c r="F5" i="11"/>
  <c r="E5" i="11"/>
  <c r="F6" i="11"/>
  <c r="E6" i="11"/>
  <c r="F17" i="13"/>
  <c r="E17" i="13" s="1"/>
  <c r="E7" i="11" l="1"/>
  <c r="E8" i="11" s="1"/>
  <c r="H5" i="11"/>
  <c r="I5" i="11" s="1"/>
  <c r="F7" i="11"/>
  <c r="F8" i="11" s="1"/>
  <c r="G7" i="11"/>
  <c r="G9" i="11" l="1"/>
  <c r="E9" i="11"/>
  <c r="F9" i="11"/>
  <c r="H7" i="11"/>
  <c r="G8" i="11"/>
  <c r="H9" i="11" l="1"/>
  <c r="F15" i="13"/>
  <c r="E15" i="13" s="1"/>
  <c r="F21" i="13" l="1"/>
  <c r="E21" i="13" s="1"/>
  <c r="D5" i="2" l="1"/>
  <c r="D20" i="2"/>
  <c r="D21" i="2"/>
  <c r="E42" i="2"/>
  <c r="F42" i="2" s="1"/>
  <c r="D6" i="11" l="1"/>
  <c r="H6" i="11" s="1"/>
  <c r="I21" i="5"/>
  <c r="H21" i="5"/>
  <c r="J20" i="5"/>
  <c r="J19" i="5"/>
  <c r="J18" i="5"/>
  <c r="J17" i="5"/>
  <c r="J11" i="5"/>
  <c r="J10" i="5"/>
  <c r="L10" i="5" s="1"/>
  <c r="J9" i="5"/>
  <c r="H8" i="5"/>
  <c r="J8" i="5" s="1"/>
  <c r="L8" i="5" s="1"/>
  <c r="I7" i="5"/>
  <c r="I12" i="5" s="1"/>
  <c r="H6" i="5"/>
  <c r="J6" i="5" s="1"/>
  <c r="L6" i="5" s="1"/>
  <c r="H12" i="5" l="1"/>
  <c r="L19" i="5"/>
  <c r="M19" i="5" s="1"/>
  <c r="M10" i="5"/>
  <c r="J21" i="5"/>
  <c r="F27" i="13"/>
  <c r="E27" i="13" s="1"/>
  <c r="H8" i="11"/>
  <c r="I6" i="11"/>
  <c r="F10" i="11"/>
  <c r="G10" i="11"/>
  <c r="E10" i="11"/>
  <c r="D8" i="2"/>
  <c r="K6" i="5"/>
  <c r="M6" i="5"/>
  <c r="J7" i="5"/>
  <c r="K7" i="5" s="1"/>
  <c r="K8" i="5"/>
  <c r="M8" i="5"/>
  <c r="L9" i="5"/>
  <c r="M9" i="5" s="1"/>
  <c r="L11" i="5"/>
  <c r="M11" i="5" s="1"/>
  <c r="K17" i="5"/>
  <c r="L18" i="5"/>
  <c r="L20" i="5"/>
  <c r="M20" i="5" s="1"/>
  <c r="L21" i="5" l="1"/>
  <c r="J12" i="5"/>
  <c r="F11" i="13"/>
  <c r="E11" i="13" s="1"/>
  <c r="H10" i="11"/>
  <c r="M12" i="5"/>
  <c r="M18" i="5"/>
  <c r="M21" i="5" s="1"/>
  <c r="L12" i="5"/>
  <c r="F24" i="13" l="1"/>
  <c r="E24" i="13" s="1"/>
  <c r="F12" i="13"/>
  <c r="E12" i="13" l="1"/>
  <c r="D6" i="2" l="1"/>
  <c r="D43" i="2"/>
  <c r="E41" i="2"/>
  <c r="F41" i="2" s="1"/>
  <c r="H41" i="2" s="1"/>
  <c r="S26" i="1" l="1"/>
  <c r="S27" i="1" s="1"/>
  <c r="S29" i="1" s="1"/>
  <c r="D7" i="2" l="1"/>
  <c r="T26" i="1"/>
  <c r="S26" i="2" l="1"/>
  <c r="D9" i="2"/>
  <c r="Y26" i="1"/>
  <c r="B5" i="2" s="1"/>
  <c r="T27" i="1"/>
  <c r="T29" i="1" s="1"/>
  <c r="E40" i="2"/>
  <c r="F40" i="2" s="1"/>
  <c r="E39" i="2"/>
  <c r="F39" i="2" s="1"/>
  <c r="E38" i="2"/>
  <c r="F38" i="2" s="1"/>
  <c r="E36" i="2"/>
  <c r="F36" i="2" s="1"/>
  <c r="E37" i="2"/>
  <c r="F37" i="2" s="1"/>
  <c r="E35" i="2"/>
  <c r="F35" i="2" s="1"/>
  <c r="E34" i="2"/>
  <c r="D19" i="2"/>
  <c r="D26" i="2"/>
  <c r="B6" i="2"/>
  <c r="E43" i="2" l="1"/>
  <c r="D4" i="2"/>
  <c r="D25" i="2" s="1"/>
  <c r="B4" i="2"/>
  <c r="C5" i="2"/>
  <c r="D28" i="2"/>
  <c r="Y27" i="1"/>
  <c r="Y29" i="1" s="1"/>
  <c r="Y36" i="1" s="1"/>
  <c r="AO26" i="1"/>
  <c r="D22" i="2"/>
  <c r="D30" i="2" s="1"/>
  <c r="F34" i="2"/>
  <c r="F43" i="2" s="1"/>
  <c r="D27" i="2"/>
  <c r="D29" i="2"/>
  <c r="D10" i="2"/>
  <c r="D12" i="2" s="1"/>
  <c r="E5" i="2" l="1"/>
  <c r="F5" i="2"/>
  <c r="Y37" i="1"/>
  <c r="B7" i="2" l="1"/>
  <c r="B12" i="2" l="1"/>
  <c r="B9" i="2"/>
  <c r="B10" i="2" s="1"/>
  <c r="F26" i="13" l="1"/>
  <c r="E26" i="13" l="1"/>
  <c r="E28" i="13" s="1"/>
  <c r="E33" i="13" s="1"/>
  <c r="F28" i="13"/>
  <c r="F33" i="13" s="1"/>
  <c r="C8" i="2" l="1"/>
  <c r="E8" i="2" l="1"/>
  <c r="F8" i="2"/>
  <c r="C7" i="2" l="1"/>
  <c r="E7" i="2" l="1"/>
  <c r="F7" i="2"/>
  <c r="C9" i="2"/>
  <c r="F9" i="2" l="1"/>
  <c r="E9" i="2"/>
  <c r="C6" i="2" l="1"/>
  <c r="C4" i="2" l="1"/>
  <c r="E6" i="2"/>
  <c r="E10" i="2" s="1"/>
  <c r="E12" i="2" s="1"/>
  <c r="C10" i="2"/>
  <c r="C12" i="2" s="1"/>
  <c r="F6" i="2"/>
  <c r="F10" i="2" s="1"/>
  <c r="F12" i="2" l="1"/>
  <c r="E4" i="2"/>
  <c r="F4" i="2"/>
  <c r="F18" i="13" l="1"/>
  <c r="E18" i="13" s="1"/>
  <c r="F23" i="13"/>
  <c r="E23" i="13" s="1"/>
  <c r="F16" i="13"/>
  <c r="E16" i="13" s="1"/>
  <c r="D29" i="13" l="1"/>
  <c r="F29" i="13" l="1"/>
  <c r="E29" i="13" l="1"/>
  <c r="J4" i="25" l="1"/>
  <c r="J2" i="25" l="1"/>
  <c r="J5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VPALAU</author>
  </authors>
  <commentList>
    <comment ref="B1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VPALAU:</t>
        </r>
        <r>
          <rPr>
            <sz val="8"/>
            <color indexed="81"/>
            <rFont val="Tahoma"/>
            <family val="2"/>
          </rPr>
          <t xml:space="preserve">
inther unit -500m€ al 2018
uci hepatica -73m€ bombes
traspassos + 21.458</t>
        </r>
      </text>
    </comment>
  </commentList>
</comments>
</file>

<file path=xl/sharedStrings.xml><?xml version="1.0" encoding="utf-8"?>
<sst xmlns="http://schemas.openxmlformats.org/spreadsheetml/2006/main" count="1087" uniqueCount="419">
  <si>
    <t>Estalvis expedients de contractació D.Infraestructures i Enginyeria Biomèdica</t>
  </si>
  <si>
    <t>Hospital Clínic de Barcelona</t>
  </si>
  <si>
    <t>Expedient</t>
  </si>
  <si>
    <t>Entitat</t>
  </si>
  <si>
    <t xml:space="preserve">descripció </t>
  </si>
  <si>
    <t>Tipus expedient</t>
  </si>
  <si>
    <t>Partida pressupostaria amb Impacte</t>
  </si>
  <si>
    <t>OEO/COMPTE</t>
  </si>
  <si>
    <t xml:space="preserve">Data mesa adjudicació </t>
  </si>
  <si>
    <t>Import Licitació amb Iva</t>
  </si>
  <si>
    <t>Import adjudicació amb Iva</t>
  </si>
  <si>
    <t>Estalvi</t>
  </si>
  <si>
    <t>Estalvi (%)</t>
  </si>
  <si>
    <t>Comentaris</t>
  </si>
  <si>
    <t>17/0074</t>
  </si>
  <si>
    <t>HCB</t>
  </si>
  <si>
    <t>Columnes Uci Hepatica</t>
  </si>
  <si>
    <t>Equipament Obra</t>
  </si>
  <si>
    <t>Pla Obres</t>
  </si>
  <si>
    <t>017-15</t>
  </si>
  <si>
    <t>set 2017</t>
  </si>
  <si>
    <t>17/0051</t>
  </si>
  <si>
    <t>Grues</t>
  </si>
  <si>
    <t>N/A inferior a 25m€</t>
  </si>
  <si>
    <t>17/0075</t>
  </si>
  <si>
    <t>Llits</t>
  </si>
  <si>
    <t>Consorci de Gestió Corporació Sanitària</t>
  </si>
  <si>
    <t>17/0097</t>
  </si>
  <si>
    <t>CGCS</t>
  </si>
  <si>
    <t>Reforma UCOI</t>
  </si>
  <si>
    <t>Obra</t>
  </si>
  <si>
    <t>090-17</t>
  </si>
  <si>
    <t>set 2018</t>
  </si>
  <si>
    <t>Obra (Codi)</t>
  </si>
  <si>
    <t>Obra (Desc)</t>
  </si>
  <si>
    <t>Institut</t>
  </si>
  <si>
    <t>Tipologia d'obra</t>
  </si>
  <si>
    <t>Responsable Tècnic</t>
  </si>
  <si>
    <t>Import Real 2016</t>
  </si>
  <si>
    <t>Gener</t>
  </si>
  <si>
    <t>Febrer</t>
  </si>
  <si>
    <t>Març</t>
  </si>
  <si>
    <t>Import 1r Trim 2017</t>
  </si>
  <si>
    <t>Abril</t>
  </si>
  <si>
    <t>Maig</t>
  </si>
  <si>
    <t>Juny</t>
  </si>
  <si>
    <t>Import 2n Trim 2017</t>
  </si>
  <si>
    <t>Juliol</t>
  </si>
  <si>
    <t>Agost</t>
  </si>
  <si>
    <t>Setembre</t>
  </si>
  <si>
    <t>Import 3r Trim 2017</t>
  </si>
  <si>
    <t>Octubre</t>
  </si>
  <si>
    <t>Novembre</t>
  </si>
  <si>
    <t>Desembre</t>
  </si>
  <si>
    <t>Import 4t Trim 2017</t>
  </si>
  <si>
    <t>Import Total 2017</t>
  </si>
  <si>
    <t>Import Previst 1r Trim 2018</t>
  </si>
  <si>
    <t>Import Previst 2n Trim 2018</t>
  </si>
  <si>
    <t>Import Previst 3r Trim 2018</t>
  </si>
  <si>
    <t>Import Previst 4t Trim 2018</t>
  </si>
  <si>
    <t>Import Previst Total 2018</t>
  </si>
  <si>
    <t>Import Previst Total 2019</t>
  </si>
  <si>
    <t>Import Previst Total 2020</t>
  </si>
  <si>
    <t>Import Previst Total 2021</t>
  </si>
  <si>
    <t>Import Previst Total 2022</t>
  </si>
  <si>
    <t>Import Previst Total 2023</t>
  </si>
  <si>
    <t>Import Previst Total 2024</t>
  </si>
  <si>
    <t>Import Previst Total 2025</t>
  </si>
  <si>
    <t>Import Previst Total 2026</t>
  </si>
  <si>
    <t>Import Previst Total 2027</t>
  </si>
  <si>
    <t>IMPORT TOTAL</t>
  </si>
  <si>
    <t>CIER</t>
  </si>
  <si>
    <t>116-16</t>
  </si>
  <si>
    <t>REF. SALA DILATACIÓ 3 (BANYERA)</t>
  </si>
  <si>
    <t>ICGON</t>
  </si>
  <si>
    <t xml:space="preserve"> </t>
  </si>
  <si>
    <t>Marin Vilches, José A.</t>
  </si>
  <si>
    <t>CONC</t>
  </si>
  <si>
    <t>192-16</t>
  </si>
  <si>
    <t>NOVA RMN A MATERNITAT SOT-1</t>
  </si>
  <si>
    <t>CDIC</t>
  </si>
  <si>
    <t>Sanz Rodriguez, Manel</t>
  </si>
  <si>
    <t>PRES</t>
  </si>
  <si>
    <t>ADAPT. I REMOD. PARAMENTS VERTICALS UCOI</t>
  </si>
  <si>
    <t>Dalmau Piñol, Carles</t>
  </si>
  <si>
    <t>135-16</t>
  </si>
  <si>
    <t>NOU BLOC QUIRÚRGIC OFTALMOLOGIA</t>
  </si>
  <si>
    <t>ICOF</t>
  </si>
  <si>
    <t>PLAN</t>
  </si>
  <si>
    <t>088-17</t>
  </si>
  <si>
    <t>REFROMA QUIRÒFAN OSTETRÍCIA NUM.2</t>
  </si>
  <si>
    <t>AQUIR</t>
  </si>
  <si>
    <t>089-17</t>
  </si>
  <si>
    <t>REFORMA SALA PARTS 1</t>
  </si>
  <si>
    <t>091-17</t>
  </si>
  <si>
    <t>GRUPS ELECTRÒGENS (FASE 5 - MATER)</t>
  </si>
  <si>
    <t>RESTA</t>
  </si>
  <si>
    <t>Oriol Romero, Raül</t>
  </si>
  <si>
    <t>092-17</t>
  </si>
  <si>
    <t>ADAPT.P.DIRECTOR SECTORITZACIÓ I EVACUAC</t>
  </si>
  <si>
    <t>Vila-Masana, Joan</t>
  </si>
  <si>
    <t>093-17</t>
  </si>
  <si>
    <t>PROJECTES REFORMA FAÇANA</t>
  </si>
  <si>
    <t>122-17</t>
  </si>
  <si>
    <t>NUCLI EVACUACIÓ VERTICAL PONENT</t>
  </si>
  <si>
    <t>135-17</t>
  </si>
  <si>
    <t>ADAPTACIÓ SECTORITZACIÓ RF</t>
  </si>
  <si>
    <t>084-17</t>
  </si>
  <si>
    <t>REMODELACIÓ RADIOLOGIA PER TELEC. I TAC</t>
  </si>
  <si>
    <t>094-17</t>
  </si>
  <si>
    <t>MEDICINA TRADICIONAL XINESA</t>
  </si>
  <si>
    <t>095-17</t>
  </si>
  <si>
    <t>MEDICINA ESPORTIVA</t>
  </si>
  <si>
    <t>PDT</t>
  </si>
  <si>
    <t>OM</t>
  </si>
  <si>
    <t>OBRES MENORS</t>
  </si>
  <si>
    <t>Diversos</t>
  </si>
  <si>
    <t>TOTAL OBRES</t>
  </si>
  <si>
    <t xml:space="preserve">PRESSUPOST PREVIST PLA OBRES (A)     </t>
  </si>
  <si>
    <t xml:space="preserve">TRASPÀS A PLA EQUIPAMENT INSTITUTS (B)     </t>
  </si>
  <si>
    <t xml:space="preserve">IMPORT FINANÇAMENT (C)     </t>
  </si>
  <si>
    <t xml:space="preserve">TOTAL PRESSUPOST PLA OBRES (A + B + C)     </t>
  </si>
  <si>
    <t xml:space="preserve">OBRES EXECUTADES (D)     </t>
  </si>
  <si>
    <t xml:space="preserve">OBRES PLANIFICADES (D)     </t>
  </si>
  <si>
    <t xml:space="preserve">DIFERÈNCIA AMB PRESSUPOST PREVIST (A + B + C - D)     </t>
  </si>
  <si>
    <t xml:space="preserve">Resum Facturació Pla Obres any 2017 - Llistats BO </t>
  </si>
  <si>
    <t>Societat</t>
  </si>
  <si>
    <t>Pressupost 2017</t>
  </si>
  <si>
    <t>Obres planificades any 2017</t>
  </si>
  <si>
    <t>Import facturat acumulat 30.09.2017</t>
  </si>
  <si>
    <t>Import pendent de facturar</t>
  </si>
  <si>
    <t>Diferència vs import pressupostat</t>
  </si>
  <si>
    <t>Grans Obres</t>
  </si>
  <si>
    <t>Menors</t>
  </si>
  <si>
    <t>TOTAL CGCS</t>
  </si>
  <si>
    <t>TOTAL HCB</t>
  </si>
  <si>
    <t>Quadre REAL amb FI_LLISTAT SAP (ZC1RTOTALS - Llistat d'actuacions (Llençol)) :</t>
  </si>
  <si>
    <t>753.830,19-</t>
  </si>
  <si>
    <t>veure llistat menors CGCS 30.09.17</t>
  </si>
  <si>
    <t>veure llistat menors HCB 30.09.17</t>
  </si>
  <si>
    <t>Diferències</t>
  </si>
  <si>
    <t>OK</t>
  </si>
  <si>
    <t>Diferències PER MESOS:</t>
  </si>
  <si>
    <t>Mes</t>
  </si>
  <si>
    <t xml:space="preserve">llistat sap llençol (FI) </t>
  </si>
  <si>
    <t>Llistat IM</t>
  </si>
  <si>
    <t>Finançament</t>
  </si>
  <si>
    <t>Import finançat 2025</t>
  </si>
  <si>
    <r>
      <t>m</t>
    </r>
    <r>
      <rPr>
        <b/>
        <vertAlign val="superscript"/>
        <sz val="9"/>
        <color rgb="FFFFFFFF"/>
        <rFont val="Calibri"/>
        <family val="2"/>
      </rPr>
      <t>2</t>
    </r>
  </si>
  <si>
    <r>
      <t>Ratio €/m</t>
    </r>
    <r>
      <rPr>
        <b/>
        <vertAlign val="superscript"/>
        <sz val="9"/>
        <color rgb="FFFFFFFF"/>
        <rFont val="Calibri"/>
        <family val="2"/>
      </rPr>
      <t>2</t>
    </r>
  </si>
  <si>
    <t>Import Real 2020</t>
  </si>
  <si>
    <t>Import Real 2021</t>
  </si>
  <si>
    <t>Import Real 2022</t>
  </si>
  <si>
    <t>Import real 2023</t>
  </si>
  <si>
    <t>Import Pendent Facturar</t>
  </si>
  <si>
    <t>Import Previst Total 2028</t>
  </si>
  <si>
    <t xml:space="preserve">IMPORT TOTAL ACTUACIÓ </t>
  </si>
  <si>
    <t>030-19</t>
  </si>
  <si>
    <t>Gran Obra</t>
  </si>
  <si>
    <t>067-21</t>
  </si>
  <si>
    <t>CDI</t>
  </si>
  <si>
    <t>065-22</t>
  </si>
  <si>
    <t>REMODELACIÓ QUIRÒFAN 4</t>
  </si>
  <si>
    <t>245-17</t>
  </si>
  <si>
    <t>ICMID</t>
  </si>
  <si>
    <t>CDB</t>
  </si>
  <si>
    <t>ICNU</t>
  </si>
  <si>
    <t>OBRES ACABADES</t>
  </si>
  <si>
    <t>060-23</t>
  </si>
  <si>
    <t>URG</t>
  </si>
  <si>
    <t>166-22</t>
  </si>
  <si>
    <t>ICMiD</t>
  </si>
  <si>
    <t>ICEMEQ</t>
  </si>
  <si>
    <t>OBRES EN CURS</t>
  </si>
  <si>
    <t>OBRES EN CONCURS D'EXECUCIÓ D'OBRA</t>
  </si>
  <si>
    <t>111-24</t>
  </si>
  <si>
    <t>ICMHO</t>
  </si>
  <si>
    <t>752</t>
  </si>
  <si>
    <t>OBRES REDACCIÓ DE PROJECTE</t>
  </si>
  <si>
    <t>160-24</t>
  </si>
  <si>
    <t>DSI+DpP</t>
  </si>
  <si>
    <t>100-24</t>
  </si>
  <si>
    <t>553</t>
  </si>
  <si>
    <t>OBRES CONCURS PROJECTE I DO</t>
  </si>
  <si>
    <t>ICN</t>
  </si>
  <si>
    <t>OBRES EN REDACCIÓ PLA FUNCIONAL</t>
  </si>
  <si>
    <t>Acord Marc</t>
  </si>
  <si>
    <t>FARMÀCIA</t>
  </si>
  <si>
    <t>A.QUIR</t>
  </si>
  <si>
    <t>OBRES PLANIFICADES</t>
  </si>
  <si>
    <t>168-17</t>
  </si>
  <si>
    <r>
      <t xml:space="preserve">Obres grans no finançades </t>
    </r>
    <r>
      <rPr>
        <b/>
        <sz val="9"/>
        <color rgb="FF0000FF"/>
        <rFont val="Calibri"/>
        <family val="2"/>
        <scheme val="minor"/>
      </rPr>
      <t>(1)</t>
    </r>
  </si>
  <si>
    <r>
      <t xml:space="preserve">Obres menors no finançades </t>
    </r>
    <r>
      <rPr>
        <b/>
        <sz val="9"/>
        <color rgb="FF0000FF"/>
        <rFont val="Calibri"/>
        <family val="2"/>
        <scheme val="minor"/>
      </rPr>
      <t>(2)</t>
    </r>
  </si>
  <si>
    <t>Total Obres no finançades (1+2)</t>
  </si>
  <si>
    <t>Obres finançades (3)</t>
  </si>
  <si>
    <t>Total Obres Executades (1+2+3)</t>
  </si>
  <si>
    <t>244-17</t>
  </si>
  <si>
    <t>CLINICA DEL DOLOR 1.1</t>
  </si>
  <si>
    <t>064-17</t>
  </si>
  <si>
    <t>243-17</t>
  </si>
  <si>
    <t>Tipologia Obra</t>
  </si>
  <si>
    <t>Import Real 2017</t>
  </si>
  <si>
    <t>Import 1r Trim 2018</t>
  </si>
  <si>
    <t>Import 2n Trim 2018</t>
  </si>
  <si>
    <t>Import 3r Trim 2018</t>
  </si>
  <si>
    <t>Import 4t Trim 2018</t>
  </si>
  <si>
    <t>Import Total 2018</t>
  </si>
  <si>
    <t>Import Previst 1r Trim 2019</t>
  </si>
  <si>
    <t>Import Previst 2n Trim 2019</t>
  </si>
  <si>
    <t>Import Previst 3r Trim 2019</t>
  </si>
  <si>
    <t>Import Previst 4t Trim 2019</t>
  </si>
  <si>
    <t>001-16</t>
  </si>
  <si>
    <t>QUIROFAN 7</t>
  </si>
  <si>
    <t>004-17</t>
  </si>
  <si>
    <t>CABLATGE PER LA NOVA WIFI CORPORATIVA</t>
  </si>
  <si>
    <t>014-15</t>
  </si>
  <si>
    <t>EC EXT REFORMA SOTERR.1 CASANOVA</t>
  </si>
  <si>
    <t>Cervigón Labrador, Agustí</t>
  </si>
  <si>
    <t>015-10</t>
  </si>
  <si>
    <t>REFORMA PAVELLÓ 4</t>
  </si>
  <si>
    <t>RDMED</t>
  </si>
  <si>
    <t>017-16</t>
  </si>
  <si>
    <t>AMPLIACIÓ FARMÀCIA 6/8</t>
  </si>
  <si>
    <t>FARM</t>
  </si>
  <si>
    <t>019-16</t>
  </si>
  <si>
    <t>REFORMA PARCIAL SALA HOSPITALITZ.9-2</t>
  </si>
  <si>
    <t>020-16</t>
  </si>
  <si>
    <t>REFORMA AREA MEDICO ADMINIST.ICMID 5-7/4</t>
  </si>
  <si>
    <t>031-15</t>
  </si>
  <si>
    <t>REFORMA QUIRÒFAN 5 - BLOC QUIRÚRGIC 8-1</t>
  </si>
  <si>
    <t>033-14</t>
  </si>
  <si>
    <t>REFORMA SALA HOSPIT. NEUROCIRURGIA 4/5</t>
  </si>
  <si>
    <t>038-14</t>
  </si>
  <si>
    <t>REFORMA PARCIAL INTERP 3-5 PL 0</t>
  </si>
  <si>
    <t>046-13</t>
  </si>
  <si>
    <t>REMODELACIÓ 1.1 BST COMUNICAC.I FACTURAC</t>
  </si>
  <si>
    <t>091-13</t>
  </si>
  <si>
    <t>LABORATORI CORE CDB</t>
  </si>
  <si>
    <t>093-12</t>
  </si>
  <si>
    <t>REFORMA ICT 0.6 I 1.6:CRÍT., SEMICR,HDD</t>
  </si>
  <si>
    <t>ICCV</t>
  </si>
  <si>
    <t>098-16</t>
  </si>
  <si>
    <t>ADEQUACIÓ VESTIBUL PRINCIPAL</t>
  </si>
  <si>
    <t>CURS</t>
  </si>
  <si>
    <t>003-16</t>
  </si>
  <si>
    <t>REMODELACIÓ BOX 7  PAV. 3 PL. 2</t>
  </si>
  <si>
    <t>ICMDIM</t>
  </si>
  <si>
    <t>007-15</t>
  </si>
  <si>
    <t>REFORMA SALA HOSPITALITZACIÓ ICEMEQ 12/4</t>
  </si>
  <si>
    <t>Grillo Pont, Enric</t>
  </si>
  <si>
    <t>012-15</t>
  </si>
  <si>
    <t>URGÈNCIES PLANTA 3ª</t>
  </si>
  <si>
    <t>016-17</t>
  </si>
  <si>
    <t>INSTAL.LACIONS GENERALS PAVELLÓ 12</t>
  </si>
  <si>
    <t>REFORMA UCI HEPATICA I HEMODINAMICA</t>
  </si>
  <si>
    <t>050-17</t>
  </si>
  <si>
    <t>SUBSTITUCIÓ NOVA RMN 2 INTERP.3-5 PL.0</t>
  </si>
  <si>
    <t>053-17</t>
  </si>
  <si>
    <t>REF. ESPAI A MED. NUCLEAR PER NOUS SPECT</t>
  </si>
  <si>
    <t>095-15</t>
  </si>
  <si>
    <t>REFORMA INTER UNIT + 12.1</t>
  </si>
  <si>
    <t>009-18</t>
  </si>
  <si>
    <t>HABITACIÓ IODE 131 I DIPÒSITS</t>
  </si>
  <si>
    <t>025-18</t>
  </si>
  <si>
    <t>REF. QUIRÒFAN OSTETRÍCIA NUM.2 - MATER</t>
  </si>
  <si>
    <t>032-18</t>
  </si>
  <si>
    <t>WET-LAB ICOF</t>
  </si>
  <si>
    <t>065-17</t>
  </si>
  <si>
    <t>SUBSTITUCIÓ 1ER ACCELERADOR + REMOD. 9.0</t>
  </si>
  <si>
    <t>070-17</t>
  </si>
  <si>
    <t>167-17</t>
  </si>
  <si>
    <t>ADAPTACIÓ SECTORITZACIÓ RF ED.MATERNITAT</t>
  </si>
  <si>
    <t>192-17</t>
  </si>
  <si>
    <t>239-17</t>
  </si>
  <si>
    <t>VESTIDORS SALA 7.2 I HDOM</t>
  </si>
  <si>
    <t>240-17</t>
  </si>
  <si>
    <t>OBRES REMODELACIÓ LOCAL C/CASANOVES, 153</t>
  </si>
  <si>
    <t>007-18</t>
  </si>
  <si>
    <t>OBRES REMODELACIÓ LOCAL C/CORSEGA, 173</t>
  </si>
  <si>
    <t>098-18</t>
  </si>
  <si>
    <t>REFORMA CAP DE PAVELLÓ PER UROLOGIA (10.</t>
  </si>
  <si>
    <t>142-17</t>
  </si>
  <si>
    <t>10-12/5 - AFÈRESI ICNU + HOSPITAL DIA</t>
  </si>
  <si>
    <t>251-17</t>
  </si>
  <si>
    <t>HOSPITAL DIA PSQ. PERINATAL I CONSULTES.</t>
  </si>
  <si>
    <t>026-18</t>
  </si>
  <si>
    <t>REFORMA SALA PARTS 1 - MATER</t>
  </si>
  <si>
    <t>027-18</t>
  </si>
  <si>
    <t>028-18</t>
  </si>
  <si>
    <t>ADAPT.P.DIRECTOR SECTORITZ.I EVAC.-MATER</t>
  </si>
  <si>
    <t>029-18</t>
  </si>
  <si>
    <t>PROJECTES REFORMA FAÇANA - MATER</t>
  </si>
  <si>
    <t>048-17</t>
  </si>
  <si>
    <t>REFORMA ANATOMIA PATOLÒGICA (3.5 + 7.5)</t>
  </si>
  <si>
    <t>062-17</t>
  </si>
  <si>
    <t>REFORMA ICEMEQ 12.3</t>
  </si>
  <si>
    <t>063-17</t>
  </si>
  <si>
    <t>REFORMA AVI</t>
  </si>
  <si>
    <t>REFORMA URGÈNCIES PLANTA 4</t>
  </si>
  <si>
    <t>066-17</t>
  </si>
  <si>
    <t>REFORMA SALA 7.4 (UCI GASTROENTEROLOGIA)</t>
  </si>
  <si>
    <t>067-17</t>
  </si>
  <si>
    <t>REFORMA ICEMEQ 10.2</t>
  </si>
  <si>
    <t>068-17</t>
  </si>
  <si>
    <t>REMODELACIÓ URGÈNCIES PLANTA 2</t>
  </si>
  <si>
    <t>069-17</t>
  </si>
  <si>
    <t>REMODELACIÓ SALA ENDOSCÒPIA 3</t>
  </si>
  <si>
    <t>071-17</t>
  </si>
  <si>
    <t>REMODELACIÓ SALA ENDOSCÒPIA 5</t>
  </si>
  <si>
    <t>072-17</t>
  </si>
  <si>
    <t>REMODELACIÓ QUIRÒFAN 9</t>
  </si>
  <si>
    <t>073-17</t>
  </si>
  <si>
    <t>REMODELACIÓ QUIRÒFAN 8</t>
  </si>
  <si>
    <t>074-17</t>
  </si>
  <si>
    <t>REMODELACIÓ SALA ENDOSCÒPIA 6</t>
  </si>
  <si>
    <t>075-17</t>
  </si>
  <si>
    <t>REM.SALA 2.2 I HOSPITAL DIA RESPIRATORI</t>
  </si>
  <si>
    <t>ICR</t>
  </si>
  <si>
    <t>076-17</t>
  </si>
  <si>
    <t>REMODELACIÓ FARMÀCIA</t>
  </si>
  <si>
    <t>077-17</t>
  </si>
  <si>
    <t>REMODELACIÓ URGÈNCIES PLANTA 7</t>
  </si>
  <si>
    <t>078-17</t>
  </si>
  <si>
    <t>DESPATXOS PLANTA 2 SUD</t>
  </si>
  <si>
    <t>079-17</t>
  </si>
  <si>
    <t>DESPATXOS PLANTA 4 SUD</t>
  </si>
  <si>
    <t>080-17</t>
  </si>
  <si>
    <t>CANVI CANONADES 5.3</t>
  </si>
  <si>
    <t>Lopez Casado, Felipe</t>
  </si>
  <si>
    <t>081-17</t>
  </si>
  <si>
    <t>CDB HEMATOPATO (2.5)</t>
  </si>
  <si>
    <t>097-18</t>
  </si>
  <si>
    <t>REMODELACIÓ HDOM</t>
  </si>
  <si>
    <t>099-18</t>
  </si>
  <si>
    <t>REMODELACIÓ 3ER LOCAL</t>
  </si>
  <si>
    <t>129-15</t>
  </si>
  <si>
    <t>RENOVACIÓ SISTEMES COMUNICACIÓ VEU FIXA</t>
  </si>
  <si>
    <t>SUSBTITUCIÓ 2ON ACCELERADOR</t>
  </si>
  <si>
    <t>143-17</t>
  </si>
  <si>
    <t>REMODELACIÓ URGÈNCIES PL.6</t>
  </si>
  <si>
    <t>241-17</t>
  </si>
  <si>
    <t>OBRES 7ª PLANTA</t>
  </si>
  <si>
    <t>242-17</t>
  </si>
  <si>
    <t>MÒDUL A 3ª PLANTA - FACTURACIÓ</t>
  </si>
  <si>
    <t>DIETÈTICA 5.7.4</t>
  </si>
  <si>
    <t>AMPLIACIÓ HOPITAL DE DIA INFECCIOSOS 2.1</t>
  </si>
  <si>
    <t>246-17</t>
  </si>
  <si>
    <t>DONOR CENTER</t>
  </si>
  <si>
    <t>247-17</t>
  </si>
  <si>
    <t>NOU HOSPITAL DE DIA CARDIOLOGIA</t>
  </si>
  <si>
    <t>248-17</t>
  </si>
  <si>
    <t>OBRES 1/3 (OBSERVACIÓ URGÈNCIES + H. DIA</t>
  </si>
  <si>
    <t>249-17</t>
  </si>
  <si>
    <t>OBRES HELIOS VILLARROEL / PLTA. 2</t>
  </si>
  <si>
    <t>252-17</t>
  </si>
  <si>
    <t>CONSULTES PERINATAL I ICGON (100M2 + 100</t>
  </si>
  <si>
    <t>030-18</t>
  </si>
  <si>
    <t>REMOD. RADIOLOGIA X TELEC. I TAC - MATER</t>
  </si>
  <si>
    <t>031-18</t>
  </si>
  <si>
    <t>MEDICINA ESPORTIVA - MATER</t>
  </si>
  <si>
    <t>083-17</t>
  </si>
  <si>
    <t>REMODELACIÓ ÀREA ECOGRAFIA 5.0</t>
  </si>
  <si>
    <t>100-18</t>
  </si>
  <si>
    <t>LABORATORI HEMOSTÀSIA (FINANÇAMENT BST ¿</t>
  </si>
  <si>
    <t>117-17</t>
  </si>
  <si>
    <t>AMPLIACIÓ ENDOSCOPIA RESPIR. X NOU ARC C</t>
  </si>
  <si>
    <t>138-17</t>
  </si>
  <si>
    <t>REMODELACIÓ CT</t>
  </si>
  <si>
    <t>139-17</t>
  </si>
  <si>
    <t>REMODELACIÓ ARISTOS</t>
  </si>
  <si>
    <t>140-17</t>
  </si>
  <si>
    <t>REMODELACIÓ QUIRÒFAN ORL I NECRÒPSIES</t>
  </si>
  <si>
    <t>141-17</t>
  </si>
  <si>
    <t>REMODELACIÓ PARCIAL 2 BOXOS 10.3</t>
  </si>
  <si>
    <t>144-17</t>
  </si>
  <si>
    <t>AMPLIACIÓ BLOC QUIRÚRGIC</t>
  </si>
  <si>
    <t>180-17</t>
  </si>
  <si>
    <t>Total</t>
  </si>
  <si>
    <t>192/17</t>
  </si>
  <si>
    <t>135/16</t>
  </si>
  <si>
    <t>Facturat Maig 2018</t>
  </si>
  <si>
    <t>Pendent Facturar Maig 2018</t>
  </si>
  <si>
    <t>Import total previst 2018</t>
  </si>
  <si>
    <t>10-12 /5 – AFÈRESI ICNU + HOSPITAL DE DIA</t>
  </si>
  <si>
    <t>HOSPITAL DIA PSQ. PERINATAL I CONSULTES. PTA 2 PONENT (184M2 + 40M2)</t>
  </si>
  <si>
    <t xml:space="preserve">HABITACIÓ IODE 131 I DIPÒSITS </t>
  </si>
  <si>
    <t>VESTIDORS SALA 7.2</t>
  </si>
  <si>
    <t>REFORMA CAP DE PAVELLÓ 12 PER UROLOGIA (10.1 i 12.2)</t>
  </si>
  <si>
    <t>Pla Obres 2018</t>
  </si>
  <si>
    <t>A</t>
  </si>
  <si>
    <t xml:space="preserve">B </t>
  </si>
  <si>
    <t xml:space="preserve">C </t>
  </si>
  <si>
    <t>D</t>
  </si>
  <si>
    <t>F</t>
  </si>
  <si>
    <t>B</t>
  </si>
  <si>
    <t>G</t>
  </si>
  <si>
    <t>C</t>
  </si>
  <si>
    <t>Obra 1</t>
  </si>
  <si>
    <t>E</t>
  </si>
  <si>
    <t>XXXXX</t>
  </si>
  <si>
    <t>Obra 2</t>
  </si>
  <si>
    <t>Obra 3</t>
  </si>
  <si>
    <t>Obra 4</t>
  </si>
  <si>
    <t>Obra 5</t>
  </si>
  <si>
    <t>Obra 6</t>
  </si>
  <si>
    <t>Obra 9</t>
  </si>
  <si>
    <t>Obra 10</t>
  </si>
  <si>
    <t>Obra 11</t>
  </si>
  <si>
    <t>Obra 12</t>
  </si>
  <si>
    <t>Obra 13</t>
  </si>
  <si>
    <t>Obra 14</t>
  </si>
  <si>
    <t>Obra 15</t>
  </si>
  <si>
    <t>Obra 16</t>
  </si>
  <si>
    <t>Obra 17</t>
  </si>
  <si>
    <t>XXXXX1</t>
  </si>
  <si>
    <t>XXXXX2</t>
  </si>
  <si>
    <t>XXXXX3</t>
  </si>
  <si>
    <t>Import real 2024</t>
  </si>
  <si>
    <t>Import Facturat acum Feb'25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</si>
</sst>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€&quot;;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0_ ;\-#,##0.00\ "/>
  </numFmts>
  <fonts count="76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Calibri"/>
      <family val="2"/>
    </font>
    <font>
      <sz val="6"/>
      <color rgb="FFFFFFFF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FFFFFF"/>
      <name val="Calibri"/>
      <family val="2"/>
    </font>
    <font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Calibri"/>
      <family val="2"/>
    </font>
    <font>
      <sz val="10"/>
      <color rgb="FF000000"/>
      <name val="Arial"/>
      <family val="2"/>
    </font>
    <font>
      <sz val="10"/>
      <color rgb="FF000000"/>
      <name val="Trebuchet MS"/>
      <family val="2"/>
    </font>
    <font>
      <b/>
      <sz val="9"/>
      <color theme="1"/>
      <name val="Trebuchet MS"/>
      <family val="2"/>
    </font>
    <font>
      <b/>
      <sz val="10"/>
      <color rgb="FF000000"/>
      <name val="Trebuchet MS"/>
      <family val="2"/>
    </font>
    <font>
      <b/>
      <u/>
      <sz val="12"/>
      <color rgb="FF000000"/>
      <name val="Trebuchet MS"/>
      <family val="2"/>
    </font>
    <font>
      <b/>
      <i/>
      <sz val="10"/>
      <color rgb="FFFF0000"/>
      <name val="Trebuchet MS"/>
      <family val="2"/>
    </font>
    <font>
      <sz val="10"/>
      <color rgb="FFFF0000"/>
      <name val="Trebuchet MS"/>
      <family val="2"/>
    </font>
    <font>
      <b/>
      <sz val="10"/>
      <color rgb="FFFF0000"/>
      <name val="Trebuchet MS"/>
      <family val="2"/>
    </font>
    <font>
      <b/>
      <sz val="9"/>
      <color rgb="FFFF0000"/>
      <name val="Trebuchet MS"/>
      <family val="2"/>
    </font>
    <font>
      <b/>
      <i/>
      <u/>
      <sz val="10"/>
      <color rgb="FFFF0000"/>
      <name val="Trebuchet MS"/>
      <family val="2"/>
    </font>
    <font>
      <i/>
      <sz val="10"/>
      <color rgb="FFFF0000"/>
      <name val="Trebuchet MS"/>
      <family val="2"/>
    </font>
    <font>
      <sz val="10"/>
      <color rgb="FF000000"/>
      <name val="Arial"/>
      <family val="2"/>
    </font>
    <font>
      <i/>
      <sz val="10"/>
      <color rgb="FF0000FF"/>
      <name val="Trebuchet MS"/>
      <family val="2"/>
    </font>
    <font>
      <b/>
      <sz val="9"/>
      <color theme="1"/>
      <name val="Calibri"/>
      <family val="2"/>
    </font>
    <font>
      <sz val="10"/>
      <color rgb="FFFF0000"/>
      <name val="Arial"/>
      <family val="2"/>
    </font>
    <font>
      <i/>
      <sz val="10"/>
      <color rgb="FFC00000"/>
      <name val="Arial"/>
      <family val="2"/>
    </font>
    <font>
      <b/>
      <sz val="10"/>
      <color rgb="FF000000"/>
      <name val="Arial"/>
      <family val="2"/>
    </font>
    <font>
      <b/>
      <u/>
      <sz val="14"/>
      <color theme="1"/>
      <name val="Trebuchet MS"/>
      <family val="2"/>
    </font>
    <font>
      <b/>
      <u/>
      <sz val="10"/>
      <color theme="1"/>
      <name val="Trebuchet MS"/>
      <family val="2"/>
    </font>
    <font>
      <sz val="10"/>
      <color theme="1"/>
      <name val="Trebuchet MS"/>
      <family val="2"/>
    </font>
    <font>
      <b/>
      <u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rgb="FF00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b/>
      <sz val="9"/>
      <name val="Calibri"/>
      <family val="2"/>
    </font>
    <font>
      <sz val="6"/>
      <name val="Calibri"/>
      <family val="2"/>
    </font>
    <font>
      <sz val="9"/>
      <name val="Calibri"/>
      <family val="2"/>
    </font>
    <font>
      <sz val="6"/>
      <color rgb="FF000000"/>
      <name val="Arial"/>
      <family val="2"/>
    </font>
    <font>
      <sz val="9"/>
      <color theme="1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6"/>
      <color rgb="FF000000"/>
      <name val="Arial"/>
      <family val="2"/>
    </font>
    <font>
      <b/>
      <sz val="6"/>
      <name val="Calibri"/>
      <family val="2"/>
    </font>
    <font>
      <b/>
      <sz val="10"/>
      <name val="Arial"/>
      <family val="2"/>
    </font>
    <font>
      <sz val="9"/>
      <color rgb="FF0000FF"/>
      <name val="Calibri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color rgb="FFFF0000"/>
      <name val="Calibri"/>
      <family val="2"/>
    </font>
    <font>
      <b/>
      <sz val="9"/>
      <color rgb="FF0000FF"/>
      <name val="Calibri"/>
      <family val="2"/>
    </font>
    <font>
      <sz val="10"/>
      <color rgb="FF0000FF"/>
      <name val="Arial"/>
      <family val="2"/>
    </font>
    <font>
      <i/>
      <sz val="8"/>
      <color rgb="FFC00000"/>
      <name val="Arial"/>
      <family val="2"/>
    </font>
    <font>
      <sz val="8"/>
      <color rgb="FF0000FF"/>
      <name val="Arial"/>
      <family val="2"/>
    </font>
    <font>
      <sz val="9"/>
      <color indexed="8"/>
      <name val="Calibri"/>
      <family val="2"/>
    </font>
    <font>
      <b/>
      <vertAlign val="superscript"/>
      <sz val="9"/>
      <color rgb="FFFFFFFF"/>
      <name val="Calibri"/>
      <family val="2"/>
    </font>
    <font>
      <b/>
      <sz val="9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7"/>
      <color rgb="FFFF0000"/>
      <name val="Calibri"/>
      <family val="2"/>
    </font>
    <font>
      <sz val="8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6699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DD7A"/>
        <bgColor rgb="FFFFFFFF"/>
      </patternFill>
    </fill>
    <fill>
      <patternFill patternType="solid">
        <fgColor rgb="FFFFB13D"/>
        <bgColor rgb="FFFFFFFF"/>
      </patternFill>
    </fill>
    <fill>
      <patternFill patternType="solid">
        <fgColor rgb="FFFFBEBC"/>
        <bgColor rgb="FFFFFFFF"/>
      </patternFill>
    </fill>
    <fill>
      <patternFill patternType="solid">
        <fgColor rgb="FFD99795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C79D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rgb="FFFFFFFF"/>
      </patternFill>
    </fill>
    <fill>
      <patternFill patternType="solid">
        <fgColor rgb="FF64C464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lightDown">
        <fgColor indexed="10"/>
        <bgColor theme="0" tint="-0.499984740745262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-0.249977111117893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8" tint="0.79998168889431442"/>
        <bgColor rgb="FFFFFFFF"/>
      </patternFill>
    </fill>
  </fills>
  <borders count="34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/>
      <bottom/>
      <diagonal/>
    </border>
    <border>
      <left/>
      <right style="thin">
        <color rgb="FFCAC9D9"/>
      </right>
      <top/>
      <bottom/>
      <diagonal/>
    </border>
    <border>
      <left style="thin">
        <color rgb="FFCAC9D9"/>
      </left>
      <right style="thin">
        <color rgb="FFCAC9D9"/>
      </right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/>
      <bottom style="thin">
        <color rgb="FFCAC9D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AC9D9"/>
      </left>
      <right/>
      <top style="thin">
        <color rgb="FFCAC9D9"/>
      </top>
      <bottom/>
      <diagonal/>
    </border>
    <border>
      <left style="thin">
        <color rgb="FFCAC9D9"/>
      </left>
      <right style="medium">
        <color indexed="64"/>
      </right>
      <top style="thin">
        <color rgb="FFCAC9D9"/>
      </top>
      <bottom style="thin">
        <color rgb="FFCAC9D9"/>
      </bottom>
      <diagonal/>
    </border>
    <border>
      <left style="medium">
        <color indexed="64"/>
      </left>
      <right style="thin">
        <color rgb="FFCAC9D9"/>
      </right>
      <top style="medium">
        <color indexed="64"/>
      </top>
      <bottom style="medium">
        <color indexed="64"/>
      </bottom>
      <diagonal/>
    </border>
    <border>
      <left style="thin">
        <color rgb="FFCAC9D9"/>
      </left>
      <right style="thin">
        <color rgb="FFCAC9D9"/>
      </right>
      <top style="medium">
        <color indexed="64"/>
      </top>
      <bottom style="medium">
        <color indexed="64"/>
      </bottom>
      <diagonal/>
    </border>
    <border>
      <left/>
      <right style="thin">
        <color rgb="FFCAC9D9"/>
      </right>
      <top style="medium">
        <color indexed="64"/>
      </top>
      <bottom style="medium">
        <color indexed="64"/>
      </bottom>
      <diagonal/>
    </border>
    <border>
      <left style="thin">
        <color rgb="FFCAC9D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AC9D9"/>
      </left>
      <right style="medium">
        <color indexed="64"/>
      </right>
      <top/>
      <bottom style="thin">
        <color rgb="FFCAC9D9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CAC9D9"/>
      </top>
      <bottom style="thin">
        <color rgb="FFCAC9D9"/>
      </bottom>
      <diagonal/>
    </border>
    <border>
      <left style="medium">
        <color indexed="64"/>
      </left>
      <right style="thin">
        <color rgb="FFCAC9D9"/>
      </right>
      <top style="thin">
        <color rgb="FFCAC9D9"/>
      </top>
      <bottom/>
      <diagonal/>
    </border>
    <border>
      <left style="medium">
        <color indexed="64"/>
      </left>
      <right style="thin">
        <color rgb="FFCAC9D9"/>
      </right>
      <top style="medium">
        <color indexed="64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medium">
        <color indexed="64"/>
      </top>
      <bottom style="thin">
        <color rgb="FFCAC9D9"/>
      </bottom>
      <diagonal/>
    </border>
    <border>
      <left style="thin">
        <color rgb="FFCAC9D9"/>
      </left>
      <right style="medium">
        <color indexed="64"/>
      </right>
      <top style="medium">
        <color indexed="64"/>
      </top>
      <bottom style="thin">
        <color rgb="FFCAC9D9"/>
      </bottom>
      <diagonal/>
    </border>
    <border>
      <left style="thin">
        <color rgb="FFCAC9D9"/>
      </left>
      <right style="medium">
        <color indexed="64"/>
      </right>
      <top style="thin">
        <color rgb="FFCAC9D9"/>
      </top>
      <bottom style="medium">
        <color indexed="64"/>
      </bottom>
      <diagonal/>
    </border>
    <border>
      <left style="thin">
        <color rgb="FFCAC9D9"/>
      </left>
      <right/>
      <top/>
      <bottom style="thin">
        <color rgb="FFCAC9D9"/>
      </bottom>
      <diagonal/>
    </border>
    <border>
      <left style="thin">
        <color rgb="FFCAC9D9"/>
      </left>
      <right/>
      <top style="medium">
        <color indexed="64"/>
      </top>
      <bottom style="medium">
        <color indexed="64"/>
      </bottom>
      <diagonal/>
    </border>
    <border>
      <left style="thin">
        <color rgb="FFCAC9D9"/>
      </left>
      <right/>
      <top style="medium">
        <color indexed="64"/>
      </top>
      <bottom style="thin">
        <color rgb="FFCAC9D9"/>
      </bottom>
      <diagonal/>
    </border>
    <border>
      <left style="medium">
        <color indexed="64"/>
      </left>
      <right style="thin">
        <color rgb="FFCAC9D9"/>
      </right>
      <top/>
      <bottom style="medium">
        <color indexed="64"/>
      </bottom>
      <diagonal/>
    </border>
    <border>
      <left style="thin">
        <color rgb="FFCAC9D9"/>
      </left>
      <right style="thin">
        <color rgb="FFCAC9D9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AC9D9"/>
      </right>
      <top/>
      <bottom style="thin">
        <color rgb="FFCAC9D9"/>
      </bottom>
      <diagonal/>
    </border>
  </borders>
  <cellStyleXfs count="36">
    <xf numFmtId="0" fontId="0" fillId="0" borderId="0"/>
    <xf numFmtId="164" fontId="13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3" fillId="0" borderId="0"/>
    <xf numFmtId="0" fontId="11" fillId="0" borderId="0"/>
    <xf numFmtId="0" fontId="10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5" fillId="0" borderId="0"/>
    <xf numFmtId="9" fontId="13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13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</cellStyleXfs>
  <cellXfs count="366">
    <xf numFmtId="0" fontId="0" fillId="0" borderId="0" xfId="0"/>
    <xf numFmtId="49" fontId="14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left"/>
    </xf>
    <xf numFmtId="49" fontId="16" fillId="4" borderId="1" xfId="0" applyNumberFormat="1" applyFont="1" applyFill="1" applyBorder="1" applyAlignment="1">
      <alignment horizontal="left" vertical="center"/>
    </xf>
    <xf numFmtId="3" fontId="16" fillId="5" borderId="1" xfId="0" applyNumberFormat="1" applyFont="1" applyFill="1" applyBorder="1" applyAlignment="1">
      <alignment horizontal="right"/>
    </xf>
    <xf numFmtId="0" fontId="16" fillId="5" borderId="1" xfId="0" applyFont="1" applyFill="1" applyBorder="1" applyAlignment="1">
      <alignment horizontal="right"/>
    </xf>
    <xf numFmtId="49" fontId="16" fillId="2" borderId="4" xfId="0" applyNumberFormat="1" applyFont="1" applyFill="1" applyBorder="1" applyAlignment="1">
      <alignment horizontal="left"/>
    </xf>
    <xf numFmtId="3" fontId="16" fillId="6" borderId="1" xfId="0" applyNumberFormat="1" applyFont="1" applyFill="1" applyBorder="1" applyAlignment="1">
      <alignment horizontal="right"/>
    </xf>
    <xf numFmtId="49" fontId="15" fillId="2" borderId="3" xfId="0" applyNumberFormat="1" applyFont="1" applyFill="1" applyBorder="1" applyAlignment="1">
      <alignment horizontal="left" vertical="center"/>
    </xf>
    <xf numFmtId="49" fontId="17" fillId="6" borderId="1" xfId="0" applyNumberFormat="1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right" vertical="center"/>
    </xf>
    <xf numFmtId="49" fontId="18" fillId="2" borderId="4" xfId="0" applyNumberFormat="1" applyFont="1" applyFill="1" applyBorder="1" applyAlignment="1">
      <alignment horizontal="left" vertical="center"/>
    </xf>
    <xf numFmtId="49" fontId="19" fillId="2" borderId="0" xfId="0" applyNumberFormat="1" applyFont="1" applyFill="1" applyAlignment="1">
      <alignment horizontal="left"/>
    </xf>
    <xf numFmtId="49" fontId="16" fillId="7" borderId="1" xfId="0" applyNumberFormat="1" applyFont="1" applyFill="1" applyBorder="1" applyAlignment="1">
      <alignment horizontal="left" vertical="center"/>
    </xf>
    <xf numFmtId="49" fontId="17" fillId="8" borderId="1" xfId="0" applyNumberFormat="1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right" vertical="center"/>
    </xf>
    <xf numFmtId="49" fontId="16" fillId="2" borderId="4" xfId="0" applyNumberFormat="1" applyFont="1" applyFill="1" applyBorder="1" applyAlignment="1">
      <alignment horizontal="left" vertical="center"/>
    </xf>
    <xf numFmtId="49" fontId="16" fillId="9" borderId="1" xfId="0" applyNumberFormat="1" applyFont="1" applyFill="1" applyBorder="1" applyAlignment="1">
      <alignment horizontal="left" vertical="center"/>
    </xf>
    <xf numFmtId="3" fontId="16" fillId="2" borderId="1" xfId="0" applyNumberFormat="1" applyFont="1" applyFill="1" applyBorder="1" applyAlignment="1">
      <alignment horizontal="right"/>
    </xf>
    <xf numFmtId="0" fontId="16" fillId="2" borderId="1" xfId="0" applyFont="1" applyFill="1" applyBorder="1" applyAlignment="1">
      <alignment horizontal="right"/>
    </xf>
    <xf numFmtId="49" fontId="17" fillId="10" borderId="1" xfId="0" applyNumberFormat="1" applyFont="1" applyFill="1" applyBorder="1" applyAlignment="1">
      <alignment horizontal="left" vertical="center"/>
    </xf>
    <xf numFmtId="49" fontId="17" fillId="10" borderId="1" xfId="0" applyNumberFormat="1" applyFont="1" applyFill="1" applyBorder="1" applyAlignment="1">
      <alignment horizontal="right" vertical="center"/>
    </xf>
    <xf numFmtId="0" fontId="17" fillId="10" borderId="1" xfId="0" applyFont="1" applyFill="1" applyBorder="1" applyAlignment="1">
      <alignment horizontal="right" vertical="center"/>
    </xf>
    <xf numFmtId="49" fontId="16" fillId="11" borderId="1" xfId="0" applyNumberFormat="1" applyFont="1" applyFill="1" applyBorder="1" applyAlignment="1">
      <alignment horizontal="left" vertical="center"/>
    </xf>
    <xf numFmtId="49" fontId="17" fillId="12" borderId="1" xfId="0" applyNumberFormat="1" applyFont="1" applyFill="1" applyBorder="1" applyAlignment="1">
      <alignment horizontal="left" vertical="center"/>
    </xf>
    <xf numFmtId="49" fontId="17" fillId="12" borderId="1" xfId="0" applyNumberFormat="1" applyFont="1" applyFill="1" applyBorder="1" applyAlignment="1">
      <alignment horizontal="right" vertical="center"/>
    </xf>
    <xf numFmtId="0" fontId="17" fillId="12" borderId="1" xfId="0" applyFont="1" applyFill="1" applyBorder="1" applyAlignment="1">
      <alignment horizontal="right" vertical="center"/>
    </xf>
    <xf numFmtId="49" fontId="16" fillId="13" borderId="1" xfId="0" applyNumberFormat="1" applyFont="1" applyFill="1" applyBorder="1" applyAlignment="1">
      <alignment horizontal="left" vertical="center"/>
    </xf>
    <xf numFmtId="49" fontId="17" fillId="14" borderId="1" xfId="0" applyNumberFormat="1" applyFont="1" applyFill="1" applyBorder="1" applyAlignment="1">
      <alignment horizontal="left" vertical="center"/>
    </xf>
    <xf numFmtId="49" fontId="20" fillId="14" borderId="1" xfId="0" applyNumberFormat="1" applyFont="1" applyFill="1" applyBorder="1" applyAlignment="1">
      <alignment horizontal="left" vertical="center"/>
    </xf>
    <xf numFmtId="49" fontId="17" fillId="2" borderId="4" xfId="0" applyNumberFormat="1" applyFont="1" applyFill="1" applyBorder="1" applyAlignment="1">
      <alignment horizontal="left"/>
    </xf>
    <xf numFmtId="3" fontId="17" fillId="14" borderId="1" xfId="0" applyNumberFormat="1" applyFont="1" applyFill="1" applyBorder="1" applyAlignment="1">
      <alignment horizontal="right"/>
    </xf>
    <xf numFmtId="49" fontId="16" fillId="15" borderId="1" xfId="0" applyNumberFormat="1" applyFont="1" applyFill="1" applyBorder="1" applyAlignment="1">
      <alignment horizontal="left" vertical="center"/>
    </xf>
    <xf numFmtId="49" fontId="17" fillId="16" borderId="1" xfId="0" applyNumberFormat="1" applyFont="1" applyFill="1" applyBorder="1" applyAlignment="1">
      <alignment horizontal="left" vertical="center"/>
    </xf>
    <xf numFmtId="49" fontId="17" fillId="16" borderId="1" xfId="0" applyNumberFormat="1" applyFont="1" applyFill="1" applyBorder="1" applyAlignment="1">
      <alignment horizontal="right" vertical="center"/>
    </xf>
    <xf numFmtId="0" fontId="17" fillId="16" borderId="1" xfId="0" applyFont="1" applyFill="1" applyBorder="1" applyAlignment="1">
      <alignment horizontal="right" vertical="center"/>
    </xf>
    <xf numFmtId="49" fontId="14" fillId="17" borderId="1" xfId="0" applyNumberFormat="1" applyFont="1" applyFill="1" applyBorder="1" applyAlignment="1">
      <alignment horizontal="left" vertical="center"/>
    </xf>
    <xf numFmtId="0" fontId="14" fillId="17" borderId="1" xfId="0" applyFont="1" applyFill="1" applyBorder="1" applyAlignment="1">
      <alignment horizontal="right"/>
    </xf>
    <xf numFmtId="49" fontId="14" fillId="2" borderId="4" xfId="0" applyNumberFormat="1" applyFont="1" applyFill="1" applyBorder="1" applyAlignment="1">
      <alignment horizontal="left"/>
    </xf>
    <xf numFmtId="49" fontId="14" fillId="2" borderId="0" xfId="0" applyNumberFormat="1" applyFont="1" applyFill="1" applyAlignment="1">
      <alignment horizontal="center" vertical="center"/>
    </xf>
    <xf numFmtId="49" fontId="21" fillId="2" borderId="0" xfId="0" applyNumberFormat="1" applyFont="1" applyFill="1" applyAlignment="1">
      <alignment horizontal="left"/>
    </xf>
    <xf numFmtId="49" fontId="21" fillId="2" borderId="0" xfId="0" applyNumberFormat="1" applyFont="1" applyFill="1" applyAlignment="1">
      <alignment horizontal="center" vertical="center" wrapText="1"/>
    </xf>
    <xf numFmtId="49" fontId="14" fillId="3" borderId="5" xfId="0" applyNumberFormat="1" applyFont="1" applyFill="1" applyBorder="1" applyAlignment="1">
      <alignment horizontal="center" vertical="center"/>
    </xf>
    <xf numFmtId="49" fontId="14" fillId="3" borderId="5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right" vertical="center"/>
    </xf>
    <xf numFmtId="49" fontId="20" fillId="2" borderId="0" xfId="0" applyNumberFormat="1" applyFont="1" applyFill="1" applyAlignment="1">
      <alignment horizontal="right"/>
    </xf>
    <xf numFmtId="49" fontId="22" fillId="2" borderId="0" xfId="0" applyNumberFormat="1" applyFont="1" applyFill="1" applyAlignment="1">
      <alignment horizontal="right"/>
    </xf>
    <xf numFmtId="0" fontId="17" fillId="2" borderId="1" xfId="0" applyFont="1" applyFill="1" applyBorder="1" applyAlignment="1">
      <alignment horizontal="right"/>
    </xf>
    <xf numFmtId="3" fontId="17" fillId="2" borderId="1" xfId="0" applyNumberFormat="1" applyFont="1" applyFill="1" applyBorder="1" applyAlignment="1">
      <alignment horizontal="right"/>
    </xf>
    <xf numFmtId="3" fontId="17" fillId="6" borderId="1" xfId="0" applyNumberFormat="1" applyFont="1" applyFill="1" applyBorder="1" applyAlignment="1">
      <alignment horizontal="right"/>
    </xf>
    <xf numFmtId="49" fontId="20" fillId="2" borderId="0" xfId="0" applyNumberFormat="1" applyFont="1" applyFill="1" applyAlignment="1">
      <alignment horizontal="right" vertical="center"/>
    </xf>
    <xf numFmtId="49" fontId="20" fillId="2" borderId="0" xfId="0" applyNumberFormat="1" applyFont="1" applyFill="1" applyAlignment="1">
      <alignment horizontal="right" vertical="center" wrapText="1"/>
    </xf>
    <xf numFmtId="3" fontId="17" fillId="2" borderId="1" xfId="0" applyNumberFormat="1" applyFont="1" applyFill="1" applyBorder="1" applyAlignment="1">
      <alignment horizontal="right" vertical="center"/>
    </xf>
    <xf numFmtId="3" fontId="23" fillId="18" borderId="1" xfId="0" applyNumberFormat="1" applyFont="1" applyFill="1" applyBorder="1" applyAlignment="1">
      <alignment horizontal="right" vertical="center"/>
    </xf>
    <xf numFmtId="3" fontId="14" fillId="17" borderId="1" xfId="0" applyNumberFormat="1" applyFont="1" applyFill="1" applyBorder="1" applyAlignment="1">
      <alignment horizontal="right"/>
    </xf>
    <xf numFmtId="3" fontId="16" fillId="4" borderId="1" xfId="0" applyNumberFormat="1" applyFont="1" applyFill="1" applyBorder="1" applyAlignment="1">
      <alignment horizontal="right"/>
    </xf>
    <xf numFmtId="3" fontId="17" fillId="6" borderId="1" xfId="0" applyNumberFormat="1" applyFont="1" applyFill="1" applyBorder="1" applyAlignment="1">
      <alignment horizontal="right" vertical="center"/>
    </xf>
    <xf numFmtId="3" fontId="17" fillId="8" borderId="1" xfId="0" applyNumberFormat="1" applyFont="1" applyFill="1" applyBorder="1" applyAlignment="1">
      <alignment horizontal="right" vertical="center"/>
    </xf>
    <xf numFmtId="3" fontId="17" fillId="10" borderId="1" xfId="0" applyNumberFormat="1" applyFont="1" applyFill="1" applyBorder="1" applyAlignment="1">
      <alignment horizontal="right" vertical="center"/>
    </xf>
    <xf numFmtId="3" fontId="17" fillId="12" borderId="1" xfId="0" applyNumberFormat="1" applyFont="1" applyFill="1" applyBorder="1" applyAlignment="1">
      <alignment horizontal="right" vertical="center"/>
    </xf>
    <xf numFmtId="3" fontId="17" fillId="14" borderId="1" xfId="0" applyNumberFormat="1" applyFont="1" applyFill="1" applyBorder="1" applyAlignment="1">
      <alignment horizontal="right" vertical="center"/>
    </xf>
    <xf numFmtId="3" fontId="13" fillId="2" borderId="0" xfId="0" applyNumberFormat="1" applyFont="1" applyFill="1"/>
    <xf numFmtId="3" fontId="17" fillId="16" borderId="1" xfId="0" applyNumberFormat="1" applyFont="1" applyFill="1" applyBorder="1" applyAlignment="1">
      <alignment horizontal="right" vertical="center"/>
    </xf>
    <xf numFmtId="0" fontId="25" fillId="21" borderId="0" xfId="0" applyFont="1" applyFill="1"/>
    <xf numFmtId="0" fontId="28" fillId="21" borderId="0" xfId="0" applyFont="1" applyFill="1"/>
    <xf numFmtId="49" fontId="26" fillId="20" borderId="6" xfId="0" applyNumberFormat="1" applyFont="1" applyFill="1" applyBorder="1" applyAlignment="1">
      <alignment horizontal="right" vertical="center"/>
    </xf>
    <xf numFmtId="0" fontId="25" fillId="21" borderId="6" xfId="0" applyFont="1" applyFill="1" applyBorder="1"/>
    <xf numFmtId="164" fontId="27" fillId="24" borderId="6" xfId="1" applyFont="1" applyFill="1" applyBorder="1" applyAlignment="1">
      <alignment horizontal="center" vertical="center" wrapText="1"/>
    </xf>
    <xf numFmtId="0" fontId="28" fillId="21" borderId="0" xfId="0" applyFont="1" applyFill="1" applyAlignment="1">
      <alignment horizontal="center"/>
    </xf>
    <xf numFmtId="164" fontId="25" fillId="21" borderId="0" xfId="1" applyFont="1" applyFill="1" applyAlignment="1">
      <alignment horizontal="center"/>
    </xf>
    <xf numFmtId="0" fontId="25" fillId="21" borderId="0" xfId="0" applyFont="1" applyFill="1" applyAlignment="1">
      <alignment horizontal="center"/>
    </xf>
    <xf numFmtId="164" fontId="27" fillId="21" borderId="6" xfId="1" applyFont="1" applyFill="1" applyBorder="1" applyAlignment="1">
      <alignment horizontal="center"/>
    </xf>
    <xf numFmtId="164" fontId="27" fillId="19" borderId="6" xfId="1" applyFont="1" applyFill="1" applyBorder="1" applyAlignment="1">
      <alignment horizontal="center"/>
    </xf>
    <xf numFmtId="49" fontId="26" fillId="25" borderId="6" xfId="0" applyNumberFormat="1" applyFont="1" applyFill="1" applyBorder="1" applyAlignment="1">
      <alignment horizontal="center" vertical="center"/>
    </xf>
    <xf numFmtId="164" fontId="27" fillId="26" borderId="6" xfId="1" applyFont="1" applyFill="1" applyBorder="1" applyAlignment="1">
      <alignment horizontal="center"/>
    </xf>
    <xf numFmtId="4" fontId="25" fillId="21" borderId="0" xfId="0" applyNumberFormat="1" applyFont="1" applyFill="1"/>
    <xf numFmtId="0" fontId="29" fillId="21" borderId="0" xfId="0" applyFont="1" applyFill="1"/>
    <xf numFmtId="4" fontId="26" fillId="25" borderId="6" xfId="0" applyNumberFormat="1" applyFont="1" applyFill="1" applyBorder="1" applyAlignment="1">
      <alignment horizontal="center" vertical="center"/>
    </xf>
    <xf numFmtId="4" fontId="26" fillId="20" borderId="6" xfId="0" applyNumberFormat="1" applyFont="1" applyFill="1" applyBorder="1" applyAlignment="1">
      <alignment horizontal="center" vertical="center"/>
    </xf>
    <xf numFmtId="165" fontId="25" fillId="21" borderId="0" xfId="1" applyNumberFormat="1" applyFont="1" applyFill="1" applyAlignment="1">
      <alignment horizontal="center"/>
    </xf>
    <xf numFmtId="164" fontId="25" fillId="21" borderId="0" xfId="1" applyFont="1" applyFill="1"/>
    <xf numFmtId="164" fontId="27" fillId="26" borderId="6" xfId="1" applyFont="1" applyFill="1" applyBorder="1"/>
    <xf numFmtId="0" fontId="27" fillId="21" borderId="6" xfId="0" applyFont="1" applyFill="1" applyBorder="1" applyAlignment="1">
      <alignment horizontal="center" vertical="center" wrapText="1"/>
    </xf>
    <xf numFmtId="0" fontId="31" fillId="21" borderId="6" xfId="0" applyFont="1" applyFill="1" applyBorder="1" applyAlignment="1">
      <alignment horizontal="center" vertical="center" wrapText="1"/>
    </xf>
    <xf numFmtId="164" fontId="25" fillId="21" borderId="6" xfId="1" applyFont="1" applyFill="1" applyBorder="1"/>
    <xf numFmtId="164" fontId="30" fillId="21" borderId="6" xfId="1" applyFont="1" applyFill="1" applyBorder="1"/>
    <xf numFmtId="0" fontId="29" fillId="21" borderId="0" xfId="0" applyFont="1" applyFill="1" applyAlignment="1">
      <alignment horizontal="center" vertical="center"/>
    </xf>
    <xf numFmtId="165" fontId="27" fillId="21" borderId="6" xfId="1" applyNumberFormat="1" applyFont="1" applyFill="1" applyBorder="1" applyAlignment="1">
      <alignment horizontal="center"/>
    </xf>
    <xf numFmtId="165" fontId="27" fillId="21" borderId="6" xfId="1" applyNumberFormat="1" applyFont="1" applyFill="1" applyBorder="1" applyAlignment="1">
      <alignment horizontal="center" vertical="center"/>
    </xf>
    <xf numFmtId="0" fontId="33" fillId="21" borderId="0" xfId="0" applyFont="1" applyFill="1"/>
    <xf numFmtId="164" fontId="31" fillId="21" borderId="0" xfId="1" applyFont="1" applyFill="1" applyAlignment="1">
      <alignment horizontal="left"/>
    </xf>
    <xf numFmtId="164" fontId="29" fillId="21" borderId="0" xfId="1" applyFont="1" applyFill="1" applyAlignment="1">
      <alignment horizontal="left"/>
    </xf>
    <xf numFmtId="0" fontId="29" fillId="21" borderId="0" xfId="0" applyFont="1" applyFill="1" applyAlignment="1">
      <alignment horizontal="left" vertical="center"/>
    </xf>
    <xf numFmtId="164" fontId="31" fillId="27" borderId="6" xfId="1" applyFont="1" applyFill="1" applyBorder="1"/>
    <xf numFmtId="0" fontId="29" fillId="21" borderId="0" xfId="0" applyFont="1" applyFill="1" applyAlignment="1">
      <alignment horizontal="left"/>
    </xf>
    <xf numFmtId="49" fontId="14" fillId="28" borderId="1" xfId="0" applyNumberFormat="1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horizontal="right" vertical="center"/>
    </xf>
    <xf numFmtId="49" fontId="17" fillId="8" borderId="1" xfId="0" applyNumberFormat="1" applyFont="1" applyFill="1" applyBorder="1" applyAlignment="1">
      <alignment horizontal="right" vertical="center"/>
    </xf>
    <xf numFmtId="164" fontId="31" fillId="21" borderId="6" xfId="1" applyFont="1" applyFill="1" applyBorder="1" applyAlignment="1">
      <alignment horizontal="center"/>
    </xf>
    <xf numFmtId="164" fontId="31" fillId="26" borderId="6" xfId="1" applyFont="1" applyFill="1" applyBorder="1" applyAlignment="1">
      <alignment horizontal="center"/>
    </xf>
    <xf numFmtId="164" fontId="31" fillId="19" borderId="6" xfId="1" applyFont="1" applyFill="1" applyBorder="1" applyAlignment="1">
      <alignment horizontal="center"/>
    </xf>
    <xf numFmtId="166" fontId="34" fillId="21" borderId="0" xfId="1" applyNumberFormat="1" applyFont="1" applyFill="1" applyAlignment="1">
      <alignment horizontal="center"/>
    </xf>
    <xf numFmtId="4" fontId="26" fillId="0" borderId="6" xfId="0" applyNumberFormat="1" applyFont="1" applyBorder="1" applyAlignment="1">
      <alignment horizontal="center" vertical="center"/>
    </xf>
    <xf numFmtId="3" fontId="35" fillId="2" borderId="0" xfId="0" applyNumberFormat="1" applyFont="1" applyFill="1"/>
    <xf numFmtId="164" fontId="36" fillId="21" borderId="0" xfId="1" applyFont="1" applyFill="1" applyAlignment="1">
      <alignment horizontal="left"/>
    </xf>
    <xf numFmtId="164" fontId="25" fillId="21" borderId="0" xfId="0" applyNumberFormat="1" applyFont="1" applyFill="1"/>
    <xf numFmtId="164" fontId="0" fillId="0" borderId="0" xfId="1" applyFont="1"/>
    <xf numFmtId="0" fontId="41" fillId="0" borderId="0" xfId="4" applyFont="1"/>
    <xf numFmtId="0" fontId="42" fillId="0" borderId="0" xfId="4" applyFont="1"/>
    <xf numFmtId="0" fontId="43" fillId="0" borderId="0" xfId="4" applyFont="1"/>
    <xf numFmtId="0" fontId="43" fillId="0" borderId="0" xfId="4" applyFont="1" applyAlignment="1">
      <alignment horizontal="center"/>
    </xf>
    <xf numFmtId="0" fontId="44" fillId="0" borderId="0" xfId="4" applyFont="1"/>
    <xf numFmtId="0" fontId="45" fillId="0" borderId="0" xfId="4" applyFont="1"/>
    <xf numFmtId="0" fontId="45" fillId="26" borderId="6" xfId="4" applyFont="1" applyFill="1" applyBorder="1" applyAlignment="1">
      <alignment horizontal="center" vertical="center"/>
    </xf>
    <xf numFmtId="0" fontId="45" fillId="26" borderId="6" xfId="4" applyFont="1" applyFill="1" applyBorder="1" applyAlignment="1">
      <alignment horizontal="center" vertical="center" wrapText="1"/>
    </xf>
    <xf numFmtId="9" fontId="45" fillId="29" borderId="6" xfId="5" applyFont="1" applyFill="1" applyBorder="1" applyAlignment="1">
      <alignment horizontal="center" vertical="center"/>
    </xf>
    <xf numFmtId="9" fontId="45" fillId="30" borderId="6" xfId="5" applyFont="1" applyFill="1" applyBorder="1" applyAlignment="1">
      <alignment horizontal="center" vertical="center"/>
    </xf>
    <xf numFmtId="9" fontId="45" fillId="21" borderId="6" xfId="5" applyFont="1" applyFill="1" applyBorder="1" applyAlignment="1">
      <alignment horizontal="center" vertical="center"/>
    </xf>
    <xf numFmtId="0" fontId="43" fillId="0" borderId="6" xfId="4" applyFont="1" applyBorder="1"/>
    <xf numFmtId="0" fontId="43" fillId="0" borderId="6" xfId="4" applyFont="1" applyBorder="1" applyAlignment="1">
      <alignment horizontal="center"/>
    </xf>
    <xf numFmtId="164" fontId="43" fillId="0" borderId="6" xfId="6" applyFont="1" applyBorder="1"/>
    <xf numFmtId="9" fontId="43" fillId="0" borderId="6" xfId="5" applyFont="1" applyBorder="1" applyAlignment="1">
      <alignment horizontal="center"/>
    </xf>
    <xf numFmtId="17" fontId="43" fillId="0" borderId="6" xfId="4" applyNumberFormat="1" applyFont="1" applyBorder="1" applyAlignment="1">
      <alignment horizontal="center"/>
    </xf>
    <xf numFmtId="0" fontId="30" fillId="0" borderId="6" xfId="4" applyFont="1" applyBorder="1" applyAlignment="1">
      <alignment vertical="center" wrapText="1"/>
    </xf>
    <xf numFmtId="164" fontId="45" fillId="0" borderId="6" xfId="4" applyNumberFormat="1" applyFont="1" applyBorder="1"/>
    <xf numFmtId="164" fontId="45" fillId="29" borderId="6" xfId="4" applyNumberFormat="1" applyFont="1" applyFill="1" applyBorder="1"/>
    <xf numFmtId="164" fontId="45" fillId="30" borderId="6" xfId="4" applyNumberFormat="1" applyFont="1" applyFill="1" applyBorder="1"/>
    <xf numFmtId="4" fontId="32" fillId="20" borderId="6" xfId="0" applyNumberFormat="1" applyFont="1" applyFill="1" applyBorder="1" applyAlignment="1">
      <alignment horizontal="center" vertical="center"/>
    </xf>
    <xf numFmtId="166" fontId="25" fillId="21" borderId="0" xfId="0" applyNumberFormat="1" applyFont="1" applyFill="1" applyAlignment="1">
      <alignment horizontal="center"/>
    </xf>
    <xf numFmtId="165" fontId="0" fillId="0" borderId="0" xfId="1" applyNumberFormat="1" applyFont="1"/>
    <xf numFmtId="0" fontId="0" fillId="0" borderId="0" xfId="0" applyAlignment="1">
      <alignment horizontal="center"/>
    </xf>
    <xf numFmtId="0" fontId="40" fillId="0" borderId="0" xfId="0" applyFont="1" applyAlignment="1">
      <alignment horizontal="center"/>
    </xf>
    <xf numFmtId="164" fontId="0" fillId="0" borderId="6" xfId="1" applyFont="1" applyBorder="1" applyAlignment="1">
      <alignment horizontal="center"/>
    </xf>
    <xf numFmtId="164" fontId="40" fillId="0" borderId="0" xfId="1" applyFont="1"/>
    <xf numFmtId="10" fontId="0" fillId="0" borderId="0" xfId="1" applyNumberFormat="1" applyFont="1"/>
    <xf numFmtId="9" fontId="49" fillId="0" borderId="0" xfId="7" applyFont="1" applyAlignment="1">
      <alignment horizontal="center"/>
    </xf>
    <xf numFmtId="164" fontId="0" fillId="0" borderId="11" xfId="1" applyFont="1" applyBorder="1" applyAlignment="1">
      <alignment horizontal="center"/>
    </xf>
    <xf numFmtId="164" fontId="40" fillId="26" borderId="6" xfId="0" applyNumberFormat="1" applyFont="1" applyFill="1" applyBorder="1" applyAlignment="1">
      <alignment horizontal="center"/>
    </xf>
    <xf numFmtId="164" fontId="40" fillId="26" borderId="6" xfId="1" applyFont="1" applyFill="1" applyBorder="1"/>
    <xf numFmtId="164" fontId="49" fillId="0" borderId="0" xfId="0" applyNumberFormat="1" applyFont="1" applyAlignment="1">
      <alignment horizontal="center"/>
    </xf>
    <xf numFmtId="0" fontId="40" fillId="0" borderId="0" xfId="0" applyFont="1"/>
    <xf numFmtId="3" fontId="50" fillId="2" borderId="0" xfId="0" applyNumberFormat="1" applyFont="1" applyFill="1"/>
    <xf numFmtId="49" fontId="52" fillId="2" borderId="3" xfId="0" applyNumberFormat="1" applyFont="1" applyFill="1" applyBorder="1" applyAlignment="1">
      <alignment horizontal="left"/>
    </xf>
    <xf numFmtId="49" fontId="53" fillId="22" borderId="1" xfId="0" applyNumberFormat="1" applyFont="1" applyFill="1" applyBorder="1" applyAlignment="1">
      <alignment horizontal="left" vertical="center"/>
    </xf>
    <xf numFmtId="49" fontId="53" fillId="9" borderId="1" xfId="0" applyNumberFormat="1" applyFont="1" applyFill="1" applyBorder="1" applyAlignment="1">
      <alignment horizontal="left" vertical="center"/>
    </xf>
    <xf numFmtId="49" fontId="53" fillId="11" borderId="1" xfId="0" applyNumberFormat="1" applyFont="1" applyFill="1" applyBorder="1" applyAlignment="1">
      <alignment horizontal="left" vertical="center"/>
    </xf>
    <xf numFmtId="49" fontId="53" fillId="11" borderId="8" xfId="0" applyNumberFormat="1" applyFont="1" applyFill="1" applyBorder="1" applyAlignment="1">
      <alignment horizontal="left" vertical="center"/>
    </xf>
    <xf numFmtId="165" fontId="50" fillId="2" borderId="0" xfId="1" applyNumberFormat="1" applyFont="1" applyFill="1"/>
    <xf numFmtId="49" fontId="53" fillId="15" borderId="1" xfId="0" applyNumberFormat="1" applyFont="1" applyFill="1" applyBorder="1" applyAlignment="1">
      <alignment horizontal="left" vertical="center"/>
    </xf>
    <xf numFmtId="49" fontId="53" fillId="7" borderId="1" xfId="0" applyNumberFormat="1" applyFont="1" applyFill="1" applyBorder="1" applyAlignment="1">
      <alignment horizontal="left" vertical="center"/>
    </xf>
    <xf numFmtId="0" fontId="13" fillId="0" borderId="0" xfId="0" applyFont="1"/>
    <xf numFmtId="0" fontId="40" fillId="0" borderId="6" xfId="0" applyFont="1" applyBorder="1" applyAlignment="1">
      <alignment horizontal="center" vertical="center" wrapText="1"/>
    </xf>
    <xf numFmtId="165" fontId="40" fillId="0" borderId="6" xfId="1" applyNumberFormat="1" applyFont="1" applyBorder="1" applyAlignment="1">
      <alignment horizontal="center" vertical="center" wrapText="1"/>
    </xf>
    <xf numFmtId="165" fontId="40" fillId="0" borderId="0" xfId="1" applyNumberFormat="1" applyFont="1"/>
    <xf numFmtId="5" fontId="40" fillId="0" borderId="0" xfId="1" applyNumberFormat="1" applyFont="1"/>
    <xf numFmtId="49" fontId="53" fillId="22" borderId="7" xfId="0" applyNumberFormat="1" applyFont="1" applyFill="1" applyBorder="1" applyAlignment="1">
      <alignment horizontal="left" vertical="center"/>
    </xf>
    <xf numFmtId="49" fontId="53" fillId="9" borderId="8" xfId="0" applyNumberFormat="1" applyFont="1" applyFill="1" applyBorder="1" applyAlignment="1">
      <alignment horizontal="left" vertical="center"/>
    </xf>
    <xf numFmtId="165" fontId="53" fillId="4" borderId="10" xfId="1" applyNumberFormat="1" applyFont="1" applyFill="1" applyBorder="1" applyAlignment="1">
      <alignment horizontal="right"/>
    </xf>
    <xf numFmtId="165" fontId="14" fillId="3" borderId="15" xfId="1" applyNumberFormat="1" applyFont="1" applyFill="1" applyBorder="1" applyAlignment="1">
      <alignment horizontal="center" vertical="center" wrapText="1"/>
    </xf>
    <xf numFmtId="49" fontId="53" fillId="9" borderId="10" xfId="0" applyNumberFormat="1" applyFont="1" applyFill="1" applyBorder="1" applyAlignment="1">
      <alignment horizontal="left" vertical="center"/>
    </xf>
    <xf numFmtId="49" fontId="51" fillId="10" borderId="14" xfId="0" applyNumberFormat="1" applyFont="1" applyFill="1" applyBorder="1" applyAlignment="1">
      <alignment horizontal="left" vertical="center"/>
    </xf>
    <xf numFmtId="0" fontId="54" fillId="2" borderId="0" xfId="0" applyFont="1" applyFill="1" applyAlignment="1">
      <alignment horizontal="left"/>
    </xf>
    <xf numFmtId="0" fontId="14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/>
    </xf>
    <xf numFmtId="49" fontId="16" fillId="22" borderId="1" xfId="0" applyNumberFormat="1" applyFont="1" applyFill="1" applyBorder="1" applyAlignment="1">
      <alignment horizontal="left" vertical="center"/>
    </xf>
    <xf numFmtId="49" fontId="17" fillId="23" borderId="1" xfId="0" applyNumberFormat="1" applyFont="1" applyFill="1" applyBorder="1" applyAlignment="1">
      <alignment horizontal="left" vertical="center"/>
    </xf>
    <xf numFmtId="0" fontId="17" fillId="23" borderId="1" xfId="0" applyFont="1" applyFill="1" applyBorder="1" applyAlignment="1">
      <alignment horizontal="left" vertical="center"/>
    </xf>
    <xf numFmtId="0" fontId="17" fillId="23" borderId="1" xfId="0" applyFont="1" applyFill="1" applyBorder="1" applyAlignment="1">
      <alignment horizontal="right" vertical="center"/>
    </xf>
    <xf numFmtId="3" fontId="17" fillId="23" borderId="1" xfId="0" applyNumberFormat="1" applyFont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/>
    </xf>
    <xf numFmtId="0" fontId="17" fillId="16" borderId="1" xfId="0" applyFont="1" applyFill="1" applyBorder="1" applyAlignment="1">
      <alignment horizontal="left" vertical="center"/>
    </xf>
    <xf numFmtId="0" fontId="14" fillId="17" borderId="1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/>
    </xf>
    <xf numFmtId="0" fontId="1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left"/>
    </xf>
    <xf numFmtId="0" fontId="21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right"/>
    </xf>
    <xf numFmtId="0" fontId="22" fillId="2" borderId="0" xfId="0" applyFont="1" applyFill="1" applyAlignment="1">
      <alignment horizontal="right"/>
    </xf>
    <xf numFmtId="0" fontId="20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right" vertical="center" wrapText="1"/>
    </xf>
    <xf numFmtId="49" fontId="55" fillId="11" borderId="12" xfId="0" applyNumberFormat="1" applyFont="1" applyFill="1" applyBorder="1" applyAlignment="1">
      <alignment horizontal="left" vertical="center"/>
    </xf>
    <xf numFmtId="3" fontId="56" fillId="2" borderId="0" xfId="0" applyNumberFormat="1" applyFont="1" applyFill="1" applyAlignment="1">
      <alignment wrapText="1"/>
    </xf>
    <xf numFmtId="49" fontId="57" fillId="2" borderId="0" xfId="0" applyNumberFormat="1" applyFont="1" applyFill="1" applyAlignment="1">
      <alignment horizontal="left" wrapText="1"/>
    </xf>
    <xf numFmtId="0" fontId="56" fillId="0" borderId="0" xfId="0" applyFont="1" applyAlignment="1">
      <alignment wrapText="1"/>
    </xf>
    <xf numFmtId="0" fontId="58" fillId="2" borderId="0" xfId="0" applyFont="1" applyFill="1" applyAlignment="1">
      <alignment horizontal="left"/>
    </xf>
    <xf numFmtId="49" fontId="59" fillId="2" borderId="0" xfId="0" applyNumberFormat="1" applyFont="1" applyFill="1" applyAlignment="1">
      <alignment horizontal="left" vertical="center"/>
    </xf>
    <xf numFmtId="49" fontId="53" fillId="22" borderId="10" xfId="0" applyNumberFormat="1" applyFont="1" applyFill="1" applyBorder="1" applyAlignment="1">
      <alignment horizontal="left" vertical="center"/>
    </xf>
    <xf numFmtId="49" fontId="53" fillId="22" borderId="10" xfId="0" applyNumberFormat="1" applyFont="1" applyFill="1" applyBorder="1" applyAlignment="1">
      <alignment horizontal="left" vertical="center" wrapText="1"/>
    </xf>
    <xf numFmtId="49" fontId="51" fillId="23" borderId="14" xfId="0" applyNumberFormat="1" applyFont="1" applyFill="1" applyBorder="1" applyAlignment="1">
      <alignment horizontal="left" vertical="center"/>
    </xf>
    <xf numFmtId="49" fontId="51" fillId="23" borderId="15" xfId="0" applyNumberFormat="1" applyFont="1" applyFill="1" applyBorder="1" applyAlignment="1">
      <alignment horizontal="left" vertical="center"/>
    </xf>
    <xf numFmtId="49" fontId="51" fillId="23" borderId="15" xfId="0" applyNumberFormat="1" applyFont="1" applyFill="1" applyBorder="1" applyAlignment="1">
      <alignment horizontal="right" vertical="center" wrapText="1"/>
    </xf>
    <xf numFmtId="165" fontId="51" fillId="23" borderId="16" xfId="1" applyNumberFormat="1" applyFont="1" applyFill="1" applyBorder="1" applyAlignment="1">
      <alignment horizontal="right" vertical="center"/>
    </xf>
    <xf numFmtId="49" fontId="52" fillId="2" borderId="0" xfId="0" applyNumberFormat="1" applyFont="1" applyFill="1" applyAlignment="1">
      <alignment horizontal="left" vertical="center"/>
    </xf>
    <xf numFmtId="49" fontId="51" fillId="10" borderId="15" xfId="0" applyNumberFormat="1" applyFont="1" applyFill="1" applyBorder="1" applyAlignment="1">
      <alignment horizontal="left" vertical="center"/>
    </xf>
    <xf numFmtId="49" fontId="37" fillId="10" borderId="15" xfId="0" applyNumberFormat="1" applyFont="1" applyFill="1" applyBorder="1" applyAlignment="1">
      <alignment horizontal="right" vertical="center" wrapText="1"/>
    </xf>
    <xf numFmtId="165" fontId="51" fillId="10" borderId="9" xfId="1" applyNumberFormat="1" applyFont="1" applyFill="1" applyBorder="1" applyAlignment="1">
      <alignment horizontal="right" vertical="center"/>
    </xf>
    <xf numFmtId="49" fontId="51" fillId="12" borderId="14" xfId="0" applyNumberFormat="1" applyFont="1" applyFill="1" applyBorder="1" applyAlignment="1">
      <alignment horizontal="left" vertical="center"/>
    </xf>
    <xf numFmtId="49" fontId="51" fillId="12" borderId="15" xfId="0" applyNumberFormat="1" applyFont="1" applyFill="1" applyBorder="1" applyAlignment="1">
      <alignment horizontal="left" vertical="center"/>
    </xf>
    <xf numFmtId="49" fontId="37" fillId="12" borderId="15" xfId="0" applyNumberFormat="1" applyFont="1" applyFill="1" applyBorder="1" applyAlignment="1">
      <alignment horizontal="right" vertical="center" wrapText="1"/>
    </xf>
    <xf numFmtId="49" fontId="53" fillId="15" borderId="10" xfId="0" applyNumberFormat="1" applyFont="1" applyFill="1" applyBorder="1" applyAlignment="1">
      <alignment horizontal="left" vertical="center"/>
    </xf>
    <xf numFmtId="49" fontId="55" fillId="15" borderId="10" xfId="0" applyNumberFormat="1" applyFont="1" applyFill="1" applyBorder="1" applyAlignment="1">
      <alignment horizontal="left" vertical="center" wrapText="1"/>
    </xf>
    <xf numFmtId="49" fontId="51" fillId="16" borderId="14" xfId="0" applyNumberFormat="1" applyFont="1" applyFill="1" applyBorder="1" applyAlignment="1">
      <alignment horizontal="left" vertical="center"/>
    </xf>
    <xf numFmtId="49" fontId="51" fillId="16" borderId="15" xfId="0" applyNumberFormat="1" applyFont="1" applyFill="1" applyBorder="1" applyAlignment="1">
      <alignment horizontal="left" vertical="center"/>
    </xf>
    <xf numFmtId="49" fontId="37" fillId="16" borderId="15" xfId="0" applyNumberFormat="1" applyFont="1" applyFill="1" applyBorder="1" applyAlignment="1">
      <alignment horizontal="right" vertical="center" wrapText="1"/>
    </xf>
    <xf numFmtId="165" fontId="51" fillId="16" borderId="15" xfId="1" applyNumberFormat="1" applyFont="1" applyFill="1" applyBorder="1" applyAlignment="1">
      <alignment horizontal="right" vertical="center"/>
    </xf>
    <xf numFmtId="49" fontId="37" fillId="17" borderId="15" xfId="0" applyNumberFormat="1" applyFont="1" applyFill="1" applyBorder="1" applyAlignment="1">
      <alignment horizontal="left" vertical="center" wrapText="1"/>
    </xf>
    <xf numFmtId="49" fontId="14" fillId="3" borderId="15" xfId="0" applyNumberFormat="1" applyFont="1" applyFill="1" applyBorder="1" applyAlignment="1">
      <alignment horizontal="center" vertical="center" wrapText="1"/>
    </xf>
    <xf numFmtId="49" fontId="53" fillId="4" borderId="10" xfId="0" applyNumberFormat="1" applyFont="1" applyFill="1" applyBorder="1" applyAlignment="1">
      <alignment horizontal="left" vertical="center"/>
    </xf>
    <xf numFmtId="49" fontId="55" fillId="4" borderId="10" xfId="0" applyNumberFormat="1" applyFont="1" applyFill="1" applyBorder="1" applyAlignment="1">
      <alignment horizontal="left" vertical="center" wrapText="1"/>
    </xf>
    <xf numFmtId="49" fontId="51" fillId="6" borderId="14" xfId="0" applyNumberFormat="1" applyFont="1" applyFill="1" applyBorder="1" applyAlignment="1">
      <alignment horizontal="left" vertical="center"/>
    </xf>
    <xf numFmtId="49" fontId="51" fillId="6" borderId="15" xfId="0" applyNumberFormat="1" applyFont="1" applyFill="1" applyBorder="1" applyAlignment="1">
      <alignment horizontal="left" vertical="center"/>
    </xf>
    <xf numFmtId="49" fontId="37" fillId="6" borderId="15" xfId="0" applyNumberFormat="1" applyFont="1" applyFill="1" applyBorder="1" applyAlignment="1">
      <alignment horizontal="right" vertical="center" wrapText="1"/>
    </xf>
    <xf numFmtId="165" fontId="51" fillId="6" borderId="15" xfId="1" applyNumberFormat="1" applyFont="1" applyFill="1" applyBorder="1" applyAlignment="1">
      <alignment horizontal="right" vertical="center"/>
    </xf>
    <xf numFmtId="165" fontId="50" fillId="2" borderId="0" xfId="1" applyNumberFormat="1" applyFont="1" applyFill="1" applyBorder="1"/>
    <xf numFmtId="165" fontId="51" fillId="12" borderId="9" xfId="1" applyNumberFormat="1" applyFont="1" applyFill="1" applyBorder="1" applyAlignment="1">
      <alignment horizontal="right" vertical="center"/>
    </xf>
    <xf numFmtId="165" fontId="37" fillId="0" borderId="14" xfId="1" applyNumberFormat="1" applyFont="1" applyFill="1" applyBorder="1" applyAlignment="1">
      <alignment horizontal="center" vertical="center" wrapText="1"/>
    </xf>
    <xf numFmtId="3" fontId="50" fillId="2" borderId="0" xfId="0" applyNumberFormat="1" applyFont="1" applyFill="1" applyAlignment="1">
      <alignment vertical="center"/>
    </xf>
    <xf numFmtId="165" fontId="14" fillId="3" borderId="9" xfId="1" applyNumberFormat="1" applyFont="1" applyFill="1" applyBorder="1" applyAlignment="1">
      <alignment horizontal="center" vertical="center" wrapText="1"/>
    </xf>
    <xf numFmtId="165" fontId="38" fillId="0" borderId="0" xfId="1" applyNumberFormat="1" applyFont="1" applyFill="1"/>
    <xf numFmtId="3" fontId="35" fillId="0" borderId="0" xfId="0" applyNumberFormat="1" applyFont="1"/>
    <xf numFmtId="3" fontId="39" fillId="0" borderId="0" xfId="0" applyNumberFormat="1" applyFont="1"/>
    <xf numFmtId="3" fontId="35" fillId="0" borderId="0" xfId="0" applyNumberFormat="1" applyFont="1" applyAlignment="1">
      <alignment vertical="center"/>
    </xf>
    <xf numFmtId="3" fontId="67" fillId="0" borderId="0" xfId="0" applyNumberFormat="1" applyFont="1"/>
    <xf numFmtId="4" fontId="62" fillId="20" borderId="0" xfId="0" applyNumberFormat="1" applyFont="1" applyFill="1" applyAlignment="1">
      <alignment horizontal="left"/>
    </xf>
    <xf numFmtId="4" fontId="63" fillId="20" borderId="0" xfId="0" applyNumberFormat="1" applyFont="1" applyFill="1" applyAlignment="1">
      <alignment horizontal="left"/>
    </xf>
    <xf numFmtId="4" fontId="62" fillId="21" borderId="0" xfId="0" applyNumberFormat="1" applyFont="1" applyFill="1" applyAlignment="1">
      <alignment horizontal="left"/>
    </xf>
    <xf numFmtId="4" fontId="68" fillId="21" borderId="0" xfId="0" applyNumberFormat="1" applyFont="1" applyFill="1" applyAlignment="1">
      <alignment horizontal="left"/>
    </xf>
    <xf numFmtId="4" fontId="69" fillId="21" borderId="0" xfId="0" applyNumberFormat="1" applyFont="1" applyFill="1" applyAlignment="1">
      <alignment horizontal="left"/>
    </xf>
    <xf numFmtId="165" fontId="53" fillId="4" borderId="1" xfId="1" applyNumberFormat="1" applyFont="1" applyFill="1" applyBorder="1" applyAlignment="1">
      <alignment horizontal="right" vertical="center"/>
    </xf>
    <xf numFmtId="4" fontId="0" fillId="0" borderId="0" xfId="0" applyNumberFormat="1"/>
    <xf numFmtId="49" fontId="52" fillId="2" borderId="3" xfId="0" applyNumberFormat="1" applyFont="1" applyFill="1" applyBorder="1" applyAlignment="1">
      <alignment horizontal="left" vertical="center"/>
    </xf>
    <xf numFmtId="165" fontId="61" fillId="32" borderId="21" xfId="1" applyNumberFormat="1" applyFont="1" applyFill="1" applyBorder="1" applyAlignment="1">
      <alignment horizontal="right" vertical="center"/>
    </xf>
    <xf numFmtId="4" fontId="50" fillId="2" borderId="0" xfId="0" applyNumberFormat="1" applyFont="1" applyFill="1" applyAlignment="1">
      <alignment vertical="center"/>
    </xf>
    <xf numFmtId="165" fontId="53" fillId="34" borderId="1" xfId="1" applyNumberFormat="1" applyFont="1" applyFill="1" applyBorder="1" applyAlignment="1">
      <alignment horizontal="right" vertical="center"/>
    </xf>
    <xf numFmtId="3" fontId="64" fillId="20" borderId="0" xfId="0" applyNumberFormat="1" applyFont="1" applyFill="1" applyAlignment="1">
      <alignment horizontal="left" vertical="center"/>
    </xf>
    <xf numFmtId="49" fontId="65" fillId="11" borderId="8" xfId="0" applyNumberFormat="1" applyFont="1" applyFill="1" applyBorder="1" applyAlignment="1">
      <alignment horizontal="left" vertical="center"/>
    </xf>
    <xf numFmtId="49" fontId="53" fillId="11" borderId="27" xfId="0" applyNumberFormat="1" applyFont="1" applyFill="1" applyBorder="1" applyAlignment="1">
      <alignment horizontal="left" vertical="center"/>
    </xf>
    <xf numFmtId="49" fontId="53" fillId="11" borderId="8" xfId="0" applyNumberFormat="1" applyFont="1" applyFill="1" applyBorder="1" applyAlignment="1">
      <alignment horizontal="left" vertical="center" wrapText="1"/>
    </xf>
    <xf numFmtId="165" fontId="37" fillId="0" borderId="28" xfId="1" applyNumberFormat="1" applyFont="1" applyFill="1" applyBorder="1" applyAlignment="1">
      <alignment horizontal="center" vertical="center" wrapText="1"/>
    </xf>
    <xf numFmtId="49" fontId="53" fillId="9" borderId="10" xfId="0" applyNumberFormat="1" applyFont="1" applyFill="1" applyBorder="1" applyAlignment="1">
      <alignment horizontal="left" vertical="center" wrapText="1"/>
    </xf>
    <xf numFmtId="4" fontId="63" fillId="20" borderId="0" xfId="0" applyNumberFormat="1" applyFont="1" applyFill="1" applyAlignment="1">
      <alignment horizontal="left" vertical="center"/>
    </xf>
    <xf numFmtId="165" fontId="53" fillId="4" borderId="10" xfId="1" applyNumberFormat="1" applyFont="1" applyFill="1" applyBorder="1" applyAlignment="1">
      <alignment horizontal="right" vertical="center"/>
    </xf>
    <xf numFmtId="49" fontId="37" fillId="0" borderId="0" xfId="0" applyNumberFormat="1" applyFont="1" applyAlignment="1">
      <alignment horizontal="right" vertical="center"/>
    </xf>
    <xf numFmtId="165" fontId="17" fillId="0" borderId="0" xfId="1" applyNumberFormat="1" applyFont="1" applyFill="1" applyBorder="1" applyAlignment="1">
      <alignment horizontal="right" vertical="center"/>
    </xf>
    <xf numFmtId="165" fontId="53" fillId="4" borderId="8" xfId="1" applyNumberFormat="1" applyFont="1" applyFill="1" applyBorder="1" applyAlignment="1">
      <alignment horizontal="right" vertical="center"/>
    </xf>
    <xf numFmtId="165" fontId="53" fillId="32" borderId="21" xfId="1" applyNumberFormat="1" applyFont="1" applyFill="1" applyBorder="1" applyAlignment="1">
      <alignment horizontal="right" vertical="center"/>
    </xf>
    <xf numFmtId="3" fontId="60" fillId="2" borderId="0" xfId="0" applyNumberFormat="1" applyFont="1" applyFill="1" applyAlignment="1">
      <alignment vertical="center"/>
    </xf>
    <xf numFmtId="49" fontId="70" fillId="33" borderId="6" xfId="0" applyNumberFormat="1" applyFont="1" applyFill="1" applyBorder="1" applyAlignment="1">
      <alignment horizontal="center" vertical="center"/>
    </xf>
    <xf numFmtId="9" fontId="38" fillId="0" borderId="0" xfId="7" applyFont="1" applyFill="1"/>
    <xf numFmtId="165" fontId="13" fillId="0" borderId="0" xfId="1" applyNumberFormat="1" applyFont="1"/>
    <xf numFmtId="164" fontId="23" fillId="0" borderId="0" xfId="1" applyFont="1" applyFill="1" applyBorder="1" applyAlignment="1">
      <alignment horizontal="right" vertical="center"/>
    </xf>
    <xf numFmtId="49" fontId="51" fillId="35" borderId="14" xfId="0" applyNumberFormat="1" applyFont="1" applyFill="1" applyBorder="1" applyAlignment="1">
      <alignment horizontal="left" vertical="center"/>
    </xf>
    <xf numFmtId="49" fontId="51" fillId="35" borderId="15" xfId="0" applyNumberFormat="1" applyFont="1" applyFill="1" applyBorder="1" applyAlignment="1">
      <alignment horizontal="left" vertical="center"/>
    </xf>
    <xf numFmtId="49" fontId="37" fillId="35" borderId="15" xfId="0" applyNumberFormat="1" applyFont="1" applyFill="1" applyBorder="1" applyAlignment="1">
      <alignment horizontal="right" vertical="center" wrapText="1"/>
    </xf>
    <xf numFmtId="165" fontId="51" fillId="35" borderId="9" xfId="1" applyNumberFormat="1" applyFont="1" applyFill="1" applyBorder="1" applyAlignment="1">
      <alignment horizontal="right" vertical="center"/>
    </xf>
    <xf numFmtId="49" fontId="53" fillId="36" borderId="8" xfId="0" applyNumberFormat="1" applyFont="1" applyFill="1" applyBorder="1" applyAlignment="1">
      <alignment horizontal="left" vertical="center"/>
    </xf>
    <xf numFmtId="49" fontId="53" fillId="36" borderId="1" xfId="0" applyNumberFormat="1" applyFont="1" applyFill="1" applyBorder="1" applyAlignment="1">
      <alignment horizontal="left" vertical="center"/>
    </xf>
    <xf numFmtId="49" fontId="53" fillId="36" borderId="27" xfId="0" applyNumberFormat="1" applyFont="1" applyFill="1" applyBorder="1" applyAlignment="1">
      <alignment horizontal="left" vertical="center"/>
    </xf>
    <xf numFmtId="49" fontId="55" fillId="36" borderId="8" xfId="0" applyNumberFormat="1" applyFont="1" applyFill="1" applyBorder="1" applyAlignment="1">
      <alignment horizontal="left" vertical="center" wrapText="1"/>
    </xf>
    <xf numFmtId="0" fontId="53" fillId="4" borderId="10" xfId="0" applyFont="1" applyFill="1" applyBorder="1" applyAlignment="1">
      <alignment horizontal="left" vertical="center"/>
    </xf>
    <xf numFmtId="49" fontId="53" fillId="37" borderId="10" xfId="0" applyNumberFormat="1" applyFont="1" applyFill="1" applyBorder="1" applyAlignment="1">
      <alignment horizontal="left" vertical="center"/>
    </xf>
    <xf numFmtId="49" fontId="14" fillId="38" borderId="15" xfId="0" applyNumberFormat="1" applyFont="1" applyFill="1" applyBorder="1" applyAlignment="1">
      <alignment horizontal="center" vertical="center" wrapText="1"/>
    </xf>
    <xf numFmtId="165" fontId="14" fillId="17" borderId="16" xfId="1" applyNumberFormat="1" applyFont="1" applyFill="1" applyBorder="1" applyAlignment="1">
      <alignment horizontal="right" vertical="center"/>
    </xf>
    <xf numFmtId="4" fontId="62" fillId="20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>
      <alignment vertical="center"/>
    </xf>
    <xf numFmtId="165" fontId="14" fillId="39" borderId="16" xfId="1" applyNumberFormat="1" applyFont="1" applyFill="1" applyBorder="1" applyAlignment="1">
      <alignment horizontal="center" vertical="center"/>
    </xf>
    <xf numFmtId="165" fontId="72" fillId="0" borderId="0" xfId="1" applyNumberFormat="1" applyFont="1" applyFill="1" applyAlignment="1">
      <alignment horizontal="right"/>
    </xf>
    <xf numFmtId="165" fontId="72" fillId="30" borderId="0" xfId="1" applyNumberFormat="1" applyFont="1" applyFill="1" applyAlignment="1">
      <alignment horizontal="right"/>
    </xf>
    <xf numFmtId="165" fontId="51" fillId="30" borderId="19" xfId="1" applyNumberFormat="1" applyFont="1" applyFill="1" applyBorder="1" applyAlignment="1">
      <alignment horizontal="right"/>
    </xf>
    <xf numFmtId="165" fontId="51" fillId="30" borderId="0" xfId="1" applyNumberFormat="1" applyFont="1" applyFill="1" applyBorder="1" applyAlignment="1">
      <alignment horizontal="right"/>
    </xf>
    <xf numFmtId="0" fontId="53" fillId="22" borderId="10" xfId="0" applyFont="1" applyFill="1" applyBorder="1" applyAlignment="1">
      <alignment horizontal="left" vertical="center"/>
    </xf>
    <xf numFmtId="0" fontId="53" fillId="9" borderId="10" xfId="0" applyFont="1" applyFill="1" applyBorder="1" applyAlignment="1">
      <alignment horizontal="left" vertical="center"/>
    </xf>
    <xf numFmtId="49" fontId="14" fillId="3" borderId="14" xfId="0" applyNumberFormat="1" applyFont="1" applyFill="1" applyBorder="1" applyAlignment="1">
      <alignment horizontal="center" vertical="center" wrapText="1"/>
    </xf>
    <xf numFmtId="49" fontId="14" fillId="3" borderId="15" xfId="0" applyNumberFormat="1" applyFont="1" applyFill="1" applyBorder="1" applyAlignment="1">
      <alignment horizontal="center" vertical="center"/>
    </xf>
    <xf numFmtId="4" fontId="14" fillId="3" borderId="15" xfId="0" applyNumberFormat="1" applyFont="1" applyFill="1" applyBorder="1" applyAlignment="1">
      <alignment horizontal="center" vertical="center" wrapText="1"/>
    </xf>
    <xf numFmtId="4" fontId="53" fillId="4" borderId="10" xfId="0" applyNumberFormat="1" applyFont="1" applyFill="1" applyBorder="1" applyAlignment="1">
      <alignment horizontal="left" vertical="center"/>
    </xf>
    <xf numFmtId="4" fontId="51" fillId="6" borderId="15" xfId="0" applyNumberFormat="1" applyFont="1" applyFill="1" applyBorder="1" applyAlignment="1">
      <alignment horizontal="left" vertical="center"/>
    </xf>
    <xf numFmtId="4" fontId="53" fillId="22" borderId="10" xfId="0" applyNumberFormat="1" applyFont="1" applyFill="1" applyBorder="1" applyAlignment="1">
      <alignment horizontal="left" vertical="center"/>
    </xf>
    <xf numFmtId="4" fontId="51" fillId="23" borderId="15" xfId="0" applyNumberFormat="1" applyFont="1" applyFill="1" applyBorder="1" applyAlignment="1">
      <alignment horizontal="left" vertical="center"/>
    </xf>
    <xf numFmtId="4" fontId="53" fillId="9" borderId="10" xfId="0" applyNumberFormat="1" applyFont="1" applyFill="1" applyBorder="1" applyAlignment="1">
      <alignment horizontal="left" vertical="center"/>
    </xf>
    <xf numFmtId="4" fontId="51" fillId="10" borderId="15" xfId="0" applyNumberFormat="1" applyFont="1" applyFill="1" applyBorder="1" applyAlignment="1">
      <alignment horizontal="left" vertical="center"/>
    </xf>
    <xf numFmtId="4" fontId="53" fillId="36" borderId="27" xfId="0" applyNumberFormat="1" applyFont="1" applyFill="1" applyBorder="1" applyAlignment="1">
      <alignment horizontal="left" vertical="center"/>
    </xf>
    <xf numFmtId="4" fontId="51" fillId="35" borderId="15" xfId="0" applyNumberFormat="1" applyFont="1" applyFill="1" applyBorder="1" applyAlignment="1">
      <alignment horizontal="left" vertical="center"/>
    </xf>
    <xf numFmtId="4" fontId="53" fillId="11" borderId="27" xfId="0" applyNumberFormat="1" applyFont="1" applyFill="1" applyBorder="1" applyAlignment="1">
      <alignment horizontal="left" vertical="center"/>
    </xf>
    <xf numFmtId="4" fontId="51" fillId="12" borderId="15" xfId="0" applyNumberFormat="1" applyFont="1" applyFill="1" applyBorder="1" applyAlignment="1">
      <alignment horizontal="left" vertical="center"/>
    </xf>
    <xf numFmtId="4" fontId="50" fillId="2" borderId="0" xfId="0" applyNumberFormat="1" applyFont="1" applyFill="1"/>
    <xf numFmtId="4" fontId="53" fillId="15" borderId="10" xfId="0" applyNumberFormat="1" applyFont="1" applyFill="1" applyBorder="1" applyAlignment="1">
      <alignment horizontal="left" vertical="center"/>
    </xf>
    <xf numFmtId="4" fontId="51" fillId="16" borderId="15" xfId="0" applyNumberFormat="1" applyFont="1" applyFill="1" applyBorder="1" applyAlignment="1">
      <alignment horizontal="left" vertical="center"/>
    </xf>
    <xf numFmtId="165" fontId="62" fillId="0" borderId="0" xfId="1" applyNumberFormat="1" applyFont="1" applyAlignment="1">
      <alignment horizontal="right"/>
    </xf>
    <xf numFmtId="165" fontId="51" fillId="0" borderId="8" xfId="1" applyNumberFormat="1" applyFont="1" applyFill="1" applyBorder="1" applyAlignment="1">
      <alignment horizontal="right"/>
    </xf>
    <xf numFmtId="165" fontId="14" fillId="3" borderId="17" xfId="1" applyNumberFormat="1" applyFont="1" applyFill="1" applyBorder="1" applyAlignment="1">
      <alignment horizontal="center" vertical="center" wrapText="1"/>
    </xf>
    <xf numFmtId="165" fontId="51" fillId="16" borderId="17" xfId="1" applyNumberFormat="1" applyFont="1" applyFill="1" applyBorder="1" applyAlignment="1">
      <alignment horizontal="right" vertical="center"/>
    </xf>
    <xf numFmtId="165" fontId="37" fillId="0" borderId="17" xfId="1" applyNumberFormat="1" applyFont="1" applyFill="1" applyBorder="1" applyAlignment="1">
      <alignment horizontal="center" vertical="center" wrapText="1"/>
    </xf>
    <xf numFmtId="165" fontId="66" fillId="0" borderId="18" xfId="1" applyNumberFormat="1" applyFont="1" applyFill="1" applyBorder="1" applyAlignment="1">
      <alignment horizontal="right"/>
    </xf>
    <xf numFmtId="165" fontId="51" fillId="30" borderId="20" xfId="1" applyNumberFormat="1" applyFont="1" applyFill="1" applyBorder="1" applyAlignment="1">
      <alignment horizontal="right"/>
    </xf>
    <xf numFmtId="49" fontId="53" fillId="36" borderId="8" xfId="0" applyNumberFormat="1" applyFont="1" applyFill="1" applyBorder="1" applyAlignment="1">
      <alignment horizontal="left" vertical="center" wrapText="1"/>
    </xf>
    <xf numFmtId="49" fontId="51" fillId="42" borderId="14" xfId="0" applyNumberFormat="1" applyFont="1" applyFill="1" applyBorder="1" applyAlignment="1">
      <alignment horizontal="left" vertical="center"/>
    </xf>
    <xf numFmtId="49" fontId="51" fillId="42" borderId="15" xfId="0" applyNumberFormat="1" applyFont="1" applyFill="1" applyBorder="1" applyAlignment="1">
      <alignment horizontal="left" vertical="center"/>
    </xf>
    <xf numFmtId="4" fontId="51" fillId="42" borderId="15" xfId="0" applyNumberFormat="1" applyFont="1" applyFill="1" applyBorder="1" applyAlignment="1">
      <alignment horizontal="left" vertical="center"/>
    </xf>
    <xf numFmtId="49" fontId="37" fillId="42" borderId="15" xfId="0" applyNumberFormat="1" applyFont="1" applyFill="1" applyBorder="1" applyAlignment="1">
      <alignment horizontal="right" vertical="center" wrapText="1"/>
    </xf>
    <xf numFmtId="165" fontId="51" fillId="42" borderId="9" xfId="1" applyNumberFormat="1" applyFont="1" applyFill="1" applyBorder="1" applyAlignment="1">
      <alignment horizontal="right" vertical="center"/>
    </xf>
    <xf numFmtId="165" fontId="14" fillId="3" borderId="32" xfId="1" applyNumberFormat="1" applyFont="1" applyFill="1" applyBorder="1" applyAlignment="1">
      <alignment horizontal="center" vertical="center" wrapText="1"/>
    </xf>
    <xf numFmtId="165" fontId="53" fillId="4" borderId="21" xfId="1" applyNumberFormat="1" applyFont="1" applyFill="1" applyBorder="1" applyAlignment="1">
      <alignment horizontal="right" vertical="center"/>
    </xf>
    <xf numFmtId="165" fontId="23" fillId="31" borderId="16" xfId="1" applyNumberFormat="1" applyFont="1" applyFill="1" applyBorder="1" applyAlignment="1">
      <alignment horizontal="center" vertical="center" wrapText="1"/>
    </xf>
    <xf numFmtId="49" fontId="53" fillId="41" borderId="10" xfId="0" applyNumberFormat="1" applyFont="1" applyFill="1" applyBorder="1" applyAlignment="1">
      <alignment horizontal="left" vertical="center"/>
    </xf>
    <xf numFmtId="49" fontId="53" fillId="41" borderId="10" xfId="0" applyNumberFormat="1" applyFont="1" applyFill="1" applyBorder="1" applyAlignment="1">
      <alignment horizontal="left" vertical="center" wrapText="1"/>
    </xf>
    <xf numFmtId="0" fontId="53" fillId="41" borderId="10" xfId="0" applyFont="1" applyFill="1" applyBorder="1" applyAlignment="1">
      <alignment horizontal="left" vertical="center"/>
    </xf>
    <xf numFmtId="4" fontId="53" fillId="41" borderId="10" xfId="0" applyNumberFormat="1" applyFont="1" applyFill="1" applyBorder="1" applyAlignment="1">
      <alignment horizontal="left" vertical="center"/>
    </xf>
    <xf numFmtId="49" fontId="53" fillId="11" borderId="1" xfId="0" applyNumberFormat="1" applyFont="1" applyFill="1" applyBorder="1" applyAlignment="1">
      <alignment horizontal="left" vertical="center" wrapText="1"/>
    </xf>
    <xf numFmtId="165" fontId="75" fillId="37" borderId="10" xfId="0" applyNumberFormat="1" applyFont="1" applyFill="1" applyBorder="1" applyAlignment="1">
      <alignment horizontal="left" vertical="center"/>
    </xf>
    <xf numFmtId="4" fontId="19" fillId="2" borderId="0" xfId="0" applyNumberFormat="1" applyFont="1" applyFill="1" applyAlignment="1">
      <alignment horizontal="left"/>
    </xf>
    <xf numFmtId="165" fontId="19" fillId="2" borderId="0" xfId="1" applyNumberFormat="1" applyFont="1" applyFill="1" applyAlignment="1">
      <alignment horizontal="left"/>
    </xf>
    <xf numFmtId="165" fontId="19" fillId="2" borderId="0" xfId="1" applyNumberFormat="1" applyFont="1" applyFill="1" applyBorder="1" applyAlignment="1">
      <alignment horizontal="left"/>
    </xf>
    <xf numFmtId="3" fontId="13" fillId="2" borderId="0" xfId="0" applyNumberFormat="1" applyFont="1" applyFill="1" applyAlignment="1">
      <alignment vertical="center"/>
    </xf>
    <xf numFmtId="49" fontId="15" fillId="2" borderId="0" xfId="0" applyNumberFormat="1" applyFont="1" applyFill="1" applyAlignment="1">
      <alignment horizontal="left" vertical="center"/>
    </xf>
    <xf numFmtId="49" fontId="14" fillId="17" borderId="14" xfId="0" applyNumberFormat="1" applyFont="1" applyFill="1" applyBorder="1" applyAlignment="1">
      <alignment horizontal="left" vertical="center"/>
    </xf>
    <xf numFmtId="49" fontId="14" fillId="17" borderId="15" xfId="0" applyNumberFormat="1" applyFont="1" applyFill="1" applyBorder="1" applyAlignment="1">
      <alignment horizontal="left" vertical="center"/>
    </xf>
    <xf numFmtId="4" fontId="14" fillId="17" borderId="15" xfId="0" applyNumberFormat="1" applyFont="1" applyFill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3" fontId="13" fillId="0" borderId="0" xfId="0" applyNumberFormat="1" applyFont="1"/>
    <xf numFmtId="165" fontId="17" fillId="0" borderId="24" xfId="1" applyNumberFormat="1" applyFont="1" applyFill="1" applyBorder="1" applyAlignment="1">
      <alignment horizontal="right"/>
    </xf>
    <xf numFmtId="165" fontId="17" fillId="0" borderId="29" xfId="1" applyNumberFormat="1" applyFont="1" applyFill="1" applyBorder="1" applyAlignment="1">
      <alignment horizontal="right"/>
    </xf>
    <xf numFmtId="165" fontId="17" fillId="0" borderId="25" xfId="1" applyNumberFormat="1" applyFont="1" applyFill="1" applyBorder="1" applyAlignment="1">
      <alignment horizontal="right"/>
    </xf>
    <xf numFmtId="165" fontId="17" fillId="0" borderId="10" xfId="1" applyNumberFormat="1" applyFont="1" applyFill="1" applyBorder="1" applyAlignment="1">
      <alignment horizontal="right"/>
    </xf>
    <xf numFmtId="165" fontId="17" fillId="0" borderId="13" xfId="1" applyNumberFormat="1" applyFont="1" applyFill="1" applyBorder="1" applyAlignment="1">
      <alignment horizontal="right"/>
    </xf>
    <xf numFmtId="165" fontId="17" fillId="0" borderId="31" xfId="1" applyNumberFormat="1" applyFont="1" applyFill="1" applyBorder="1" applyAlignment="1">
      <alignment horizontal="right"/>
    </xf>
    <xf numFmtId="165" fontId="17" fillId="0" borderId="26" xfId="1" applyNumberFormat="1" applyFont="1" applyFill="1" applyBorder="1" applyAlignment="1">
      <alignment horizontal="right"/>
    </xf>
    <xf numFmtId="165" fontId="17" fillId="0" borderId="23" xfId="1" applyNumberFormat="1" applyFont="1" applyFill="1" applyBorder="1" applyAlignment="1">
      <alignment horizontal="right"/>
    </xf>
    <xf numFmtId="165" fontId="17" fillId="0" borderId="22" xfId="1" applyNumberFormat="1" applyFont="1" applyFill="1" applyBorder="1" applyAlignment="1">
      <alignment horizontal="right"/>
    </xf>
    <xf numFmtId="165" fontId="17" fillId="0" borderId="30" xfId="1" applyNumberFormat="1" applyFont="1" applyFill="1" applyBorder="1" applyAlignment="1">
      <alignment horizontal="right"/>
    </xf>
    <xf numFmtId="0" fontId="17" fillId="10" borderId="1" xfId="0" applyFont="1" applyFill="1" applyBorder="1" applyAlignment="1">
      <alignment horizontal="left" vertical="center"/>
    </xf>
    <xf numFmtId="0" fontId="17" fillId="12" borderId="1" xfId="0" applyFont="1" applyFill="1" applyBorder="1" applyAlignment="1">
      <alignment horizontal="left" vertical="center"/>
    </xf>
    <xf numFmtId="0" fontId="20" fillId="14" borderId="1" xfId="0" applyFont="1" applyFill="1" applyBorder="1" applyAlignment="1">
      <alignment horizontal="left" vertical="center"/>
    </xf>
    <xf numFmtId="49" fontId="53" fillId="4" borderId="10" xfId="0" applyNumberFormat="1" applyFont="1" applyFill="1" applyBorder="1" applyAlignment="1">
      <alignment horizontal="center" vertical="center"/>
    </xf>
    <xf numFmtId="49" fontId="53" fillId="22" borderId="10" xfId="0" applyNumberFormat="1" applyFont="1" applyFill="1" applyBorder="1" applyAlignment="1">
      <alignment horizontal="center" vertical="center"/>
    </xf>
    <xf numFmtId="49" fontId="53" fillId="9" borderId="10" xfId="0" applyNumberFormat="1" applyFont="1" applyFill="1" applyBorder="1" applyAlignment="1">
      <alignment horizontal="center" vertical="center"/>
    </xf>
    <xf numFmtId="49" fontId="53" fillId="41" borderId="10" xfId="0" applyNumberFormat="1" applyFont="1" applyFill="1" applyBorder="1" applyAlignment="1">
      <alignment horizontal="center" vertical="center"/>
    </xf>
    <xf numFmtId="49" fontId="53" fillId="11" borderId="8" xfId="0" applyNumberFormat="1" applyFont="1" applyFill="1" applyBorder="1" applyAlignment="1">
      <alignment horizontal="center" vertical="center"/>
    </xf>
    <xf numFmtId="49" fontId="53" fillId="43" borderId="10" xfId="0" applyNumberFormat="1" applyFont="1" applyFill="1" applyBorder="1" applyAlignment="1">
      <alignment horizontal="left" vertical="center"/>
    </xf>
    <xf numFmtId="49" fontId="53" fillId="43" borderId="10" xfId="0" applyNumberFormat="1" applyFont="1" applyFill="1" applyBorder="1" applyAlignment="1">
      <alignment horizontal="left" vertical="center" wrapText="1"/>
    </xf>
    <xf numFmtId="49" fontId="53" fillId="43" borderId="10" xfId="0" applyNumberFormat="1" applyFont="1" applyFill="1" applyBorder="1" applyAlignment="1">
      <alignment horizontal="center" vertical="center"/>
    </xf>
    <xf numFmtId="49" fontId="74" fillId="43" borderId="10" xfId="0" applyNumberFormat="1" applyFont="1" applyFill="1" applyBorder="1" applyAlignment="1">
      <alignment horizontal="left" vertical="center" wrapText="1"/>
    </xf>
    <xf numFmtId="165" fontId="53" fillId="43" borderId="10" xfId="0" applyNumberFormat="1" applyFont="1" applyFill="1" applyBorder="1" applyAlignment="1">
      <alignment horizontal="left" vertical="center"/>
    </xf>
    <xf numFmtId="0" fontId="53" fillId="43" borderId="10" xfId="0" applyFont="1" applyFill="1" applyBorder="1" applyAlignment="1">
      <alignment horizontal="left" vertical="center"/>
    </xf>
    <xf numFmtId="4" fontId="53" fillId="43" borderId="10" xfId="0" applyNumberFormat="1" applyFont="1" applyFill="1" applyBorder="1" applyAlignment="1">
      <alignment horizontal="left" vertical="center"/>
    </xf>
    <xf numFmtId="49" fontId="51" fillId="40" borderId="14" xfId="0" applyNumberFormat="1" applyFont="1" applyFill="1" applyBorder="1" applyAlignment="1">
      <alignment horizontal="left" vertical="center"/>
    </xf>
    <xf numFmtId="49" fontId="51" fillId="40" borderId="15" xfId="0" applyNumberFormat="1" applyFont="1" applyFill="1" applyBorder="1" applyAlignment="1">
      <alignment horizontal="left" vertical="center"/>
    </xf>
    <xf numFmtId="4" fontId="51" fillId="40" borderId="15" xfId="0" applyNumberFormat="1" applyFont="1" applyFill="1" applyBorder="1" applyAlignment="1">
      <alignment horizontal="left" vertical="center"/>
    </xf>
    <xf numFmtId="49" fontId="37" fillId="40" borderId="15" xfId="0" applyNumberFormat="1" applyFont="1" applyFill="1" applyBorder="1" applyAlignment="1">
      <alignment horizontal="right" vertical="center" wrapText="1"/>
    </xf>
    <xf numFmtId="165" fontId="51" fillId="40" borderId="9" xfId="1" applyNumberFormat="1" applyFont="1" applyFill="1" applyBorder="1" applyAlignment="1">
      <alignment horizontal="right" vertical="center"/>
    </xf>
    <xf numFmtId="165" fontId="51" fillId="0" borderId="33" xfId="1" applyNumberFormat="1" applyFont="1" applyFill="1" applyBorder="1" applyAlignment="1">
      <alignment horizontal="right"/>
    </xf>
    <xf numFmtId="3" fontId="67" fillId="30" borderId="0" xfId="0" applyNumberFormat="1" applyFont="1" applyFill="1"/>
    <xf numFmtId="3" fontId="39" fillId="30" borderId="0" xfId="0" applyNumberFormat="1" applyFont="1" applyFill="1"/>
    <xf numFmtId="49" fontId="17" fillId="2" borderId="0" xfId="0" applyNumberFormat="1" applyFont="1" applyFill="1" applyAlignment="1">
      <alignment horizontal="right" vertical="center"/>
    </xf>
    <xf numFmtId="49" fontId="17" fillId="2" borderId="0" xfId="0" applyNumberFormat="1" applyFont="1" applyFill="1" applyAlignment="1">
      <alignment horizontal="right" vertical="center" wrapText="1"/>
    </xf>
  </cellXfs>
  <cellStyles count="36">
    <cellStyle name="Millares" xfId="1" builtinId="3"/>
    <cellStyle name="Millares 2" xfId="3" xr:uid="{00000000-0005-0000-0000-000001000000}"/>
    <cellStyle name="Millares 3" xfId="6" xr:uid="{00000000-0005-0000-0000-000002000000}"/>
    <cellStyle name="Millares 4" xfId="33" xr:uid="{00000000-0005-0000-0000-000003000000}"/>
    <cellStyle name="Moneda 2" xfId="12" xr:uid="{00000000-0005-0000-0000-000004000000}"/>
    <cellStyle name="Moneda 2 2" xfId="23" xr:uid="{00000000-0005-0000-0000-000005000000}"/>
    <cellStyle name="Moneda 3" xfId="15" xr:uid="{00000000-0005-0000-0000-000006000000}"/>
    <cellStyle name="Moneda 3 2" xfId="24" xr:uid="{00000000-0005-0000-0000-000007000000}"/>
    <cellStyle name="Moneda 4" xfId="26" xr:uid="{00000000-0005-0000-0000-000008000000}"/>
    <cellStyle name="Normal" xfId="0" builtinId="0"/>
    <cellStyle name="Normal 10" xfId="32" xr:uid="{00000000-0005-0000-0000-00000A000000}"/>
    <cellStyle name="Normal 11" xfId="34" xr:uid="{00000000-0005-0000-0000-00000B000000}"/>
    <cellStyle name="Normal 2" xfId="2" xr:uid="{00000000-0005-0000-0000-00000C000000}"/>
    <cellStyle name="Normal 3" xfId="4" xr:uid="{00000000-0005-0000-0000-00000D000000}"/>
    <cellStyle name="Normal 4" xfId="8" xr:uid="{00000000-0005-0000-0000-00000E000000}"/>
    <cellStyle name="Normal 5" xfId="9" xr:uid="{00000000-0005-0000-0000-00000F000000}"/>
    <cellStyle name="Normal 6" xfId="10" xr:uid="{00000000-0005-0000-0000-000010000000}"/>
    <cellStyle name="Normal 6 2" xfId="14" xr:uid="{00000000-0005-0000-0000-000011000000}"/>
    <cellStyle name="Normal 6 2 2" xfId="22" xr:uid="{00000000-0005-0000-0000-000012000000}"/>
    <cellStyle name="Normal 6 2 2 2" xfId="31" xr:uid="{00000000-0005-0000-0000-000013000000}"/>
    <cellStyle name="Normal 6 3" xfId="18" xr:uid="{00000000-0005-0000-0000-000014000000}"/>
    <cellStyle name="Normal 6 3 2" xfId="30" xr:uid="{00000000-0005-0000-0000-000015000000}"/>
    <cellStyle name="Normal 6 4" xfId="27" xr:uid="{00000000-0005-0000-0000-000016000000}"/>
    <cellStyle name="Normal 7" xfId="11" xr:uid="{00000000-0005-0000-0000-000017000000}"/>
    <cellStyle name="Normal 7 2" xfId="13" xr:uid="{00000000-0005-0000-0000-000018000000}"/>
    <cellStyle name="Normal 7 3" xfId="19" xr:uid="{00000000-0005-0000-0000-000019000000}"/>
    <cellStyle name="Normal 7 3 2" xfId="29" xr:uid="{00000000-0005-0000-0000-00001A000000}"/>
    <cellStyle name="Normal 7 4" xfId="28" xr:uid="{00000000-0005-0000-0000-00001B000000}"/>
    <cellStyle name="Normal 8" xfId="16" xr:uid="{00000000-0005-0000-0000-00001C000000}"/>
    <cellStyle name="Normal 8 2" xfId="21" xr:uid="{00000000-0005-0000-0000-00001D000000}"/>
    <cellStyle name="Normal 9" xfId="17" xr:uid="{00000000-0005-0000-0000-00001E000000}"/>
    <cellStyle name="Normal 9 2" xfId="25" xr:uid="{00000000-0005-0000-0000-00001F000000}"/>
    <cellStyle name="Porcentaje" xfId="7" builtinId="5"/>
    <cellStyle name="Porcentaje 2" xfId="35" xr:uid="{00000000-0005-0000-0000-000020000000}"/>
    <cellStyle name="Porcentual 2" xfId="5" xr:uid="{00000000-0005-0000-0000-000022000000}"/>
    <cellStyle name="Porcentual 3" xfId="20" xr:uid="{00000000-0005-0000-0000-000023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0000FF"/>
      <color rgb="FFCCFFCC"/>
      <color rgb="FFFFFFCC"/>
      <color rgb="FFF3A971"/>
      <color rgb="FF99FFCC"/>
      <color rgb="FFC0C0C0"/>
      <color rgb="FF008000"/>
      <color rgb="FFEDB4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customXml" Target="../customXml/item2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0</xdr:row>
      <xdr:rowOff>0</xdr:rowOff>
    </xdr:from>
    <xdr:to>
      <xdr:col>24</xdr:col>
      <xdr:colOff>266700</xdr:colOff>
      <xdr:row>24</xdr:row>
      <xdr:rowOff>133350</xdr:rowOff>
    </xdr:to>
    <xdr:pic>
      <xdr:nvPicPr>
        <xdr:cNvPr id="3082" name="Picture 10">
          <a:extLst>
            <a:ext uri="{FF2B5EF4-FFF2-40B4-BE49-F238E27FC236}">
              <a16:creationId xmlns:a16="http://schemas.microsoft.com/office/drawing/2014/main" id="{00000000-0008-0000-03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59" t="14583" b="25208"/>
        <a:stretch>
          <a:fillRect/>
        </a:stretch>
      </xdr:blipFill>
      <xdr:spPr bwMode="auto">
        <a:xfrm>
          <a:off x="9591675" y="0"/>
          <a:ext cx="12087225" cy="5505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OLIDACION_ECONOMICA/SAGNIER/EXCEL/Real/2003/Abril/RealSap04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CSC/Press09/Instituts/HQ%20TOTAL%20Ppto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CTRLLING/RRHH/Aplicaci&#243;%20Real%20Decret%202_2012%20i%2020_2012/4.%20RD2_12%20Increment%20jornada/PresCSC/Press12/Instituts/H8%20Ppto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CSC/Press09/Instituts/HO%20Ppto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CSC/Press09/Instituts/HF%20Ppto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2\CTRLLING\Analisis%20desviaciones\2014\Analisis%20compres%20Farm&#224;cia-Prove&#239;dors%202014\An&#224;lisi%20consums%20-compres%20Farm&#224;cia%201014\An&#224;lisi%20compres%20Farm&#224;cia%20Nov13-Oct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1\usr3\Control%20Gesti&#243;n%20Empresas%20Participadas\CIERRES\2004\Cierre%2004-4_b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CTRLLING/RRHH/Aplicaci&#243;%20Real%20Decret%202_2012%20i%2020_2012/4.%20RD2_12%20Increment%20jornada/CTRLLING/R11/Convenis%20laborals%20i%20taules%20salarials/Dades%20econ&#242;miques%20pressupo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1\usr3\PresCSC\Press09\Instituts\HMZ%20Ppto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CSC/Press09/Instituts/CGCS/M_HAO%20TOTAL%20Ppto0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1\usr3\PresCSC\Press12\Projeccio%202011\Ajustos%202011\Global%20SOL_PP11%203108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TRLLING/CIRCUITS/APROVACIONS%20RRHH/Model%202009/H9%20TOTAL%20Ppto0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2\usr2\PresCSC\Press16\Instituts\HAV%20TOTAL%20Ppto16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CTRLLING/RRHH/Aplicaci&#243;%20Real%20Decret%202_2012%20i%2020_2012/4.%20RD2_12%20Increment%20jornada/PresCSC/Press11/Instituts/H5%20TOTAL%20Ppto1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1\usr3\CTRLLING\CIRCUITS\APROVACIONS%20RRHH\Model%202009\HB%20TOTAL%20Ppto0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1\usr3\PresCSC\Press09\Instituts\HF%20Ppto0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1\usr3\PresCSC\Press11\Instituts\H6%20Ppto1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2\usr2\CTRLLING\Analisis%20desviaciones\2014\Analisis%20compres%20Farm&#224;cia-Prove&#239;dors%202014\An&#224;lisi%20consums%20-compres%20Farm&#224;cia%201014\An&#224;lisi%20compres%20Farm&#224;cia%20Nov13-Oct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1\usr3\CTRLLING\CIRCUITS\APROVACIONS%20RRHH\Model%202009\H9%20TOTAL%20Ppto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1\usr3\PresCSC\Press10\Instituts\HPA-HPH%20TOTAL%20Ppto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2\usr2\PRESSUPO\ICT\Pressupost%202015\H5%20TOTAL%20Ppto15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1\usr3\PresCSC\Press10\Instituts\HH%20Ppto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2\usr2\PresCSC\Press10\Instituts\HL%20Ppto1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2\usr2\PresCSC\Press16\Instituts\HPA_HPH%20TOTAL%20Ppto16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ospitalclinicdebarcelona-my.sharepoint.com/P.EQUIP_%20OBSOL/Global%20PE%202019-2022%20DEFINITIU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CSC/Press09/Instituts/H5%20TOTAL%20Ppto0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1\usr3\PRESSUPO\ASENJO\Circuit%20aprovaci&#243;%20RRHH\HME%20SOL_NP0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2\usr2\PresCSC\Press08\CGCS\Instituts%20V2\Resums\Resum%20H1%20TOTA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1\usr3\CTRLLING\CIRCUITS\APROVACIONS%20RRHH\Model%202009\HEB+HED%20Ppto0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2\usr2\PresCSC\Press09\Instituts\HO%20Ppto09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1\usr3\PresCSC\Press10\Instituts\H6%20Ppto1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2\usr2\PresCSC\Press15\Model\Model%20Ppto15.xlsm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1\usr3\Conso_CGP\Presupuesto%20Inicial\2005_IAS\Agua%20Internacional\Recaptaci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ospitalclinicdebarcelona-my.sharepoint.com/PresCSC/Press12/Pressupost%20Financer/A_Financer/Ajustos%202011/Global%20Ajustos%20excepc.%20i%20modif%20rec.P.Xoc%20201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2\usr2\PresCSC\Press16\Instituts%20contractes\HI%20TOTAL%20Ppto16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1\usr3\PresCSC\Press10\Instituts\HL%20Ppto1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2\usr2\PresCSC\Press15\Instituts\HAD_HAC_HAE_HAG_HAP_HAR%20TOTAL%20Ppto15.xlsm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1\usr3\Presupuesto%20Revisado\2007\Inversiones\Inversiones%20PR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cfs1\usr3\Queries_IAS\Variables%20Operatives\Comparativa%20Var.%20Operatives_CONSOLIDADA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ospitalclinicdebarcelona-my.sharepoint.com/Users/Meri&amp;Jau/Downloads/Pla%20Obres%20HCB+CGCS_07-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CSC/Press12/Projeccio%202011/Ajustos%202011/Global%20SOL_PP11%203108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TRLLING/CIRCUITS/APROVACIONS%20RRHH/Model%202009/HB%20TOTAL%20Ppto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CSC/Press10/Instituts/HPA-HPH%20TOTAL%20Ppto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errieri/Desktop/H9%20TOTAL%20Ppto1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ospitalclinicdebarcelona-my.sharepoint.com/PresCSC/Press11/Pressupost%20Financer/A_Financer/Pla%20de%20xoc%202011/Informaci&#243;%20Comit&#232;%20Delegats%20M&#232;dics/Detall%20Pla%20de%20Xoc%20Personal%20M&#232;d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EQUI"/>
      <sheetName val="AG1"/>
      <sheetName val="AG2"/>
      <sheetName val="AG3"/>
      <sheetName val="SAL1"/>
      <sheetName val="SAL2"/>
      <sheetName val="RS1"/>
      <sheetName val="RS2"/>
      <sheetName val="RS3"/>
      <sheetName val="AUT1"/>
      <sheetName val="AUT2"/>
      <sheetName val="CIO"/>
      <sheetName val="CONS"/>
      <sheetName val="APR"/>
      <sheetName val="MAN"/>
      <sheetName val="ING"/>
      <sheetName val="UTES"/>
      <sheetName val="MLI"/>
      <sheetName val="MLII"/>
      <sheetName val="Resum - Informe Final"/>
      <sheetName val="GRUP AGBAR"/>
      <sheetName val="Sect.Ph.Auv."/>
      <sheetName val="GRUP AQUAGEST"/>
      <sheetName val="AQUAGEST SUR"/>
      <sheetName val="CANARAGUA"/>
      <sheetName val="AQUAG.LEVANTE"/>
      <sheetName val="GRUP SOREA"/>
      <sheetName val="GRUP INTERAGUA"/>
      <sheetName val="GRUP INTERAGBAR"/>
      <sheetName val="GRUP TRIBUGEST"/>
      <sheetName val="GRUP ADL"/>
      <sheetName val="GRUP A.CHILE"/>
      <sheetName val="CHAS"/>
      <sheetName val="IAGSSA"/>
      <sheetName val="IAM"/>
      <sheetName val="EMOS"/>
      <sheetName val="GRUP ADESLAS"/>
      <sheetName val="V.DEL MAR"/>
      <sheetName val="PARQUE"/>
      <sheetName val="GRUP CLINSA"/>
      <sheetName val="CL.REP.P.SOCORRO"/>
      <sheetName val="AGM"/>
      <sheetName val="GRUP CESPA"/>
      <sheetName val="GRUP CESPA GR"/>
      <sheetName val="ECOCAT"/>
      <sheetName val="ORMAS"/>
      <sheetName val="AGBARAUTOMOTIVE"/>
      <sheetName val="IDIADA"/>
      <sheetName val="ITETECHNOLOGY"/>
      <sheetName val="KEATING"/>
      <sheetName val="TECINCO"/>
      <sheetName val="FINIST."/>
      <sheetName val="VTC"/>
      <sheetName val="MINOR"/>
      <sheetName val="AMORT.FC"/>
      <sheetName val="Sol.Mart."/>
      <sheetName val="Distrib.Sect."/>
      <sheetName val="EL.CA-AB"/>
      <sheetName val="CONTROL"/>
      <sheetName val="DET.ING.EXPLOT"/>
      <sheetName val="DET.RDO.EXPLOT"/>
      <sheetName val="RDO FINANC"/>
      <sheetName val="DET.EQUIV."/>
      <sheetName val="DET.FCIO"/>
      <sheetName val="DET.EXTR."/>
      <sheetName val="DET.MINOR"/>
      <sheetName val="RDONETOGRUPO"/>
      <sheetName val="DET.EXTR.P.GRUPO"/>
      <sheetName val="I.S AGBAR"/>
      <sheetName val="DIF. CAMBIO IAGSSA"/>
      <sheetName val="DIF. CAMBIO GUARIROBA"/>
      <sheetName val="CONTRIB. AGBAR"/>
      <sheetName val="CONTRIB. AGBAR (2)"/>
      <sheetName val="CONTRIB. AGBAREX"/>
      <sheetName val="CONTRIB. B.V"/>
      <sheetName val="Dif.Cambio.ARGENTINA"/>
      <sheetName val="VENTASSUEZ"/>
      <sheetName val="TCCGAbril-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"/>
      <sheetName val="R11 F. Mèdic"/>
      <sheetName val="R11 F. Inferm."/>
      <sheetName val="R11 F. Admin."/>
      <sheetName val="R11 F. Serv.Grals."/>
      <sheetName val="Farmacia"/>
      <sheetName val="Magatz"/>
      <sheetName val="Indirectes"/>
      <sheetName val="Ing. no Cats."/>
      <sheetName val="Detall NNAA"/>
      <sheetName val="Detall Altr. Inic."/>
      <sheetName val="NNAA"/>
      <sheetName val="Altres Iniciatives"/>
      <sheetName val="Mesures d'estalvi"/>
      <sheetName val="Dades econòmiques"/>
      <sheetName val="Seg. Social"/>
      <sheetName val="desplegables"/>
      <sheetName val="% topats"/>
      <sheetName val="Càlcul Seg.So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etall Mod. Proj. 11"/>
      <sheetName val="Resum Ppto 12"/>
      <sheetName val="Resum Ppto 12 HCB"/>
      <sheetName val="Resum Ppto 12 CGCS"/>
      <sheetName val="R11 F. Mèdic"/>
      <sheetName val="R11 F. Inferm."/>
      <sheetName val="R11 F. Admin."/>
      <sheetName val="R11 F. Serv.Grals."/>
      <sheetName val="Farmacia"/>
      <sheetName val="Mat. sanitari"/>
      <sheetName val="Altres desp. directes"/>
      <sheetName val="Indirectes"/>
      <sheetName val="Ing. no Cats."/>
      <sheetName val="Ing. Catsalut"/>
      <sheetName val="Detall rec. pla xoc activitat"/>
      <sheetName val="Recurrencia pla xoc Activitat"/>
      <sheetName val="Detall rec. pla xoc ME"/>
      <sheetName val="Recurrència pla xoc Mes. efic."/>
      <sheetName val="Detall modif pla xoc activitat"/>
      <sheetName val="Modif. pla xoc Activitat"/>
      <sheetName val="Detall modif pla xoc ME"/>
      <sheetName val="Modif. pla xoc Mes. efic."/>
      <sheetName val="Detall Ajustos Catsalut"/>
      <sheetName val="Ajustos Catsalut"/>
      <sheetName val="Detall Altres ajustos"/>
      <sheetName val="Altres Ajustos"/>
      <sheetName val="Detall Ajustos excepcionals"/>
      <sheetName val="Ajustos excepcionals"/>
      <sheetName val="Detall Rec. Catsalut"/>
      <sheetName val="Rec. Catsalut"/>
      <sheetName val="Detall Reinversió_Reducció"/>
      <sheetName val="Reinversió_Reducció"/>
      <sheetName val="Detall Mesures eficiència"/>
      <sheetName val="Mesures d'eficiència"/>
      <sheetName val="Detall Altres propostes"/>
      <sheetName val="Altres propostes"/>
      <sheetName val="Pos temporals 2011"/>
      <sheetName val="Dades econòmiques"/>
      <sheetName val="Seg. Social"/>
      <sheetName val="IPC"/>
      <sheetName val="despleg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"/>
      <sheetName val="R11 F. Mèdic"/>
      <sheetName val="R11 F. Inferm."/>
      <sheetName val="R11 F. Admin."/>
      <sheetName val="R11 F. Serv.Grals."/>
      <sheetName val="Farmacia"/>
      <sheetName val="Magatz"/>
      <sheetName val="Indirectes"/>
      <sheetName val="Ing. no Cats."/>
      <sheetName val="Detall NNAA"/>
      <sheetName val="Detall Altr. Inic."/>
      <sheetName val="NNAA"/>
      <sheetName val="Altres Iniciatives"/>
      <sheetName val="Mesures d'estalvi"/>
      <sheetName val="Dades econòmiques"/>
      <sheetName val="Seg. Social"/>
      <sheetName val="% topats"/>
      <sheetName val="Càlcul Seg.Soc"/>
      <sheetName val="despleg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"/>
      <sheetName val="R11 F. Mèdic"/>
      <sheetName val="R11 F. Inferm."/>
      <sheetName val="R11 F. Admin."/>
      <sheetName val="R11 F. Serv.Grals."/>
      <sheetName val="Farmacia"/>
      <sheetName val="Magatz"/>
      <sheetName val="Indirectes"/>
      <sheetName val="Ing. no Cats."/>
      <sheetName val="Detall NNAA"/>
      <sheetName val="Detall Altr. Inic."/>
      <sheetName val="NNAA"/>
      <sheetName val="Altres Iniciatives"/>
      <sheetName val="Mesures d'estalvi"/>
      <sheetName val="Dades econòmiques"/>
      <sheetName val="Seg. Social"/>
      <sheetName val="% topats"/>
      <sheetName val="Càlcul Seg.Soc"/>
      <sheetName val="despleg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s"/>
      <sheetName val="Quadre ABC-FI"/>
      <sheetName val="detall diferencia"/>
      <sheetName val="detall"/>
      <sheetName val="Quadre ABC-Compres"/>
      <sheetName val="taula"/>
      <sheetName val="Compres Nov13-Oct14"/>
      <sheetName val="incidencia"/>
      <sheetName val="TD 2013"/>
      <sheetName val="Compres 2013"/>
      <sheetName val="TD acum.oct 2014"/>
      <sheetName val="155763"/>
      <sheetName val="Compres gen-oct 2014"/>
      <sheetName val="1.1 Compres TAM nov13-oct14"/>
      <sheetName val="1.2 CompresTAM nov-oct vs 2013 "/>
      <sheetName val="1.3 Compres 2013-2014 % rapels"/>
      <sheetName val="Resum Analisis  agrup1"/>
      <sheetName val="Resum Analisis-agrup 2"/>
      <sheetName val="Resum Analisis-detall agrup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query-bw"/>
      <sheetName val="ajustes"/>
      <sheetName val="Monedas"/>
      <sheetName val="4C modelo "/>
      <sheetName val="Maestro sociedades"/>
      <sheetName val="TABLAS DINÁMICAS"/>
      <sheetName val="Query 10-04_valores"/>
      <sheetName val="10-04_valores"/>
      <sheetName val="Query 11-04_valores"/>
      <sheetName val="11-04_val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0 sin RDL"/>
      <sheetName val="2011"/>
      <sheetName val="ppto 2012"/>
      <sheetName val="2012"/>
      <sheetName val="Seg. Social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"/>
      <sheetName val="R11 F. Mèdic"/>
      <sheetName val="R11 F. Inferm."/>
      <sheetName val="R11 F. Admin."/>
      <sheetName val="R11 F. Serv.Grals."/>
      <sheetName val="Farmacia"/>
      <sheetName val="Magatz"/>
      <sheetName val="Indirectes"/>
      <sheetName val="Ing. no Cats."/>
      <sheetName val="Detall NNAA"/>
      <sheetName val="Detall Altr. Inic."/>
      <sheetName val="NNAA"/>
      <sheetName val="Altres Iniciatives"/>
      <sheetName val="Mesures d'estalvi"/>
      <sheetName val="Dades econòmiques"/>
      <sheetName val="Seg. Social"/>
      <sheetName val="% topats"/>
      <sheetName val="Càlcul Seg.Soc"/>
      <sheetName val="despleg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"/>
      <sheetName val="R11 F. Mèdic"/>
      <sheetName val="R11 F. Inferm."/>
      <sheetName val="R11 F. Admin."/>
      <sheetName val="R11 F. Serv.Grals."/>
      <sheetName val="Farmacia"/>
      <sheetName val="Magatz"/>
      <sheetName val="Indirectes"/>
      <sheetName val="Ing. no Cats."/>
      <sheetName val="Detall NNAA"/>
      <sheetName val="Detall Altr. Inic."/>
      <sheetName val="NNAA"/>
      <sheetName val="Altres Iniciatives"/>
      <sheetName val="Mesures d'estalvi"/>
      <sheetName val="Dades econòmiques"/>
      <sheetName val="Seg. Social"/>
      <sheetName val="% topats"/>
      <sheetName val="despleg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INS PPTO"/>
      <sheetName val="Resum"/>
      <sheetName val="Altres despeses"/>
      <sheetName val="Dades econòmiques"/>
      <sheetName val="Seg. Social"/>
      <sheetName val="desplegables"/>
      <sheetName val="IPC"/>
      <sheetName val="Macros"/>
      <sheetName val=" Estalvi x institut"/>
      <sheetName val="Resum x institut"/>
      <sheetName val="altres desp ajust+estalvi VINC"/>
      <sheetName val="Ajust i estalvi x compte VINC"/>
      <sheetName val="Format infor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"/>
      <sheetName val="R11 F. Mèdic"/>
      <sheetName val="R11 F. Inferm."/>
      <sheetName val="R11 F. Admin."/>
      <sheetName val="R11 F. Serv.Grals."/>
      <sheetName val="Farmacia"/>
      <sheetName val="Magatz"/>
      <sheetName val="Indirectes"/>
      <sheetName val="Ing. no Cats."/>
      <sheetName val="Detall NNAA"/>
      <sheetName val="Detall Altr. Inic."/>
      <sheetName val="NNAA"/>
      <sheetName val="Altres Iniciatives"/>
      <sheetName val="Mesures d'estalvi"/>
      <sheetName val="Dades econòmiques"/>
      <sheetName val="Seg. Social"/>
      <sheetName val="%topats"/>
      <sheetName val="desplegable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 Tancament 15"/>
      <sheetName val="Detall Mod. Proj. 15"/>
      <sheetName val="Modificacions projecció"/>
      <sheetName val="Resum Ppto 16"/>
      <sheetName val="Resum Ppto 16 HCB"/>
      <sheetName val="Resum Ppto 16 CGCS"/>
      <sheetName val="Pla Activitat 16"/>
      <sheetName val="Personal"/>
      <sheetName val="Farmacia"/>
      <sheetName val="Mat. sanitari"/>
      <sheetName val="Altres desp. directes"/>
      <sheetName val="Indirectes"/>
      <sheetName val="Ing. no Cats."/>
      <sheetName val="Ing. Catsalut"/>
      <sheetName val="Detall Rec. Mes.15 Activ"/>
      <sheetName val="Recurrència Mes. 15 Activitat"/>
      <sheetName val="Detall Rec. Mes.15 Eficiència"/>
      <sheetName val="Recurrència Mes. 15 Eficiència"/>
      <sheetName val="Detall Rec. Mes.15 Transversals"/>
      <sheetName val="Recurrència Mes.15 Transversals"/>
      <sheetName val="Detall Rec. i Ajustos Catsalut"/>
      <sheetName val="Rec i Ajustos Catsalut"/>
      <sheetName val="Detall Altres ajustos"/>
      <sheetName val="Altres Ajustos"/>
      <sheetName val="Detall Ajustos excepcionals"/>
      <sheetName val="Ajustos excepcionals"/>
      <sheetName val="Detall Rec. Catsalut"/>
      <sheetName val="Rec. Catsalut"/>
      <sheetName val="Detall Reinversió_Reducció"/>
      <sheetName val="Reinversió_Reducció"/>
      <sheetName val="Detall Mesures d'eficiència"/>
      <sheetName val="Mesures d'eficiència"/>
      <sheetName val="Detall Altres propostes"/>
      <sheetName val="Altres propostes"/>
      <sheetName val="Detall Mes. 16 Activitat"/>
      <sheetName val="Mesures 16 Activitat"/>
      <sheetName val="Detall Mes. 16 Eficiència"/>
      <sheetName val="Mesures 16 Eficiència"/>
      <sheetName val="Detall Mes. 16 Transversals"/>
      <sheetName val="Mesures 16 Transversals"/>
      <sheetName val="Dades econòmiques"/>
      <sheetName val="Seg. Social"/>
      <sheetName val="IPC"/>
      <sheetName val="desplegables"/>
      <sheetName val="Estructura de c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etall Mod. Proj. 10"/>
      <sheetName val="Resum Tancament 10"/>
      <sheetName val="Resum Ppto 11"/>
      <sheetName val="Resum Ppto 11 HCB"/>
      <sheetName val="Resum Ppto 11 CGCS"/>
      <sheetName val="R11 F. Mèdic"/>
      <sheetName val="R11 F. Inferm."/>
      <sheetName val="R11 F. Admin."/>
      <sheetName val="R11 F. Serv.Grals."/>
      <sheetName val="Farmacia"/>
      <sheetName val="Mat. sanitari"/>
      <sheetName val="Altres desp. directes"/>
      <sheetName val="Indirectes"/>
      <sheetName val="Ing. no Cats."/>
      <sheetName val="Ing. Catsalut"/>
      <sheetName val="Detall Ajustos Catsalut"/>
      <sheetName val="Ajustos Catsalut"/>
      <sheetName val="Detall Altres ajustos"/>
      <sheetName val="Altres Ajustos"/>
      <sheetName val="Detall Rec. Catsalut"/>
      <sheetName val="Rec. Catsalut"/>
      <sheetName val="Detall Reinversió_Reducció"/>
      <sheetName val="Reinversió_Reducció"/>
      <sheetName val="Detall Mesures eficiència"/>
      <sheetName val="Mesures d'eficiència"/>
      <sheetName val="Detall Altres propostes"/>
      <sheetName val="Altres propostes"/>
      <sheetName val="Detall pla xoc Activitat"/>
      <sheetName val="Pla xoc Activitat"/>
      <sheetName val="Detall pla xoc ME"/>
      <sheetName val="Pla xoc Mes. eficiència"/>
      <sheetName val="Pos temporals 2010"/>
      <sheetName val="Dades econòmiques"/>
      <sheetName val="Seg. Social"/>
      <sheetName val="IPC"/>
      <sheetName val="desplegables"/>
      <sheetName val="Detall NACP"/>
      <sheetName val="NACP"/>
      <sheetName val="Detall Altr. Inic."/>
      <sheetName val="Altres Iniciative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"/>
      <sheetName val="R11 F. Mèdic"/>
      <sheetName val="R11 F. Inferm."/>
      <sheetName val="R11 F. Admin."/>
      <sheetName val="R11 F. Serv.Grals."/>
      <sheetName val="Farmacia"/>
      <sheetName val="Magatz"/>
      <sheetName val="Indirectes"/>
      <sheetName val="Ing. no Cats."/>
      <sheetName val="Detall NNAA"/>
      <sheetName val="Detall Altr. Inic."/>
      <sheetName val="NNAA"/>
      <sheetName val="Altres Iniciatives"/>
      <sheetName val="Mesures d'estalvi"/>
      <sheetName val="Dades econòmiques"/>
      <sheetName val="Seg. Social"/>
      <sheetName val="% topats"/>
      <sheetName val="despleg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"/>
      <sheetName val="R11 F. Mèdic"/>
      <sheetName val="R11 F. Inferm."/>
      <sheetName val="R11 F. Admin."/>
      <sheetName val="R11 F. Serv.Grals."/>
      <sheetName val="Farmacia"/>
      <sheetName val="Magatz"/>
      <sheetName val="Indirectes"/>
      <sheetName val="Ing. no Cats."/>
      <sheetName val="Detall NNAA"/>
      <sheetName val="Detall Altr. Inic."/>
      <sheetName val="NNAA"/>
      <sheetName val="Altres Iniciatives"/>
      <sheetName val="Mesures d'estalvi"/>
      <sheetName val="Dades econòmiques"/>
      <sheetName val="Seg. Social"/>
      <sheetName val="% topats"/>
      <sheetName val="Càlcul Seg.Soc"/>
      <sheetName val="despleg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etall Mod. Proj. 10"/>
      <sheetName val="Resum Tancament 10"/>
      <sheetName val="Resum Ppto 11"/>
      <sheetName val="R11 F. Mèdic"/>
      <sheetName val="R11 F. Inferm."/>
      <sheetName val="R11 F. Admin."/>
      <sheetName val="R11 F. Serv.Grals."/>
      <sheetName val="Farmacia"/>
      <sheetName val="Mat. sanitari"/>
      <sheetName val="Altres desp. directes"/>
      <sheetName val="Indirectes"/>
      <sheetName val="Ing. no Cats."/>
      <sheetName val="Ing. Catsalut"/>
      <sheetName val="Detall Ajustos Catsalut"/>
      <sheetName val="Ajustos Catsalut"/>
      <sheetName val="Detall Altres ajustos"/>
      <sheetName val="Altres Ajustos"/>
      <sheetName val="Detall Rec. Catsalut"/>
      <sheetName val="Rec. Catsalut"/>
      <sheetName val="Detall Reinversió_Reducció"/>
      <sheetName val="Reinversió_Reducció"/>
      <sheetName val="Detall Mesures eficiència"/>
      <sheetName val="Mesures d'eficiència"/>
      <sheetName val="Detall Altres propostes"/>
      <sheetName val="Altres propostes"/>
      <sheetName val="Detall pla xoc Activitat"/>
      <sheetName val="Pla xoc Activitat"/>
      <sheetName val="Detall pla xoc ME"/>
      <sheetName val="Pla xoc Mes. eficiència"/>
      <sheetName val="Pos temporals 2010"/>
      <sheetName val="Dades econòmiques"/>
      <sheetName val="Seg. Social"/>
      <sheetName val="IPC"/>
      <sheetName val="desplegables"/>
      <sheetName val="Detall NACP"/>
      <sheetName val="NACP"/>
      <sheetName val="Detall Altr. Inic."/>
      <sheetName val="Altres Iniciativ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s"/>
      <sheetName val="Quadre ABC-FI"/>
      <sheetName val="detall diferencia"/>
      <sheetName val="detall"/>
      <sheetName val="Quadre ABC-Compres"/>
      <sheetName val="taula"/>
      <sheetName val="Compres Nov13-Oct14"/>
      <sheetName val="incidencia"/>
      <sheetName val="TD 2013"/>
      <sheetName val="Compres 2013"/>
      <sheetName val="TD acum.oct 2014"/>
      <sheetName val="155763"/>
      <sheetName val="Compres gen-oct 2014"/>
      <sheetName val="1.1 Compres TAM nov13-oct14"/>
      <sheetName val="1.2 CompresTAM nov-oct vs 2013 "/>
      <sheetName val="1.3 Compres 2013-2014 % rapels"/>
      <sheetName val="Resum Analisis  agrup1"/>
      <sheetName val="Resum Analisis-agrup 2"/>
      <sheetName val="Resum Analisis-detall agrup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"/>
      <sheetName val="R11 F. Mèdic"/>
      <sheetName val="R11 F. Inferm."/>
      <sheetName val="R11 F. Admin."/>
      <sheetName val="R11 F. Serv.Grals."/>
      <sheetName val="Farmacia"/>
      <sheetName val="Magatz"/>
      <sheetName val="Indirectes"/>
      <sheetName val="Ing. no Cats."/>
      <sheetName val="Detall NNAA"/>
      <sheetName val="Detall Altr. Inic."/>
      <sheetName val="NNAA"/>
      <sheetName val="Altres Iniciatives"/>
      <sheetName val="Mesures d'estalvi"/>
      <sheetName val="Dades econòmiques"/>
      <sheetName val="Seg. Social"/>
      <sheetName val="%topats"/>
      <sheetName val="despleg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 Tancament 09"/>
      <sheetName val="Detall Mod. Proj. 09"/>
      <sheetName val="Resum Ppto 10"/>
      <sheetName val="R11 F. Mèdic"/>
      <sheetName val="R11 F. Inferm."/>
      <sheetName val="R11 F. Admin."/>
      <sheetName val="R11 F. Serv.Grals."/>
      <sheetName val="Farmacia"/>
      <sheetName val="Magatz"/>
      <sheetName val="Indirectes"/>
      <sheetName val="Ing. no Cats."/>
      <sheetName val="Detall Ajustos Catsalut"/>
      <sheetName val="Ajustos Catsalut"/>
      <sheetName val="Detall Altres ajustos"/>
      <sheetName val="Altres Ajustos"/>
      <sheetName val="Detall Mesures estalvi"/>
      <sheetName val="Mesures d'estalvi"/>
      <sheetName val="Detall Rec. Catsalut"/>
      <sheetName val="Rec. Catsalut"/>
      <sheetName val="Detall NACP"/>
      <sheetName val="NACP"/>
      <sheetName val="Detall NNAA"/>
      <sheetName val="NNAA"/>
      <sheetName val="Detall Altr. Inic."/>
      <sheetName val="Altres Iniciatives"/>
      <sheetName val="Pos. temporals 2009"/>
      <sheetName val="Dades econòmiques"/>
      <sheetName val="Seg. Social"/>
      <sheetName val="IPC"/>
      <sheetName val="despleg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 Tancament 14"/>
      <sheetName val="Detall Mod. Proj. 14"/>
      <sheetName val="Modificacions projecció"/>
      <sheetName val="Resum Ppto 15"/>
      <sheetName val="Resum Ppto 15 HCB"/>
      <sheetName val="Resum Ppto 15 CGCS"/>
      <sheetName val="Pla Activitat 15"/>
      <sheetName val="R11 F. Mèdic"/>
      <sheetName val="R11 F. Inferm."/>
      <sheetName val="R11 F. Admin."/>
      <sheetName val="R11 F. Serv.Grals."/>
      <sheetName val="Farmacia"/>
      <sheetName val="Mat. sanitari"/>
      <sheetName val="Altres desp. directes"/>
      <sheetName val="Indirectes"/>
      <sheetName val="Ing. no Cats."/>
      <sheetName val="Ing. Catsalut"/>
      <sheetName val="Detall Rec. Mes.14 Activ"/>
      <sheetName val="Recurrència Mes. 14 Activitat"/>
      <sheetName val="Detall Rec. Mes.14 Eficiència"/>
      <sheetName val="Recurrència Mes. 14 Eficiència"/>
      <sheetName val="Detall Rec. Mes.14 Transversals"/>
      <sheetName val="Recurrència Mes.14 Transversals"/>
      <sheetName val="Detall Ajustos Catsalut"/>
      <sheetName val="Ajustos Catsalut"/>
      <sheetName val="Detall Altres ajustos"/>
      <sheetName val="Altres Ajustos"/>
      <sheetName val="Detall Ajustos excepcionals"/>
      <sheetName val="Ajustos excepcionals"/>
      <sheetName val="Detall Rec. Catsalut"/>
      <sheetName val="Rec. Catsalut"/>
      <sheetName val="Detall Reinversió_Reducció"/>
      <sheetName val="Reinversió_Reducció"/>
      <sheetName val="Detall Mesures d'eficiència"/>
      <sheetName val="Mesures d'eficiència"/>
      <sheetName val="Detall Altres propostes"/>
      <sheetName val="Altres propostes"/>
      <sheetName val="Detall Mes. 15 Activitat"/>
      <sheetName val="Mesures 15 Activitat"/>
      <sheetName val="Detall Mes. 15 Eficiència"/>
      <sheetName val="Mesures 15 Eficiència"/>
      <sheetName val="Detall Mes. 15 Transversals"/>
      <sheetName val="Mesures 15 Transversals"/>
      <sheetName val="Dades econòmiques"/>
      <sheetName val="Seg. Social"/>
      <sheetName val="IPC"/>
      <sheetName val="despleg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 Projecció 09"/>
      <sheetName val="Detall Mod. Proj. 09"/>
      <sheetName val="Resum Ppto 10"/>
      <sheetName val="R11 F. Mèdic"/>
      <sheetName val="R11 F. Inferm."/>
      <sheetName val="R11 F. Admin."/>
      <sheetName val="R11 F. Serv.Grals."/>
      <sheetName val="Farmacia"/>
      <sheetName val="Magatz"/>
      <sheetName val="Indirectes"/>
      <sheetName val="Ing. no Cats."/>
      <sheetName val="Detall Ajustos Catsalut"/>
      <sheetName val="Ajustos Catsalut"/>
      <sheetName val="Detall Altres ajustos"/>
      <sheetName val="Altres Ajustos"/>
      <sheetName val="Detall Mesures estalvi"/>
      <sheetName val="Mesures d'estalvi"/>
      <sheetName val="Detall Rec. Catsalut"/>
      <sheetName val="Rec. Catsalut"/>
      <sheetName val="Detall NACP"/>
      <sheetName val="NACP"/>
      <sheetName val="Detall NNAA"/>
      <sheetName val="NNAA"/>
      <sheetName val="Detall Altr. Inic."/>
      <sheetName val="Altres Iniciatives"/>
      <sheetName val="Pos temporals 2009"/>
      <sheetName val="Dades econòmiques"/>
      <sheetName val="Seg. Social"/>
      <sheetName val="IPC"/>
      <sheetName val="desplegables"/>
      <sheetName val="Resum Tancament 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 Projecció 09"/>
      <sheetName val="Detall Mod. Proj. 09"/>
      <sheetName val="Resum Ppto 10"/>
      <sheetName val="R11 F. Mèdic"/>
      <sheetName val="R11 F. Inferm."/>
      <sheetName val="R11 F. Admin."/>
      <sheetName val="R11 F. Serv.Grals."/>
      <sheetName val="Farmacia"/>
      <sheetName val="Magatz"/>
      <sheetName val="Indirectes"/>
      <sheetName val="Ing. no Cats."/>
      <sheetName val="Detall Ajustos Catsalut"/>
      <sheetName val="Ajustos Catsalut"/>
      <sheetName val="Detall Altres ajustos"/>
      <sheetName val="Altres Ajustos"/>
      <sheetName val="Detall Mesures estalvi"/>
      <sheetName val="Mesures d'estalvi"/>
      <sheetName val="Detall Rec. Catsalut"/>
      <sheetName val="Rec. Catsalut"/>
      <sheetName val="Detall NACP"/>
      <sheetName val="NACP"/>
      <sheetName val="Detall NNAA"/>
      <sheetName val="NNAA"/>
      <sheetName val="Detall Altr. Inic."/>
      <sheetName val="Altres Iniciatives"/>
      <sheetName val="Pos temporals 2009"/>
      <sheetName val="Dades econòmiques"/>
      <sheetName val="Seg. Social"/>
      <sheetName val="IPC"/>
      <sheetName val="desplegables"/>
      <sheetName val="Resum Tancament 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 Tancament 15"/>
      <sheetName val="Detall Mod. Proj. 15"/>
      <sheetName val="Modificacions projecció"/>
      <sheetName val="Resum Ppto 16"/>
      <sheetName val="Resum Ppto 16 HCB"/>
      <sheetName val="Resum Ppto 16 CGCS"/>
      <sheetName val="Pla Activitat 16"/>
      <sheetName val="Personal"/>
      <sheetName val="Farmacia"/>
      <sheetName val="Mat. sanitari"/>
      <sheetName val="Altres desp. directes"/>
      <sheetName val="Indirectes"/>
      <sheetName val="Ing. no Cats."/>
      <sheetName val="Ing. Catsalut"/>
      <sheetName val="Detall Rec. Mes.15 Activ"/>
      <sheetName val="Recurrència Mes. 15 Activitat"/>
      <sheetName val="Detall Rec. Mes.15 Eficiència"/>
      <sheetName val="Recurrència Mes. 15 Eficiència"/>
      <sheetName val="Detall Rec. Mes.15 Transversals"/>
      <sheetName val="Recurrència Mes.15 Transversals"/>
      <sheetName val="Detall Rec. i Ajustos Catsalut"/>
      <sheetName val="Rec i Ajustos Catsalut"/>
      <sheetName val="Detall Altres ajustos"/>
      <sheetName val="Altres Ajustos"/>
      <sheetName val="Detall Ajustos excepcionals"/>
      <sheetName val="Ajustos excepcionals"/>
      <sheetName val="Detall Rec. Catsalut"/>
      <sheetName val="Rec. Catsalut"/>
      <sheetName val="Detall Reinversió_Reducció"/>
      <sheetName val="Reinversió_Reducció"/>
      <sheetName val="Detall Mesures d'eficiència"/>
      <sheetName val="Mesures d'eficiència"/>
      <sheetName val="Detall Altres propostes"/>
      <sheetName val="Altres propostes"/>
      <sheetName val="Detall Mes. 16 Activitat"/>
      <sheetName val="Mesures 16 Activitat"/>
      <sheetName val="Detall Mes. 16 Eficiència"/>
      <sheetName val="Mesures 16 Eficiència"/>
      <sheetName val="Detall Mes. 16 Transversals"/>
      <sheetName val="Mesures 16 Transversals"/>
      <sheetName val="ANNEX"/>
      <sheetName val="A. NOVA NAPP1"/>
      <sheetName val="A. NOVA NAPP2"/>
      <sheetName val="A. NOVA NAPP3"/>
      <sheetName val="Dades econòmiques"/>
      <sheetName val="Seg. Social"/>
      <sheetName val="IPC"/>
      <sheetName val="desplegables"/>
      <sheetName val="Estructura de c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ent entrega"/>
      <sheetName val="TD Global"/>
      <sheetName val="P.Equipament"/>
      <sheetName val="HS Anterior"/>
      <sheetName val="INSTITUTS"/>
      <sheetName val="FAMILIES"/>
      <sheetName val="FAMILIES (PRIORITAT 2019)"/>
      <sheetName val="FAMILIES (PRIORITAT 2020)"/>
      <sheetName val="FAMILIES (PRIORITAT 2021)"/>
      <sheetName val="Codificació família"/>
      <sheetName val="TD codificaci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"/>
      <sheetName val="R11 F. Mèdic"/>
      <sheetName val="R11 F. Inferm."/>
      <sheetName val="R11 F. Admin."/>
      <sheetName val="R11 F. Serv.Grals."/>
      <sheetName val="Farmacia"/>
      <sheetName val="Magatz"/>
      <sheetName val="Indirectes"/>
      <sheetName val="Ing. no Cats."/>
      <sheetName val="Detall NNAA"/>
      <sheetName val="Detall Altr. Inic."/>
      <sheetName val="NNAA"/>
      <sheetName val="Altres Iniciatives"/>
      <sheetName val="Mesures d'estalvi"/>
      <sheetName val="Dades econòmiques"/>
      <sheetName val="Seg. Social"/>
      <sheetName val="% topats"/>
      <sheetName val="Càlcul Seg.Soc"/>
      <sheetName val="despleg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A PPTO"/>
      <sheetName val="Dades econòmiques"/>
      <sheetName val="Seg. Social"/>
      <sheetName val="Conveni metges"/>
      <sheetName val="Conveni gral"/>
      <sheetName val="Despleg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 H1M TOTAL"/>
    </sheetNames>
    <sheetDataSet>
      <sheetData sheetId="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"/>
      <sheetName val="R11 F. Mèdic"/>
      <sheetName val="R11 F. Inferm."/>
      <sheetName val="R11 F. Admin."/>
      <sheetName val="R11 F. Serv.Grals."/>
      <sheetName val="Farmacia"/>
      <sheetName val="Magatz"/>
      <sheetName val="Indirectes"/>
      <sheetName val="Ing. no Cats."/>
      <sheetName val="Detall NNAA"/>
      <sheetName val="Detall Altr. Inic."/>
      <sheetName val="NNAA"/>
      <sheetName val="Altres Iniciatives"/>
      <sheetName val="Mesures d'estalvi"/>
      <sheetName val="Dades econòmiques"/>
      <sheetName val="Seg. Social"/>
      <sheetName val="% topats"/>
      <sheetName val="despleg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"/>
      <sheetName val="R11 F. Mèdic"/>
      <sheetName val="R11 F. Inferm."/>
      <sheetName val="R11 F. Admin."/>
      <sheetName val="R11 F. Serv.Grals."/>
      <sheetName val="Farmacia"/>
      <sheetName val="Magatz"/>
      <sheetName val="Indirectes"/>
      <sheetName val="Ing. no Cats."/>
      <sheetName val="Detall NNAA"/>
      <sheetName val="Detall Altr. Inic."/>
      <sheetName val="NNAA"/>
      <sheetName val="Altres Iniciatives"/>
      <sheetName val="Mesures d'estalvi"/>
      <sheetName val="Dades econòmiques"/>
      <sheetName val="Seg. Social"/>
      <sheetName val="% topats"/>
      <sheetName val="Càlcul Seg.Soc"/>
      <sheetName val="despleg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 Tancament 09"/>
      <sheetName val="Detall Mod. Proj. 09"/>
      <sheetName val="Resum Ppto 10"/>
      <sheetName val="R11 F. Mèdic"/>
      <sheetName val="R11 F. Inferm."/>
      <sheetName val="R11 F. Admin."/>
      <sheetName val="R11 F. Serv.Grals."/>
      <sheetName val="Farmacia"/>
      <sheetName val="Magatz"/>
      <sheetName val="Indirectes"/>
      <sheetName val="Ing. no Cats."/>
      <sheetName val="Detall Ajustos Catsalut"/>
      <sheetName val="Ajustos Catsalut"/>
      <sheetName val="Detall Altres ajustos"/>
      <sheetName val="Altres Ajustos"/>
      <sheetName val="Detall Mesures estalvi"/>
      <sheetName val="Mesures d'estalvi"/>
      <sheetName val="Detall Rec. Catsalut"/>
      <sheetName val="Rec. Catsalut"/>
      <sheetName val="Detall NACP"/>
      <sheetName val="NACP"/>
      <sheetName val="Detall NNAA"/>
      <sheetName val="NNAA"/>
      <sheetName val="Detall Altr. Inic."/>
      <sheetName val="Altres Iniciatives"/>
      <sheetName val="Pos temporals 2009"/>
      <sheetName val="Dades econòmiques"/>
      <sheetName val="Seg. Social"/>
      <sheetName val="IPC"/>
      <sheetName val="desplegables"/>
      <sheetName val="Resum Projecció 09"/>
      <sheetName val="H6 Ppto10"/>
      <sheetName val="NAP"/>
      <sheetName val="NP"/>
      <sheetName val="N"/>
      <sheetName val="Nn"/>
      <sheetName val="Nna"/>
      <sheetName val="NNN"/>
      <sheetName val="NNNA"/>
      <sheetName val="NNNAA"/>
      <sheetName val="NNACP"/>
      <sheetName val="NNAACP"/>
      <sheetName val="NNAAAC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 Tancament 14"/>
      <sheetName val="Detall Mod. Proj. 14"/>
      <sheetName val="Modificacions projecció"/>
      <sheetName val="Resum Ppto 15"/>
      <sheetName val="Resum Ppto 15 HCB"/>
      <sheetName val="Resum Ppto 15 CGCS"/>
      <sheetName val="R11 F. Mèdic"/>
      <sheetName val="R11 F. Inferm."/>
      <sheetName val="R11 F. Admin."/>
      <sheetName val="R11 F. Serv.Grals."/>
      <sheetName val="Farmacia"/>
      <sheetName val="Mat. sanitari"/>
      <sheetName val="Altres desp. directes"/>
      <sheetName val="Indirectes"/>
      <sheetName val="Ing. no Cats."/>
      <sheetName val="Ing. Catsalut"/>
      <sheetName val="Detall Rec. Mes.14 Activ"/>
      <sheetName val="Recurrència Mes. 14 Activitat"/>
      <sheetName val="Detall Rec. Mes.14 Eficiència"/>
      <sheetName val="Recurrència Mes. 14 Eficiència"/>
      <sheetName val="Detall Rec. Mes.14 Transversals"/>
      <sheetName val="Recurrència Mes.14 Transversals"/>
      <sheetName val="Detall Ajustos Catsalut"/>
      <sheetName val="Ajustos Catsalut"/>
      <sheetName val="Detall Altres ajustos"/>
      <sheetName val="Altres Ajustos"/>
      <sheetName val="Detall Ajustos excepcionals"/>
      <sheetName val="Ajustos excepcionals"/>
      <sheetName val="Detall Rec. Catsalut"/>
      <sheetName val="Rec. Catsalut"/>
      <sheetName val="Detall Reinversió_Reducció"/>
      <sheetName val="Reinversió_Reducció"/>
      <sheetName val="Detall Mesures d'eficiència"/>
      <sheetName val="Mesures d'eficiència"/>
      <sheetName val="Detall Altres propostes"/>
      <sheetName val="Altres propostes"/>
      <sheetName val="Detall Mes. 15 Activitat"/>
      <sheetName val="Mesures 15 Activitat"/>
      <sheetName val="Detall Mes. 15 Eficiència"/>
      <sheetName val="Mesures 15 Eficiència"/>
      <sheetName val="Detall Mes. 15 Transversals"/>
      <sheetName val="Mesures 15 Transversals"/>
      <sheetName val="Dades econòmiques"/>
      <sheetName val="Seg. Social"/>
      <sheetName val="IPC"/>
      <sheetName val="desplegables"/>
      <sheetName val="F. ambulatòria"/>
      <sheetName val="Detall Rec. Mes.13 Activ"/>
      <sheetName val="Recurrència Mes. 13 Activitat"/>
      <sheetName val="Detall Rec. Mes.13 Eficiència"/>
      <sheetName val="Recurrència Mes. 13 Eficiència"/>
      <sheetName val="Detall Rec. Mes.13 Transversals"/>
      <sheetName val="Recurrència Mes.13 Transversals"/>
      <sheetName val="Detall Mes. 14 Activitat"/>
      <sheetName val="Mesures 14 Activitat"/>
      <sheetName val="Detall Mes. 14 Eficiència"/>
      <sheetName val="Mesures 14 Eficiència"/>
      <sheetName val="Detall Mes. 14 Transversals"/>
      <sheetName val="Mesures 14 Transvers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query"/>
      <sheetName val="Recex"/>
      <sheetName val="Hoja2"/>
      <sheetName val="Hoja3"/>
      <sheetName val="llenç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os excep 2012 inicials"/>
      <sheetName val="Ajustos excepcionals 2012 OK"/>
      <sheetName val="Ajustos a considerar dins"/>
      <sheetName val="Rappels"/>
      <sheetName val="Modificacions Recurrència P.Xoc"/>
      <sheetName val="Resum Ajustos Exc_Modif Pla Xoc"/>
      <sheetName val="Agrupació CP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 Tancament 15"/>
      <sheetName val="Detall Mod. Proj. 15"/>
      <sheetName val="Modificacions projecció"/>
      <sheetName val="Resum Ppto 16"/>
      <sheetName val="Resum Ppto 16 HCB"/>
      <sheetName val="Resum Ppto 16 CGCS"/>
      <sheetName val="Pla Activitat 16"/>
      <sheetName val="Personal"/>
      <sheetName val="Farmacia"/>
      <sheetName val="Mat. sanitari"/>
      <sheetName val="Altres desp. directes"/>
      <sheetName val="Indirectes"/>
      <sheetName val="Ing. no Cats."/>
      <sheetName val="Ing. Catsalut"/>
      <sheetName val="Detall Rec. Mes.15 Activ"/>
      <sheetName val="Recurrència Mes. 15 Activitat"/>
      <sheetName val="Detall Rec. Mes.15 Eficiència"/>
      <sheetName val="Recurrència Mes. 15 Eficiència"/>
      <sheetName val="Detall Rec. Mes.15 Transversals"/>
      <sheetName val="Recurrència Mes.15 Transversals"/>
      <sheetName val="Detall Rec. i Ajustos Catsalut"/>
      <sheetName val="Rec i Ajustos Catsalut"/>
      <sheetName val="Detall Altres ajustos"/>
      <sheetName val="Altres Ajustos"/>
      <sheetName val="Detall Ajustos excepcionals"/>
      <sheetName val="Ajustos excepcionals"/>
      <sheetName val="Detall Rec. Catsalut"/>
      <sheetName val="Rec. Catsalut"/>
      <sheetName val="Detall Reinversió_Reducció"/>
      <sheetName val="Reinversió_Reducció"/>
      <sheetName val="Detall Mesures d'eficiència"/>
      <sheetName val="Mesures d'eficiència"/>
      <sheetName val="Detall Altres propostes"/>
      <sheetName val="Altres propostes"/>
      <sheetName val="Detall Mes. 16 Activitat"/>
      <sheetName val="Mesures 16 Activitat"/>
      <sheetName val="Detall Mes. 16 Eficiència"/>
      <sheetName val="Mesures 16 Eficiència"/>
      <sheetName val="Detall Mes. 16 Transversals"/>
      <sheetName val="Mesures 16 Transversals"/>
      <sheetName val="Dades econòmiques"/>
      <sheetName val="Seg. Social"/>
      <sheetName val="IPC"/>
      <sheetName val="desplegables"/>
      <sheetName val="Estructura de c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 Projecció 09"/>
      <sheetName val="Detall Mod. Proj. 09"/>
      <sheetName val="Resum Ppto 10"/>
      <sheetName val="R11 F. Mèdic"/>
      <sheetName val="R11 F. Inferm."/>
      <sheetName val="R11 F. Admin."/>
      <sheetName val="R11 F. Serv.Grals."/>
      <sheetName val="Farmacia"/>
      <sheetName val="Magatz"/>
      <sheetName val="Indirectes"/>
      <sheetName val="Ing. no Cats."/>
      <sheetName val="Detall Ajustos Catsalut"/>
      <sheetName val="Ajustos Catsalut"/>
      <sheetName val="Detall Altres ajustos"/>
      <sheetName val="Altres Ajustos"/>
      <sheetName val="Detall Mesures estalvi"/>
      <sheetName val="Mesures d'estalvi"/>
      <sheetName val="Detall Rec. Catsalut"/>
      <sheetName val="Rec. Catsalut"/>
      <sheetName val="Detall NACP"/>
      <sheetName val="NACP"/>
      <sheetName val="Detall NNAA"/>
      <sheetName val="NNAA"/>
      <sheetName val="Detall Altr. Inic."/>
      <sheetName val="Altres Iniciatives"/>
      <sheetName val="Pos temporals 2009"/>
      <sheetName val="Dades econòmiques"/>
      <sheetName val="Seg. Social"/>
      <sheetName val="IPC"/>
      <sheetName val="desplegables"/>
      <sheetName val="Resum Tancament 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 Tancament 14"/>
      <sheetName val="Detall Mod. Proj. 14"/>
      <sheetName val="Modificacions projecció"/>
      <sheetName val="Resum Ppto 15"/>
      <sheetName val="Resum Ppto 15 HCB"/>
      <sheetName val="Resum Ppto 15 CGCS"/>
      <sheetName val="R11 F. Mèdic"/>
      <sheetName val="R11 F. Inferm."/>
      <sheetName val="R11 F. Admin."/>
      <sheetName val="R11 F. Serv.Grals."/>
      <sheetName val="Farmacia"/>
      <sheetName val="Mat. sanitari"/>
      <sheetName val="Altres desp. directes"/>
      <sheetName val="Indirectes"/>
      <sheetName val="Ing. no Cats."/>
      <sheetName val="Ing. Catsalut"/>
      <sheetName val="Detall Rec. Mes.14 Activ"/>
      <sheetName val="Recurrència Mes. 14 Activitat"/>
      <sheetName val="Detall Rec. Mes.14 Eficiència"/>
      <sheetName val="Recurrència Mes. 14 Eficiència"/>
      <sheetName val="Detall Rec. Mes.14 Transversals"/>
      <sheetName val="Recurrència Mes.14 Transversals"/>
      <sheetName val="Detall Ajustos Catsalut"/>
      <sheetName val="Ajustos Catsalut"/>
      <sheetName val="Detall Altres ajustos"/>
      <sheetName val="Altres Ajustos"/>
      <sheetName val="Detall Ajustos excepcionals"/>
      <sheetName val="Ajustos excepcionals"/>
      <sheetName val="Detall Rec. Catsalut"/>
      <sheetName val="Rec. Catsalut"/>
      <sheetName val="Detall Reinversió_Reducció"/>
      <sheetName val="Reinversió_Reducció"/>
      <sheetName val="Detall Mesures d'eficiència"/>
      <sheetName val="Mesures d'eficiència"/>
      <sheetName val="Detall Altres propostes"/>
      <sheetName val="Altres propostes"/>
      <sheetName val="Detall Mes. 15 Activitat"/>
      <sheetName val="Mesures 15 Activitat"/>
      <sheetName val="Detall Mes. 15 Eficiència"/>
      <sheetName val="Mesures 15 Eficiència"/>
      <sheetName val="Detall Mes. 15 Transversals"/>
      <sheetName val="Mesures 15 Transversals"/>
      <sheetName val="Dades econòmiques"/>
      <sheetName val="Seg. Social"/>
      <sheetName val="IPC"/>
      <sheetName val="despleg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Inv_T1"/>
      <sheetName val="Inv_T2"/>
      <sheetName val="Ajus"/>
      <sheetName val="TOTAL"/>
      <sheetName val="RESUM"/>
      <sheetName val="RES AGREG+CON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VARIABLES OPERATIVAS"/>
      <sheetName val="Asistencia Sanitaria"/>
      <sheetName val="Transporte"/>
      <sheetName val="Agua y Saneamiento"/>
      <sheetName val="Residuos Industriales"/>
      <sheetName val="Mantenimiento"/>
      <sheetName val="Residuos Líquidos"/>
      <sheetName val="Residuos Urbanos"/>
      <sheetName val="Ingenierías"/>
      <sheetName val="Centros At. Multimedia"/>
      <sheetName val="Construcción"/>
      <sheetName val="Servicios Automo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 PO 31.07"/>
      <sheetName val="PO hcb_llistat BO"/>
      <sheetName val="PO cgcs_llistat BO"/>
    </sheetNames>
    <sheetDataSet>
      <sheetData sheetId="0">
        <row r="8">
          <cell r="B8">
            <v>7470000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INS PPTO"/>
      <sheetName val="Resum"/>
      <sheetName val="Altres despeses"/>
      <sheetName val="Dades econòmiques"/>
      <sheetName val="Seg. Social"/>
      <sheetName val="desplegables"/>
      <sheetName val="IPC"/>
      <sheetName val="Macros"/>
      <sheetName val=" Estalvi x institut"/>
      <sheetName val="Resum x institut"/>
      <sheetName val="altres desp ajust+estalvi VINC"/>
      <sheetName val="Ajust i estalvi x compte VINC"/>
      <sheetName val="Format inform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"/>
      <sheetName val="R11 F. Mèdic"/>
      <sheetName val="R11 F. Inferm."/>
      <sheetName val="R11 F. Admin."/>
      <sheetName val="R11 F. Serv.Grals."/>
      <sheetName val="Farmacia"/>
      <sheetName val="Magatz"/>
      <sheetName val="Indirectes"/>
      <sheetName val="Ing. no Cats."/>
      <sheetName val="Detall NNAA"/>
      <sheetName val="Detall Altr. Inic."/>
      <sheetName val="NNAA"/>
      <sheetName val="Altres Iniciatives"/>
      <sheetName val="Mesures d'estalvi"/>
      <sheetName val="Dades econòmiques"/>
      <sheetName val="Seg. Social"/>
      <sheetName val="% topats"/>
      <sheetName val="despleg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 Tancament 09"/>
      <sheetName val="Detall Mod. Proj. 09"/>
      <sheetName val="Resum Ppto 10"/>
      <sheetName val="R11 F. Mèdic"/>
      <sheetName val="R11 F. Inferm."/>
      <sheetName val="R11 F. Admin."/>
      <sheetName val="R11 F. Serv.Grals."/>
      <sheetName val="Farmacia"/>
      <sheetName val="Magatz"/>
      <sheetName val="Indirectes"/>
      <sheetName val="Ing. no Cats."/>
      <sheetName val="Detall Ajustos Catsalut"/>
      <sheetName val="Ajustos Catsalut"/>
      <sheetName val="Detall Altres ajustos"/>
      <sheetName val="Altres Ajustos"/>
      <sheetName val="Detall Mesures estalvi"/>
      <sheetName val="Mesures d'estalvi"/>
      <sheetName val="Detall Rec. Catsalut"/>
      <sheetName val="Rec. Catsalut"/>
      <sheetName val="Detall NACP"/>
      <sheetName val="NACP"/>
      <sheetName val="Detall NNAA"/>
      <sheetName val="NNAA"/>
      <sheetName val="Detall Altr. Inic."/>
      <sheetName val="Altres Iniciatives"/>
      <sheetName val="Pos. temporals 2009"/>
      <sheetName val="Dades econòmiques"/>
      <sheetName val="Seg. Social"/>
      <sheetName val="IPC"/>
      <sheetName val="despleg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 Tancament 15"/>
      <sheetName val="Detall Mod. Proj. 15"/>
      <sheetName val="Modificacions projecció"/>
      <sheetName val="Resum Ppto 16"/>
      <sheetName val="Resum Ppto 16 HCB"/>
      <sheetName val="Resum Ppto 16 CGCS"/>
      <sheetName val="Pla Activitat 16"/>
      <sheetName val="Personal"/>
      <sheetName val="Farmacia"/>
      <sheetName val="Mat. sanitari"/>
      <sheetName val="Altres desp. directes"/>
      <sheetName val="Indirectes"/>
      <sheetName val="Ing. no Cats."/>
      <sheetName val="Ing. Catsalut"/>
      <sheetName val="Detall Rec. Mes.15 Activ"/>
      <sheetName val="Recurrència Mes. 15 Activitat"/>
      <sheetName val="Detall Rec. Mes.15 Eficiència"/>
      <sheetName val="Recurrència Mes. 15 Eficiència"/>
      <sheetName val="Detall Rec. Mes.15 Transversals"/>
      <sheetName val="Recurrència Mes.15 Transversals"/>
      <sheetName val="Detall Rec. i Ajustos Catsalut"/>
      <sheetName val="Rec i Ajustos Catsalut"/>
      <sheetName val="Detall Altres ajustos"/>
      <sheetName val="Altres Ajustos"/>
      <sheetName val="Detall Ajustos excepcionals"/>
      <sheetName val="Ajustos excepcionals"/>
      <sheetName val="Detall Rec. Catsalut"/>
      <sheetName val="Rec. Catsalut"/>
      <sheetName val="Detall Reinversió_Reducció"/>
      <sheetName val="Reinversió_Reducció"/>
      <sheetName val="Detall Mesures d'eficiència"/>
      <sheetName val="Mesures d'eficiència"/>
      <sheetName val="Detall Altres propostes"/>
      <sheetName val="Detall Mes. 16 Activitat"/>
      <sheetName val="Mesures 16 Activitat"/>
      <sheetName val="Detall Mes. 16 Eficiència"/>
      <sheetName val="Mesures 16 Eficiència"/>
      <sheetName val="Detall Mes. 16 Transversals"/>
      <sheetName val="Mesures 16 Transversals"/>
      <sheetName val="Altres propostes"/>
      <sheetName val="Dades econòmiques"/>
      <sheetName val="Seg. Social"/>
      <sheetName val="IPC"/>
      <sheetName val="desplegables"/>
      <sheetName val="Estructura de ce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/>
      <sheetData sheetId="4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 Pla xoc Activitat"/>
      <sheetName val="Resum Pla xoc M.Efic."/>
      <sheetName val="4. Detall Pla xoc P. Mèdic"/>
      <sheetName val="Resum x agrupació CO"/>
      <sheetName val="3. Resum P.Xoc P.Mèdic"/>
      <sheetName val="Agrupació Personal Mèdic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opLeftCell="C1" workbookViewId="0">
      <selection activeCell="L12" sqref="L12"/>
    </sheetView>
  </sheetViews>
  <sheetFormatPr baseColWidth="10" defaultColWidth="11.42578125" defaultRowHeight="15" x14ac:dyDescent="0.3"/>
  <cols>
    <col min="1" max="2" width="11.42578125" style="111"/>
    <col min="3" max="3" width="20.28515625" style="111" customWidth="1"/>
    <col min="4" max="4" width="16.140625" style="111" customWidth="1"/>
    <col min="5" max="5" width="13.7109375" style="111" customWidth="1"/>
    <col min="6" max="6" width="8.85546875" style="111" customWidth="1"/>
    <col min="7" max="7" width="11.42578125" style="111"/>
    <col min="8" max="9" width="14.7109375" style="111" bestFit="1" customWidth="1"/>
    <col min="10" max="10" width="13.5703125" style="111" bestFit="1" customWidth="1"/>
    <col min="11" max="11" width="8.140625" style="112" customWidth="1"/>
    <col min="12" max="13" width="13.5703125" style="111" bestFit="1" customWidth="1"/>
    <col min="14" max="14" width="20.28515625" style="111" customWidth="1"/>
    <col min="15" max="16384" width="11.42578125" style="111"/>
  </cols>
  <sheetData>
    <row r="1" spans="1:14" ht="18.75" x14ac:dyDescent="0.3">
      <c r="A1" s="109" t="s">
        <v>0</v>
      </c>
      <c r="B1" s="110"/>
    </row>
    <row r="3" spans="1:14" ht="18" x14ac:dyDescent="0.35">
      <c r="A3" s="113" t="s">
        <v>1</v>
      </c>
    </row>
    <row r="4" spans="1:14" x14ac:dyDescent="0.3">
      <c r="A4" s="114"/>
    </row>
    <row r="5" spans="1:14" s="114" customFormat="1" ht="60" x14ac:dyDescent="0.3">
      <c r="A5" s="115" t="s">
        <v>2</v>
      </c>
      <c r="B5" s="115" t="s">
        <v>3</v>
      </c>
      <c r="C5" s="115" t="s">
        <v>4</v>
      </c>
      <c r="D5" s="115" t="s">
        <v>5</v>
      </c>
      <c r="E5" s="116" t="s">
        <v>6</v>
      </c>
      <c r="F5" s="116" t="s">
        <v>7</v>
      </c>
      <c r="G5" s="116" t="s">
        <v>8</v>
      </c>
      <c r="H5" s="116" t="s">
        <v>9</v>
      </c>
      <c r="I5" s="116" t="s">
        <v>10</v>
      </c>
      <c r="J5" s="115" t="s">
        <v>11</v>
      </c>
      <c r="K5" s="116" t="s">
        <v>12</v>
      </c>
      <c r="L5" s="117">
        <v>0.7</v>
      </c>
      <c r="M5" s="118">
        <v>0.3</v>
      </c>
      <c r="N5" s="119" t="s">
        <v>13</v>
      </c>
    </row>
    <row r="6" spans="1:14" x14ac:dyDescent="0.3">
      <c r="A6" s="120" t="s">
        <v>14</v>
      </c>
      <c r="B6" s="120" t="s">
        <v>15</v>
      </c>
      <c r="C6" s="120" t="s">
        <v>16</v>
      </c>
      <c r="D6" s="120" t="s">
        <v>17</v>
      </c>
      <c r="E6" s="120" t="s">
        <v>18</v>
      </c>
      <c r="F6" s="120" t="s">
        <v>19</v>
      </c>
      <c r="G6" s="121" t="s">
        <v>20</v>
      </c>
      <c r="H6" s="122">
        <f>180000*1.21</f>
        <v>217800</v>
      </c>
      <c r="I6" s="122">
        <v>169378.9</v>
      </c>
      <c r="J6" s="122">
        <f t="shared" ref="J6:J11" si="0">+I6-H6</f>
        <v>-48421.100000000006</v>
      </c>
      <c r="K6" s="123">
        <f>+J6/H6</f>
        <v>-0.2223191000918274</v>
      </c>
      <c r="L6" s="122">
        <f>+J6*0.7</f>
        <v>-33894.770000000004</v>
      </c>
      <c r="M6" s="122">
        <f>+J6-L6</f>
        <v>-14526.330000000002</v>
      </c>
      <c r="N6" s="120"/>
    </row>
    <row r="7" spans="1:14" x14ac:dyDescent="0.3">
      <c r="A7" s="120" t="s">
        <v>21</v>
      </c>
      <c r="B7" s="120" t="s">
        <v>15</v>
      </c>
      <c r="C7" s="120" t="s">
        <v>22</v>
      </c>
      <c r="D7" s="120" t="s">
        <v>17</v>
      </c>
      <c r="E7" s="120" t="s">
        <v>18</v>
      </c>
      <c r="F7" s="120" t="s">
        <v>19</v>
      </c>
      <c r="G7" s="124">
        <v>42948</v>
      </c>
      <c r="H7" s="122">
        <v>59628.800000000003</v>
      </c>
      <c r="I7" s="122">
        <f>37400*1.21</f>
        <v>45254</v>
      </c>
      <c r="J7" s="122">
        <f t="shared" si="0"/>
        <v>-14374.800000000003</v>
      </c>
      <c r="K7" s="123">
        <f>+J7/H7</f>
        <v>-0.2410714285714286</v>
      </c>
      <c r="L7" s="122"/>
      <c r="M7" s="122"/>
      <c r="N7" s="125" t="s">
        <v>23</v>
      </c>
    </row>
    <row r="8" spans="1:14" x14ac:dyDescent="0.3">
      <c r="A8" s="120" t="s">
        <v>24</v>
      </c>
      <c r="B8" s="120" t="s">
        <v>15</v>
      </c>
      <c r="C8" s="120" t="s">
        <v>25</v>
      </c>
      <c r="D8" s="120" t="s">
        <v>17</v>
      </c>
      <c r="E8" s="120" t="s">
        <v>18</v>
      </c>
      <c r="F8" s="120" t="s">
        <v>19</v>
      </c>
      <c r="G8" s="121" t="s">
        <v>20</v>
      </c>
      <c r="H8" s="122">
        <f>158000*1.21</f>
        <v>191180</v>
      </c>
      <c r="I8" s="122">
        <v>165334.39999999999</v>
      </c>
      <c r="J8" s="122">
        <f t="shared" si="0"/>
        <v>-25845.600000000006</v>
      </c>
      <c r="K8" s="123">
        <f>+J8/H8</f>
        <v>-0.13518987341772154</v>
      </c>
      <c r="L8" s="122">
        <f>+J8*0.7</f>
        <v>-18091.920000000002</v>
      </c>
      <c r="M8" s="122">
        <f>+J8-L8</f>
        <v>-7753.6800000000039</v>
      </c>
      <c r="N8" s="120"/>
    </row>
    <row r="9" spans="1:14" x14ac:dyDescent="0.3">
      <c r="A9" s="120"/>
      <c r="B9" s="120"/>
      <c r="C9" s="120"/>
      <c r="D9" s="120"/>
      <c r="E9" s="120"/>
      <c r="F9" s="120"/>
      <c r="G9" s="121"/>
      <c r="H9" s="122"/>
      <c r="I9" s="122"/>
      <c r="J9" s="122">
        <f t="shared" si="0"/>
        <v>0</v>
      </c>
      <c r="K9" s="123"/>
      <c r="L9" s="122">
        <f>+J9*0.7</f>
        <v>0</v>
      </c>
      <c r="M9" s="122">
        <f>+J9-L9</f>
        <v>0</v>
      </c>
      <c r="N9" s="120"/>
    </row>
    <row r="10" spans="1:14" x14ac:dyDescent="0.3">
      <c r="A10" s="120"/>
      <c r="B10" s="120"/>
      <c r="C10" s="120"/>
      <c r="D10" s="120"/>
      <c r="E10" s="120"/>
      <c r="F10" s="120"/>
      <c r="G10" s="121"/>
      <c r="H10" s="122"/>
      <c r="I10" s="122"/>
      <c r="J10" s="122">
        <f t="shared" si="0"/>
        <v>0</v>
      </c>
      <c r="K10" s="123"/>
      <c r="L10" s="122">
        <f>+J10*0.7</f>
        <v>0</v>
      </c>
      <c r="M10" s="122">
        <f>+J10-L10</f>
        <v>0</v>
      </c>
      <c r="N10" s="120"/>
    </row>
    <row r="11" spans="1:14" x14ac:dyDescent="0.3">
      <c r="A11" s="120"/>
      <c r="B11" s="120"/>
      <c r="C11" s="120"/>
      <c r="D11" s="120"/>
      <c r="E11" s="120"/>
      <c r="F11" s="120"/>
      <c r="G11" s="121"/>
      <c r="H11" s="122"/>
      <c r="I11" s="122"/>
      <c r="J11" s="122">
        <f t="shared" si="0"/>
        <v>0</v>
      </c>
      <c r="K11" s="123"/>
      <c r="L11" s="122">
        <f>+J11*0.7</f>
        <v>0</v>
      </c>
      <c r="M11" s="122">
        <f>+J11-L11</f>
        <v>0</v>
      </c>
      <c r="N11" s="120"/>
    </row>
    <row r="12" spans="1:14" x14ac:dyDescent="0.3">
      <c r="H12" s="126">
        <f>SUM(H6:H11)</f>
        <v>468608.8</v>
      </c>
      <c r="I12" s="126">
        <f>SUM(I6:I11)</f>
        <v>379967.3</v>
      </c>
      <c r="J12" s="126">
        <f>SUM(J6:J11)</f>
        <v>-88641.500000000015</v>
      </c>
      <c r="K12" s="121"/>
      <c r="L12" s="127">
        <f>SUM(L6:L11)</f>
        <v>-51986.69</v>
      </c>
      <c r="M12" s="128">
        <f>SUM(M6:M11)</f>
        <v>-22280.010000000006</v>
      </c>
      <c r="N12" s="120"/>
    </row>
    <row r="14" spans="1:14" ht="18" x14ac:dyDescent="0.35">
      <c r="A14" s="113" t="s">
        <v>26</v>
      </c>
    </row>
    <row r="16" spans="1:14" s="114" customFormat="1" ht="60" x14ac:dyDescent="0.3">
      <c r="A16" s="115" t="s">
        <v>2</v>
      </c>
      <c r="B16" s="115" t="s">
        <v>3</v>
      </c>
      <c r="C16" s="115" t="s">
        <v>4</v>
      </c>
      <c r="D16" s="115" t="s">
        <v>5</v>
      </c>
      <c r="E16" s="116" t="s">
        <v>6</v>
      </c>
      <c r="F16" s="116" t="s">
        <v>7</v>
      </c>
      <c r="G16" s="116" t="s">
        <v>8</v>
      </c>
      <c r="H16" s="116" t="s">
        <v>9</v>
      </c>
      <c r="I16" s="116" t="s">
        <v>10</v>
      </c>
      <c r="J16" s="115" t="s">
        <v>11</v>
      </c>
      <c r="K16" s="116" t="s">
        <v>12</v>
      </c>
      <c r="L16" s="117">
        <v>0.7</v>
      </c>
      <c r="M16" s="118">
        <v>0.3</v>
      </c>
      <c r="N16" s="119" t="s">
        <v>13</v>
      </c>
    </row>
    <row r="17" spans="1:14" x14ac:dyDescent="0.3">
      <c r="A17" s="120" t="s">
        <v>27</v>
      </c>
      <c r="B17" s="120" t="s">
        <v>28</v>
      </c>
      <c r="C17" s="120" t="s">
        <v>29</v>
      </c>
      <c r="D17" s="120" t="s">
        <v>30</v>
      </c>
      <c r="E17" s="120" t="s">
        <v>18</v>
      </c>
      <c r="F17" s="120" t="s">
        <v>31</v>
      </c>
      <c r="G17" s="121" t="s">
        <v>32</v>
      </c>
      <c r="H17" s="122">
        <v>82585</v>
      </c>
      <c r="I17" s="122">
        <v>82182.03</v>
      </c>
      <c r="J17" s="122">
        <f>+I17-H17</f>
        <v>-402.97000000000116</v>
      </c>
      <c r="K17" s="123">
        <f>+J17/H17</f>
        <v>-4.8794575286069041E-3</v>
      </c>
      <c r="L17" s="122"/>
      <c r="M17" s="122"/>
      <c r="N17" s="125" t="s">
        <v>23</v>
      </c>
    </row>
    <row r="18" spans="1:14" x14ac:dyDescent="0.3">
      <c r="A18" s="120"/>
      <c r="B18" s="120"/>
      <c r="C18" s="120"/>
      <c r="D18" s="120"/>
      <c r="E18" s="120"/>
      <c r="F18" s="120"/>
      <c r="G18" s="121"/>
      <c r="H18" s="122"/>
      <c r="I18" s="122"/>
      <c r="J18" s="122">
        <f>+I18-H18</f>
        <v>0</v>
      </c>
      <c r="K18" s="123"/>
      <c r="L18" s="122">
        <f>+J18*0.7</f>
        <v>0</v>
      </c>
      <c r="M18" s="122">
        <f>+J18-L18</f>
        <v>0</v>
      </c>
      <c r="N18" s="125"/>
    </row>
    <row r="19" spans="1:14" x14ac:dyDescent="0.3">
      <c r="A19" s="120"/>
      <c r="B19" s="120"/>
      <c r="C19" s="120"/>
      <c r="D19" s="120"/>
      <c r="E19" s="120"/>
      <c r="F19" s="120"/>
      <c r="G19" s="121"/>
      <c r="H19" s="122"/>
      <c r="I19" s="122"/>
      <c r="J19" s="122">
        <f>+I19-H19</f>
        <v>0</v>
      </c>
      <c r="K19" s="123"/>
      <c r="L19" s="122">
        <f>+J19*0.7</f>
        <v>0</v>
      </c>
      <c r="M19" s="122">
        <f>+J19-L19</f>
        <v>0</v>
      </c>
      <c r="N19" s="120"/>
    </row>
    <row r="20" spans="1:14" x14ac:dyDescent="0.3">
      <c r="A20" s="120"/>
      <c r="B20" s="120"/>
      <c r="C20" s="120"/>
      <c r="D20" s="120"/>
      <c r="E20" s="120"/>
      <c r="F20" s="120"/>
      <c r="G20" s="121"/>
      <c r="H20" s="122"/>
      <c r="I20" s="122"/>
      <c r="J20" s="122">
        <f>+I20-H20</f>
        <v>0</v>
      </c>
      <c r="K20" s="123"/>
      <c r="L20" s="122">
        <f>+J20*0.7</f>
        <v>0</v>
      </c>
      <c r="M20" s="122">
        <f>+J20-L20</f>
        <v>0</v>
      </c>
      <c r="N20" s="120"/>
    </row>
    <row r="21" spans="1:14" x14ac:dyDescent="0.3">
      <c r="H21" s="126">
        <f>SUM(H17:H20)</f>
        <v>82585</v>
      </c>
      <c r="I21" s="126">
        <f>SUM(I17:I20)</f>
        <v>82182.03</v>
      </c>
      <c r="J21" s="126">
        <f>SUM(J17:J20)</f>
        <v>-402.97000000000116</v>
      </c>
      <c r="K21" s="121"/>
      <c r="L21" s="127">
        <f>SUM(L17:L20)</f>
        <v>0</v>
      </c>
      <c r="M21" s="128">
        <f>SUM(M17:M20)</f>
        <v>0</v>
      </c>
    </row>
  </sheetData>
  <pageMargins left="0.38" right="0.2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38"/>
  <sheetViews>
    <sheetView topLeftCell="C1" zoomScaleNormal="100" workbookViewId="0">
      <pane xSplit="9" ySplit="1" topLeftCell="L23" activePane="bottomRight" state="frozen"/>
      <selection pane="topRight" activeCell="L1" sqref="L1"/>
      <selection pane="bottomLeft" activeCell="C2" sqref="C2"/>
      <selection pane="bottomRight" activeCell="Y37" sqref="Y37"/>
    </sheetView>
  </sheetViews>
  <sheetFormatPr baseColWidth="10" defaultColWidth="11.42578125" defaultRowHeight="12.75" x14ac:dyDescent="0.2"/>
  <cols>
    <col min="1" max="1" width="0.85546875" hidden="1" customWidth="1"/>
    <col min="2" max="2" width="0.42578125" hidden="1" customWidth="1"/>
    <col min="3" max="3" width="5.7109375" customWidth="1"/>
    <col min="4" max="4" width="39" customWidth="1"/>
    <col min="5" max="5" width="7.7109375" bestFit="1" customWidth="1"/>
    <col min="6" max="6" width="10.5703125" hidden="1" customWidth="1"/>
    <col min="7" max="7" width="16.85546875" customWidth="1"/>
    <col min="8" max="8" width="9.7109375" customWidth="1"/>
    <col min="9" max="11" width="10.7109375" hidden="1" customWidth="1"/>
    <col min="12" max="12" width="10.7109375" customWidth="1"/>
    <col min="13" max="15" width="10.7109375" hidden="1" customWidth="1"/>
    <col min="16" max="25" width="10.7109375" customWidth="1"/>
    <col min="26" max="29" width="10.7109375" hidden="1" customWidth="1"/>
    <col min="30" max="37" width="10.7109375" customWidth="1"/>
    <col min="38" max="39" width="10.7109375" hidden="1" customWidth="1"/>
    <col min="40" max="40" width="0.85546875" customWidth="1"/>
    <col min="41" max="41" width="10.7109375" customWidth="1"/>
  </cols>
  <sheetData>
    <row r="1" spans="2:41" s="63" customFormat="1" ht="56.25" customHeight="1" x14ac:dyDescent="0.2">
      <c r="C1" s="1" t="s">
        <v>33</v>
      </c>
      <c r="D1" s="1" t="s">
        <v>34</v>
      </c>
      <c r="E1" s="2" t="s">
        <v>35</v>
      </c>
      <c r="F1" s="2" t="s">
        <v>36</v>
      </c>
      <c r="G1" s="2" t="s">
        <v>37</v>
      </c>
      <c r="H1" s="2" t="s">
        <v>38</v>
      </c>
      <c r="I1" s="97" t="s">
        <v>39</v>
      </c>
      <c r="J1" s="97" t="s">
        <v>40</v>
      </c>
      <c r="K1" s="97" t="s">
        <v>41</v>
      </c>
      <c r="L1" s="2" t="s">
        <v>42</v>
      </c>
      <c r="M1" s="97" t="s">
        <v>43</v>
      </c>
      <c r="N1" s="97" t="s">
        <v>44</v>
      </c>
      <c r="O1" s="97" t="s">
        <v>45</v>
      </c>
      <c r="P1" s="2" t="s">
        <v>46</v>
      </c>
      <c r="Q1" s="97" t="s">
        <v>47</v>
      </c>
      <c r="R1" s="97" t="s">
        <v>48</v>
      </c>
      <c r="S1" s="97" t="s">
        <v>49</v>
      </c>
      <c r="T1" s="2" t="s">
        <v>50</v>
      </c>
      <c r="U1" s="97" t="s">
        <v>51</v>
      </c>
      <c r="V1" s="97" t="s">
        <v>52</v>
      </c>
      <c r="W1" s="97" t="s">
        <v>53</v>
      </c>
      <c r="X1" s="2" t="s">
        <v>54</v>
      </c>
      <c r="Y1" s="2" t="s">
        <v>55</v>
      </c>
      <c r="Z1" s="2" t="s">
        <v>56</v>
      </c>
      <c r="AA1" s="2" t="s">
        <v>57</v>
      </c>
      <c r="AB1" s="2" t="s">
        <v>58</v>
      </c>
      <c r="AC1" s="2" t="s">
        <v>59</v>
      </c>
      <c r="AD1" s="2" t="s">
        <v>60</v>
      </c>
      <c r="AE1" s="2" t="s">
        <v>61</v>
      </c>
      <c r="AF1" s="2" t="s">
        <v>62</v>
      </c>
      <c r="AG1" s="2" t="s">
        <v>63</v>
      </c>
      <c r="AH1" s="2" t="s">
        <v>64</v>
      </c>
      <c r="AI1" s="2" t="s">
        <v>65</v>
      </c>
      <c r="AJ1" s="2" t="s">
        <v>66</v>
      </c>
      <c r="AK1" s="2" t="s">
        <v>67</v>
      </c>
      <c r="AL1" s="2" t="s">
        <v>68</v>
      </c>
      <c r="AM1" s="2" t="s">
        <v>69</v>
      </c>
      <c r="AN1" s="3"/>
      <c r="AO1" s="2" t="s">
        <v>70</v>
      </c>
    </row>
    <row r="2" spans="2:41" s="63" customFormat="1" ht="19.149999999999999" customHeight="1" x14ac:dyDescent="0.2">
      <c r="B2" s="4" t="s">
        <v>71</v>
      </c>
      <c r="C2" s="5" t="s">
        <v>72</v>
      </c>
      <c r="D2" s="5" t="s">
        <v>73</v>
      </c>
      <c r="E2" s="5" t="s">
        <v>74</v>
      </c>
      <c r="F2" s="5" t="s">
        <v>75</v>
      </c>
      <c r="G2" s="5" t="s">
        <v>76</v>
      </c>
      <c r="H2" s="57">
        <v>80072.88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  <c r="AA2" s="7"/>
      <c r="AB2" s="7"/>
      <c r="AC2" s="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8"/>
      <c r="AO2" s="9">
        <v>80072.88</v>
      </c>
    </row>
    <row r="3" spans="2:41" s="63" customFormat="1" ht="19.149999999999999" customHeight="1" x14ac:dyDescent="0.2">
      <c r="B3" s="10"/>
      <c r="C3" s="11" t="s">
        <v>71</v>
      </c>
      <c r="D3" s="11"/>
      <c r="E3" s="11"/>
      <c r="F3" s="11"/>
      <c r="G3" s="98"/>
      <c r="H3" s="58">
        <v>80072.88</v>
      </c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12"/>
      <c r="AA3" s="12"/>
      <c r="AB3" s="12"/>
      <c r="AC3" s="12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13"/>
      <c r="AO3" s="58">
        <v>80072.88</v>
      </c>
    </row>
    <row r="4" spans="2:41" s="63" customFormat="1" ht="2.65" customHeight="1" x14ac:dyDescent="0.2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</row>
    <row r="5" spans="2:41" s="63" customFormat="1" ht="19.149999999999999" customHeight="1" x14ac:dyDescent="0.2">
      <c r="B5" s="4" t="s">
        <v>77</v>
      </c>
      <c r="C5" s="15" t="s">
        <v>78</v>
      </c>
      <c r="D5" s="15" t="s">
        <v>79</v>
      </c>
      <c r="E5" s="15" t="s">
        <v>80</v>
      </c>
      <c r="F5" s="15" t="s">
        <v>75</v>
      </c>
      <c r="G5" s="15" t="s">
        <v>81</v>
      </c>
      <c r="H5" s="57"/>
      <c r="I5" s="6">
        <v>0</v>
      </c>
      <c r="J5" s="6">
        <v>0</v>
      </c>
      <c r="K5" s="6">
        <v>5977.4</v>
      </c>
      <c r="L5" s="6">
        <v>5977.4</v>
      </c>
      <c r="M5" s="6">
        <v>5664.6</v>
      </c>
      <c r="N5" s="6">
        <v>0</v>
      </c>
      <c r="O5" s="6">
        <v>2327.35</v>
      </c>
      <c r="P5" s="6">
        <v>7991.95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277490.82</v>
      </c>
      <c r="W5" s="6">
        <v>291460.17</v>
      </c>
      <c r="X5" s="6">
        <v>568950.99</v>
      </c>
      <c r="Y5" s="6">
        <v>582920.34</v>
      </c>
      <c r="Z5" s="7"/>
      <c r="AA5" s="7"/>
      <c r="AB5" s="7"/>
      <c r="AC5" s="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8"/>
      <c r="AO5" s="9">
        <v>582920.34</v>
      </c>
    </row>
    <row r="6" spans="2:41" s="63" customFormat="1" ht="19.149999999999999" customHeight="1" x14ac:dyDescent="0.2">
      <c r="B6" s="10"/>
      <c r="C6" s="16" t="s">
        <v>77</v>
      </c>
      <c r="D6" s="16"/>
      <c r="E6" s="16"/>
      <c r="F6" s="16"/>
      <c r="G6" s="99"/>
      <c r="H6" s="59"/>
      <c r="I6" s="59">
        <v>0</v>
      </c>
      <c r="J6" s="59">
        <v>0</v>
      </c>
      <c r="K6" s="59">
        <v>5977.4</v>
      </c>
      <c r="L6" s="59">
        <v>5977.4</v>
      </c>
      <c r="M6" s="59">
        <v>5664.6</v>
      </c>
      <c r="N6" s="59">
        <v>0</v>
      </c>
      <c r="O6" s="59">
        <v>2327.35</v>
      </c>
      <c r="P6" s="59">
        <v>7991.95</v>
      </c>
      <c r="Q6" s="59">
        <v>0</v>
      </c>
      <c r="R6" s="59">
        <v>0</v>
      </c>
      <c r="S6" s="59">
        <v>0</v>
      </c>
      <c r="T6" s="59">
        <v>0</v>
      </c>
      <c r="U6" s="59">
        <v>0</v>
      </c>
      <c r="V6" s="59">
        <v>277490.82</v>
      </c>
      <c r="W6" s="59">
        <v>291460.17</v>
      </c>
      <c r="X6" s="59">
        <v>568950.99</v>
      </c>
      <c r="Y6" s="59">
        <v>582920.34</v>
      </c>
      <c r="Z6" s="17"/>
      <c r="AA6" s="17"/>
      <c r="AB6" s="17"/>
      <c r="AC6" s="17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18"/>
      <c r="AO6" s="59">
        <v>582920.34</v>
      </c>
    </row>
    <row r="7" spans="2:41" s="63" customFormat="1" ht="2.65" customHeight="1" x14ac:dyDescent="0.2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2:41" s="63" customFormat="1" ht="19.149999999999999" customHeight="1" x14ac:dyDescent="0.2">
      <c r="B8" s="4" t="s">
        <v>82</v>
      </c>
      <c r="C8" s="19" t="s">
        <v>31</v>
      </c>
      <c r="D8" s="19" t="s">
        <v>83</v>
      </c>
      <c r="E8" s="19" t="s">
        <v>74</v>
      </c>
      <c r="F8" s="19" t="s">
        <v>75</v>
      </c>
      <c r="G8" s="19" t="s">
        <v>84</v>
      </c>
      <c r="H8" s="57"/>
      <c r="I8" s="6"/>
      <c r="J8" s="6"/>
      <c r="K8" s="6"/>
      <c r="L8" s="6"/>
      <c r="M8" s="6"/>
      <c r="N8" s="6"/>
      <c r="O8" s="6"/>
      <c r="P8" s="6"/>
      <c r="Q8" s="6"/>
      <c r="R8" s="6">
        <v>0</v>
      </c>
      <c r="S8" s="6">
        <v>0</v>
      </c>
      <c r="T8" s="6">
        <v>0</v>
      </c>
      <c r="U8" s="6">
        <v>0</v>
      </c>
      <c r="V8" s="6">
        <v>50000</v>
      </c>
      <c r="W8" s="6">
        <v>50000</v>
      </c>
      <c r="X8" s="6">
        <v>100000</v>
      </c>
      <c r="Y8" s="6">
        <v>100000</v>
      </c>
      <c r="Z8" s="7"/>
      <c r="AA8" s="7"/>
      <c r="AB8" s="7"/>
      <c r="AC8" s="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8"/>
      <c r="AO8" s="9">
        <v>100000</v>
      </c>
    </row>
    <row r="9" spans="2:41" s="63" customFormat="1" ht="19.149999999999999" customHeight="1" x14ac:dyDescent="0.2">
      <c r="B9" s="4"/>
      <c r="C9" s="19" t="s">
        <v>85</v>
      </c>
      <c r="D9" s="19" t="s">
        <v>86</v>
      </c>
      <c r="E9" s="19" t="s">
        <v>87</v>
      </c>
      <c r="F9" s="19" t="s">
        <v>75</v>
      </c>
      <c r="G9" s="19" t="s">
        <v>84</v>
      </c>
      <c r="H9" s="57"/>
      <c r="I9" s="20">
        <v>0</v>
      </c>
      <c r="J9" s="20">
        <v>0</v>
      </c>
      <c r="K9" s="20">
        <v>0</v>
      </c>
      <c r="L9" s="20">
        <v>0</v>
      </c>
      <c r="M9" s="20">
        <v>617.58000000000004</v>
      </c>
      <c r="N9" s="20">
        <v>0</v>
      </c>
      <c r="O9" s="20">
        <v>3748.58</v>
      </c>
      <c r="P9" s="20">
        <v>4366.16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85633.84</v>
      </c>
      <c r="X9" s="20">
        <v>85633.84</v>
      </c>
      <c r="Y9" s="20">
        <v>90000</v>
      </c>
      <c r="Z9" s="21"/>
      <c r="AA9" s="21"/>
      <c r="AB9" s="21"/>
      <c r="AC9" s="21"/>
      <c r="AD9" s="57">
        <v>500000</v>
      </c>
      <c r="AE9" s="57">
        <v>1000000</v>
      </c>
      <c r="AF9" s="57">
        <v>901000</v>
      </c>
      <c r="AG9" s="57"/>
      <c r="AH9" s="57"/>
      <c r="AI9" s="57"/>
      <c r="AJ9" s="57"/>
      <c r="AK9" s="57"/>
      <c r="AL9" s="57"/>
      <c r="AM9" s="57"/>
      <c r="AN9" s="8"/>
      <c r="AO9" s="9">
        <v>2491000</v>
      </c>
    </row>
    <row r="10" spans="2:41" s="63" customFormat="1" ht="19.149999999999999" customHeight="1" x14ac:dyDescent="0.2">
      <c r="B10" s="10"/>
      <c r="C10" s="22" t="s">
        <v>82</v>
      </c>
      <c r="D10" s="22"/>
      <c r="E10" s="22"/>
      <c r="F10" s="23"/>
      <c r="G10" s="23"/>
      <c r="H10" s="60"/>
      <c r="I10" s="60">
        <v>0</v>
      </c>
      <c r="J10" s="60">
        <v>0</v>
      </c>
      <c r="K10" s="60">
        <v>0</v>
      </c>
      <c r="L10" s="60">
        <v>0</v>
      </c>
      <c r="M10" s="60">
        <v>617.58000000000004</v>
      </c>
      <c r="N10" s="60">
        <v>0</v>
      </c>
      <c r="O10" s="60">
        <v>3748.58</v>
      </c>
      <c r="P10" s="60">
        <v>4366.16</v>
      </c>
      <c r="Q10" s="60">
        <v>0</v>
      </c>
      <c r="R10" s="60">
        <v>0</v>
      </c>
      <c r="S10" s="60">
        <v>0</v>
      </c>
      <c r="T10" s="60">
        <v>0</v>
      </c>
      <c r="U10" s="60">
        <v>0</v>
      </c>
      <c r="V10" s="60">
        <v>50000</v>
      </c>
      <c r="W10" s="60">
        <v>135633.84</v>
      </c>
      <c r="X10" s="60">
        <v>185633.84</v>
      </c>
      <c r="Y10" s="60">
        <v>190000</v>
      </c>
      <c r="Z10" s="24"/>
      <c r="AA10" s="24"/>
      <c r="AB10" s="24"/>
      <c r="AC10" s="24"/>
      <c r="AD10" s="60">
        <v>500000</v>
      </c>
      <c r="AE10" s="60">
        <v>1000000</v>
      </c>
      <c r="AF10" s="60">
        <v>901000</v>
      </c>
      <c r="AG10" s="60"/>
      <c r="AH10" s="60"/>
      <c r="AI10" s="60"/>
      <c r="AJ10" s="60"/>
      <c r="AK10" s="60"/>
      <c r="AL10" s="60"/>
      <c r="AM10" s="60"/>
      <c r="AN10" s="18"/>
      <c r="AO10" s="60">
        <v>2591000</v>
      </c>
    </row>
    <row r="11" spans="2:41" s="63" customFormat="1" ht="2.65" customHeight="1" x14ac:dyDescent="0.2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</row>
    <row r="12" spans="2:41" s="63" customFormat="1" ht="19.149999999999999" customHeight="1" x14ac:dyDescent="0.2">
      <c r="B12" s="4" t="s">
        <v>88</v>
      </c>
      <c r="C12" s="25" t="s">
        <v>89</v>
      </c>
      <c r="D12" s="25" t="s">
        <v>90</v>
      </c>
      <c r="E12" s="25" t="s">
        <v>91</v>
      </c>
      <c r="F12" s="25" t="s">
        <v>75</v>
      </c>
      <c r="G12" s="25" t="s">
        <v>84</v>
      </c>
      <c r="H12" s="57"/>
      <c r="I12" s="6"/>
      <c r="J12" s="6"/>
      <c r="K12" s="6"/>
      <c r="L12" s="6"/>
      <c r="M12" s="6"/>
      <c r="N12" s="6"/>
      <c r="O12" s="6"/>
      <c r="P12" s="6"/>
      <c r="Q12" s="6"/>
      <c r="R12" s="6">
        <v>0</v>
      </c>
      <c r="S12" s="6"/>
      <c r="T12" s="6">
        <v>0</v>
      </c>
      <c r="U12" s="6"/>
      <c r="V12" s="6"/>
      <c r="W12" s="6"/>
      <c r="X12" s="6"/>
      <c r="Y12" s="6">
        <v>0</v>
      </c>
      <c r="Z12" s="7"/>
      <c r="AA12" s="7"/>
      <c r="AB12" s="7"/>
      <c r="AC12" s="7"/>
      <c r="AD12" s="57"/>
      <c r="AE12" s="57"/>
      <c r="AF12" s="57"/>
      <c r="AG12" s="57">
        <v>500000</v>
      </c>
      <c r="AH12" s="57"/>
      <c r="AI12" s="57"/>
      <c r="AJ12" s="57"/>
      <c r="AK12" s="57"/>
      <c r="AL12" s="57"/>
      <c r="AM12" s="57"/>
      <c r="AN12" s="8"/>
      <c r="AO12" s="9">
        <v>500000</v>
      </c>
    </row>
    <row r="13" spans="2:41" s="63" customFormat="1" ht="19.149999999999999" customHeight="1" x14ac:dyDescent="0.2">
      <c r="B13" s="4"/>
      <c r="C13" s="25" t="s">
        <v>92</v>
      </c>
      <c r="D13" s="25" t="s">
        <v>93</v>
      </c>
      <c r="E13" s="25" t="s">
        <v>74</v>
      </c>
      <c r="F13" s="25" t="s">
        <v>75</v>
      </c>
      <c r="G13" s="25" t="s">
        <v>76</v>
      </c>
      <c r="H13" s="57"/>
      <c r="I13" s="20"/>
      <c r="J13" s="20"/>
      <c r="K13" s="20"/>
      <c r="L13" s="20"/>
      <c r="M13" s="20"/>
      <c r="N13" s="20"/>
      <c r="O13" s="20"/>
      <c r="P13" s="20"/>
      <c r="Q13" s="20"/>
      <c r="R13" s="20">
        <v>0</v>
      </c>
      <c r="S13" s="20"/>
      <c r="T13" s="20">
        <v>0</v>
      </c>
      <c r="U13" s="20"/>
      <c r="V13" s="20"/>
      <c r="W13" s="20"/>
      <c r="X13" s="20"/>
      <c r="Y13" s="20">
        <v>0</v>
      </c>
      <c r="Z13" s="21"/>
      <c r="AA13" s="21"/>
      <c r="AB13" s="21"/>
      <c r="AC13" s="21"/>
      <c r="AD13" s="57"/>
      <c r="AE13" s="57"/>
      <c r="AF13" s="57"/>
      <c r="AG13" s="57">
        <v>100000</v>
      </c>
      <c r="AH13" s="57"/>
      <c r="AI13" s="57"/>
      <c r="AJ13" s="57"/>
      <c r="AK13" s="57"/>
      <c r="AL13" s="57"/>
      <c r="AM13" s="57"/>
      <c r="AN13" s="8"/>
      <c r="AO13" s="9">
        <v>100000</v>
      </c>
    </row>
    <row r="14" spans="2:41" s="63" customFormat="1" ht="19.149999999999999" customHeight="1" x14ac:dyDescent="0.2">
      <c r="B14" s="4"/>
      <c r="C14" s="25" t="s">
        <v>94</v>
      </c>
      <c r="D14" s="25" t="s">
        <v>95</v>
      </c>
      <c r="E14" s="25" t="s">
        <v>96</v>
      </c>
      <c r="F14" s="25" t="s">
        <v>75</v>
      </c>
      <c r="G14" s="25" t="s">
        <v>97</v>
      </c>
      <c r="H14" s="57"/>
      <c r="I14" s="6"/>
      <c r="J14" s="6"/>
      <c r="K14" s="6"/>
      <c r="L14" s="6"/>
      <c r="M14" s="6"/>
      <c r="N14" s="6"/>
      <c r="O14" s="6"/>
      <c r="P14" s="6"/>
      <c r="Q14" s="6"/>
      <c r="R14" s="6">
        <v>0</v>
      </c>
      <c r="S14" s="6"/>
      <c r="T14" s="6">
        <v>0</v>
      </c>
      <c r="U14" s="6"/>
      <c r="V14" s="6"/>
      <c r="W14" s="6"/>
      <c r="X14" s="6"/>
      <c r="Y14" s="6">
        <v>0</v>
      </c>
      <c r="Z14" s="7"/>
      <c r="AA14" s="7"/>
      <c r="AB14" s="7"/>
      <c r="AC14" s="7"/>
      <c r="AD14" s="57"/>
      <c r="AE14" s="57"/>
      <c r="AF14" s="57"/>
      <c r="AG14" s="57"/>
      <c r="AH14" s="57"/>
      <c r="AI14" s="57"/>
      <c r="AJ14" s="57">
        <v>650000</v>
      </c>
      <c r="AK14" s="57"/>
      <c r="AL14" s="57"/>
      <c r="AM14" s="57"/>
      <c r="AN14" s="8"/>
      <c r="AO14" s="9">
        <v>650000</v>
      </c>
    </row>
    <row r="15" spans="2:41" s="63" customFormat="1" ht="19.149999999999999" customHeight="1" x14ac:dyDescent="0.2">
      <c r="B15" s="4"/>
      <c r="C15" s="25" t="s">
        <v>98</v>
      </c>
      <c r="D15" s="25" t="s">
        <v>99</v>
      </c>
      <c r="E15" s="25" t="s">
        <v>96</v>
      </c>
      <c r="F15" s="25" t="s">
        <v>75</v>
      </c>
      <c r="G15" s="25" t="s">
        <v>100</v>
      </c>
      <c r="H15" s="57"/>
      <c r="I15" s="20"/>
      <c r="J15" s="20"/>
      <c r="K15" s="20"/>
      <c r="L15" s="20"/>
      <c r="M15" s="20"/>
      <c r="N15" s="20"/>
      <c r="O15" s="20"/>
      <c r="P15" s="20"/>
      <c r="Q15" s="20"/>
      <c r="R15" s="20">
        <v>0</v>
      </c>
      <c r="S15" s="20"/>
      <c r="T15" s="20">
        <v>0</v>
      </c>
      <c r="U15" s="20"/>
      <c r="V15" s="20"/>
      <c r="W15" s="20"/>
      <c r="X15" s="20"/>
      <c r="Y15" s="20">
        <v>0</v>
      </c>
      <c r="Z15" s="21"/>
      <c r="AA15" s="21"/>
      <c r="AB15" s="21"/>
      <c r="AC15" s="21"/>
      <c r="AD15" s="57"/>
      <c r="AE15" s="57"/>
      <c r="AF15" s="57"/>
      <c r="AG15" s="57">
        <v>90000</v>
      </c>
      <c r="AH15" s="57">
        <v>1000000</v>
      </c>
      <c r="AI15" s="57">
        <v>1000000</v>
      </c>
      <c r="AJ15" s="57"/>
      <c r="AK15" s="57"/>
      <c r="AL15" s="57"/>
      <c r="AM15" s="57"/>
      <c r="AN15" s="8"/>
      <c r="AO15" s="9">
        <v>2090000</v>
      </c>
    </row>
    <row r="16" spans="2:41" s="63" customFormat="1" ht="19.149999999999999" customHeight="1" x14ac:dyDescent="0.2">
      <c r="B16" s="4"/>
      <c r="C16" s="25" t="s">
        <v>101</v>
      </c>
      <c r="D16" s="25" t="s">
        <v>102</v>
      </c>
      <c r="E16" s="25" t="s">
        <v>96</v>
      </c>
      <c r="F16" s="25" t="s">
        <v>75</v>
      </c>
      <c r="G16" s="25" t="s">
        <v>100</v>
      </c>
      <c r="H16" s="57"/>
      <c r="I16" s="6"/>
      <c r="J16" s="6"/>
      <c r="K16" s="6"/>
      <c r="L16" s="6"/>
      <c r="M16" s="6"/>
      <c r="N16" s="6"/>
      <c r="O16" s="6"/>
      <c r="P16" s="6"/>
      <c r="Q16" s="6"/>
      <c r="R16" s="6">
        <v>0</v>
      </c>
      <c r="S16" s="6"/>
      <c r="T16" s="6">
        <v>0</v>
      </c>
      <c r="U16" s="6"/>
      <c r="V16" s="6"/>
      <c r="W16" s="6"/>
      <c r="X16" s="6"/>
      <c r="Y16" s="6">
        <v>0</v>
      </c>
      <c r="Z16" s="7"/>
      <c r="AA16" s="7"/>
      <c r="AB16" s="7"/>
      <c r="AC16" s="7"/>
      <c r="AD16" s="57"/>
      <c r="AE16" s="57"/>
      <c r="AF16" s="57"/>
      <c r="AG16" s="57"/>
      <c r="AH16" s="57"/>
      <c r="AI16" s="57"/>
      <c r="AJ16" s="57">
        <v>250000</v>
      </c>
      <c r="AK16" s="57">
        <v>1350000</v>
      </c>
      <c r="AL16" s="57"/>
      <c r="AM16" s="57"/>
      <c r="AN16" s="8"/>
      <c r="AO16" s="9">
        <v>1600000</v>
      </c>
    </row>
    <row r="17" spans="2:41" s="63" customFormat="1" ht="19.149999999999999" customHeight="1" x14ac:dyDescent="0.2">
      <c r="B17" s="4"/>
      <c r="C17" s="25" t="s">
        <v>103</v>
      </c>
      <c r="D17" s="25" t="s">
        <v>104</v>
      </c>
      <c r="E17" s="25" t="s">
        <v>96</v>
      </c>
      <c r="F17" s="25" t="s">
        <v>75</v>
      </c>
      <c r="G17" s="25" t="s">
        <v>84</v>
      </c>
      <c r="H17" s="57"/>
      <c r="I17" s="20"/>
      <c r="J17" s="20"/>
      <c r="K17" s="20"/>
      <c r="L17" s="20"/>
      <c r="M17" s="20"/>
      <c r="N17" s="20"/>
      <c r="O17" s="20"/>
      <c r="P17" s="20"/>
      <c r="Q17" s="20"/>
      <c r="R17" s="20">
        <v>0</v>
      </c>
      <c r="S17" s="20"/>
      <c r="T17" s="20">
        <v>0</v>
      </c>
      <c r="U17" s="20"/>
      <c r="V17" s="20"/>
      <c r="W17" s="20"/>
      <c r="X17" s="20"/>
      <c r="Y17" s="20">
        <v>0</v>
      </c>
      <c r="Z17" s="21"/>
      <c r="AA17" s="21"/>
      <c r="AB17" s="21"/>
      <c r="AC17" s="21"/>
      <c r="AD17" s="57">
        <v>287526.63</v>
      </c>
      <c r="AE17" s="57"/>
      <c r="AF17" s="57"/>
      <c r="AG17" s="57"/>
      <c r="AH17" s="57"/>
      <c r="AI17" s="57"/>
      <c r="AJ17" s="57"/>
      <c r="AK17" s="57"/>
      <c r="AL17" s="57"/>
      <c r="AM17" s="57"/>
      <c r="AN17" s="8"/>
      <c r="AO17" s="9">
        <v>287526.63</v>
      </c>
    </row>
    <row r="18" spans="2:41" s="63" customFormat="1" ht="19.149999999999999" customHeight="1" x14ac:dyDescent="0.2">
      <c r="B18" s="4"/>
      <c r="C18" s="25" t="s">
        <v>105</v>
      </c>
      <c r="D18" s="25" t="s">
        <v>106</v>
      </c>
      <c r="E18" s="25" t="s">
        <v>96</v>
      </c>
      <c r="F18" s="25" t="s">
        <v>75</v>
      </c>
      <c r="G18" s="25" t="s">
        <v>84</v>
      </c>
      <c r="H18" s="57"/>
      <c r="I18" s="6"/>
      <c r="J18" s="6"/>
      <c r="K18" s="6"/>
      <c r="L18" s="6"/>
      <c r="M18" s="6"/>
      <c r="N18" s="6"/>
      <c r="O18" s="6"/>
      <c r="P18" s="6"/>
      <c r="Q18" s="6"/>
      <c r="R18" s="6">
        <v>0</v>
      </c>
      <c r="S18" s="6"/>
      <c r="T18" s="6">
        <v>0</v>
      </c>
      <c r="U18" s="6"/>
      <c r="V18" s="6"/>
      <c r="W18" s="6"/>
      <c r="X18" s="6"/>
      <c r="Y18" s="6">
        <v>0</v>
      </c>
      <c r="Z18" s="7"/>
      <c r="AA18" s="7"/>
      <c r="AB18" s="7"/>
      <c r="AC18" s="7"/>
      <c r="AD18" s="57">
        <v>212473.35</v>
      </c>
      <c r="AE18" s="57"/>
      <c r="AF18" s="57"/>
      <c r="AG18" s="57"/>
      <c r="AH18" s="57"/>
      <c r="AI18" s="57"/>
      <c r="AJ18" s="57"/>
      <c r="AK18" s="57"/>
      <c r="AL18" s="57"/>
      <c r="AM18" s="57"/>
      <c r="AN18" s="8"/>
      <c r="AO18" s="9">
        <v>212473.35</v>
      </c>
    </row>
    <row r="19" spans="2:41" s="63" customFormat="1" ht="19.149999999999999" customHeight="1" x14ac:dyDescent="0.2">
      <c r="B19" s="10"/>
      <c r="C19" s="26" t="s">
        <v>88</v>
      </c>
      <c r="D19" s="26"/>
      <c r="E19" s="26"/>
      <c r="F19" s="27"/>
      <c r="G19" s="27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>
        <v>0</v>
      </c>
      <c r="S19" s="61"/>
      <c r="T19" s="61">
        <v>0</v>
      </c>
      <c r="U19" s="61"/>
      <c r="V19" s="61"/>
      <c r="W19" s="61"/>
      <c r="X19" s="61"/>
      <c r="Y19" s="61">
        <v>0</v>
      </c>
      <c r="Z19" s="28"/>
      <c r="AA19" s="28"/>
      <c r="AB19" s="28"/>
      <c r="AC19" s="28"/>
      <c r="AD19" s="61">
        <v>499999.98</v>
      </c>
      <c r="AE19" s="61"/>
      <c r="AF19" s="61"/>
      <c r="AG19" s="61">
        <v>690000</v>
      </c>
      <c r="AH19" s="61">
        <v>1000000</v>
      </c>
      <c r="AI19" s="61">
        <v>1000000</v>
      </c>
      <c r="AJ19" s="61">
        <v>900000</v>
      </c>
      <c r="AK19" s="61">
        <v>1350000</v>
      </c>
      <c r="AL19" s="61"/>
      <c r="AM19" s="61"/>
      <c r="AN19" s="18"/>
      <c r="AO19" s="61">
        <v>5439999.9800000004</v>
      </c>
    </row>
    <row r="20" spans="2:41" s="63" customFormat="1" ht="2.65" customHeight="1" x14ac:dyDescent="0.2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2:41" s="63" customFormat="1" ht="19.149999999999999" customHeight="1" x14ac:dyDescent="0.2">
      <c r="C21" s="29" t="s">
        <v>107</v>
      </c>
      <c r="D21" s="29" t="s">
        <v>108</v>
      </c>
      <c r="E21" s="29" t="s">
        <v>80</v>
      </c>
      <c r="F21" s="29" t="s">
        <v>75</v>
      </c>
      <c r="G21" s="29" t="s">
        <v>81</v>
      </c>
      <c r="H21" s="57"/>
      <c r="I21" s="6"/>
      <c r="J21" s="6"/>
      <c r="K21" s="6"/>
      <c r="L21" s="6"/>
      <c r="M21" s="6"/>
      <c r="N21" s="6"/>
      <c r="O21" s="6"/>
      <c r="P21" s="6"/>
      <c r="Q21" s="6"/>
      <c r="R21" s="6">
        <v>0</v>
      </c>
      <c r="S21" s="6"/>
      <c r="T21" s="6">
        <v>0</v>
      </c>
      <c r="U21" s="6"/>
      <c r="V21" s="6"/>
      <c r="W21" s="6"/>
      <c r="X21" s="6"/>
      <c r="Y21" s="6">
        <v>0</v>
      </c>
      <c r="Z21" s="7"/>
      <c r="AA21" s="7"/>
      <c r="AB21" s="7"/>
      <c r="AC21" s="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8"/>
      <c r="AO21" s="9">
        <v>0</v>
      </c>
    </row>
    <row r="22" spans="2:41" s="63" customFormat="1" ht="19.149999999999999" customHeight="1" x14ac:dyDescent="0.2">
      <c r="C22" s="29" t="s">
        <v>109</v>
      </c>
      <c r="D22" s="29" t="s">
        <v>110</v>
      </c>
      <c r="E22" s="29" t="s">
        <v>96</v>
      </c>
      <c r="F22" s="29" t="s">
        <v>75</v>
      </c>
      <c r="G22" s="29" t="s">
        <v>84</v>
      </c>
      <c r="H22" s="57"/>
      <c r="I22" s="20"/>
      <c r="J22" s="20"/>
      <c r="K22" s="20"/>
      <c r="L22" s="20"/>
      <c r="M22" s="20"/>
      <c r="N22" s="20"/>
      <c r="O22" s="20"/>
      <c r="P22" s="20"/>
      <c r="Q22" s="20"/>
      <c r="R22" s="20">
        <v>0</v>
      </c>
      <c r="S22" s="20"/>
      <c r="T22" s="20">
        <v>0</v>
      </c>
      <c r="U22" s="20"/>
      <c r="V22" s="20"/>
      <c r="W22" s="20"/>
      <c r="X22" s="20"/>
      <c r="Y22" s="20">
        <v>0</v>
      </c>
      <c r="Z22" s="21"/>
      <c r="AA22" s="21"/>
      <c r="AB22" s="21"/>
      <c r="AC22" s="21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8"/>
      <c r="AO22" s="9">
        <v>0</v>
      </c>
    </row>
    <row r="23" spans="2:41" s="63" customFormat="1" ht="19.149999999999999" customHeight="1" x14ac:dyDescent="0.2">
      <c r="C23" s="29" t="s">
        <v>111</v>
      </c>
      <c r="D23" s="29" t="s">
        <v>112</v>
      </c>
      <c r="E23" s="29" t="s">
        <v>96</v>
      </c>
      <c r="F23" s="29" t="s">
        <v>75</v>
      </c>
      <c r="G23" s="29" t="s">
        <v>100</v>
      </c>
      <c r="H23" s="57"/>
      <c r="I23" s="6"/>
      <c r="J23" s="6"/>
      <c r="K23" s="6"/>
      <c r="L23" s="6"/>
      <c r="M23" s="6"/>
      <c r="N23" s="6"/>
      <c r="O23" s="6"/>
      <c r="P23" s="6"/>
      <c r="Q23" s="6"/>
      <c r="R23" s="6">
        <v>0</v>
      </c>
      <c r="S23" s="6"/>
      <c r="T23" s="6">
        <v>0</v>
      </c>
      <c r="U23" s="6"/>
      <c r="V23" s="6"/>
      <c r="W23" s="6"/>
      <c r="X23" s="6"/>
      <c r="Y23" s="6">
        <v>0</v>
      </c>
      <c r="Z23" s="7"/>
      <c r="AA23" s="7"/>
      <c r="AB23" s="7"/>
      <c r="AC23" s="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8"/>
      <c r="AO23" s="9">
        <v>0</v>
      </c>
    </row>
    <row r="24" spans="2:41" s="63" customFormat="1" ht="19.149999999999999" customHeight="1" x14ac:dyDescent="0.2">
      <c r="C24" s="30" t="s">
        <v>113</v>
      </c>
      <c r="D24" s="31"/>
      <c r="E24" s="31"/>
      <c r="F24" s="31"/>
      <c r="G24" s="31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>
        <v>0</v>
      </c>
      <c r="S24" s="62"/>
      <c r="T24" s="62">
        <v>0</v>
      </c>
      <c r="U24" s="62"/>
      <c r="V24" s="62"/>
      <c r="W24" s="62"/>
      <c r="X24" s="62"/>
      <c r="Y24" s="62">
        <v>0</v>
      </c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32"/>
      <c r="AO24" s="33">
        <v>0</v>
      </c>
    </row>
    <row r="25" spans="2:41" s="63" customFormat="1" ht="2.1" customHeight="1" x14ac:dyDescent="0.2"/>
    <row r="26" spans="2:41" s="63" customFormat="1" ht="19.149999999999999" customHeight="1" x14ac:dyDescent="0.2">
      <c r="B26" s="4" t="s">
        <v>114</v>
      </c>
      <c r="C26" s="34" t="s">
        <v>114</v>
      </c>
      <c r="D26" s="34" t="s">
        <v>115</v>
      </c>
      <c r="E26" s="34" t="s">
        <v>116</v>
      </c>
      <c r="F26" s="34" t="s">
        <v>116</v>
      </c>
      <c r="G26" s="34" t="s">
        <v>116</v>
      </c>
      <c r="H26" s="57">
        <v>994824.58</v>
      </c>
      <c r="I26" s="6">
        <v>0</v>
      </c>
      <c r="J26" s="6">
        <v>295.44</v>
      </c>
      <c r="K26" s="6">
        <v>0</v>
      </c>
      <c r="L26" s="6">
        <v>295.44</v>
      </c>
      <c r="M26" s="6">
        <v>0</v>
      </c>
      <c r="N26" s="6">
        <v>7257.28</v>
      </c>
      <c r="O26" s="6">
        <v>-145.93</v>
      </c>
      <c r="P26" s="6">
        <v>7111.35</v>
      </c>
      <c r="Q26" s="6">
        <v>0</v>
      </c>
      <c r="R26" s="6">
        <v>0</v>
      </c>
      <c r="S26" s="55">
        <f>40000+20000</f>
        <v>60000</v>
      </c>
      <c r="T26" s="6">
        <f>+S26</f>
        <v>60000</v>
      </c>
      <c r="U26" s="6">
        <v>20000</v>
      </c>
      <c r="V26" s="6">
        <v>20000</v>
      </c>
      <c r="W26" s="6">
        <v>23127.7</v>
      </c>
      <c r="X26" s="6">
        <v>63127.7</v>
      </c>
      <c r="Y26" s="55">
        <f>+X26+T26+P26+L26</f>
        <v>130534.49</v>
      </c>
      <c r="Z26" s="7"/>
      <c r="AA26" s="7"/>
      <c r="AB26" s="7"/>
      <c r="AC26" s="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8"/>
      <c r="AO26" s="9">
        <f>+Y26+H26</f>
        <v>1125359.07</v>
      </c>
    </row>
    <row r="27" spans="2:41" s="63" customFormat="1" ht="19.149999999999999" customHeight="1" x14ac:dyDescent="0.2">
      <c r="B27" s="10"/>
      <c r="C27" s="35" t="s">
        <v>114</v>
      </c>
      <c r="D27" s="35"/>
      <c r="E27" s="35"/>
      <c r="F27" s="36"/>
      <c r="G27" s="36"/>
      <c r="H27" s="64">
        <v>994824.58</v>
      </c>
      <c r="I27" s="64">
        <v>0</v>
      </c>
      <c r="J27" s="64">
        <v>295.44</v>
      </c>
      <c r="K27" s="64">
        <v>0</v>
      </c>
      <c r="L27" s="64">
        <v>295.44</v>
      </c>
      <c r="M27" s="64">
        <v>0</v>
      </c>
      <c r="N27" s="64">
        <v>7257.28</v>
      </c>
      <c r="O27" s="64">
        <v>-145.93</v>
      </c>
      <c r="P27" s="64">
        <v>7111.35</v>
      </c>
      <c r="Q27" s="64">
        <v>0</v>
      </c>
      <c r="R27" s="64">
        <v>0</v>
      </c>
      <c r="S27" s="64">
        <f>+S26</f>
        <v>60000</v>
      </c>
      <c r="T27" s="64">
        <f>+T26</f>
        <v>60000</v>
      </c>
      <c r="U27" s="64">
        <v>20000</v>
      </c>
      <c r="V27" s="64">
        <v>20000</v>
      </c>
      <c r="W27" s="64">
        <v>23127.7</v>
      </c>
      <c r="X27" s="64">
        <v>63127.7</v>
      </c>
      <c r="Y27" s="64">
        <f>+Y26</f>
        <v>130534.49</v>
      </c>
      <c r="Z27" s="37"/>
      <c r="AA27" s="37"/>
      <c r="AB27" s="37"/>
      <c r="AC27" s="37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18"/>
      <c r="AO27" s="64">
        <v>1105359.07</v>
      </c>
    </row>
    <row r="28" spans="2:41" s="63" customFormat="1" ht="2.65" customHeight="1" x14ac:dyDescent="0.2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</row>
    <row r="29" spans="2:41" s="63" customFormat="1" ht="19.149999999999999" customHeight="1" x14ac:dyDescent="0.2">
      <c r="B29" s="4"/>
      <c r="C29" s="38" t="s">
        <v>117</v>
      </c>
      <c r="D29" s="38"/>
      <c r="E29" s="38"/>
      <c r="F29" s="38"/>
      <c r="G29" s="38"/>
      <c r="H29" s="56">
        <v>1074897.46</v>
      </c>
      <c r="I29" s="56">
        <v>0</v>
      </c>
      <c r="J29" s="56">
        <v>295.44</v>
      </c>
      <c r="K29" s="56">
        <v>5977.4</v>
      </c>
      <c r="L29" s="56">
        <v>6272.84</v>
      </c>
      <c r="M29" s="56">
        <v>6282.18</v>
      </c>
      <c r="N29" s="56">
        <v>7257.28</v>
      </c>
      <c r="O29" s="56">
        <v>5930</v>
      </c>
      <c r="P29" s="56">
        <v>19469.46</v>
      </c>
      <c r="Q29" s="56">
        <v>0</v>
      </c>
      <c r="R29" s="56">
        <v>0</v>
      </c>
      <c r="S29" s="56">
        <f>+S27</f>
        <v>60000</v>
      </c>
      <c r="T29" s="56">
        <f>+T27</f>
        <v>60000</v>
      </c>
      <c r="U29" s="56">
        <v>20000</v>
      </c>
      <c r="V29" s="56">
        <v>347490.82</v>
      </c>
      <c r="W29" s="56">
        <v>450221.71</v>
      </c>
      <c r="X29" s="56">
        <v>817712.53</v>
      </c>
      <c r="Y29" s="56">
        <f>+Y27+Y10+Y6</f>
        <v>903454.83</v>
      </c>
      <c r="Z29" s="39"/>
      <c r="AA29" s="39"/>
      <c r="AB29" s="39"/>
      <c r="AC29" s="39"/>
      <c r="AD29" s="56">
        <v>999999.98</v>
      </c>
      <c r="AE29" s="56">
        <v>1000000</v>
      </c>
      <c r="AF29" s="56">
        <v>901000</v>
      </c>
      <c r="AG29" s="56">
        <v>690000</v>
      </c>
      <c r="AH29" s="56">
        <v>1000000</v>
      </c>
      <c r="AI29" s="56">
        <v>1000000</v>
      </c>
      <c r="AJ29" s="56">
        <v>900000</v>
      </c>
      <c r="AK29" s="56">
        <v>1350000</v>
      </c>
      <c r="AL29" s="56"/>
      <c r="AM29" s="56"/>
      <c r="AN29" s="40"/>
      <c r="AO29" s="56">
        <v>9799352.2699999996</v>
      </c>
    </row>
    <row r="30" spans="2:41" s="63" customFormat="1" ht="14.85" customHeight="1" x14ac:dyDescent="0.2"/>
    <row r="31" spans="2:41" s="63" customFormat="1" ht="27.2" customHeight="1" x14ac:dyDescent="0.2">
      <c r="C31" s="41"/>
      <c r="D31" s="42"/>
      <c r="E31" s="42"/>
      <c r="F31" s="42"/>
      <c r="G31" s="43"/>
      <c r="H31" s="45" t="s">
        <v>38</v>
      </c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4" t="s">
        <v>55</v>
      </c>
      <c r="Z31" s="43"/>
      <c r="AA31" s="43"/>
      <c r="AB31" s="43"/>
      <c r="AC31" s="43"/>
      <c r="AD31" s="45" t="s">
        <v>60</v>
      </c>
      <c r="AE31" s="45" t="s">
        <v>61</v>
      </c>
      <c r="AF31" s="45" t="s">
        <v>62</v>
      </c>
      <c r="AG31" s="45" t="s">
        <v>63</v>
      </c>
      <c r="AH31" s="45" t="s">
        <v>64</v>
      </c>
      <c r="AI31" s="45" t="s">
        <v>65</v>
      </c>
      <c r="AJ31" s="45" t="s">
        <v>66</v>
      </c>
      <c r="AK31" s="45" t="s">
        <v>67</v>
      </c>
      <c r="AL31" s="45" t="s">
        <v>68</v>
      </c>
      <c r="AM31" s="45" t="s">
        <v>69</v>
      </c>
      <c r="AN31" s="3"/>
      <c r="AO31" s="45" t="s">
        <v>70</v>
      </c>
    </row>
    <row r="32" spans="2:41" s="63" customFormat="1" ht="19.149999999999999" customHeight="1" x14ac:dyDescent="0.2">
      <c r="C32" s="364" t="s">
        <v>118</v>
      </c>
      <c r="D32" s="364" t="s">
        <v>118</v>
      </c>
      <c r="E32" s="364" t="s">
        <v>118</v>
      </c>
      <c r="F32" s="364" t="s">
        <v>118</v>
      </c>
      <c r="G32" s="364" t="s">
        <v>118</v>
      </c>
      <c r="H32" s="46">
        <v>1073886</v>
      </c>
      <c r="I32" s="47"/>
      <c r="J32" s="47"/>
      <c r="K32" s="48"/>
      <c r="L32" s="47"/>
      <c r="M32" s="47"/>
      <c r="N32" s="47"/>
      <c r="O32" s="47"/>
      <c r="P32" s="47"/>
      <c r="Q32" s="47"/>
      <c r="R32" s="47"/>
      <c r="S32" s="47"/>
      <c r="T32" s="47"/>
      <c r="U32" s="364" t="s">
        <v>118</v>
      </c>
      <c r="V32" s="364" t="s">
        <v>118</v>
      </c>
      <c r="W32" s="364" t="s">
        <v>118</v>
      </c>
      <c r="X32" s="364" t="s">
        <v>118</v>
      </c>
      <c r="Y32" s="49">
        <v>1000000</v>
      </c>
      <c r="Z32" s="364" t="s">
        <v>118</v>
      </c>
      <c r="AA32" s="364" t="s">
        <v>118</v>
      </c>
      <c r="AB32" s="364" t="s">
        <v>118</v>
      </c>
      <c r="AC32" s="364" t="s">
        <v>118</v>
      </c>
      <c r="AD32" s="49"/>
      <c r="AE32" s="50"/>
      <c r="AF32" s="50"/>
      <c r="AG32" s="50"/>
      <c r="AH32" s="50"/>
      <c r="AI32" s="50"/>
      <c r="AJ32" s="50"/>
      <c r="AK32" s="50"/>
      <c r="AL32" s="50"/>
      <c r="AM32" s="50"/>
      <c r="AN32" s="32"/>
      <c r="AO32" s="51">
        <v>2073886</v>
      </c>
    </row>
    <row r="33" spans="3:41" s="63" customFormat="1" ht="19.149999999999999" customHeight="1" x14ac:dyDescent="0.2">
      <c r="C33" s="364" t="s">
        <v>119</v>
      </c>
      <c r="D33" s="364" t="s">
        <v>119</v>
      </c>
      <c r="E33" s="364" t="s">
        <v>119</v>
      </c>
      <c r="F33" s="364" t="s">
        <v>119</v>
      </c>
      <c r="G33" s="364" t="s">
        <v>119</v>
      </c>
      <c r="H33" s="54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364" t="s">
        <v>119</v>
      </c>
      <c r="V33" s="364" t="s">
        <v>119</v>
      </c>
      <c r="W33" s="364" t="s">
        <v>119</v>
      </c>
      <c r="X33" s="364" t="s">
        <v>119</v>
      </c>
      <c r="Y33" s="50"/>
      <c r="Z33" s="365" t="s">
        <v>119</v>
      </c>
      <c r="AA33" s="365" t="s">
        <v>119</v>
      </c>
      <c r="AB33" s="365" t="s">
        <v>119</v>
      </c>
      <c r="AC33" s="365" t="s">
        <v>119</v>
      </c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32"/>
      <c r="AO33" s="51"/>
    </row>
    <row r="34" spans="3:41" s="63" customFormat="1" ht="19.149999999999999" customHeight="1" x14ac:dyDescent="0.2">
      <c r="C34" s="364" t="s">
        <v>120</v>
      </c>
      <c r="D34" s="364" t="s">
        <v>120</v>
      </c>
      <c r="E34" s="364" t="s">
        <v>120</v>
      </c>
      <c r="F34" s="364" t="s">
        <v>120</v>
      </c>
      <c r="G34" s="364" t="s">
        <v>120</v>
      </c>
      <c r="H34" s="46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364" t="s">
        <v>120</v>
      </c>
      <c r="V34" s="364" t="s">
        <v>120</v>
      </c>
      <c r="W34" s="364" t="s">
        <v>120</v>
      </c>
      <c r="X34" s="364" t="s">
        <v>120</v>
      </c>
      <c r="Y34" s="49"/>
      <c r="Z34" s="365" t="s">
        <v>120</v>
      </c>
      <c r="AA34" s="365" t="s">
        <v>120</v>
      </c>
      <c r="AB34" s="365" t="s">
        <v>120</v>
      </c>
      <c r="AC34" s="365" t="s">
        <v>120</v>
      </c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32"/>
      <c r="AO34" s="51"/>
    </row>
    <row r="35" spans="3:41" s="63" customFormat="1" ht="19.149999999999999" customHeight="1" x14ac:dyDescent="0.2">
      <c r="C35" s="364" t="s">
        <v>121</v>
      </c>
      <c r="D35" s="364" t="s">
        <v>121</v>
      </c>
      <c r="E35" s="364" t="s">
        <v>121</v>
      </c>
      <c r="F35" s="364" t="s">
        <v>121</v>
      </c>
      <c r="G35" s="364" t="s">
        <v>121</v>
      </c>
      <c r="H35" s="54">
        <v>1073886</v>
      </c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364" t="s">
        <v>121</v>
      </c>
      <c r="V35" s="364" t="s">
        <v>121</v>
      </c>
      <c r="W35" s="364" t="s">
        <v>121</v>
      </c>
      <c r="X35" s="364" t="s">
        <v>121</v>
      </c>
      <c r="Y35" s="50">
        <v>1000000</v>
      </c>
      <c r="Z35" s="365" t="s">
        <v>121</v>
      </c>
      <c r="AA35" s="365" t="s">
        <v>121</v>
      </c>
      <c r="AB35" s="365" t="s">
        <v>121</v>
      </c>
      <c r="AC35" s="365" t="s">
        <v>121</v>
      </c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32"/>
      <c r="AO35" s="51">
        <v>2073886</v>
      </c>
    </row>
    <row r="36" spans="3:41" s="63" customFormat="1" ht="19.149999999999999" customHeight="1" x14ac:dyDescent="0.2">
      <c r="C36" s="364" t="s">
        <v>122</v>
      </c>
      <c r="D36" s="364" t="s">
        <v>122</v>
      </c>
      <c r="E36" s="364" t="s">
        <v>122</v>
      </c>
      <c r="F36" s="364" t="s">
        <v>122</v>
      </c>
      <c r="G36" s="364" t="s">
        <v>122</v>
      </c>
      <c r="H36" s="54">
        <v>1074897.46</v>
      </c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365" t="s">
        <v>123</v>
      </c>
      <c r="V36" s="365" t="s">
        <v>123</v>
      </c>
      <c r="W36" s="365" t="s">
        <v>123</v>
      </c>
      <c r="X36" s="365" t="s">
        <v>123</v>
      </c>
      <c r="Y36" s="50">
        <f>+Y29</f>
        <v>903454.83</v>
      </c>
      <c r="Z36" s="365" t="s">
        <v>123</v>
      </c>
      <c r="AA36" s="365" t="s">
        <v>123</v>
      </c>
      <c r="AB36" s="365" t="s">
        <v>123</v>
      </c>
      <c r="AC36" s="365" t="s">
        <v>123</v>
      </c>
      <c r="AD36" s="50">
        <v>999999.98</v>
      </c>
      <c r="AE36" s="50">
        <v>1000000</v>
      </c>
      <c r="AF36" s="50">
        <v>901000</v>
      </c>
      <c r="AG36" s="49">
        <v>690000</v>
      </c>
      <c r="AH36" s="50">
        <v>1000000</v>
      </c>
      <c r="AI36" s="50">
        <v>1000000</v>
      </c>
      <c r="AJ36" s="50">
        <v>900000</v>
      </c>
      <c r="AK36" s="50">
        <v>1350000</v>
      </c>
      <c r="AL36" s="50"/>
      <c r="AM36" s="50"/>
      <c r="AN36" s="32"/>
      <c r="AO36" s="51">
        <v>9799352.2699999996</v>
      </c>
    </row>
    <row r="37" spans="3:41" s="63" customFormat="1" ht="24.75" customHeight="1" x14ac:dyDescent="0.2">
      <c r="C37" s="364" t="s">
        <v>124</v>
      </c>
      <c r="D37" s="364" t="s">
        <v>124</v>
      </c>
      <c r="E37" s="364" t="s">
        <v>124</v>
      </c>
      <c r="F37" s="364" t="s">
        <v>124</v>
      </c>
      <c r="G37" s="364" t="s">
        <v>124</v>
      </c>
      <c r="H37" s="54">
        <v>-1011.45999999996</v>
      </c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364" t="s">
        <v>124</v>
      </c>
      <c r="V37" s="364" t="s">
        <v>124</v>
      </c>
      <c r="W37" s="364" t="s">
        <v>124</v>
      </c>
      <c r="X37" s="364" t="s">
        <v>124</v>
      </c>
      <c r="Y37" s="50">
        <f>+Y35-Y36</f>
        <v>96545.170000000042</v>
      </c>
      <c r="Z37" s="365" t="s">
        <v>124</v>
      </c>
      <c r="AA37" s="365" t="s">
        <v>124</v>
      </c>
      <c r="AB37" s="365" t="s">
        <v>124</v>
      </c>
      <c r="AC37" s="365" t="s">
        <v>124</v>
      </c>
      <c r="AD37" s="50">
        <v>-999999.98</v>
      </c>
      <c r="AE37" s="50">
        <v>-1000000</v>
      </c>
      <c r="AF37" s="50">
        <v>-901000</v>
      </c>
      <c r="AG37" s="50">
        <v>-690000</v>
      </c>
      <c r="AH37" s="50">
        <v>-1000000</v>
      </c>
      <c r="AI37" s="50">
        <v>-1000000</v>
      </c>
      <c r="AJ37" s="50">
        <v>-900000</v>
      </c>
      <c r="AK37" s="50">
        <v>-1350000</v>
      </c>
      <c r="AL37" s="50"/>
      <c r="AM37" s="50"/>
      <c r="AN37" s="32"/>
      <c r="AO37" s="51">
        <v>7725466.2699999996</v>
      </c>
    </row>
    <row r="38" spans="3:41" s="63" customFormat="1" ht="28.7" customHeight="1" x14ac:dyDescent="0.2"/>
  </sheetData>
  <mergeCells count="18">
    <mergeCell ref="C36:G36"/>
    <mergeCell ref="U36:X36"/>
    <mergeCell ref="Z36:AC36"/>
    <mergeCell ref="C37:G37"/>
    <mergeCell ref="U37:X37"/>
    <mergeCell ref="Z37:AC37"/>
    <mergeCell ref="C34:G34"/>
    <mergeCell ref="U34:X34"/>
    <mergeCell ref="Z34:AC34"/>
    <mergeCell ref="C35:G35"/>
    <mergeCell ref="U35:X35"/>
    <mergeCell ref="Z35:AC35"/>
    <mergeCell ref="C32:G32"/>
    <mergeCell ref="U32:X32"/>
    <mergeCell ref="Z32:AC32"/>
    <mergeCell ref="C33:G33"/>
    <mergeCell ref="U33:X33"/>
    <mergeCell ref="Z33:AC33"/>
  </mergeCells>
  <pageMargins left="0.11811023622047245" right="0.11811023622047245" top="1.2204724409448819" bottom="0.15748031496062992" header="0.59055118110236227" footer="0.31496062992125984"/>
  <pageSetup paperSize="9" scale="49" orientation="landscape" r:id="rId1"/>
  <headerFooter alignWithMargins="0">
    <oddHeader>&amp;L&amp;"Arial,Negrita"&amp;16&amp;UPla Obres CGCS 2017-2027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Z45"/>
  <sheetViews>
    <sheetView zoomScaleNormal="100" workbookViewId="0">
      <selection activeCell="B16" sqref="B16"/>
    </sheetView>
  </sheetViews>
  <sheetFormatPr baseColWidth="10" defaultColWidth="11.42578125" defaultRowHeight="15" x14ac:dyDescent="0.3"/>
  <cols>
    <col min="1" max="1" width="16.7109375" style="65" customWidth="1"/>
    <col min="2" max="2" width="19.85546875" style="72" bestFit="1" customWidth="1"/>
    <col min="3" max="3" width="16.7109375" style="72" customWidth="1"/>
    <col min="4" max="4" width="20.7109375" style="71" customWidth="1"/>
    <col min="5" max="5" width="18.28515625" style="71" customWidth="1"/>
    <col min="6" max="6" width="16.5703125" style="65" bestFit="1" customWidth="1"/>
    <col min="7" max="8" width="14.7109375" style="65" bestFit="1" customWidth="1"/>
    <col min="9" max="16384" width="11.42578125" style="65"/>
  </cols>
  <sheetData>
    <row r="1" spans="1:6" ht="18" x14ac:dyDescent="0.35">
      <c r="A1" s="66" t="s">
        <v>125</v>
      </c>
      <c r="B1" s="70"/>
      <c r="C1" s="70"/>
    </row>
    <row r="3" spans="1:6" ht="45" x14ac:dyDescent="0.3">
      <c r="A3" s="69" t="s">
        <v>126</v>
      </c>
      <c r="B3" s="69" t="s">
        <v>127</v>
      </c>
      <c r="C3" s="69" t="s">
        <v>128</v>
      </c>
      <c r="D3" s="69" t="s">
        <v>129</v>
      </c>
      <c r="E3" s="69" t="s">
        <v>130</v>
      </c>
      <c r="F3" s="69" t="s">
        <v>131</v>
      </c>
    </row>
    <row r="4" spans="1:6" x14ac:dyDescent="0.3">
      <c r="A4" s="67" t="s">
        <v>132</v>
      </c>
      <c r="B4" s="73">
        <f>+B6-B5</f>
        <v>869465.51</v>
      </c>
      <c r="C4" s="73" t="e">
        <f>+C6-C5</f>
        <v>#REF!</v>
      </c>
      <c r="D4" s="73" t="e">
        <f>+D6-D5</f>
        <v>#REF!</v>
      </c>
      <c r="E4" s="73" t="e">
        <f t="shared" ref="E4:E9" si="0">+C4-D4</f>
        <v>#REF!</v>
      </c>
      <c r="F4" s="100" t="e">
        <f t="shared" ref="F4:F9" si="1">+C4-B4</f>
        <v>#REF!</v>
      </c>
    </row>
    <row r="5" spans="1:6" x14ac:dyDescent="0.3">
      <c r="A5" s="67" t="s">
        <v>133</v>
      </c>
      <c r="B5" s="73">
        <f>+'PO cgcs_llistat BO'!Y26</f>
        <v>130534.49</v>
      </c>
      <c r="C5" s="73">
        <f>+B5</f>
        <v>130534.49</v>
      </c>
      <c r="D5" s="73" t="e">
        <f>+#REF!</f>
        <v>#REF!</v>
      </c>
      <c r="E5" s="73" t="e">
        <f t="shared" si="0"/>
        <v>#REF!</v>
      </c>
      <c r="F5" s="100">
        <f t="shared" si="1"/>
        <v>0</v>
      </c>
    </row>
    <row r="6" spans="1:6" x14ac:dyDescent="0.3">
      <c r="A6" s="75" t="s">
        <v>134</v>
      </c>
      <c r="B6" s="76">
        <f>+'PO cgcs_llistat BO'!Y32</f>
        <v>1000000</v>
      </c>
      <c r="C6" s="76" t="e">
        <f>+#REF!</f>
        <v>#REF!</v>
      </c>
      <c r="D6" s="76" t="e">
        <f>+#REF!</f>
        <v>#REF!</v>
      </c>
      <c r="E6" s="76" t="e">
        <f t="shared" si="0"/>
        <v>#REF!</v>
      </c>
      <c r="F6" s="101" t="e">
        <f t="shared" si="1"/>
        <v>#REF!</v>
      </c>
    </row>
    <row r="7" spans="1:6" x14ac:dyDescent="0.3">
      <c r="A7" s="67" t="s">
        <v>132</v>
      </c>
      <c r="B7" s="73" t="e">
        <f>+#REF!-B8-B6</f>
        <v>#REF!</v>
      </c>
      <c r="C7" s="73" t="e">
        <f>+#REF!-#REF!</f>
        <v>#REF!</v>
      </c>
      <c r="D7" s="73" t="e">
        <f>+#REF!-D8</f>
        <v>#REF!</v>
      </c>
      <c r="E7" s="73" t="e">
        <f t="shared" si="0"/>
        <v>#REF!</v>
      </c>
      <c r="F7" s="100" t="e">
        <f t="shared" si="1"/>
        <v>#REF!</v>
      </c>
    </row>
    <row r="8" spans="1:6" x14ac:dyDescent="0.3">
      <c r="A8" s="67" t="s">
        <v>133</v>
      </c>
      <c r="B8" s="73">
        <v>1300000</v>
      </c>
      <c r="C8" s="73" t="e">
        <f>+#REF!</f>
        <v>#REF!</v>
      </c>
      <c r="D8" s="73" t="e">
        <f>+#REF!</f>
        <v>#REF!</v>
      </c>
      <c r="E8" s="73" t="e">
        <f t="shared" si="0"/>
        <v>#REF!</v>
      </c>
      <c r="F8" s="100" t="e">
        <f t="shared" si="1"/>
        <v>#REF!</v>
      </c>
    </row>
    <row r="9" spans="1:6" x14ac:dyDescent="0.3">
      <c r="A9" s="75" t="s">
        <v>135</v>
      </c>
      <c r="B9" s="76" t="e">
        <f>+B8+B7</f>
        <v>#REF!</v>
      </c>
      <c r="C9" s="76" t="e">
        <f>+C8+C7</f>
        <v>#REF!</v>
      </c>
      <c r="D9" s="76" t="e">
        <f>+D8+D7</f>
        <v>#REF!</v>
      </c>
      <c r="E9" s="76" t="e">
        <f t="shared" si="0"/>
        <v>#REF!</v>
      </c>
      <c r="F9" s="101" t="e">
        <f t="shared" si="1"/>
        <v>#REF!</v>
      </c>
    </row>
    <row r="10" spans="1:6" x14ac:dyDescent="0.3">
      <c r="A10" s="68"/>
      <c r="B10" s="74" t="e">
        <f>+B9+B6</f>
        <v>#REF!</v>
      </c>
      <c r="C10" s="74" t="e">
        <f>+C9+C6</f>
        <v>#REF!</v>
      </c>
      <c r="D10" s="74" t="e">
        <f>+D9+D6</f>
        <v>#REF!</v>
      </c>
      <c r="E10" s="74" t="e">
        <f>+E9+E6</f>
        <v>#REF!</v>
      </c>
      <c r="F10" s="102" t="e">
        <f>+F9+F6</f>
        <v>#REF!</v>
      </c>
    </row>
    <row r="11" spans="1:6" x14ac:dyDescent="0.3">
      <c r="F11" s="71"/>
    </row>
    <row r="12" spans="1:6" x14ac:dyDescent="0.3">
      <c r="B12" s="103" t="e">
        <f>+'[45]resum PO 31.07'!$B$8-B7</f>
        <v>#REF!</v>
      </c>
      <c r="C12" s="103" t="e">
        <f>+C10-#REF!</f>
        <v>#REF!</v>
      </c>
      <c r="D12" s="103" t="e">
        <f>+D10-#REF!</f>
        <v>#REF!</v>
      </c>
      <c r="E12" s="103" t="e">
        <f>+E10-#REF!</f>
        <v>#REF!</v>
      </c>
      <c r="F12" s="103" t="e">
        <f>+F10+#REF!</f>
        <v>#REF!</v>
      </c>
    </row>
    <row r="13" spans="1:6" x14ac:dyDescent="0.3">
      <c r="B13" s="103"/>
      <c r="C13" s="103"/>
      <c r="D13" s="103"/>
      <c r="F13" s="71"/>
    </row>
    <row r="14" spans="1:6" x14ac:dyDescent="0.3">
      <c r="A14" s="91" t="s">
        <v>136</v>
      </c>
    </row>
    <row r="15" spans="1:6" x14ac:dyDescent="0.3">
      <c r="A15" s="78"/>
    </row>
    <row r="16" spans="1:6" ht="30" x14ac:dyDescent="0.3">
      <c r="A16" s="78"/>
      <c r="B16" s="130"/>
      <c r="D16" s="69" t="s">
        <v>129</v>
      </c>
    </row>
    <row r="17" spans="1:52" x14ac:dyDescent="0.3">
      <c r="A17" s="72"/>
      <c r="C17" s="67" t="s">
        <v>132</v>
      </c>
      <c r="D17" s="80">
        <v>24889.67</v>
      </c>
      <c r="AC17" s="77">
        <v>23530751.920000002</v>
      </c>
      <c r="AD17" s="65" t="s">
        <v>137</v>
      </c>
      <c r="AE17" s="77">
        <v>22776921.73</v>
      </c>
      <c r="AF17" s="77">
        <v>5544472.9699999997</v>
      </c>
      <c r="AG17" s="77">
        <v>320778.68</v>
      </c>
      <c r="AH17" s="77">
        <v>573558.80000000005</v>
      </c>
      <c r="AI17" s="77">
        <v>464176.3</v>
      </c>
      <c r="AJ17" s="65">
        <v>0</v>
      </c>
      <c r="AK17" s="77">
        <v>1358513.78</v>
      </c>
      <c r="AL17" s="77">
        <v>6902986.75</v>
      </c>
      <c r="AM17" s="77">
        <v>6093420.0099999998</v>
      </c>
      <c r="AO17" s="77">
        <v>5099.63</v>
      </c>
      <c r="AP17" s="77">
        <v>18444.349999999999</v>
      </c>
      <c r="AQ17" s="77">
        <v>297234.7</v>
      </c>
      <c r="AR17" s="77">
        <v>194264.53</v>
      </c>
      <c r="AS17" s="77">
        <v>154863.82</v>
      </c>
      <c r="AT17" s="77">
        <v>224430.45</v>
      </c>
      <c r="AU17" s="77">
        <v>427795.6</v>
      </c>
      <c r="AV17" s="77">
        <v>36380.699999999997</v>
      </c>
      <c r="AW17" s="65">
        <v>0</v>
      </c>
      <c r="AX17" s="65">
        <v>0</v>
      </c>
      <c r="AY17" s="65">
        <v>0</v>
      </c>
      <c r="AZ17" s="65">
        <v>0</v>
      </c>
    </row>
    <row r="18" spans="1:52" x14ac:dyDescent="0.3">
      <c r="A18" s="72"/>
      <c r="C18" s="67" t="s">
        <v>133</v>
      </c>
      <c r="D18" s="80">
        <v>17071.330000000002</v>
      </c>
      <c r="E18" s="106" t="s">
        <v>138</v>
      </c>
    </row>
    <row r="19" spans="1:52" x14ac:dyDescent="0.3">
      <c r="A19" s="72"/>
      <c r="C19" s="75" t="s">
        <v>134</v>
      </c>
      <c r="D19" s="79">
        <f>SUM(D17:D18)</f>
        <v>41961</v>
      </c>
    </row>
    <row r="20" spans="1:52" x14ac:dyDescent="0.3">
      <c r="A20" s="72"/>
      <c r="C20" s="67" t="s">
        <v>132</v>
      </c>
      <c r="D20" s="80">
        <f>2331796.91-237497.37</f>
        <v>2094299.54</v>
      </c>
    </row>
    <row r="21" spans="1:52" x14ac:dyDescent="0.3">
      <c r="A21" s="72"/>
      <c r="C21" s="67" t="s">
        <v>133</v>
      </c>
      <c r="D21" s="104">
        <f>843951.2-4642.33</f>
        <v>839308.87</v>
      </c>
      <c r="E21" s="106" t="s">
        <v>139</v>
      </c>
    </row>
    <row r="22" spans="1:52" x14ac:dyDescent="0.3">
      <c r="A22" s="72"/>
      <c r="C22" s="75" t="s">
        <v>135</v>
      </c>
      <c r="D22" s="79">
        <f>+D21+D20</f>
        <v>2933608.41</v>
      </c>
    </row>
    <row r="23" spans="1:52" x14ac:dyDescent="0.3">
      <c r="A23" s="72"/>
      <c r="C23" s="78"/>
    </row>
    <row r="24" spans="1:52" ht="30" x14ac:dyDescent="0.3">
      <c r="A24" s="72"/>
      <c r="C24" s="88" t="s">
        <v>140</v>
      </c>
      <c r="D24" s="69" t="s">
        <v>129</v>
      </c>
    </row>
    <row r="25" spans="1:52" x14ac:dyDescent="0.3">
      <c r="A25" s="72"/>
      <c r="C25" s="67" t="s">
        <v>132</v>
      </c>
      <c r="D25" s="80" t="e">
        <f t="shared" ref="D25:D30" si="2">+D17-D4</f>
        <v>#REF!</v>
      </c>
      <c r="E25" s="92" t="s">
        <v>141</v>
      </c>
    </row>
    <row r="26" spans="1:52" x14ac:dyDescent="0.3">
      <c r="A26" s="72"/>
      <c r="C26" s="67" t="s">
        <v>133</v>
      </c>
      <c r="D26" s="80" t="e">
        <f t="shared" si="2"/>
        <v>#REF!</v>
      </c>
      <c r="E26" s="92" t="s">
        <v>141</v>
      </c>
      <c r="S26" s="107" t="e">
        <f>2093370.3-D7</f>
        <v>#REF!</v>
      </c>
    </row>
    <row r="27" spans="1:52" x14ac:dyDescent="0.3">
      <c r="A27" s="72"/>
      <c r="C27" s="75" t="s">
        <v>134</v>
      </c>
      <c r="D27" s="79" t="e">
        <f t="shared" si="2"/>
        <v>#REF!</v>
      </c>
    </row>
    <row r="28" spans="1:52" x14ac:dyDescent="0.3">
      <c r="A28" s="72"/>
      <c r="C28" s="67" t="s">
        <v>132</v>
      </c>
      <c r="D28" s="129" t="e">
        <f t="shared" si="2"/>
        <v>#REF!</v>
      </c>
      <c r="E28" s="93"/>
    </row>
    <row r="29" spans="1:52" x14ac:dyDescent="0.3">
      <c r="A29" s="72"/>
      <c r="C29" s="67" t="s">
        <v>133</v>
      </c>
      <c r="D29" s="129" t="e">
        <f t="shared" si="2"/>
        <v>#REF!</v>
      </c>
    </row>
    <row r="30" spans="1:52" x14ac:dyDescent="0.3">
      <c r="A30" s="72"/>
      <c r="C30" s="75" t="s">
        <v>135</v>
      </c>
      <c r="D30" s="79" t="e">
        <f t="shared" si="2"/>
        <v>#REF!</v>
      </c>
    </row>
    <row r="31" spans="1:52" x14ac:dyDescent="0.3">
      <c r="A31" s="72"/>
      <c r="C31" s="78"/>
    </row>
    <row r="32" spans="1:52" x14ac:dyDescent="0.3">
      <c r="A32" s="72"/>
      <c r="C32" s="94" t="s">
        <v>142</v>
      </c>
    </row>
    <row r="33" spans="3:8" x14ac:dyDescent="0.3">
      <c r="C33" s="84" t="s">
        <v>143</v>
      </c>
      <c r="D33" s="84" t="s">
        <v>144</v>
      </c>
      <c r="E33" s="84" t="s">
        <v>145</v>
      </c>
      <c r="F33" s="85" t="s">
        <v>140</v>
      </c>
    </row>
    <row r="34" spans="3:8" x14ac:dyDescent="0.3">
      <c r="C34" s="90">
        <v>1</v>
      </c>
      <c r="D34" s="86">
        <v>0</v>
      </c>
      <c r="E34" s="86" t="e">
        <f>+#REF!</f>
        <v>#REF!</v>
      </c>
      <c r="F34" s="87" t="e">
        <f>+E34-D34</f>
        <v>#REF!</v>
      </c>
    </row>
    <row r="35" spans="3:8" x14ac:dyDescent="0.3">
      <c r="C35" s="89">
        <v>2</v>
      </c>
      <c r="D35" s="86">
        <v>47898.75</v>
      </c>
      <c r="E35" s="86" t="e">
        <f>+#REF!</f>
        <v>#REF!</v>
      </c>
      <c r="F35" s="87" t="e">
        <f t="shared" ref="F35:F42" si="3">+E35-D35</f>
        <v>#REF!</v>
      </c>
    </row>
    <row r="36" spans="3:8" x14ac:dyDescent="0.3">
      <c r="C36" s="89">
        <v>3</v>
      </c>
      <c r="D36" s="86">
        <v>57327.68</v>
      </c>
      <c r="E36" s="86" t="e">
        <f>+#REF!</f>
        <v>#REF!</v>
      </c>
      <c r="F36" s="87" t="e">
        <f t="shared" si="3"/>
        <v>#REF!</v>
      </c>
    </row>
    <row r="37" spans="3:8" x14ac:dyDescent="0.3">
      <c r="C37" s="89">
        <v>4</v>
      </c>
      <c r="D37" s="86">
        <v>149562.69</v>
      </c>
      <c r="E37" s="86" t="e">
        <f>+#REF!</f>
        <v>#REF!</v>
      </c>
      <c r="F37" s="87" t="e">
        <f t="shared" si="3"/>
        <v>#REF!</v>
      </c>
    </row>
    <row r="38" spans="3:8" x14ac:dyDescent="0.3">
      <c r="C38" s="89">
        <v>5</v>
      </c>
      <c r="D38" s="86">
        <v>198272.62</v>
      </c>
      <c r="E38" s="86" t="e">
        <f>+#REF!</f>
        <v>#REF!</v>
      </c>
      <c r="F38" s="87" t="e">
        <f t="shared" si="3"/>
        <v>#REF!</v>
      </c>
    </row>
    <row r="39" spans="3:8" x14ac:dyDescent="0.3">
      <c r="C39" s="89">
        <v>6</v>
      </c>
      <c r="D39" s="86">
        <v>77260.94</v>
      </c>
      <c r="E39" s="86" t="e">
        <f>+#REF!</f>
        <v>#REF!</v>
      </c>
      <c r="F39" s="87" t="e">
        <f t="shared" si="3"/>
        <v>#REF!</v>
      </c>
    </row>
    <row r="40" spans="3:8" x14ac:dyDescent="0.3">
      <c r="C40" s="89">
        <v>7</v>
      </c>
      <c r="D40" s="86">
        <v>113118.47</v>
      </c>
      <c r="E40" s="86" t="e">
        <f>+#REF!</f>
        <v>#REF!</v>
      </c>
      <c r="F40" s="87" t="e">
        <f t="shared" si="3"/>
        <v>#REF!</v>
      </c>
    </row>
    <row r="41" spans="3:8" x14ac:dyDescent="0.3">
      <c r="C41" s="89">
        <v>8</v>
      </c>
      <c r="D41" s="86">
        <v>63431.61</v>
      </c>
      <c r="E41" s="86" t="e">
        <f>+#REF!</f>
        <v>#REF!</v>
      </c>
      <c r="F41" s="87" t="e">
        <f t="shared" si="3"/>
        <v>#REF!</v>
      </c>
      <c r="G41" s="65">
        <v>254.66</v>
      </c>
      <c r="H41" s="107" t="e">
        <f>+G41+F41</f>
        <v>#REF!</v>
      </c>
    </row>
    <row r="42" spans="3:8" x14ac:dyDescent="0.3">
      <c r="C42" s="89">
        <v>9</v>
      </c>
      <c r="D42" s="86">
        <v>132436.10999999999</v>
      </c>
      <c r="E42" s="86" t="e">
        <f>+#REF!</f>
        <v>#REF!</v>
      </c>
      <c r="F42" s="87" t="e">
        <f t="shared" si="3"/>
        <v>#REF!</v>
      </c>
      <c r="H42" s="107"/>
    </row>
    <row r="43" spans="3:8" x14ac:dyDescent="0.3">
      <c r="C43" s="81"/>
      <c r="D43" s="83">
        <f>SUM(D34:D41)</f>
        <v>706872.75999999989</v>
      </c>
      <c r="E43" s="83" t="e">
        <f>SUM(E34:E42)</f>
        <v>#REF!</v>
      </c>
      <c r="F43" s="95" t="e">
        <f>SUM(F34:F41)</f>
        <v>#REF!</v>
      </c>
    </row>
    <row r="44" spans="3:8" x14ac:dyDescent="0.3">
      <c r="E44" s="81"/>
      <c r="F44" s="82"/>
    </row>
    <row r="45" spans="3:8" x14ac:dyDescent="0.3">
      <c r="C45" s="96"/>
    </row>
  </sheetData>
  <pageMargins left="0.27559055118110237" right="0.15748031496062992" top="0.84" bottom="0.35433070866141736" header="0.70866141732283472" footer="0.31496062992125984"/>
  <pageSetup paperSize="9" scale="9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AA38"/>
  <sheetViews>
    <sheetView tabSelected="1" showWhiteSpace="0" topLeftCell="E1" zoomScale="110" zoomScaleNormal="110" zoomScaleSheetLayoutView="110" workbookViewId="0">
      <pane ySplit="1" topLeftCell="A2" activePane="bottomLeft" state="frozen"/>
      <selection activeCell="AZ37" sqref="AZ37"/>
      <selection pane="bottomLeft" activeCell="M29" sqref="M29"/>
    </sheetView>
  </sheetViews>
  <sheetFormatPr baseColWidth="10" defaultColWidth="11.42578125" defaultRowHeight="12.75" x14ac:dyDescent="0.2"/>
  <cols>
    <col min="1" max="1" width="0.85546875" hidden="1" customWidth="1"/>
    <col min="2" max="2" width="0.42578125" hidden="1" customWidth="1"/>
    <col min="3" max="3" width="7.42578125" customWidth="1"/>
    <col min="4" max="4" width="50.85546875" customWidth="1"/>
    <col min="5" max="6" width="9" customWidth="1"/>
    <col min="7" max="7" width="16.85546875" customWidth="1"/>
    <col min="8" max="8" width="10.140625" customWidth="1"/>
    <col min="9" max="9" width="6.28515625" customWidth="1"/>
    <col min="10" max="10" width="8" style="238" customWidth="1"/>
    <col min="11" max="11" width="15.5703125" style="192" customWidth="1"/>
    <col min="12" max="12" width="11.140625" style="131" customWidth="1"/>
    <col min="13" max="14" width="15" style="131" customWidth="1"/>
    <col min="15" max="15" width="14.7109375" style="131" customWidth="1"/>
    <col min="16" max="16" width="15.28515625" style="131" customWidth="1"/>
    <col min="17" max="18" width="11.85546875" style="131" customWidth="1"/>
    <col min="19" max="23" width="13.7109375" style="131" customWidth="1"/>
    <col min="24" max="24" width="16.28515625" style="234" bestFit="1" customWidth="1"/>
    <col min="25" max="25" width="13.42578125" bestFit="1" customWidth="1"/>
    <col min="26" max="26" width="13" bestFit="1" customWidth="1"/>
    <col min="27" max="27" width="11.5703125" bestFit="1" customWidth="1"/>
  </cols>
  <sheetData>
    <row r="1" spans="2:25" s="105" customFormat="1" ht="36.75" thickBot="1" x14ac:dyDescent="0.25">
      <c r="B1" s="63"/>
      <c r="C1" s="281" t="s">
        <v>33</v>
      </c>
      <c r="D1" s="282" t="s">
        <v>34</v>
      </c>
      <c r="E1" s="215" t="s">
        <v>5</v>
      </c>
      <c r="F1" s="215" t="s">
        <v>35</v>
      </c>
      <c r="G1" s="270" t="s">
        <v>146</v>
      </c>
      <c r="H1" s="270" t="s">
        <v>147</v>
      </c>
      <c r="I1" s="215" t="s">
        <v>148</v>
      </c>
      <c r="J1" s="283" t="s">
        <v>149</v>
      </c>
      <c r="K1" s="215" t="s">
        <v>37</v>
      </c>
      <c r="L1" s="226" t="s">
        <v>150</v>
      </c>
      <c r="M1" s="226" t="s">
        <v>151</v>
      </c>
      <c r="N1" s="226" t="s">
        <v>152</v>
      </c>
      <c r="O1" s="226" t="s">
        <v>153</v>
      </c>
      <c r="P1" s="310" t="s">
        <v>417</v>
      </c>
      <c r="Q1" s="312" t="s">
        <v>418</v>
      </c>
      <c r="R1" s="312" t="s">
        <v>154</v>
      </c>
      <c r="S1" s="160" t="s">
        <v>67</v>
      </c>
      <c r="T1" s="160" t="s">
        <v>68</v>
      </c>
      <c r="U1" s="160" t="s">
        <v>69</v>
      </c>
      <c r="V1" s="160" t="s">
        <v>155</v>
      </c>
      <c r="W1" s="299" t="s">
        <v>156</v>
      </c>
      <c r="X1" s="232"/>
      <c r="Y1" s="63"/>
    </row>
    <row r="2" spans="2:25" s="225" customFormat="1" ht="14.25" customHeight="1" x14ac:dyDescent="0.2">
      <c r="B2" s="239"/>
      <c r="C2" s="256" t="s">
        <v>157</v>
      </c>
      <c r="D2" s="216" t="s">
        <v>397</v>
      </c>
      <c r="E2" s="344" t="s">
        <v>158</v>
      </c>
      <c r="F2" s="216" t="s">
        <v>96</v>
      </c>
      <c r="G2" s="216"/>
      <c r="H2" s="216"/>
      <c r="I2" s="268">
        <v>3440</v>
      </c>
      <c r="J2" s="284">
        <f t="shared" ref="J2:J5" si="0">W2/I2</f>
        <v>2706.3953488372094</v>
      </c>
      <c r="K2" s="217" t="s">
        <v>389</v>
      </c>
      <c r="L2" s="237">
        <v>100000</v>
      </c>
      <c r="M2" s="237">
        <v>200000</v>
      </c>
      <c r="N2" s="237">
        <v>6000000</v>
      </c>
      <c r="O2" s="237">
        <v>3000000</v>
      </c>
      <c r="P2" s="311">
        <v>10000</v>
      </c>
      <c r="Q2" s="240">
        <f>+IFERROR(VLOOKUP(C2,#REF!,50,FALSE),0)</f>
        <v>0</v>
      </c>
      <c r="R2" s="254">
        <f>S2-Q2</f>
        <v>0</v>
      </c>
      <c r="S2" s="237"/>
      <c r="T2" s="237"/>
      <c r="U2" s="237"/>
      <c r="V2" s="237"/>
      <c r="W2" s="237">
        <f>L2+M2+N2+O2+S2+T2+U2+V2+P2</f>
        <v>9310000</v>
      </c>
      <c r="X2" s="249"/>
    </row>
    <row r="3" spans="2:25" s="225" customFormat="1" ht="14.25" customHeight="1" x14ac:dyDescent="0.2">
      <c r="B3" s="239"/>
      <c r="C3" s="256" t="s">
        <v>159</v>
      </c>
      <c r="D3" s="216" t="s">
        <v>400</v>
      </c>
      <c r="E3" s="344" t="s">
        <v>158</v>
      </c>
      <c r="F3" s="216" t="s">
        <v>160</v>
      </c>
      <c r="G3" s="216"/>
      <c r="H3" s="216"/>
      <c r="I3" s="268">
        <v>188.17</v>
      </c>
      <c r="J3" s="284">
        <f t="shared" si="0"/>
        <v>7017.590476696605</v>
      </c>
      <c r="K3" s="217" t="s">
        <v>390</v>
      </c>
      <c r="L3" s="237"/>
      <c r="M3" s="237">
        <v>60000</v>
      </c>
      <c r="N3" s="237">
        <v>260000</v>
      </c>
      <c r="O3" s="237">
        <v>1000000</v>
      </c>
      <c r="P3" s="311">
        <v>500</v>
      </c>
      <c r="Q3" s="240">
        <f>+IFERROR(VLOOKUP(C3,#REF!,50,FALSE),0)</f>
        <v>0</v>
      </c>
      <c r="R3" s="254">
        <f t="shared" ref="R3:R5" si="1">S3-Q3</f>
        <v>0</v>
      </c>
      <c r="S3" s="237"/>
      <c r="T3" s="237"/>
      <c r="U3" s="237"/>
      <c r="V3" s="237"/>
      <c r="W3" s="237">
        <f t="shared" ref="W3:W27" si="2">L3+M3+N3+O3+S3+T3+U3+V3+P3</f>
        <v>1320500</v>
      </c>
      <c r="X3" s="249"/>
    </row>
    <row r="4" spans="2:25" s="225" customFormat="1" ht="14.25" customHeight="1" x14ac:dyDescent="0.2">
      <c r="B4" s="239"/>
      <c r="C4" s="256" t="s">
        <v>161</v>
      </c>
      <c r="D4" s="216" t="s">
        <v>401</v>
      </c>
      <c r="E4" s="344" t="s">
        <v>158</v>
      </c>
      <c r="F4" s="216" t="s">
        <v>91</v>
      </c>
      <c r="G4" s="216"/>
      <c r="H4" s="216"/>
      <c r="I4" s="268">
        <v>52.78</v>
      </c>
      <c r="J4" s="284">
        <f t="shared" si="0"/>
        <v>10231.148162182644</v>
      </c>
      <c r="K4" s="217" t="s">
        <v>390</v>
      </c>
      <c r="L4" s="237"/>
      <c r="M4" s="237"/>
      <c r="N4" s="237">
        <v>30000</v>
      </c>
      <c r="O4" s="237">
        <v>500000</v>
      </c>
      <c r="P4" s="311">
        <v>10000</v>
      </c>
      <c r="Q4" s="240">
        <f>+IFERROR(VLOOKUP(C4,#REF!,50,FALSE),0)</f>
        <v>0</v>
      </c>
      <c r="R4" s="254">
        <f t="shared" si="1"/>
        <v>0</v>
      </c>
      <c r="S4" s="237"/>
      <c r="T4" s="237"/>
      <c r="U4" s="237"/>
      <c r="V4" s="237"/>
      <c r="W4" s="237">
        <f t="shared" si="2"/>
        <v>540000</v>
      </c>
      <c r="X4" s="249"/>
    </row>
    <row r="5" spans="2:25" s="225" customFormat="1" ht="14.25" customHeight="1" thickBot="1" x14ac:dyDescent="0.25">
      <c r="B5" s="239"/>
      <c r="C5" s="256" t="s">
        <v>163</v>
      </c>
      <c r="D5" s="216" t="s">
        <v>402</v>
      </c>
      <c r="E5" s="344" t="s">
        <v>158</v>
      </c>
      <c r="F5" s="216" t="s">
        <v>164</v>
      </c>
      <c r="G5" s="269" t="s">
        <v>399</v>
      </c>
      <c r="H5" s="216"/>
      <c r="I5" s="268">
        <v>210</v>
      </c>
      <c r="J5" s="284">
        <f t="shared" si="0"/>
        <v>880.95238095238096</v>
      </c>
      <c r="K5" s="217" t="s">
        <v>391</v>
      </c>
      <c r="L5" s="237"/>
      <c r="M5" s="237">
        <v>50000</v>
      </c>
      <c r="N5" s="237">
        <v>5000</v>
      </c>
      <c r="O5" s="237">
        <v>100000</v>
      </c>
      <c r="P5" s="311">
        <v>30000</v>
      </c>
      <c r="Q5" s="240">
        <f>+IFERROR(VLOOKUP(C5,#REF!,50,FALSE),0)</f>
        <v>0</v>
      </c>
      <c r="R5" s="254">
        <f t="shared" si="1"/>
        <v>0</v>
      </c>
      <c r="S5" s="237"/>
      <c r="T5" s="237"/>
      <c r="U5" s="237"/>
      <c r="V5" s="237"/>
      <c r="W5" s="237">
        <f t="shared" si="2"/>
        <v>185000</v>
      </c>
      <c r="X5" s="249"/>
    </row>
    <row r="6" spans="2:25" s="225" customFormat="1" ht="18.95" customHeight="1" thickBot="1" x14ac:dyDescent="0.25">
      <c r="B6" s="201"/>
      <c r="C6" s="218" t="s">
        <v>167</v>
      </c>
      <c r="D6" s="219"/>
      <c r="E6" s="219"/>
      <c r="F6" s="219"/>
      <c r="G6" s="219"/>
      <c r="H6" s="219"/>
      <c r="I6" s="219"/>
      <c r="J6" s="285"/>
      <c r="K6" s="220"/>
      <c r="L6" s="221">
        <f>SUM(L2:L5)</f>
        <v>100000</v>
      </c>
      <c r="M6" s="221">
        <f t="shared" ref="M6:W6" si="3">SUM(M2:M5)</f>
        <v>310000</v>
      </c>
      <c r="N6" s="221">
        <f t="shared" si="3"/>
        <v>6295000</v>
      </c>
      <c r="O6" s="221">
        <f t="shared" si="3"/>
        <v>4600000</v>
      </c>
      <c r="P6" s="221">
        <f t="shared" si="3"/>
        <v>50500</v>
      </c>
      <c r="Q6" s="221">
        <f t="shared" si="3"/>
        <v>0</v>
      </c>
      <c r="R6" s="221">
        <f t="shared" si="3"/>
        <v>0</v>
      </c>
      <c r="S6" s="221">
        <f t="shared" si="3"/>
        <v>0</v>
      </c>
      <c r="T6" s="221">
        <f t="shared" si="3"/>
        <v>0</v>
      </c>
      <c r="U6" s="221">
        <f t="shared" si="3"/>
        <v>0</v>
      </c>
      <c r="V6" s="221">
        <f t="shared" si="3"/>
        <v>0</v>
      </c>
      <c r="W6" s="221">
        <f t="shared" si="3"/>
        <v>11355500</v>
      </c>
      <c r="X6" s="249"/>
    </row>
    <row r="7" spans="2:25" s="225" customFormat="1" x14ac:dyDescent="0.2">
      <c r="B7" s="239"/>
      <c r="C7" s="195" t="s">
        <v>168</v>
      </c>
      <c r="D7" s="196" t="s">
        <v>403</v>
      </c>
      <c r="E7" s="345" t="s">
        <v>158</v>
      </c>
      <c r="F7" s="195" t="s">
        <v>169</v>
      </c>
      <c r="G7" s="196"/>
      <c r="H7" s="196"/>
      <c r="I7" s="279">
        <v>680.9</v>
      </c>
      <c r="J7" s="286">
        <f>W7/I7</f>
        <v>4655.6028785431045</v>
      </c>
      <c r="K7" s="196" t="s">
        <v>395</v>
      </c>
      <c r="L7" s="242"/>
      <c r="M7" s="250"/>
      <c r="N7" s="237"/>
      <c r="O7" s="237">
        <v>20000</v>
      </c>
      <c r="P7" s="311">
        <v>150000</v>
      </c>
      <c r="Q7" s="240">
        <v>15000</v>
      </c>
      <c r="R7" s="254">
        <f t="shared" ref="R7:R8" si="4">S7-Q7</f>
        <v>2985000</v>
      </c>
      <c r="S7" s="237">
        <v>3000000</v>
      </c>
      <c r="T7" s="237"/>
      <c r="U7" s="237"/>
      <c r="V7" s="237"/>
      <c r="W7" s="237">
        <f t="shared" si="2"/>
        <v>3170000</v>
      </c>
      <c r="X7" s="243"/>
      <c r="Y7" s="241"/>
    </row>
    <row r="8" spans="2:25" s="225" customFormat="1" ht="13.5" thickBot="1" x14ac:dyDescent="0.25">
      <c r="B8" s="239"/>
      <c r="C8" s="195" t="s">
        <v>170</v>
      </c>
      <c r="D8" s="196" t="s">
        <v>404</v>
      </c>
      <c r="E8" s="345" t="s">
        <v>158</v>
      </c>
      <c r="F8" s="195" t="s">
        <v>171</v>
      </c>
      <c r="G8" s="196"/>
      <c r="H8" s="196"/>
      <c r="I8" s="279">
        <v>1155</v>
      </c>
      <c r="J8" s="286">
        <f>W8/I8</f>
        <v>5879.6536796536793</v>
      </c>
      <c r="K8" s="196" t="s">
        <v>389</v>
      </c>
      <c r="L8" s="242"/>
      <c r="M8" s="250"/>
      <c r="N8" s="237">
        <v>1000</v>
      </c>
      <c r="O8" s="237">
        <v>90000</v>
      </c>
      <c r="P8" s="311">
        <v>200000</v>
      </c>
      <c r="Q8" s="240">
        <v>7500</v>
      </c>
      <c r="R8" s="254">
        <f t="shared" si="4"/>
        <v>492500</v>
      </c>
      <c r="S8" s="237">
        <v>500000</v>
      </c>
      <c r="T8" s="237">
        <v>6000000</v>
      </c>
      <c r="U8" s="237"/>
      <c r="V8" s="237"/>
      <c r="W8" s="237">
        <f t="shared" si="2"/>
        <v>6791000</v>
      </c>
      <c r="X8" s="243"/>
      <c r="Y8" s="241"/>
    </row>
    <row r="9" spans="2:25" s="255" customFormat="1" ht="18.95" customHeight="1" thickBot="1" x14ac:dyDescent="0.25">
      <c r="B9" s="194"/>
      <c r="C9" s="197" t="s">
        <v>173</v>
      </c>
      <c r="D9" s="198"/>
      <c r="E9" s="198"/>
      <c r="F9" s="198"/>
      <c r="G9" s="198"/>
      <c r="H9" s="198"/>
      <c r="I9" s="198"/>
      <c r="J9" s="287"/>
      <c r="K9" s="199"/>
      <c r="L9" s="200">
        <f t="shared" ref="L9:W9" si="5">SUM(L7:L8)</f>
        <v>0</v>
      </c>
      <c r="M9" s="200">
        <f t="shared" si="5"/>
        <v>0</v>
      </c>
      <c r="N9" s="200">
        <f t="shared" si="5"/>
        <v>1000</v>
      </c>
      <c r="O9" s="200">
        <f t="shared" si="5"/>
        <v>110000</v>
      </c>
      <c r="P9" s="200">
        <f t="shared" si="5"/>
        <v>350000</v>
      </c>
      <c r="Q9" s="200">
        <f t="shared" si="5"/>
        <v>22500</v>
      </c>
      <c r="R9" s="200">
        <f t="shared" si="5"/>
        <v>3477500</v>
      </c>
      <c r="S9" s="200">
        <f t="shared" si="5"/>
        <v>3500000</v>
      </c>
      <c r="T9" s="200">
        <f t="shared" si="5"/>
        <v>6000000</v>
      </c>
      <c r="U9" s="200">
        <f t="shared" si="5"/>
        <v>0</v>
      </c>
      <c r="V9" s="200">
        <f t="shared" si="5"/>
        <v>0</v>
      </c>
      <c r="W9" s="200">
        <f t="shared" si="5"/>
        <v>9961000</v>
      </c>
      <c r="X9" s="243"/>
    </row>
    <row r="10" spans="2:25" s="225" customFormat="1" ht="13.5" thickBot="1" x14ac:dyDescent="0.25">
      <c r="C10" s="349"/>
      <c r="D10" s="350" t="s">
        <v>405</v>
      </c>
      <c r="E10" s="351"/>
      <c r="F10" s="349"/>
      <c r="G10" s="352"/>
      <c r="H10" s="353"/>
      <c r="I10" s="354"/>
      <c r="J10" s="355"/>
      <c r="K10" s="349"/>
      <c r="L10" s="237"/>
      <c r="M10" s="237"/>
      <c r="N10" s="237"/>
      <c r="O10" s="237"/>
      <c r="P10" s="311"/>
      <c r="Q10" s="240">
        <f>+IFERROR(VLOOKUP(C10,#REF!,50,FALSE),0)</f>
        <v>0</v>
      </c>
      <c r="R10" s="254">
        <f t="shared" ref="R10" si="6">S10-Q10</f>
        <v>0</v>
      </c>
      <c r="S10" s="237"/>
      <c r="T10" s="237"/>
      <c r="U10" s="237"/>
      <c r="V10" s="237"/>
      <c r="W10" s="237"/>
      <c r="X10" s="249"/>
    </row>
    <row r="11" spans="2:25" s="225" customFormat="1" ht="18.95" customHeight="1" thickBot="1" x14ac:dyDescent="0.25">
      <c r="B11" s="201"/>
      <c r="C11" s="356" t="s">
        <v>174</v>
      </c>
      <c r="D11" s="357"/>
      <c r="E11" s="357"/>
      <c r="F11" s="357"/>
      <c r="G11" s="357"/>
      <c r="H11" s="357"/>
      <c r="I11" s="357"/>
      <c r="J11" s="358"/>
      <c r="K11" s="359"/>
      <c r="L11" s="360">
        <f>+SUM(L10)</f>
        <v>0</v>
      </c>
      <c r="M11" s="360">
        <f t="shared" ref="M11:W11" si="7">+SUM(M10)</f>
        <v>0</v>
      </c>
      <c r="N11" s="360">
        <f t="shared" si="7"/>
        <v>0</v>
      </c>
      <c r="O11" s="360">
        <f t="shared" si="7"/>
        <v>0</v>
      </c>
      <c r="P11" s="360">
        <f t="shared" si="7"/>
        <v>0</v>
      </c>
      <c r="Q11" s="360">
        <f t="shared" si="7"/>
        <v>0</v>
      </c>
      <c r="R11" s="360">
        <f t="shared" si="7"/>
        <v>0</v>
      </c>
      <c r="S11" s="360">
        <f t="shared" si="7"/>
        <v>0</v>
      </c>
      <c r="T11" s="360">
        <f t="shared" si="7"/>
        <v>0</v>
      </c>
      <c r="U11" s="360">
        <f t="shared" si="7"/>
        <v>0</v>
      </c>
      <c r="V11" s="360">
        <f t="shared" si="7"/>
        <v>0</v>
      </c>
      <c r="W11" s="360">
        <f t="shared" si="7"/>
        <v>0</v>
      </c>
      <c r="X11" s="249"/>
    </row>
    <row r="12" spans="2:25" s="225" customFormat="1" ht="13.5" thickBot="1" x14ac:dyDescent="0.25">
      <c r="C12" s="161" t="s">
        <v>175</v>
      </c>
      <c r="D12" s="248" t="s">
        <v>406</v>
      </c>
      <c r="E12" s="346" t="s">
        <v>158</v>
      </c>
      <c r="F12" s="161" t="s">
        <v>176</v>
      </c>
      <c r="G12" s="269" t="s">
        <v>414</v>
      </c>
      <c r="H12" s="318">
        <v>200000</v>
      </c>
      <c r="I12" s="280" t="s">
        <v>177</v>
      </c>
      <c r="J12" s="288">
        <f>W12/I12</f>
        <v>4454.7872340425529</v>
      </c>
      <c r="K12" s="161" t="s">
        <v>389</v>
      </c>
      <c r="L12" s="237"/>
      <c r="M12" s="237"/>
      <c r="N12" s="237"/>
      <c r="O12" s="237"/>
      <c r="P12" s="311"/>
      <c r="Q12" s="240">
        <f>+IFERROR(VLOOKUP(C12,#REF!,50,FALSE),0)</f>
        <v>0</v>
      </c>
      <c r="R12" s="254">
        <f t="shared" ref="R12" si="8">S12-Q12</f>
        <v>150000</v>
      </c>
      <c r="S12" s="237">
        <v>150000</v>
      </c>
      <c r="T12" s="237">
        <v>2400000</v>
      </c>
      <c r="U12" s="237">
        <v>800000</v>
      </c>
      <c r="V12" s="237"/>
      <c r="W12" s="237">
        <f t="shared" si="2"/>
        <v>3350000</v>
      </c>
      <c r="X12" s="249"/>
    </row>
    <row r="13" spans="2:25" s="225" customFormat="1" ht="18.95" customHeight="1" thickBot="1" x14ac:dyDescent="0.25">
      <c r="B13" s="201"/>
      <c r="C13" s="162" t="s">
        <v>178</v>
      </c>
      <c r="D13" s="202"/>
      <c r="E13" s="202"/>
      <c r="F13" s="202"/>
      <c r="G13" s="202"/>
      <c r="H13" s="202"/>
      <c r="I13" s="202"/>
      <c r="J13" s="289"/>
      <c r="K13" s="203"/>
      <c r="L13" s="204">
        <f t="shared" ref="L13:W13" si="9">SUM(L12:L12)</f>
        <v>0</v>
      </c>
      <c r="M13" s="204">
        <f t="shared" si="9"/>
        <v>0</v>
      </c>
      <c r="N13" s="204">
        <f t="shared" si="9"/>
        <v>0</v>
      </c>
      <c r="O13" s="204">
        <f t="shared" si="9"/>
        <v>0</v>
      </c>
      <c r="P13" s="204">
        <f t="shared" si="9"/>
        <v>0</v>
      </c>
      <c r="Q13" s="204">
        <f t="shared" si="9"/>
        <v>0</v>
      </c>
      <c r="R13" s="204">
        <f t="shared" si="9"/>
        <v>150000</v>
      </c>
      <c r="S13" s="204">
        <f t="shared" si="9"/>
        <v>150000</v>
      </c>
      <c r="T13" s="204">
        <f t="shared" si="9"/>
        <v>2400000</v>
      </c>
      <c r="U13" s="204">
        <f t="shared" si="9"/>
        <v>800000</v>
      </c>
      <c r="V13" s="204">
        <f t="shared" si="9"/>
        <v>0</v>
      </c>
      <c r="W13" s="204">
        <f t="shared" si="9"/>
        <v>3350000</v>
      </c>
      <c r="X13" s="249"/>
    </row>
    <row r="14" spans="2:25" s="225" customFormat="1" x14ac:dyDescent="0.2">
      <c r="C14" s="313" t="s">
        <v>179</v>
      </c>
      <c r="D14" s="314" t="s">
        <v>407</v>
      </c>
      <c r="E14" s="347" t="s">
        <v>158</v>
      </c>
      <c r="F14" s="313" t="s">
        <v>180</v>
      </c>
      <c r="G14" s="313"/>
      <c r="H14" s="313"/>
      <c r="I14" s="315">
        <v>3439</v>
      </c>
      <c r="J14" s="316">
        <f>W14/I14</f>
        <v>756.033730735679</v>
      </c>
      <c r="K14" s="313" t="s">
        <v>394</v>
      </c>
      <c r="L14" s="237"/>
      <c r="M14" s="237"/>
      <c r="N14" s="237"/>
      <c r="O14" s="237"/>
      <c r="P14" s="311"/>
      <c r="Q14" s="240">
        <f>+IFERROR(VLOOKUP(C14,#REF!,50,FALSE),0)</f>
        <v>0</v>
      </c>
      <c r="R14" s="254">
        <f t="shared" ref="R14" si="10">S14-Q14</f>
        <v>100000</v>
      </c>
      <c r="S14" s="237">
        <v>100000</v>
      </c>
      <c r="T14" s="237">
        <v>2500000</v>
      </c>
      <c r="U14" s="237"/>
      <c r="V14" s="237"/>
      <c r="W14" s="237">
        <f t="shared" ref="W14" si="11">L14+M14+N14+O14+S14+T14+U14+V14+P14</f>
        <v>2600000</v>
      </c>
      <c r="X14" s="249"/>
    </row>
    <row r="15" spans="2:25" s="225" customFormat="1" ht="13.5" thickBot="1" x14ac:dyDescent="0.25">
      <c r="C15" s="313" t="s">
        <v>181</v>
      </c>
      <c r="D15" s="314" t="s">
        <v>408</v>
      </c>
      <c r="E15" s="347" t="s">
        <v>158</v>
      </c>
      <c r="F15" s="313" t="s">
        <v>172</v>
      </c>
      <c r="G15" s="269" t="s">
        <v>415</v>
      </c>
      <c r="H15" s="318">
        <v>15000</v>
      </c>
      <c r="I15" s="315" t="s">
        <v>182</v>
      </c>
      <c r="J15" s="316">
        <f>W15/I15</f>
        <v>3643.7613019891501</v>
      </c>
      <c r="K15" s="313" t="s">
        <v>396</v>
      </c>
      <c r="L15" s="237"/>
      <c r="M15" s="237"/>
      <c r="N15" s="237"/>
      <c r="O15" s="237"/>
      <c r="P15" s="311"/>
      <c r="Q15" s="240">
        <f>+IFERROR(VLOOKUP(C15,#REF!,50,FALSE),0)</f>
        <v>0</v>
      </c>
      <c r="R15" s="254">
        <f t="shared" ref="R15" si="12">S15-Q15</f>
        <v>15000</v>
      </c>
      <c r="S15" s="237">
        <v>15000</v>
      </c>
      <c r="T15" s="237">
        <v>2000000</v>
      </c>
      <c r="U15" s="237"/>
      <c r="V15" s="237"/>
      <c r="W15" s="237">
        <f>L15+M15+N15+O15+S15+T15+U15+V15+P15</f>
        <v>2015000</v>
      </c>
      <c r="X15" s="249"/>
    </row>
    <row r="16" spans="2:25" s="225" customFormat="1" ht="18.95" customHeight="1" thickBot="1" x14ac:dyDescent="0.25">
      <c r="B16" s="201"/>
      <c r="C16" s="305" t="s">
        <v>183</v>
      </c>
      <c r="D16" s="306"/>
      <c r="E16" s="306"/>
      <c r="F16" s="306"/>
      <c r="G16" s="306"/>
      <c r="H16" s="306"/>
      <c r="I16" s="306"/>
      <c r="J16" s="307"/>
      <c r="K16" s="308"/>
      <c r="L16" s="309">
        <f t="shared" ref="L16:R16" si="13">+SUM(L14:L15)</f>
        <v>0</v>
      </c>
      <c r="M16" s="309">
        <f t="shared" si="13"/>
        <v>0</v>
      </c>
      <c r="N16" s="309">
        <f t="shared" si="13"/>
        <v>0</v>
      </c>
      <c r="O16" s="309">
        <f t="shared" si="13"/>
        <v>0</v>
      </c>
      <c r="P16" s="309">
        <f t="shared" si="13"/>
        <v>0</v>
      </c>
      <c r="Q16" s="309">
        <f t="shared" si="13"/>
        <v>0</v>
      </c>
      <c r="R16" s="309">
        <f t="shared" si="13"/>
        <v>115000</v>
      </c>
      <c r="S16" s="309">
        <f>+SUM(S14:S15)</f>
        <v>115000</v>
      </c>
      <c r="T16" s="309">
        <f t="shared" ref="T16:W16" si="14">+SUM(T14:T15)</f>
        <v>4500000</v>
      </c>
      <c r="U16" s="309">
        <f t="shared" si="14"/>
        <v>0</v>
      </c>
      <c r="V16" s="309">
        <f t="shared" si="14"/>
        <v>0</v>
      </c>
      <c r="W16" s="309">
        <f t="shared" si="14"/>
        <v>4615000</v>
      </c>
      <c r="X16" s="249"/>
    </row>
    <row r="17" spans="1:27" s="225" customFormat="1" ht="13.5" thickBot="1" x14ac:dyDescent="0.25">
      <c r="B17" s="239"/>
      <c r="C17" s="264"/>
      <c r="D17" s="304" t="s">
        <v>409</v>
      </c>
      <c r="E17" s="264" t="s">
        <v>158</v>
      </c>
      <c r="F17" s="265" t="s">
        <v>184</v>
      </c>
      <c r="G17" s="304"/>
      <c r="H17" s="304"/>
      <c r="I17" s="266"/>
      <c r="J17" s="290"/>
      <c r="K17" s="267" t="s">
        <v>392</v>
      </c>
      <c r="L17" s="253"/>
      <c r="M17" s="253"/>
      <c r="N17" s="237"/>
      <c r="O17" s="237"/>
      <c r="P17" s="311"/>
      <c r="Q17" s="240">
        <f>+IFERROR(VLOOKUP(C17,#REF!,50,FALSE),0)</f>
        <v>0</v>
      </c>
      <c r="R17" s="254">
        <f>S17-Q17</f>
        <v>0</v>
      </c>
      <c r="S17" s="237"/>
      <c r="T17" s="237">
        <v>500000</v>
      </c>
      <c r="U17" s="237">
        <f>1900000-T17</f>
        <v>1400000</v>
      </c>
      <c r="V17" s="237"/>
      <c r="W17" s="253">
        <f>L17+M17+N17+O17+S17+T17+U17+V17+P17</f>
        <v>1900000</v>
      </c>
      <c r="X17" s="249"/>
    </row>
    <row r="18" spans="1:27" s="225" customFormat="1" ht="18.95" customHeight="1" thickBot="1" x14ac:dyDescent="0.25">
      <c r="B18" s="201"/>
      <c r="C18" s="260" t="s">
        <v>185</v>
      </c>
      <c r="D18" s="261"/>
      <c r="E18" s="261"/>
      <c r="F18" s="261"/>
      <c r="G18" s="261"/>
      <c r="H18" s="261"/>
      <c r="I18" s="261"/>
      <c r="J18" s="291"/>
      <c r="K18" s="262"/>
      <c r="L18" s="263">
        <f>SUM(L17)</f>
        <v>0</v>
      </c>
      <c r="M18" s="263">
        <f t="shared" ref="M18:W18" si="15">SUM(M17)</f>
        <v>0</v>
      </c>
      <c r="N18" s="263">
        <f t="shared" si="15"/>
        <v>0</v>
      </c>
      <c r="O18" s="263">
        <f t="shared" si="15"/>
        <v>0</v>
      </c>
      <c r="P18" s="263">
        <f t="shared" si="15"/>
        <v>0</v>
      </c>
      <c r="Q18" s="263">
        <f t="shared" si="15"/>
        <v>0</v>
      </c>
      <c r="R18" s="263">
        <f t="shared" si="15"/>
        <v>0</v>
      </c>
      <c r="S18" s="263">
        <f t="shared" si="15"/>
        <v>0</v>
      </c>
      <c r="T18" s="263">
        <f t="shared" si="15"/>
        <v>500000</v>
      </c>
      <c r="U18" s="263">
        <f t="shared" si="15"/>
        <v>1400000</v>
      </c>
      <c r="V18" s="263">
        <f t="shared" si="15"/>
        <v>0</v>
      </c>
      <c r="W18" s="263">
        <f t="shared" si="15"/>
        <v>1900000</v>
      </c>
      <c r="X18" s="249"/>
    </row>
    <row r="19" spans="1:27" s="225" customFormat="1" x14ac:dyDescent="0.2">
      <c r="B19" s="201"/>
      <c r="C19" s="244"/>
      <c r="D19" s="148" t="s">
        <v>410</v>
      </c>
      <c r="E19" s="348" t="s">
        <v>186</v>
      </c>
      <c r="F19" s="148" t="s">
        <v>87</v>
      </c>
      <c r="G19" s="269" t="s">
        <v>416</v>
      </c>
      <c r="H19" s="318">
        <v>200000</v>
      </c>
      <c r="I19" s="148"/>
      <c r="J19" s="148"/>
      <c r="K19" s="189" t="s">
        <v>398</v>
      </c>
      <c r="L19" s="237"/>
      <c r="M19" s="237"/>
      <c r="N19" s="237"/>
      <c r="O19" s="237"/>
      <c r="P19" s="311"/>
      <c r="Q19" s="240">
        <f>+IFERROR(VLOOKUP(C19,#REF!,50,FALSE),0)</f>
        <v>0</v>
      </c>
      <c r="R19" s="254">
        <f t="shared" ref="R19" si="16">S19-Q19</f>
        <v>230000</v>
      </c>
      <c r="S19" s="237">
        <v>230000</v>
      </c>
      <c r="T19" s="237"/>
      <c r="U19" s="237"/>
      <c r="V19" s="237"/>
      <c r="W19" s="237">
        <f t="shared" ref="W19:W21" si="17">L19+M19+N19+O19+S19+T19+U19+V19+P19</f>
        <v>230000</v>
      </c>
      <c r="X19" s="249"/>
      <c r="Y19" s="249"/>
      <c r="Z19" s="249"/>
    </row>
    <row r="20" spans="1:27" s="225" customFormat="1" x14ac:dyDescent="0.2">
      <c r="B20" s="201"/>
      <c r="C20" s="244"/>
      <c r="D20" s="148" t="s">
        <v>411</v>
      </c>
      <c r="E20" s="348" t="s">
        <v>186</v>
      </c>
      <c r="F20" s="148" t="s">
        <v>187</v>
      </c>
      <c r="G20" s="147"/>
      <c r="H20" s="147"/>
      <c r="I20" s="245"/>
      <c r="J20" s="148"/>
      <c r="K20" s="317" t="s">
        <v>398</v>
      </c>
      <c r="L20" s="253"/>
      <c r="M20" s="253"/>
      <c r="N20" s="237"/>
      <c r="O20" s="237"/>
      <c r="P20" s="311"/>
      <c r="Q20" s="240"/>
      <c r="R20" s="254"/>
      <c r="S20" s="237">
        <f>43000*3+34285.71+33214.29+30000+110700+12300</f>
        <v>349500</v>
      </c>
      <c r="T20" s="237">
        <f>20000*4+31666.66+43333.33</f>
        <v>154999.99</v>
      </c>
      <c r="U20" s="237">
        <f>33000+36000+36000</f>
        <v>105000</v>
      </c>
      <c r="V20" s="237"/>
      <c r="W20" s="237">
        <f t="shared" si="17"/>
        <v>609499.99</v>
      </c>
      <c r="X20" s="249"/>
      <c r="Y20" s="249"/>
      <c r="Z20" s="249"/>
    </row>
    <row r="21" spans="1:27" s="225" customFormat="1" ht="24" customHeight="1" x14ac:dyDescent="0.2">
      <c r="B21" s="201"/>
      <c r="C21" s="244"/>
      <c r="D21" s="246" t="s">
        <v>412</v>
      </c>
      <c r="E21" s="348" t="s">
        <v>186</v>
      </c>
      <c r="F21" s="148" t="s">
        <v>187</v>
      </c>
      <c r="G21" s="148"/>
      <c r="H21" s="148"/>
      <c r="I21" s="245"/>
      <c r="J21" s="245"/>
      <c r="K21" s="317" t="s">
        <v>393</v>
      </c>
      <c r="L21" s="253"/>
      <c r="M21" s="253"/>
      <c r="N21" s="237"/>
      <c r="O21" s="237"/>
      <c r="P21" s="311"/>
      <c r="Q21" s="240"/>
      <c r="R21" s="254"/>
      <c r="S21" s="237"/>
      <c r="T21" s="237">
        <f>354368*1.21</f>
        <v>428785.27999999997</v>
      </c>
      <c r="U21" s="237"/>
      <c r="V21" s="237"/>
      <c r="W21" s="237">
        <f t="shared" si="17"/>
        <v>428785.27999999997</v>
      </c>
      <c r="X21" s="249"/>
      <c r="Y21" s="249"/>
      <c r="Z21" s="249"/>
    </row>
    <row r="22" spans="1:27" s="225" customFormat="1" ht="13.5" thickBot="1" x14ac:dyDescent="0.25">
      <c r="B22" s="239"/>
      <c r="C22" s="244"/>
      <c r="D22" s="317" t="s">
        <v>413</v>
      </c>
      <c r="E22" s="348" t="s">
        <v>186</v>
      </c>
      <c r="F22" s="317" t="s">
        <v>188</v>
      </c>
      <c r="G22" s="148"/>
      <c r="H22" s="148"/>
      <c r="I22" s="245"/>
      <c r="J22" s="292"/>
      <c r="K22" s="317" t="s">
        <v>394</v>
      </c>
      <c r="L22" s="237"/>
      <c r="M22" s="237"/>
      <c r="N22" s="237"/>
      <c r="O22" s="237"/>
      <c r="P22" s="311"/>
      <c r="Q22" s="240">
        <f>+IFERROR(VLOOKUP(C22,#REF!,50,FALSE),0)</f>
        <v>0</v>
      </c>
      <c r="R22" s="254">
        <f t="shared" ref="R22" si="18">S22-Q22</f>
        <v>0</v>
      </c>
      <c r="S22" s="237"/>
      <c r="T22" s="237">
        <v>500000</v>
      </c>
      <c r="U22" s="237"/>
      <c r="V22" s="237"/>
      <c r="W22" s="237">
        <f t="shared" ref="W22" si="19">L22+M22+N22+O22+S22+T22+U22+V22+P22</f>
        <v>500000</v>
      </c>
      <c r="X22" s="243"/>
      <c r="Y22" s="249"/>
      <c r="Z22" s="249"/>
    </row>
    <row r="23" spans="1:27" s="143" customFormat="1" ht="18.95" customHeight="1" thickBot="1" x14ac:dyDescent="0.25">
      <c r="B23" s="201"/>
      <c r="C23" s="205" t="s">
        <v>189</v>
      </c>
      <c r="D23" s="206"/>
      <c r="E23" s="206"/>
      <c r="F23" s="206"/>
      <c r="G23" s="206"/>
      <c r="H23" s="206"/>
      <c r="I23" s="206"/>
      <c r="J23" s="293"/>
      <c r="K23" s="207"/>
      <c r="L23" s="223">
        <f t="shared" ref="L23:W23" si="20">SUM(L19:L22)</f>
        <v>0</v>
      </c>
      <c r="M23" s="223">
        <f t="shared" si="20"/>
        <v>0</v>
      </c>
      <c r="N23" s="223">
        <f t="shared" si="20"/>
        <v>0</v>
      </c>
      <c r="O23" s="223">
        <f t="shared" si="20"/>
        <v>0</v>
      </c>
      <c r="P23" s="223">
        <f t="shared" si="20"/>
        <v>0</v>
      </c>
      <c r="Q23" s="223">
        <f t="shared" si="20"/>
        <v>0</v>
      </c>
      <c r="R23" s="223">
        <f t="shared" si="20"/>
        <v>230000</v>
      </c>
      <c r="S23" s="223">
        <f t="shared" si="20"/>
        <v>579500</v>
      </c>
      <c r="T23" s="223">
        <f t="shared" si="20"/>
        <v>1083785.27</v>
      </c>
      <c r="U23" s="223">
        <f t="shared" si="20"/>
        <v>105000</v>
      </c>
      <c r="V23" s="223">
        <f t="shared" si="20"/>
        <v>0</v>
      </c>
      <c r="W23" s="223">
        <f t="shared" si="20"/>
        <v>1768285.27</v>
      </c>
      <c r="X23" s="233"/>
    </row>
    <row r="24" spans="1:27" s="143" customFormat="1" ht="2.25" customHeight="1" x14ac:dyDescent="0.2">
      <c r="J24" s="294"/>
      <c r="K24" s="190"/>
      <c r="L24" s="149"/>
      <c r="M24" s="149"/>
      <c r="N24" s="149"/>
      <c r="O24" s="149"/>
      <c r="P24" s="149"/>
      <c r="Q24" s="222"/>
      <c r="R24" s="222"/>
      <c r="S24" s="149"/>
      <c r="T24" s="149"/>
      <c r="U24" s="149"/>
      <c r="V24" s="149"/>
      <c r="W24" s="149">
        <f t="shared" si="2"/>
        <v>0</v>
      </c>
      <c r="X24" s="233"/>
    </row>
    <row r="25" spans="1:27" s="143" customFormat="1" ht="15" customHeight="1" thickBot="1" x14ac:dyDescent="0.25">
      <c r="B25" s="144" t="s">
        <v>114</v>
      </c>
      <c r="C25" s="208" t="s">
        <v>114</v>
      </c>
      <c r="D25" s="208" t="s">
        <v>115</v>
      </c>
      <c r="E25" s="208" t="s">
        <v>133</v>
      </c>
      <c r="F25" s="208" t="s">
        <v>116</v>
      </c>
      <c r="G25" s="208"/>
      <c r="H25" s="208"/>
      <c r="I25" s="208"/>
      <c r="J25" s="295"/>
      <c r="K25" s="209" t="s">
        <v>116</v>
      </c>
      <c r="L25" s="159">
        <v>3000000</v>
      </c>
      <c r="M25" s="159">
        <v>4000000</v>
      </c>
      <c r="N25" s="159">
        <v>4000000</v>
      </c>
      <c r="O25" s="159">
        <v>3000000</v>
      </c>
      <c r="P25" s="159">
        <v>3000000</v>
      </c>
      <c r="Q25" s="240">
        <v>134000</v>
      </c>
      <c r="R25" s="254">
        <f>S25-Q25</f>
        <v>2866000</v>
      </c>
      <c r="S25" s="159">
        <v>3000000</v>
      </c>
      <c r="T25" s="159">
        <f>+S25</f>
        <v>3000000</v>
      </c>
      <c r="U25" s="159">
        <f t="shared" ref="U25:V25" si="21">+T25</f>
        <v>3000000</v>
      </c>
      <c r="V25" s="159">
        <f t="shared" si="21"/>
        <v>3000000</v>
      </c>
      <c r="W25" s="159"/>
      <c r="X25" s="233"/>
    </row>
    <row r="26" spans="1:27" s="143" customFormat="1" ht="18.95" customHeight="1" thickBot="1" x14ac:dyDescent="0.25">
      <c r="B26" s="201"/>
      <c r="C26" s="210" t="s">
        <v>115</v>
      </c>
      <c r="D26" s="211"/>
      <c r="E26" s="211"/>
      <c r="F26" s="211"/>
      <c r="G26" s="211"/>
      <c r="H26" s="211"/>
      <c r="I26" s="211"/>
      <c r="J26" s="296"/>
      <c r="K26" s="212"/>
      <c r="L26" s="213">
        <f t="shared" ref="L26:N26" si="22">+L25</f>
        <v>3000000</v>
      </c>
      <c r="M26" s="213">
        <f t="shared" si="22"/>
        <v>4000000</v>
      </c>
      <c r="N26" s="213">
        <f t="shared" si="22"/>
        <v>4000000</v>
      </c>
      <c r="O26" s="213">
        <f>+O25</f>
        <v>3000000</v>
      </c>
      <c r="P26" s="213">
        <f t="shared" ref="P26:V26" si="23">+P25</f>
        <v>3000000</v>
      </c>
      <c r="Q26" s="213">
        <f t="shared" si="23"/>
        <v>134000</v>
      </c>
      <c r="R26" s="213">
        <f t="shared" si="23"/>
        <v>2866000</v>
      </c>
      <c r="S26" s="213">
        <f t="shared" si="23"/>
        <v>3000000</v>
      </c>
      <c r="T26" s="213">
        <f t="shared" si="23"/>
        <v>3000000</v>
      </c>
      <c r="U26" s="213">
        <f t="shared" si="23"/>
        <v>3000000</v>
      </c>
      <c r="V26" s="213">
        <f t="shared" si="23"/>
        <v>3000000</v>
      </c>
      <c r="W26" s="300"/>
      <c r="X26" s="233"/>
    </row>
    <row r="27" spans="1:27" s="105" customFormat="1" ht="3" customHeight="1" thickBot="1" x14ac:dyDescent="0.25">
      <c r="A27" s="63"/>
      <c r="B27" s="14"/>
      <c r="C27" s="14"/>
      <c r="D27" s="14"/>
      <c r="E27" s="14"/>
      <c r="F27" s="14"/>
      <c r="G27" s="14"/>
      <c r="H27" s="14"/>
      <c r="I27" s="14"/>
      <c r="J27" s="319"/>
      <c r="K27" s="191"/>
      <c r="L27" s="320"/>
      <c r="M27" s="320"/>
      <c r="N27" s="320"/>
      <c r="O27" s="320"/>
      <c r="P27" s="320"/>
      <c r="Q27" s="321"/>
      <c r="R27" s="321"/>
      <c r="S27" s="320"/>
      <c r="T27" s="320"/>
      <c r="U27" s="320"/>
      <c r="V27" s="320"/>
      <c r="W27" s="320">
        <f t="shared" si="2"/>
        <v>0</v>
      </c>
      <c r="X27" s="232"/>
      <c r="Y27" s="63"/>
      <c r="Z27" s="63"/>
      <c r="AA27" s="63"/>
    </row>
    <row r="28" spans="1:27" s="273" customFormat="1" ht="19.5" customHeight="1" thickBot="1" x14ac:dyDescent="0.25">
      <c r="A28" s="322"/>
      <c r="B28" s="323"/>
      <c r="C28" s="324" t="s">
        <v>117</v>
      </c>
      <c r="D28" s="325"/>
      <c r="E28" s="325"/>
      <c r="F28" s="325"/>
      <c r="G28" s="325"/>
      <c r="H28" s="274">
        <f>SUM(H2:H27)</f>
        <v>415000</v>
      </c>
      <c r="I28" s="325"/>
      <c r="J28" s="326"/>
      <c r="K28" s="214"/>
      <c r="L28" s="271">
        <f t="shared" ref="L28:W28" si="24">+L26+L13+L9+L6+L18+L23+L16+L11</f>
        <v>3100000</v>
      </c>
      <c r="M28" s="271">
        <f t="shared" si="24"/>
        <v>4310000</v>
      </c>
      <c r="N28" s="271">
        <f t="shared" si="24"/>
        <v>10296000</v>
      </c>
      <c r="O28" s="271">
        <f t="shared" si="24"/>
        <v>7710000</v>
      </c>
      <c r="P28" s="271">
        <f t="shared" si="24"/>
        <v>3400500</v>
      </c>
      <c r="Q28" s="271">
        <f t="shared" si="24"/>
        <v>156500</v>
      </c>
      <c r="R28" s="271">
        <f t="shared" si="24"/>
        <v>6838500</v>
      </c>
      <c r="S28" s="271">
        <f t="shared" si="24"/>
        <v>7344500</v>
      </c>
      <c r="T28" s="271">
        <f t="shared" si="24"/>
        <v>17483785.27</v>
      </c>
      <c r="U28" s="271">
        <f t="shared" si="24"/>
        <v>5305000</v>
      </c>
      <c r="V28" s="271">
        <f t="shared" si="24"/>
        <v>3000000</v>
      </c>
      <c r="W28" s="271">
        <f t="shared" si="24"/>
        <v>32949785.27</v>
      </c>
      <c r="X28" s="272"/>
      <c r="Y28" s="322"/>
      <c r="Z28" s="322"/>
      <c r="AA28" s="322"/>
    </row>
    <row r="29" spans="1:27" s="230" customFormat="1" ht="12.75" customHeight="1" thickBot="1" x14ac:dyDescent="0.25">
      <c r="A29" s="327"/>
      <c r="B29" s="327"/>
      <c r="C29" s="328"/>
      <c r="D29" s="328"/>
      <c r="E29" s="328"/>
      <c r="F29" s="328"/>
      <c r="G29" s="328"/>
      <c r="H29" s="328"/>
      <c r="I29" s="328"/>
      <c r="J29" s="329"/>
      <c r="K29" s="251"/>
      <c r="L29" s="252"/>
      <c r="M29" s="252"/>
      <c r="N29" s="252"/>
      <c r="O29" s="252"/>
      <c r="P29" s="252"/>
      <c r="Q29" s="259"/>
      <c r="R29" s="252"/>
      <c r="S29" s="252"/>
      <c r="T29" s="252"/>
      <c r="U29" s="252"/>
      <c r="V29" s="252"/>
      <c r="W29" s="252"/>
      <c r="X29" s="252"/>
      <c r="Y29" s="327"/>
      <c r="Z29" s="327"/>
      <c r="AA29" s="327"/>
    </row>
    <row r="30" spans="1:27" s="228" customFormat="1" ht="39.75" customHeight="1" thickBot="1" x14ac:dyDescent="0.25">
      <c r="A30" s="330"/>
      <c r="B30" s="330"/>
      <c r="C30" s="328"/>
      <c r="D30" s="328"/>
      <c r="E30" s="328"/>
      <c r="F30" s="328"/>
      <c r="G30" s="328"/>
      <c r="H30" s="328"/>
      <c r="I30" s="328"/>
      <c r="J30" s="329"/>
      <c r="K30" s="251"/>
      <c r="L30" s="251"/>
      <c r="M30" s="251"/>
      <c r="N30" s="251"/>
      <c r="O30" s="251"/>
      <c r="P30" s="251"/>
      <c r="Q30" s="257"/>
      <c r="R30" s="227"/>
      <c r="S30" s="224" t="s">
        <v>67</v>
      </c>
      <c r="T30" s="247" t="s">
        <v>68</v>
      </c>
      <c r="U30" s="247" t="s">
        <v>69</v>
      </c>
      <c r="V30" s="247" t="s">
        <v>155</v>
      </c>
      <c r="W30" s="301" t="s">
        <v>70</v>
      </c>
      <c r="X30" s="234"/>
      <c r="Y30" s="330"/>
      <c r="Z30" s="330"/>
      <c r="AA30" s="330"/>
    </row>
    <row r="31" spans="1:27" s="228" customFormat="1" x14ac:dyDescent="0.2">
      <c r="A31" s="330"/>
      <c r="B31" s="330"/>
      <c r="C31" s="328"/>
      <c r="D31" s="330"/>
      <c r="E31" s="330"/>
      <c r="F31" s="330"/>
      <c r="G31" s="328"/>
      <c r="H31" s="328"/>
      <c r="I31" s="328"/>
      <c r="J31" s="329"/>
      <c r="L31" s="251"/>
      <c r="M31" s="251"/>
      <c r="N31" s="251"/>
      <c r="O31" s="251"/>
      <c r="P31" s="251"/>
      <c r="Q31" s="330"/>
      <c r="R31" s="275" t="s">
        <v>191</v>
      </c>
      <c r="S31" s="338">
        <f>+S16+S13+S9+S6+S23+S18+S11-S34</f>
        <v>3929500</v>
      </c>
      <c r="T31" s="331">
        <f>+T16+T13+T9+T6+T23+T18+T11-T34</f>
        <v>11083785.27</v>
      </c>
      <c r="U31" s="332">
        <f>+U16+U13+U9+U6+U23+U18+U11-U34</f>
        <v>1805000</v>
      </c>
      <c r="V31" s="332">
        <f>+V16+V13+V9+V6+V23+V18+V11-V34</f>
        <v>0</v>
      </c>
      <c r="W31" s="333">
        <f>SUM(S31:V31)</f>
        <v>16818285.27</v>
      </c>
      <c r="X31" s="234"/>
      <c r="Y31" s="330"/>
      <c r="Z31" s="330"/>
      <c r="AA31" s="330"/>
    </row>
    <row r="32" spans="1:27" s="231" customFormat="1" x14ac:dyDescent="0.2">
      <c r="C32" s="328"/>
      <c r="G32" s="328"/>
      <c r="H32" s="328"/>
      <c r="I32" s="328"/>
      <c r="J32" s="329"/>
      <c r="L32" s="251"/>
      <c r="M32" s="251"/>
      <c r="N32" s="251"/>
      <c r="O32" s="251"/>
      <c r="P32" s="251"/>
      <c r="R32" s="275" t="s">
        <v>192</v>
      </c>
      <c r="S32" s="361">
        <f t="shared" ref="S32:V32" si="25">S25</f>
        <v>3000000</v>
      </c>
      <c r="T32" s="298">
        <f t="shared" si="25"/>
        <v>3000000</v>
      </c>
      <c r="U32" s="298">
        <f t="shared" si="25"/>
        <v>3000000</v>
      </c>
      <c r="V32" s="298">
        <f t="shared" si="25"/>
        <v>3000000</v>
      </c>
      <c r="W32" s="302">
        <f t="shared" ref="W32:W35" si="26">SUM(S32:V32)</f>
        <v>12000000</v>
      </c>
      <c r="X32" s="236"/>
    </row>
    <row r="33" spans="1:27" s="231" customFormat="1" x14ac:dyDescent="0.2">
      <c r="C33" s="328"/>
      <c r="G33" s="328"/>
      <c r="H33" s="328"/>
      <c r="I33" s="328"/>
      <c r="J33" s="329"/>
      <c r="L33" s="251"/>
      <c r="M33" s="251"/>
      <c r="N33" s="251"/>
      <c r="O33" s="251"/>
      <c r="P33" s="251"/>
      <c r="Q33" s="362"/>
      <c r="R33" s="276" t="s">
        <v>193</v>
      </c>
      <c r="S33" s="277">
        <f t="shared" ref="S33:V33" si="27">S31+S32</f>
        <v>6929500</v>
      </c>
      <c r="T33" s="278">
        <f t="shared" si="27"/>
        <v>14083785.27</v>
      </c>
      <c r="U33" s="278">
        <f t="shared" si="27"/>
        <v>4805000</v>
      </c>
      <c r="V33" s="278">
        <f t="shared" si="27"/>
        <v>3000000</v>
      </c>
      <c r="W33" s="303">
        <f t="shared" si="26"/>
        <v>28818285.27</v>
      </c>
      <c r="X33" s="236"/>
    </row>
    <row r="34" spans="1:27" s="228" customFormat="1" x14ac:dyDescent="0.2">
      <c r="A34" s="330"/>
      <c r="B34" s="330"/>
      <c r="C34" s="328"/>
      <c r="D34" s="330"/>
      <c r="E34" s="330"/>
      <c r="F34" s="330"/>
      <c r="G34" s="328"/>
      <c r="H34" s="328"/>
      <c r="I34" s="328"/>
      <c r="J34" s="329"/>
      <c r="L34" s="251"/>
      <c r="M34" s="251"/>
      <c r="N34" s="251"/>
      <c r="O34" s="251"/>
      <c r="P34" s="251"/>
      <c r="Q34" s="330"/>
      <c r="R34" s="275" t="s">
        <v>194</v>
      </c>
      <c r="S34" s="339">
        <f>+H28</f>
        <v>415000</v>
      </c>
      <c r="T34" s="334">
        <f>+T12+1000000</f>
        <v>3400000</v>
      </c>
      <c r="U34" s="334">
        <v>500000</v>
      </c>
      <c r="V34" s="334"/>
      <c r="W34" s="335">
        <f t="shared" si="26"/>
        <v>4315000</v>
      </c>
      <c r="X34" s="234"/>
      <c r="Y34" s="330"/>
      <c r="Z34" s="330"/>
      <c r="AA34" s="330"/>
    </row>
    <row r="35" spans="1:27" s="229" customFormat="1" x14ac:dyDescent="0.2">
      <c r="C35" s="328"/>
      <c r="G35" s="328"/>
      <c r="H35" s="328"/>
      <c r="I35" s="328"/>
      <c r="J35" s="329"/>
      <c r="L35" s="251"/>
      <c r="M35" s="251"/>
      <c r="N35" s="251"/>
      <c r="O35" s="251"/>
      <c r="P35" s="251"/>
      <c r="Q35" s="363"/>
      <c r="R35" s="276" t="s">
        <v>195</v>
      </c>
      <c r="S35" s="277">
        <f>S28</f>
        <v>7344500</v>
      </c>
      <c r="T35" s="278">
        <f t="shared" ref="T35:V35" si="28">T28</f>
        <v>17483785.27</v>
      </c>
      <c r="U35" s="278">
        <f t="shared" si="28"/>
        <v>5305000</v>
      </c>
      <c r="V35" s="278">
        <f t="shared" si="28"/>
        <v>3000000</v>
      </c>
      <c r="W35" s="303">
        <f t="shared" si="26"/>
        <v>33133285.27</v>
      </c>
      <c r="X35" s="235"/>
    </row>
    <row r="36" spans="1:27" s="228" customFormat="1" ht="13.5" thickBot="1" x14ac:dyDescent="0.25">
      <c r="A36" s="330"/>
      <c r="B36" s="330"/>
      <c r="C36" s="328"/>
      <c r="D36" s="328"/>
      <c r="E36" s="328"/>
      <c r="F36" s="328"/>
      <c r="G36" s="328"/>
      <c r="H36" s="328"/>
      <c r="I36" s="328"/>
      <c r="J36" s="329"/>
      <c r="L36" s="251"/>
      <c r="M36" s="251"/>
      <c r="N36" s="251"/>
      <c r="O36" s="251"/>
      <c r="P36" s="251"/>
      <c r="Q36" s="227"/>
      <c r="R36" s="251"/>
      <c r="S36" s="340"/>
      <c r="T36" s="336"/>
      <c r="U36" s="336"/>
      <c r="V36" s="336"/>
      <c r="W36" s="337">
        <f t="shared" ref="W36" si="29">+SUM(L36:T36)</f>
        <v>0</v>
      </c>
      <c r="X36" s="234"/>
      <c r="Y36" s="330"/>
      <c r="Z36" s="330"/>
      <c r="AA36" s="330"/>
    </row>
    <row r="37" spans="1:27" x14ac:dyDescent="0.2">
      <c r="J37" s="329"/>
      <c r="R37" s="258"/>
    </row>
    <row r="38" spans="1:27" x14ac:dyDescent="0.2">
      <c r="J38" s="329"/>
      <c r="R38" s="297"/>
    </row>
  </sheetData>
  <phoneticPr fontId="63" type="noConversion"/>
  <conditionalFormatting sqref="C2:C5">
    <cfRule type="duplicateValues" dxfId="0" priority="11" stopIfTrue="1"/>
  </conditionalFormatting>
  <pageMargins left="0.31496062992125984" right="0.23622047244094491" top="0.55118110236220474" bottom="0.31496062992125984" header="0.19685039370078741" footer="0.15748031496062992"/>
  <pageSetup paperSize="8" scale="58" orientation="portrait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O110"/>
  <sheetViews>
    <sheetView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I22" sqref="I22"/>
    </sheetView>
  </sheetViews>
  <sheetFormatPr baseColWidth="10" defaultColWidth="11.42578125" defaultRowHeight="12.75" x14ac:dyDescent="0.2"/>
  <cols>
    <col min="1" max="1" width="0.85546875" customWidth="1"/>
    <col min="2" max="2" width="0.42578125" customWidth="1"/>
    <col min="3" max="3" width="13.5703125" customWidth="1"/>
    <col min="4" max="4" width="42" customWidth="1"/>
    <col min="5" max="6" width="10.5703125" customWidth="1"/>
    <col min="7" max="7" width="20.7109375" customWidth="1"/>
    <col min="8" max="39" width="14.7109375" customWidth="1"/>
    <col min="40" max="40" width="0.85546875" customWidth="1"/>
    <col min="41" max="41" width="14.7109375" customWidth="1"/>
  </cols>
  <sheetData>
    <row r="1" spans="2:41" s="193" customFormat="1" ht="24.6" customHeight="1" x14ac:dyDescent="0.15">
      <c r="B1" s="163"/>
      <c r="C1" s="1" t="s">
        <v>33</v>
      </c>
      <c r="D1" s="1" t="s">
        <v>34</v>
      </c>
      <c r="E1" s="2" t="s">
        <v>35</v>
      </c>
      <c r="F1" s="2" t="s">
        <v>200</v>
      </c>
      <c r="G1" s="2" t="s">
        <v>37</v>
      </c>
      <c r="H1" s="2" t="s">
        <v>201</v>
      </c>
      <c r="I1" s="2" t="s">
        <v>39</v>
      </c>
      <c r="J1" s="2" t="s">
        <v>40</v>
      </c>
      <c r="K1" s="2" t="s">
        <v>41</v>
      </c>
      <c r="L1" s="2" t="s">
        <v>202</v>
      </c>
      <c r="M1" s="2" t="s">
        <v>43</v>
      </c>
      <c r="N1" s="2" t="s">
        <v>44</v>
      </c>
      <c r="O1" s="2" t="s">
        <v>45</v>
      </c>
      <c r="P1" s="2" t="s">
        <v>203</v>
      </c>
      <c r="Q1" s="2" t="s">
        <v>47</v>
      </c>
      <c r="R1" s="2" t="s">
        <v>48</v>
      </c>
      <c r="S1" s="2" t="s">
        <v>49</v>
      </c>
      <c r="T1" s="2" t="s">
        <v>204</v>
      </c>
      <c r="U1" s="2" t="s">
        <v>51</v>
      </c>
      <c r="V1" s="2" t="s">
        <v>52</v>
      </c>
      <c r="W1" s="2" t="s">
        <v>53</v>
      </c>
      <c r="X1" s="2" t="s">
        <v>205</v>
      </c>
      <c r="Y1" s="2" t="s">
        <v>206</v>
      </c>
      <c r="Z1" s="2" t="s">
        <v>207</v>
      </c>
      <c r="AA1" s="2" t="s">
        <v>208</v>
      </c>
      <c r="AB1" s="2" t="s">
        <v>209</v>
      </c>
      <c r="AC1" s="2" t="s">
        <v>210</v>
      </c>
      <c r="AD1" s="2" t="s">
        <v>61</v>
      </c>
      <c r="AE1" s="2" t="s">
        <v>62</v>
      </c>
      <c r="AF1" s="2" t="s">
        <v>63</v>
      </c>
      <c r="AG1" s="2" t="s">
        <v>64</v>
      </c>
      <c r="AH1" s="2" t="s">
        <v>65</v>
      </c>
      <c r="AI1" s="2" t="s">
        <v>66</v>
      </c>
      <c r="AJ1" s="2" t="s">
        <v>67</v>
      </c>
      <c r="AK1" s="2" t="s">
        <v>68</v>
      </c>
      <c r="AL1" s="2" t="s">
        <v>69</v>
      </c>
      <c r="AM1" s="2" t="s">
        <v>155</v>
      </c>
      <c r="AN1" s="164"/>
      <c r="AO1" s="2" t="s">
        <v>70</v>
      </c>
    </row>
    <row r="2" spans="2:41" s="193" customFormat="1" ht="19.149999999999999" customHeight="1" x14ac:dyDescent="0.2">
      <c r="B2" s="4" t="s">
        <v>71</v>
      </c>
      <c r="C2" s="5" t="s">
        <v>211</v>
      </c>
      <c r="D2" s="5" t="s">
        <v>212</v>
      </c>
      <c r="E2" s="5" t="s">
        <v>91</v>
      </c>
      <c r="F2" s="5" t="s">
        <v>75</v>
      </c>
      <c r="G2" s="5" t="s">
        <v>84</v>
      </c>
      <c r="H2" s="57">
        <v>322329.87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  <c r="AA2" s="7"/>
      <c r="AB2" s="7"/>
      <c r="AC2" s="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165"/>
      <c r="AO2" s="9">
        <v>322329.87</v>
      </c>
    </row>
    <row r="3" spans="2:41" s="193" customFormat="1" ht="19.149999999999999" customHeight="1" x14ac:dyDescent="0.2">
      <c r="B3" s="166"/>
      <c r="C3" s="5" t="s">
        <v>213</v>
      </c>
      <c r="D3" s="5" t="s">
        <v>214</v>
      </c>
      <c r="E3" s="5" t="s">
        <v>96</v>
      </c>
      <c r="F3" s="5" t="s">
        <v>75</v>
      </c>
      <c r="G3" s="5" t="s">
        <v>81</v>
      </c>
      <c r="H3" s="57">
        <v>175176.21</v>
      </c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1"/>
      <c r="AA3" s="21"/>
      <c r="AB3" s="21"/>
      <c r="AC3" s="21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165"/>
      <c r="AO3" s="9">
        <v>175176.21</v>
      </c>
    </row>
    <row r="4" spans="2:41" s="193" customFormat="1" ht="19.149999999999999" customHeight="1" x14ac:dyDescent="0.2">
      <c r="B4" s="166"/>
      <c r="C4" s="5" t="s">
        <v>215</v>
      </c>
      <c r="D4" s="5" t="s">
        <v>216</v>
      </c>
      <c r="E4" s="5" t="s">
        <v>96</v>
      </c>
      <c r="F4" s="5" t="s">
        <v>75</v>
      </c>
      <c r="G4" s="5" t="s">
        <v>217</v>
      </c>
      <c r="H4" s="5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/>
      <c r="AA4" s="7"/>
      <c r="AB4" s="7"/>
      <c r="AC4" s="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165"/>
      <c r="AO4" s="9"/>
    </row>
    <row r="5" spans="2:41" s="193" customFormat="1" ht="19.149999999999999" customHeight="1" x14ac:dyDescent="0.2">
      <c r="B5" s="166"/>
      <c r="C5" s="5" t="s">
        <v>218</v>
      </c>
      <c r="D5" s="5" t="s">
        <v>219</v>
      </c>
      <c r="E5" s="5" t="s">
        <v>220</v>
      </c>
      <c r="F5" s="5" t="s">
        <v>75</v>
      </c>
      <c r="G5" s="5" t="s">
        <v>97</v>
      </c>
      <c r="H5" s="57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/>
      <c r="AA5" s="21"/>
      <c r="AB5" s="21"/>
      <c r="AC5" s="21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165"/>
      <c r="AO5" s="9"/>
    </row>
    <row r="6" spans="2:41" s="193" customFormat="1" ht="19.149999999999999" customHeight="1" x14ac:dyDescent="0.2">
      <c r="B6" s="166"/>
      <c r="C6" s="5" t="s">
        <v>221</v>
      </c>
      <c r="D6" s="5" t="s">
        <v>222</v>
      </c>
      <c r="E6" s="5" t="s">
        <v>223</v>
      </c>
      <c r="F6" s="5" t="s">
        <v>75</v>
      </c>
      <c r="G6" s="5" t="s">
        <v>81</v>
      </c>
      <c r="H6" s="57">
        <v>10000.81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7"/>
      <c r="AA6" s="7"/>
      <c r="AB6" s="7"/>
      <c r="AC6" s="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165"/>
      <c r="AO6" s="9">
        <v>10000.81</v>
      </c>
    </row>
    <row r="7" spans="2:41" s="193" customFormat="1" ht="19.149999999999999" customHeight="1" x14ac:dyDescent="0.2">
      <c r="B7" s="166"/>
      <c r="C7" s="5" t="s">
        <v>224</v>
      </c>
      <c r="D7" s="5" t="s">
        <v>225</v>
      </c>
      <c r="E7" s="5" t="s">
        <v>164</v>
      </c>
      <c r="F7" s="5" t="s">
        <v>75</v>
      </c>
      <c r="G7" s="5" t="s">
        <v>217</v>
      </c>
      <c r="H7" s="57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  <c r="AA7" s="21"/>
      <c r="AB7" s="21"/>
      <c r="AC7" s="21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165"/>
      <c r="AO7" s="9"/>
    </row>
    <row r="8" spans="2:41" s="193" customFormat="1" ht="19.149999999999999" customHeight="1" x14ac:dyDescent="0.2">
      <c r="B8" s="166"/>
      <c r="C8" s="5" t="s">
        <v>226</v>
      </c>
      <c r="D8" s="5" t="s">
        <v>227</v>
      </c>
      <c r="E8" s="5" t="s">
        <v>164</v>
      </c>
      <c r="F8" s="5" t="s">
        <v>75</v>
      </c>
      <c r="G8" s="5" t="s">
        <v>217</v>
      </c>
      <c r="H8" s="57">
        <v>246899.15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7"/>
      <c r="AA8" s="7"/>
      <c r="AB8" s="7"/>
      <c r="AC8" s="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165"/>
      <c r="AO8" s="9">
        <v>246899.15</v>
      </c>
    </row>
    <row r="9" spans="2:41" s="193" customFormat="1" ht="19.149999999999999" customHeight="1" x14ac:dyDescent="0.2">
      <c r="B9" s="166"/>
      <c r="C9" s="5" t="s">
        <v>228</v>
      </c>
      <c r="D9" s="5" t="s">
        <v>229</v>
      </c>
      <c r="E9" s="5" t="s">
        <v>91</v>
      </c>
      <c r="F9" s="5" t="s">
        <v>75</v>
      </c>
      <c r="G9" s="5" t="s">
        <v>84</v>
      </c>
      <c r="H9" s="57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  <c r="AA9" s="21"/>
      <c r="AB9" s="21"/>
      <c r="AC9" s="21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165"/>
      <c r="AO9" s="9"/>
    </row>
    <row r="10" spans="2:41" s="193" customFormat="1" ht="19.149999999999999" customHeight="1" x14ac:dyDescent="0.2">
      <c r="B10" s="166"/>
      <c r="C10" s="5" t="s">
        <v>230</v>
      </c>
      <c r="D10" s="5" t="s">
        <v>231</v>
      </c>
      <c r="E10" s="5" t="s">
        <v>184</v>
      </c>
      <c r="F10" s="5" t="s">
        <v>75</v>
      </c>
      <c r="G10" s="5" t="s">
        <v>84</v>
      </c>
      <c r="H10" s="57">
        <v>35139.25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7"/>
      <c r="AA10" s="7"/>
      <c r="AB10" s="7"/>
      <c r="AC10" s="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165"/>
      <c r="AO10" s="9">
        <v>35139.25</v>
      </c>
    </row>
    <row r="11" spans="2:41" s="193" customFormat="1" ht="19.149999999999999" customHeight="1" x14ac:dyDescent="0.2">
      <c r="B11" s="166"/>
      <c r="C11" s="5" t="s">
        <v>232</v>
      </c>
      <c r="D11" s="5" t="s">
        <v>233</v>
      </c>
      <c r="E11" s="5" t="s">
        <v>80</v>
      </c>
      <c r="F11" s="5" t="s">
        <v>75</v>
      </c>
      <c r="G11" s="5" t="s">
        <v>81</v>
      </c>
      <c r="H11" s="57">
        <v>1684.44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1"/>
      <c r="AA11" s="21"/>
      <c r="AB11" s="21"/>
      <c r="AC11" s="21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165"/>
      <c r="AO11" s="9">
        <v>1684.44</v>
      </c>
    </row>
    <row r="12" spans="2:41" s="193" customFormat="1" ht="19.149999999999999" customHeight="1" x14ac:dyDescent="0.2">
      <c r="B12" s="166"/>
      <c r="C12" s="5" t="s">
        <v>234</v>
      </c>
      <c r="D12" s="5" t="s">
        <v>235</v>
      </c>
      <c r="E12" s="5" t="s">
        <v>96</v>
      </c>
      <c r="F12" s="5" t="s">
        <v>75</v>
      </c>
      <c r="G12" s="5" t="s">
        <v>84</v>
      </c>
      <c r="H12" s="57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7"/>
      <c r="AA12" s="7"/>
      <c r="AB12" s="7"/>
      <c r="AC12" s="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165"/>
      <c r="AO12" s="9"/>
    </row>
    <row r="13" spans="2:41" s="193" customFormat="1" ht="19.149999999999999" customHeight="1" x14ac:dyDescent="0.2">
      <c r="B13" s="166"/>
      <c r="C13" s="5" t="s">
        <v>236</v>
      </c>
      <c r="D13" s="5" t="s">
        <v>237</v>
      </c>
      <c r="E13" s="5" t="s">
        <v>165</v>
      </c>
      <c r="F13" s="5" t="s">
        <v>75</v>
      </c>
      <c r="G13" s="5" t="s">
        <v>97</v>
      </c>
      <c r="H13" s="57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1"/>
      <c r="AA13" s="21"/>
      <c r="AB13" s="21"/>
      <c r="AC13" s="21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165"/>
      <c r="AO13" s="9"/>
    </row>
    <row r="14" spans="2:41" s="193" customFormat="1" ht="19.149999999999999" customHeight="1" x14ac:dyDescent="0.2">
      <c r="B14" s="166"/>
      <c r="C14" s="5" t="s">
        <v>238</v>
      </c>
      <c r="D14" s="5" t="s">
        <v>239</v>
      </c>
      <c r="E14" s="5" t="s">
        <v>240</v>
      </c>
      <c r="F14" s="5" t="s">
        <v>75</v>
      </c>
      <c r="G14" s="5" t="s">
        <v>217</v>
      </c>
      <c r="H14" s="57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7"/>
      <c r="AA14" s="7"/>
      <c r="AB14" s="7"/>
      <c r="AC14" s="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165"/>
      <c r="AO14" s="9"/>
    </row>
    <row r="15" spans="2:41" s="193" customFormat="1" ht="19.149999999999999" customHeight="1" x14ac:dyDescent="0.2">
      <c r="B15" s="166"/>
      <c r="C15" s="5" t="s">
        <v>241</v>
      </c>
      <c r="D15" s="5" t="s">
        <v>242</v>
      </c>
      <c r="E15" s="5" t="s">
        <v>96</v>
      </c>
      <c r="F15" s="5" t="s">
        <v>75</v>
      </c>
      <c r="G15" s="5" t="s">
        <v>84</v>
      </c>
      <c r="H15" s="57">
        <v>6800.71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1"/>
      <c r="AA15" s="21"/>
      <c r="AB15" s="21"/>
      <c r="AC15" s="21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165"/>
      <c r="AO15" s="9">
        <v>6800.71</v>
      </c>
    </row>
    <row r="16" spans="2:41" s="193" customFormat="1" ht="19.149999999999999" customHeight="1" x14ac:dyDescent="0.15">
      <c r="B16" s="167"/>
      <c r="C16" s="11" t="s">
        <v>71</v>
      </c>
      <c r="D16" s="168"/>
      <c r="E16" s="168"/>
      <c r="F16" s="168"/>
      <c r="G16" s="12"/>
      <c r="H16" s="58">
        <v>798030.44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12"/>
      <c r="AA16" s="12"/>
      <c r="AB16" s="12"/>
      <c r="AC16" s="12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169"/>
      <c r="AO16" s="58">
        <v>798030.44</v>
      </c>
    </row>
    <row r="17" spans="2:41" s="193" customFormat="1" ht="2.65" customHeight="1" x14ac:dyDescent="0.2"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</row>
    <row r="18" spans="2:41" s="193" customFormat="1" ht="19.149999999999999" customHeight="1" x14ac:dyDescent="0.2">
      <c r="B18" s="4" t="s">
        <v>243</v>
      </c>
      <c r="C18" s="171" t="s">
        <v>244</v>
      </c>
      <c r="D18" s="171" t="s">
        <v>245</v>
      </c>
      <c r="E18" s="171" t="s">
        <v>246</v>
      </c>
      <c r="F18" s="171" t="s">
        <v>75</v>
      </c>
      <c r="G18" s="171" t="s">
        <v>84</v>
      </c>
      <c r="H18" s="57">
        <v>89988.09</v>
      </c>
      <c r="I18" s="6">
        <v>0</v>
      </c>
      <c r="J18" s="6">
        <v>0</v>
      </c>
      <c r="K18" s="6">
        <v>358.67</v>
      </c>
      <c r="L18" s="6">
        <v>358.67</v>
      </c>
      <c r="M18" s="6">
        <v>1373.35</v>
      </c>
      <c r="N18" s="6">
        <v>6122.39</v>
      </c>
      <c r="O18" s="6">
        <v>19494.04</v>
      </c>
      <c r="P18" s="6">
        <v>26989.78</v>
      </c>
      <c r="Q18" s="6">
        <v>166166.49</v>
      </c>
      <c r="R18" s="6">
        <v>802.22</v>
      </c>
      <c r="S18" s="6">
        <v>924.53</v>
      </c>
      <c r="T18" s="6">
        <v>167893.24</v>
      </c>
      <c r="U18" s="6">
        <v>19896.900000000001</v>
      </c>
      <c r="V18" s="6">
        <v>0</v>
      </c>
      <c r="W18" s="6">
        <v>52469.3</v>
      </c>
      <c r="X18" s="6">
        <v>72366.2</v>
      </c>
      <c r="Y18" s="6">
        <v>267607.89</v>
      </c>
      <c r="Z18" s="7"/>
      <c r="AA18" s="7"/>
      <c r="AB18" s="7"/>
      <c r="AC18" s="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165"/>
      <c r="AO18" s="9">
        <v>357595.98</v>
      </c>
    </row>
    <row r="19" spans="2:41" s="193" customFormat="1" ht="19.149999999999999" customHeight="1" x14ac:dyDescent="0.2">
      <c r="B19" s="166"/>
      <c r="C19" s="171" t="s">
        <v>247</v>
      </c>
      <c r="D19" s="171" t="s">
        <v>248</v>
      </c>
      <c r="E19" s="171" t="s">
        <v>172</v>
      </c>
      <c r="F19" s="171" t="s">
        <v>75</v>
      </c>
      <c r="G19" s="171" t="s">
        <v>249</v>
      </c>
      <c r="H19" s="57">
        <v>52087.01</v>
      </c>
      <c r="I19" s="20">
        <v>0</v>
      </c>
      <c r="J19" s="20">
        <v>8695.4500000000007</v>
      </c>
      <c r="K19" s="20">
        <v>0</v>
      </c>
      <c r="L19" s="20">
        <v>8695.4500000000007</v>
      </c>
      <c r="M19" s="20">
        <v>0</v>
      </c>
      <c r="N19" s="20">
        <v>73144.350000000006</v>
      </c>
      <c r="O19" s="20">
        <v>16317.92</v>
      </c>
      <c r="P19" s="20">
        <v>89462.27</v>
      </c>
      <c r="Q19" s="20">
        <v>99113.22</v>
      </c>
      <c r="R19" s="20">
        <v>0</v>
      </c>
      <c r="S19" s="20">
        <v>2546.64</v>
      </c>
      <c r="T19" s="20">
        <v>101659.86</v>
      </c>
      <c r="U19" s="20">
        <v>209248.9</v>
      </c>
      <c r="V19" s="20">
        <v>0</v>
      </c>
      <c r="W19" s="20">
        <v>1057065.45</v>
      </c>
      <c r="X19" s="20">
        <v>1266314.3500000001</v>
      </c>
      <c r="Y19" s="20">
        <v>1466131.93</v>
      </c>
      <c r="Z19" s="21"/>
      <c r="AA19" s="21"/>
      <c r="AB19" s="21"/>
      <c r="AC19" s="21"/>
      <c r="AD19" s="57">
        <v>256201</v>
      </c>
      <c r="AE19" s="57"/>
      <c r="AF19" s="57"/>
      <c r="AG19" s="57"/>
      <c r="AH19" s="57"/>
      <c r="AI19" s="57"/>
      <c r="AJ19" s="57"/>
      <c r="AK19" s="57"/>
      <c r="AL19" s="57"/>
      <c r="AM19" s="57"/>
      <c r="AN19" s="165"/>
      <c r="AO19" s="9">
        <v>1774419.94</v>
      </c>
    </row>
    <row r="20" spans="2:41" s="193" customFormat="1" ht="19.149999999999999" customHeight="1" x14ac:dyDescent="0.2">
      <c r="B20" s="166"/>
      <c r="C20" s="171" t="s">
        <v>250</v>
      </c>
      <c r="D20" s="171" t="s">
        <v>251</v>
      </c>
      <c r="E20" s="171" t="s">
        <v>169</v>
      </c>
      <c r="F20" s="171" t="s">
        <v>75</v>
      </c>
      <c r="G20" s="171" t="s">
        <v>84</v>
      </c>
      <c r="H20" s="57">
        <v>1161959.6100000001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>
        <v>0</v>
      </c>
      <c r="W20" s="6">
        <v>42530.239999999998</v>
      </c>
      <c r="X20" s="6">
        <v>42530.239999999998</v>
      </c>
      <c r="Y20" s="6">
        <v>42530.239999999998</v>
      </c>
      <c r="Z20" s="7"/>
      <c r="AA20" s="7"/>
      <c r="AB20" s="7"/>
      <c r="AC20" s="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165"/>
      <c r="AO20" s="9">
        <v>1204489.8500000001</v>
      </c>
    </row>
    <row r="21" spans="2:41" s="193" customFormat="1" ht="19.149999999999999" customHeight="1" x14ac:dyDescent="0.2">
      <c r="B21" s="166"/>
      <c r="C21" s="171" t="s">
        <v>252</v>
      </c>
      <c r="D21" s="171" t="s">
        <v>253</v>
      </c>
      <c r="E21" s="171" t="s">
        <v>96</v>
      </c>
      <c r="F21" s="171" t="s">
        <v>75</v>
      </c>
      <c r="G21" s="171" t="s">
        <v>249</v>
      </c>
      <c r="H21" s="57">
        <v>192509.73</v>
      </c>
      <c r="I21" s="20">
        <v>0</v>
      </c>
      <c r="J21" s="20">
        <v>113464.41</v>
      </c>
      <c r="K21" s="20">
        <v>4761.5200000000004</v>
      </c>
      <c r="L21" s="20">
        <v>118225.93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26170.38</v>
      </c>
      <c r="X21" s="20">
        <v>26170.38</v>
      </c>
      <c r="Y21" s="20">
        <v>144396.31</v>
      </c>
      <c r="Z21" s="21"/>
      <c r="AA21" s="21"/>
      <c r="AB21" s="21"/>
      <c r="AC21" s="21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165"/>
      <c r="AO21" s="9">
        <v>336906.04</v>
      </c>
    </row>
    <row r="22" spans="2:41" s="193" customFormat="1" ht="19.149999999999999" customHeight="1" x14ac:dyDescent="0.2">
      <c r="B22" s="166"/>
      <c r="C22" s="171" t="s">
        <v>19</v>
      </c>
      <c r="D22" s="171" t="s">
        <v>254</v>
      </c>
      <c r="E22" s="171" t="s">
        <v>246</v>
      </c>
      <c r="F22" s="171" t="s">
        <v>75</v>
      </c>
      <c r="G22" s="171" t="s">
        <v>97</v>
      </c>
      <c r="H22" s="57">
        <v>2492569.25</v>
      </c>
      <c r="I22" s="6">
        <v>151.66999999999999</v>
      </c>
      <c r="J22" s="6">
        <v>15859.82</v>
      </c>
      <c r="K22" s="6">
        <v>3406.21</v>
      </c>
      <c r="L22" s="6">
        <v>19417.7</v>
      </c>
      <c r="M22" s="6">
        <v>8481.91</v>
      </c>
      <c r="N22" s="6">
        <v>20554.46</v>
      </c>
      <c r="O22" s="6">
        <v>8288.68</v>
      </c>
      <c r="P22" s="6">
        <v>37325.050000000003</v>
      </c>
      <c r="Q22" s="6">
        <v>1085.71</v>
      </c>
      <c r="R22" s="6">
        <v>1226.68</v>
      </c>
      <c r="S22" s="6">
        <v>39873.97</v>
      </c>
      <c r="T22" s="6">
        <v>42186.36</v>
      </c>
      <c r="U22" s="6">
        <v>2012</v>
      </c>
      <c r="V22" s="6">
        <v>0</v>
      </c>
      <c r="W22" s="6">
        <v>186358.78</v>
      </c>
      <c r="X22" s="6">
        <v>188370.78</v>
      </c>
      <c r="Y22" s="6">
        <v>287299.89</v>
      </c>
      <c r="Z22" s="7"/>
      <c r="AA22" s="7"/>
      <c r="AB22" s="7"/>
      <c r="AC22" s="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165"/>
      <c r="AO22" s="9">
        <v>2779869.14</v>
      </c>
    </row>
    <row r="23" spans="2:41" s="193" customFormat="1" ht="19.149999999999999" customHeight="1" x14ac:dyDescent="0.2">
      <c r="B23" s="166"/>
      <c r="C23" s="171" t="s">
        <v>255</v>
      </c>
      <c r="D23" s="171" t="s">
        <v>256</v>
      </c>
      <c r="E23" s="171" t="s">
        <v>80</v>
      </c>
      <c r="F23" s="171" t="s">
        <v>75</v>
      </c>
      <c r="G23" s="171" t="s">
        <v>81</v>
      </c>
      <c r="H23" s="57">
        <v>13505.71</v>
      </c>
      <c r="I23" s="20">
        <v>0</v>
      </c>
      <c r="J23" s="20">
        <v>0</v>
      </c>
      <c r="K23" s="20">
        <v>0</v>
      </c>
      <c r="L23" s="20">
        <v>0</v>
      </c>
      <c r="M23" s="20">
        <v>4268.53</v>
      </c>
      <c r="N23" s="20">
        <v>0</v>
      </c>
      <c r="O23" s="20">
        <v>153082.32999999999</v>
      </c>
      <c r="P23" s="20">
        <v>157350.85999999999</v>
      </c>
      <c r="Q23" s="20">
        <v>71154.679999999993</v>
      </c>
      <c r="R23" s="20">
        <v>398.96</v>
      </c>
      <c r="S23" s="20">
        <v>157404.12</v>
      </c>
      <c r="T23" s="20">
        <v>228957.76</v>
      </c>
      <c r="U23" s="20">
        <v>114334.26</v>
      </c>
      <c r="V23" s="20">
        <v>0</v>
      </c>
      <c r="W23" s="20">
        <v>235851.41</v>
      </c>
      <c r="X23" s="20">
        <v>350185.67</v>
      </c>
      <c r="Y23" s="20">
        <v>736494.29</v>
      </c>
      <c r="Z23" s="21"/>
      <c r="AA23" s="21"/>
      <c r="AB23" s="21"/>
      <c r="AC23" s="21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165"/>
      <c r="AO23" s="9">
        <v>750000</v>
      </c>
    </row>
    <row r="24" spans="2:41" s="193" customFormat="1" ht="19.149999999999999" customHeight="1" x14ac:dyDescent="0.2">
      <c r="B24" s="166"/>
      <c r="C24" s="171" t="s">
        <v>257</v>
      </c>
      <c r="D24" s="171" t="s">
        <v>258</v>
      </c>
      <c r="E24" s="171" t="s">
        <v>80</v>
      </c>
      <c r="F24" s="171" t="s">
        <v>75</v>
      </c>
      <c r="G24" s="171" t="s">
        <v>81</v>
      </c>
      <c r="H24" s="57">
        <v>4483.0600000000004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65.56</v>
      </c>
      <c r="P24" s="6">
        <v>65.56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149731.98000000001</v>
      </c>
      <c r="X24" s="6">
        <v>149731.98000000001</v>
      </c>
      <c r="Y24" s="6">
        <v>149797.54</v>
      </c>
      <c r="Z24" s="7"/>
      <c r="AA24" s="7"/>
      <c r="AB24" s="7"/>
      <c r="AC24" s="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165"/>
      <c r="AO24" s="9">
        <v>154280.6</v>
      </c>
    </row>
    <row r="25" spans="2:41" s="193" customFormat="1" ht="19.149999999999999" customHeight="1" x14ac:dyDescent="0.2">
      <c r="B25" s="166"/>
      <c r="C25" s="171" t="s">
        <v>259</v>
      </c>
      <c r="D25" s="171" t="s">
        <v>260</v>
      </c>
      <c r="E25" s="171" t="s">
        <v>176</v>
      </c>
      <c r="F25" s="171" t="s">
        <v>75</v>
      </c>
      <c r="G25" s="171" t="s">
        <v>97</v>
      </c>
      <c r="H25" s="57">
        <v>957858.47</v>
      </c>
      <c r="I25" s="20">
        <v>24377.86</v>
      </c>
      <c r="J25" s="20">
        <v>48582.95</v>
      </c>
      <c r="K25" s="20">
        <v>104750.75</v>
      </c>
      <c r="L25" s="20">
        <v>177711.56</v>
      </c>
      <c r="M25" s="20">
        <v>86245.06</v>
      </c>
      <c r="N25" s="20">
        <v>173904.21</v>
      </c>
      <c r="O25" s="20">
        <v>193199.9</v>
      </c>
      <c r="P25" s="20">
        <v>453349.17</v>
      </c>
      <c r="Q25" s="20">
        <v>114371.62</v>
      </c>
      <c r="R25" s="20">
        <v>7792.2</v>
      </c>
      <c r="S25" s="20">
        <v>4653.5</v>
      </c>
      <c r="T25" s="20">
        <v>126817.32</v>
      </c>
      <c r="U25" s="20">
        <v>14192.27</v>
      </c>
      <c r="V25" s="20">
        <v>0</v>
      </c>
      <c r="W25" s="20">
        <v>203582.82</v>
      </c>
      <c r="X25" s="20">
        <v>217775.09</v>
      </c>
      <c r="Y25" s="20">
        <v>975653.14</v>
      </c>
      <c r="Z25" s="21"/>
      <c r="AA25" s="21"/>
      <c r="AB25" s="21"/>
      <c r="AC25" s="21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165"/>
      <c r="AO25" s="9">
        <v>1933511.61</v>
      </c>
    </row>
    <row r="26" spans="2:41" s="193" customFormat="1" ht="19.149999999999999" customHeight="1" x14ac:dyDescent="0.15">
      <c r="B26" s="167"/>
      <c r="C26" s="172" t="s">
        <v>243</v>
      </c>
      <c r="D26" s="173"/>
      <c r="E26" s="173"/>
      <c r="F26" s="174"/>
      <c r="G26" s="174"/>
      <c r="H26" s="175">
        <v>4964960.93</v>
      </c>
      <c r="I26" s="175">
        <v>24529.53</v>
      </c>
      <c r="J26" s="175">
        <v>186602.63</v>
      </c>
      <c r="K26" s="175">
        <v>113277.15</v>
      </c>
      <c r="L26" s="175">
        <v>324409.31</v>
      </c>
      <c r="M26" s="175">
        <v>100368.85</v>
      </c>
      <c r="N26" s="175">
        <v>273725.40999999997</v>
      </c>
      <c r="O26" s="175">
        <v>390448.43</v>
      </c>
      <c r="P26" s="175">
        <v>764542.69</v>
      </c>
      <c r="Q26" s="175">
        <v>451891.72</v>
      </c>
      <c r="R26" s="175">
        <v>10220.06</v>
      </c>
      <c r="S26" s="175">
        <v>205402.76</v>
      </c>
      <c r="T26" s="175">
        <v>667514.54</v>
      </c>
      <c r="U26" s="175">
        <v>359684.33</v>
      </c>
      <c r="V26" s="175">
        <v>0</v>
      </c>
      <c r="W26" s="175">
        <v>1953760.36</v>
      </c>
      <c r="X26" s="175">
        <v>2313444.69</v>
      </c>
      <c r="Y26" s="175">
        <v>4069911.23</v>
      </c>
      <c r="Z26" s="174"/>
      <c r="AA26" s="174"/>
      <c r="AB26" s="174"/>
      <c r="AC26" s="174"/>
      <c r="AD26" s="175">
        <v>256201</v>
      </c>
      <c r="AE26" s="175"/>
      <c r="AF26" s="175"/>
      <c r="AG26" s="175"/>
      <c r="AH26" s="175"/>
      <c r="AI26" s="175"/>
      <c r="AJ26" s="175"/>
      <c r="AK26" s="175"/>
      <c r="AL26" s="175"/>
      <c r="AM26" s="175"/>
      <c r="AN26" s="176"/>
      <c r="AO26" s="175">
        <v>9291073.1600000001</v>
      </c>
    </row>
    <row r="27" spans="2:41" s="193" customFormat="1" ht="2.65" customHeight="1" x14ac:dyDescent="0.2"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</row>
    <row r="28" spans="2:41" s="193" customFormat="1" ht="19.149999999999999" customHeight="1" x14ac:dyDescent="0.2">
      <c r="B28" s="4" t="s">
        <v>77</v>
      </c>
      <c r="C28" s="15" t="s">
        <v>261</v>
      </c>
      <c r="D28" s="15" t="s">
        <v>262</v>
      </c>
      <c r="E28" s="15"/>
      <c r="F28" s="15" t="s">
        <v>75</v>
      </c>
      <c r="G28" s="15" t="s">
        <v>84</v>
      </c>
      <c r="H28" s="57"/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735.04</v>
      </c>
      <c r="S28" s="6">
        <v>1999.51</v>
      </c>
      <c r="T28" s="6">
        <v>2734.55</v>
      </c>
      <c r="U28" s="6">
        <v>4754.4799999999996</v>
      </c>
      <c r="V28" s="6">
        <v>0</v>
      </c>
      <c r="W28" s="6">
        <v>120510.97</v>
      </c>
      <c r="X28" s="6">
        <v>125265.45</v>
      </c>
      <c r="Y28" s="6">
        <v>128000</v>
      </c>
      <c r="Z28" s="7"/>
      <c r="AA28" s="7"/>
      <c r="AB28" s="7"/>
      <c r="AC28" s="7"/>
      <c r="AD28" s="57">
        <v>90000</v>
      </c>
      <c r="AE28" s="57"/>
      <c r="AF28" s="57"/>
      <c r="AG28" s="57"/>
      <c r="AH28" s="57"/>
      <c r="AI28" s="57"/>
      <c r="AJ28" s="57"/>
      <c r="AK28" s="57"/>
      <c r="AL28" s="57"/>
      <c r="AM28" s="57"/>
      <c r="AN28" s="165"/>
      <c r="AO28" s="9">
        <v>218000</v>
      </c>
    </row>
    <row r="29" spans="2:41" s="193" customFormat="1" ht="19.149999999999999" customHeight="1" x14ac:dyDescent="0.2">
      <c r="B29" s="166"/>
      <c r="C29" s="15" t="s">
        <v>263</v>
      </c>
      <c r="D29" s="15" t="s">
        <v>264</v>
      </c>
      <c r="E29" s="15"/>
      <c r="F29" s="15" t="s">
        <v>75</v>
      </c>
      <c r="G29" s="15" t="s">
        <v>249</v>
      </c>
      <c r="H29" s="57"/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5359.78</v>
      </c>
      <c r="V29" s="20">
        <v>0</v>
      </c>
      <c r="W29" s="20">
        <v>0</v>
      </c>
      <c r="X29" s="20">
        <v>5359.78</v>
      </c>
      <c r="Y29" s="20">
        <v>5359.78</v>
      </c>
      <c r="Z29" s="21"/>
      <c r="AA29" s="21"/>
      <c r="AB29" s="21"/>
      <c r="AC29" s="21"/>
      <c r="AD29" s="57">
        <v>500000</v>
      </c>
      <c r="AE29" s="57"/>
      <c r="AF29" s="57">
        <v>0</v>
      </c>
      <c r="AG29" s="57"/>
      <c r="AH29" s="57"/>
      <c r="AI29" s="57"/>
      <c r="AJ29" s="57"/>
      <c r="AK29" s="57"/>
      <c r="AL29" s="57"/>
      <c r="AM29" s="57"/>
      <c r="AN29" s="165"/>
      <c r="AO29" s="9">
        <v>505359.78</v>
      </c>
    </row>
    <row r="30" spans="2:41" s="193" customFormat="1" ht="19.149999999999999" customHeight="1" x14ac:dyDescent="0.2">
      <c r="B30" s="166"/>
      <c r="C30" s="15" t="s">
        <v>265</v>
      </c>
      <c r="D30" s="15" t="s">
        <v>266</v>
      </c>
      <c r="E30" s="15"/>
      <c r="F30" s="15" t="s">
        <v>75</v>
      </c>
      <c r="G30" s="15" t="s">
        <v>249</v>
      </c>
      <c r="H30" s="57"/>
      <c r="I30" s="6">
        <v>0</v>
      </c>
      <c r="J30" s="6">
        <v>262.86</v>
      </c>
      <c r="K30" s="6">
        <v>0</v>
      </c>
      <c r="L30" s="6">
        <v>262.86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769.01</v>
      </c>
      <c r="S30" s="6">
        <v>115.5</v>
      </c>
      <c r="T30" s="6">
        <v>884.51</v>
      </c>
      <c r="U30" s="6">
        <v>0</v>
      </c>
      <c r="V30" s="6">
        <v>0</v>
      </c>
      <c r="W30" s="6">
        <v>0</v>
      </c>
      <c r="X30" s="6">
        <v>0</v>
      </c>
      <c r="Y30" s="6">
        <v>1147.3699999999999</v>
      </c>
      <c r="Z30" s="7"/>
      <c r="AA30" s="7"/>
      <c r="AB30" s="7"/>
      <c r="AC30" s="7"/>
      <c r="AD30" s="57"/>
      <c r="AE30" s="57">
        <v>242403.4</v>
      </c>
      <c r="AF30" s="57"/>
      <c r="AG30" s="57"/>
      <c r="AH30" s="57"/>
      <c r="AI30" s="57"/>
      <c r="AJ30" s="57"/>
      <c r="AK30" s="57"/>
      <c r="AL30" s="57"/>
      <c r="AM30" s="57"/>
      <c r="AN30" s="165"/>
      <c r="AO30" s="9">
        <v>243550.77</v>
      </c>
    </row>
    <row r="31" spans="2:41" s="193" customFormat="1" ht="19.149999999999999" customHeight="1" x14ac:dyDescent="0.2">
      <c r="B31" s="166"/>
      <c r="C31" s="15" t="s">
        <v>267</v>
      </c>
      <c r="D31" s="15" t="s">
        <v>268</v>
      </c>
      <c r="E31" s="15" t="s">
        <v>176</v>
      </c>
      <c r="F31" s="15" t="s">
        <v>75</v>
      </c>
      <c r="G31" s="15" t="s">
        <v>84</v>
      </c>
      <c r="H31" s="57"/>
      <c r="I31" s="20">
        <v>0</v>
      </c>
      <c r="J31" s="20">
        <v>0</v>
      </c>
      <c r="K31" s="20">
        <v>0</v>
      </c>
      <c r="L31" s="20">
        <v>0</v>
      </c>
      <c r="M31" s="20">
        <v>14504.43</v>
      </c>
      <c r="N31" s="20">
        <v>4273.99</v>
      </c>
      <c r="O31" s="20">
        <v>0</v>
      </c>
      <c r="P31" s="20">
        <v>18778.419999999998</v>
      </c>
      <c r="Q31" s="20">
        <v>3319.2</v>
      </c>
      <c r="R31" s="20">
        <v>0</v>
      </c>
      <c r="S31" s="20">
        <v>0</v>
      </c>
      <c r="T31" s="20">
        <v>3319.2</v>
      </c>
      <c r="U31" s="20">
        <v>0</v>
      </c>
      <c r="V31" s="20">
        <v>0</v>
      </c>
      <c r="W31" s="20">
        <v>345347.5</v>
      </c>
      <c r="X31" s="20">
        <v>345347.5</v>
      </c>
      <c r="Y31" s="20">
        <v>367445.12</v>
      </c>
      <c r="Z31" s="21"/>
      <c r="AA31" s="21"/>
      <c r="AB31" s="21"/>
      <c r="AC31" s="21"/>
      <c r="AD31" s="57">
        <v>250000</v>
      </c>
      <c r="AE31" s="57"/>
      <c r="AF31" s="57"/>
      <c r="AG31" s="57"/>
      <c r="AH31" s="57"/>
      <c r="AI31" s="57"/>
      <c r="AJ31" s="57"/>
      <c r="AK31" s="57"/>
      <c r="AL31" s="57"/>
      <c r="AM31" s="57"/>
      <c r="AN31" s="165"/>
      <c r="AO31" s="9">
        <v>617445.12</v>
      </c>
    </row>
    <row r="32" spans="2:41" s="193" customFormat="1" ht="19.149999999999999" customHeight="1" x14ac:dyDescent="0.2">
      <c r="B32" s="166"/>
      <c r="C32" s="15" t="s">
        <v>269</v>
      </c>
      <c r="D32" s="15" t="s">
        <v>162</v>
      </c>
      <c r="E32" s="15" t="s">
        <v>91</v>
      </c>
      <c r="F32" s="15" t="s">
        <v>75</v>
      </c>
      <c r="G32" s="15" t="s">
        <v>84</v>
      </c>
      <c r="H32" s="57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>
        <v>0</v>
      </c>
      <c r="W32" s="6">
        <v>135000</v>
      </c>
      <c r="X32" s="6">
        <v>135000</v>
      </c>
      <c r="Y32" s="6">
        <v>135000</v>
      </c>
      <c r="Z32" s="7"/>
      <c r="AA32" s="7"/>
      <c r="AB32" s="7"/>
      <c r="AC32" s="7"/>
      <c r="AD32" s="57">
        <v>265000</v>
      </c>
      <c r="AE32" s="57">
        <v>0</v>
      </c>
      <c r="AF32" s="57"/>
      <c r="AG32" s="57"/>
      <c r="AH32" s="57"/>
      <c r="AI32" s="57"/>
      <c r="AJ32" s="57"/>
      <c r="AK32" s="57"/>
      <c r="AL32" s="57"/>
      <c r="AM32" s="57"/>
      <c r="AN32" s="165"/>
      <c r="AO32" s="9">
        <v>400000</v>
      </c>
    </row>
    <row r="33" spans="2:41" s="193" customFormat="1" ht="19.149999999999999" customHeight="1" x14ac:dyDescent="0.2">
      <c r="B33" s="166"/>
      <c r="C33" s="15" t="s">
        <v>270</v>
      </c>
      <c r="D33" s="15" t="s">
        <v>271</v>
      </c>
      <c r="E33" s="15"/>
      <c r="F33" s="15" t="s">
        <v>75</v>
      </c>
      <c r="G33" s="15" t="s">
        <v>249</v>
      </c>
      <c r="H33" s="57"/>
      <c r="I33" s="20">
        <v>0</v>
      </c>
      <c r="J33" s="20">
        <v>0</v>
      </c>
      <c r="K33" s="20">
        <v>262.86</v>
      </c>
      <c r="L33" s="20">
        <v>262.86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1252.67</v>
      </c>
      <c r="S33" s="20">
        <v>385</v>
      </c>
      <c r="T33" s="20">
        <v>1637.67</v>
      </c>
      <c r="U33" s="20">
        <v>0</v>
      </c>
      <c r="V33" s="20">
        <v>0</v>
      </c>
      <c r="W33" s="20">
        <v>1515.53</v>
      </c>
      <c r="X33" s="20">
        <v>1515.53</v>
      </c>
      <c r="Y33" s="20">
        <v>3416.06</v>
      </c>
      <c r="Z33" s="21"/>
      <c r="AA33" s="21"/>
      <c r="AB33" s="21"/>
      <c r="AC33" s="21"/>
      <c r="AD33" s="57">
        <v>198460.93</v>
      </c>
      <c r="AE33" s="57"/>
      <c r="AF33" s="57"/>
      <c r="AG33" s="57"/>
      <c r="AH33" s="57"/>
      <c r="AI33" s="57"/>
      <c r="AJ33" s="57"/>
      <c r="AK33" s="57"/>
      <c r="AL33" s="57"/>
      <c r="AM33" s="57"/>
      <c r="AN33" s="165"/>
      <c r="AO33" s="9">
        <v>201876.99</v>
      </c>
    </row>
    <row r="34" spans="2:41" s="193" customFormat="1" ht="19.149999999999999" customHeight="1" x14ac:dyDescent="0.2">
      <c r="B34" s="166"/>
      <c r="C34" s="15" t="s">
        <v>190</v>
      </c>
      <c r="D34" s="15" t="s">
        <v>104</v>
      </c>
      <c r="E34" s="15"/>
      <c r="F34" s="15" t="s">
        <v>75</v>
      </c>
      <c r="G34" s="15" t="s">
        <v>249</v>
      </c>
      <c r="H34" s="57"/>
      <c r="I34" s="6">
        <v>0</v>
      </c>
      <c r="J34" s="6">
        <v>0</v>
      </c>
      <c r="K34" s="6">
        <v>262.86</v>
      </c>
      <c r="L34" s="6">
        <v>262.86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262.86</v>
      </c>
      <c r="Z34" s="7"/>
      <c r="AA34" s="7"/>
      <c r="AB34" s="7"/>
      <c r="AC34" s="7"/>
      <c r="AD34" s="57">
        <v>0</v>
      </c>
      <c r="AE34" s="57">
        <v>274678.21000000002</v>
      </c>
      <c r="AF34" s="57"/>
      <c r="AG34" s="57"/>
      <c r="AH34" s="57"/>
      <c r="AI34" s="57"/>
      <c r="AJ34" s="57"/>
      <c r="AK34" s="57"/>
      <c r="AL34" s="57"/>
      <c r="AM34" s="57"/>
      <c r="AN34" s="165"/>
      <c r="AO34" s="9">
        <v>274941.07</v>
      </c>
    </row>
    <row r="35" spans="2:41" s="193" customFormat="1" ht="19.149999999999999" customHeight="1" x14ac:dyDescent="0.2">
      <c r="B35" s="166"/>
      <c r="C35" s="15" t="s">
        <v>272</v>
      </c>
      <c r="D35" s="15" t="s">
        <v>86</v>
      </c>
      <c r="E35" s="15"/>
      <c r="F35" s="15" t="s">
        <v>75</v>
      </c>
      <c r="G35" s="15" t="s">
        <v>249</v>
      </c>
      <c r="H35" s="57"/>
      <c r="I35" s="20">
        <v>0</v>
      </c>
      <c r="J35" s="20">
        <v>0</v>
      </c>
      <c r="K35" s="20">
        <v>262.86</v>
      </c>
      <c r="L35" s="20">
        <v>262.86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7371.49</v>
      </c>
      <c r="S35" s="20">
        <v>385</v>
      </c>
      <c r="T35" s="20">
        <v>7756.49</v>
      </c>
      <c r="U35" s="20">
        <v>0</v>
      </c>
      <c r="V35" s="20">
        <v>0</v>
      </c>
      <c r="W35" s="20">
        <v>141980.65</v>
      </c>
      <c r="X35" s="20">
        <v>141980.65</v>
      </c>
      <c r="Y35" s="20">
        <v>150000</v>
      </c>
      <c r="Z35" s="21"/>
      <c r="AA35" s="21"/>
      <c r="AB35" s="21"/>
      <c r="AC35" s="21"/>
      <c r="AD35" s="57">
        <v>1486000</v>
      </c>
      <c r="AE35" s="57">
        <v>1709775</v>
      </c>
      <c r="AF35" s="57"/>
      <c r="AG35" s="57"/>
      <c r="AH35" s="57"/>
      <c r="AI35" s="57"/>
      <c r="AJ35" s="57"/>
      <c r="AK35" s="57"/>
      <c r="AL35" s="57"/>
      <c r="AM35" s="57"/>
      <c r="AN35" s="165"/>
      <c r="AO35" s="9">
        <v>3345775</v>
      </c>
    </row>
    <row r="36" spans="2:41" s="193" customFormat="1" ht="19.149999999999999" customHeight="1" x14ac:dyDescent="0.2">
      <c r="B36" s="166"/>
      <c r="C36" s="15" t="s">
        <v>273</v>
      </c>
      <c r="D36" s="15" t="s">
        <v>274</v>
      </c>
      <c r="E36" s="15"/>
      <c r="F36" s="15" t="s">
        <v>75</v>
      </c>
      <c r="G36" s="15" t="s">
        <v>97</v>
      </c>
      <c r="H36" s="57"/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4494.0200000000004</v>
      </c>
      <c r="P36" s="6">
        <v>4494.0200000000004</v>
      </c>
      <c r="Q36" s="6">
        <v>1808.7</v>
      </c>
      <c r="R36" s="6">
        <v>409.61</v>
      </c>
      <c r="S36" s="6">
        <v>4401.91</v>
      </c>
      <c r="T36" s="6">
        <v>6620.22</v>
      </c>
      <c r="U36" s="6">
        <v>557.08000000000004</v>
      </c>
      <c r="V36" s="6">
        <v>0</v>
      </c>
      <c r="W36" s="6">
        <v>288328.68</v>
      </c>
      <c r="X36" s="6">
        <v>288885.76000000001</v>
      </c>
      <c r="Y36" s="6">
        <v>300000</v>
      </c>
      <c r="Z36" s="7"/>
      <c r="AA36" s="7"/>
      <c r="AB36" s="7"/>
      <c r="AC36" s="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165"/>
      <c r="AO36" s="9">
        <v>300000</v>
      </c>
    </row>
    <row r="37" spans="2:41" s="193" customFormat="1" ht="19.149999999999999" customHeight="1" x14ac:dyDescent="0.2">
      <c r="B37" s="166"/>
      <c r="C37" s="15" t="s">
        <v>275</v>
      </c>
      <c r="D37" s="15" t="s">
        <v>276</v>
      </c>
      <c r="E37" s="15"/>
      <c r="F37" s="15" t="s">
        <v>75</v>
      </c>
      <c r="G37" s="15" t="s">
        <v>84</v>
      </c>
      <c r="H37" s="57"/>
      <c r="I37" s="20">
        <v>0</v>
      </c>
      <c r="J37" s="20">
        <v>333.81</v>
      </c>
      <c r="K37" s="20">
        <v>0</v>
      </c>
      <c r="L37" s="20">
        <v>333.81</v>
      </c>
      <c r="M37" s="20">
        <v>0</v>
      </c>
      <c r="N37" s="20">
        <v>233.78</v>
      </c>
      <c r="O37" s="20">
        <v>844.06</v>
      </c>
      <c r="P37" s="20">
        <v>1077.8399999999999</v>
      </c>
      <c r="Q37" s="20">
        <v>36108.050000000003</v>
      </c>
      <c r="R37" s="20">
        <v>0</v>
      </c>
      <c r="S37" s="20">
        <v>0</v>
      </c>
      <c r="T37" s="20">
        <v>36108.050000000003</v>
      </c>
      <c r="U37" s="20">
        <v>2497.7800000000002</v>
      </c>
      <c r="V37" s="20">
        <v>0</v>
      </c>
      <c r="W37" s="20">
        <v>241582.52</v>
      </c>
      <c r="X37" s="20">
        <v>244080.3</v>
      </c>
      <c r="Y37" s="20">
        <v>281600</v>
      </c>
      <c r="Z37" s="21"/>
      <c r="AA37" s="21"/>
      <c r="AB37" s="21"/>
      <c r="AC37" s="21"/>
      <c r="AD37" s="57">
        <v>276471.65000000002</v>
      </c>
      <c r="AE37" s="57"/>
      <c r="AF37" s="57"/>
      <c r="AG37" s="57"/>
      <c r="AH37" s="57"/>
      <c r="AI37" s="57"/>
      <c r="AJ37" s="57"/>
      <c r="AK37" s="57"/>
      <c r="AL37" s="57"/>
      <c r="AM37" s="57"/>
      <c r="AN37" s="165"/>
      <c r="AO37" s="9">
        <v>558071.65</v>
      </c>
    </row>
    <row r="38" spans="2:41" s="193" customFormat="1" ht="19.149999999999999" customHeight="1" x14ac:dyDescent="0.15">
      <c r="B38" s="167"/>
      <c r="C38" s="16" t="s">
        <v>77</v>
      </c>
      <c r="D38" s="177"/>
      <c r="E38" s="177"/>
      <c r="F38" s="177"/>
      <c r="G38" s="17"/>
      <c r="H38" s="59"/>
      <c r="I38" s="59">
        <v>0</v>
      </c>
      <c r="J38" s="59">
        <v>596.66999999999996</v>
      </c>
      <c r="K38" s="59">
        <v>788.58</v>
      </c>
      <c r="L38" s="59">
        <v>1385.25</v>
      </c>
      <c r="M38" s="59">
        <v>14504.43</v>
      </c>
      <c r="N38" s="59">
        <v>4507.7700000000004</v>
      </c>
      <c r="O38" s="59">
        <v>5338.08</v>
      </c>
      <c r="P38" s="59">
        <v>24350.28</v>
      </c>
      <c r="Q38" s="59">
        <v>41235.949999999997</v>
      </c>
      <c r="R38" s="59">
        <v>10537.82</v>
      </c>
      <c r="S38" s="59">
        <v>7286.92</v>
      </c>
      <c r="T38" s="59">
        <v>59060.69</v>
      </c>
      <c r="U38" s="59">
        <v>13169.12</v>
      </c>
      <c r="V38" s="59">
        <v>0</v>
      </c>
      <c r="W38" s="59">
        <v>1274265.8500000001</v>
      </c>
      <c r="X38" s="59">
        <v>1287434.97</v>
      </c>
      <c r="Y38" s="59">
        <v>1372231.19</v>
      </c>
      <c r="Z38" s="17"/>
      <c r="AA38" s="17"/>
      <c r="AB38" s="17"/>
      <c r="AC38" s="17"/>
      <c r="AD38" s="59">
        <v>3065932.58</v>
      </c>
      <c r="AE38" s="59">
        <v>2226856.61</v>
      </c>
      <c r="AF38" s="59">
        <v>0</v>
      </c>
      <c r="AG38" s="59"/>
      <c r="AH38" s="59"/>
      <c r="AI38" s="59"/>
      <c r="AJ38" s="59"/>
      <c r="AK38" s="59"/>
      <c r="AL38" s="59"/>
      <c r="AM38" s="59"/>
      <c r="AN38" s="176"/>
      <c r="AO38" s="59">
        <v>6665020.3799999999</v>
      </c>
    </row>
    <row r="39" spans="2:41" s="193" customFormat="1" ht="2.65" customHeight="1" x14ac:dyDescent="0.2"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</row>
    <row r="40" spans="2:41" s="193" customFormat="1" ht="19.149999999999999" customHeight="1" x14ac:dyDescent="0.2">
      <c r="B40" s="4" t="s">
        <v>82</v>
      </c>
      <c r="C40" s="19" t="s">
        <v>277</v>
      </c>
      <c r="D40" s="19" t="s">
        <v>278</v>
      </c>
      <c r="E40" s="19"/>
      <c r="F40" s="19" t="s">
        <v>75</v>
      </c>
      <c r="G40" s="19" t="s">
        <v>84</v>
      </c>
      <c r="H40" s="57"/>
      <c r="I40" s="6">
        <v>0</v>
      </c>
      <c r="J40" s="6">
        <v>227.2</v>
      </c>
      <c r="K40" s="6">
        <v>0</v>
      </c>
      <c r="L40" s="6">
        <v>227.2</v>
      </c>
      <c r="M40" s="6">
        <v>0</v>
      </c>
      <c r="N40" s="6">
        <v>173.49</v>
      </c>
      <c r="O40" s="6">
        <v>0</v>
      </c>
      <c r="P40" s="6">
        <v>173.49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43099.31</v>
      </c>
      <c r="X40" s="6">
        <v>43099.31</v>
      </c>
      <c r="Y40" s="6">
        <v>43500</v>
      </c>
      <c r="Z40" s="7"/>
      <c r="AA40" s="7"/>
      <c r="AB40" s="7"/>
      <c r="AC40" s="7"/>
      <c r="AD40" s="57">
        <v>732464.62</v>
      </c>
      <c r="AE40" s="57"/>
      <c r="AF40" s="57"/>
      <c r="AG40" s="57"/>
      <c r="AH40" s="57"/>
      <c r="AI40" s="57"/>
      <c r="AJ40" s="57"/>
      <c r="AK40" s="57"/>
      <c r="AL40" s="57"/>
      <c r="AM40" s="57"/>
      <c r="AN40" s="165"/>
      <c r="AO40" s="9">
        <v>775964.62</v>
      </c>
    </row>
    <row r="41" spans="2:41" s="193" customFormat="1" ht="19.149999999999999" customHeight="1" x14ac:dyDescent="0.2">
      <c r="B41" s="166"/>
      <c r="C41" s="19" t="s">
        <v>279</v>
      </c>
      <c r="D41" s="19" t="s">
        <v>280</v>
      </c>
      <c r="E41" s="19"/>
      <c r="F41" s="19" t="s">
        <v>75</v>
      </c>
      <c r="G41" s="19" t="s">
        <v>97</v>
      </c>
      <c r="H41" s="57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>
        <v>0</v>
      </c>
      <c r="W41" s="20">
        <v>30000</v>
      </c>
      <c r="X41" s="20">
        <v>30000</v>
      </c>
      <c r="Y41" s="20">
        <v>30000</v>
      </c>
      <c r="Z41" s="21"/>
      <c r="AA41" s="21"/>
      <c r="AB41" s="21"/>
      <c r="AC41" s="21"/>
      <c r="AD41" s="57">
        <v>370000</v>
      </c>
      <c r="AE41" s="57"/>
      <c r="AF41" s="57"/>
      <c r="AG41" s="57"/>
      <c r="AH41" s="57"/>
      <c r="AI41" s="57"/>
      <c r="AJ41" s="57"/>
      <c r="AK41" s="57"/>
      <c r="AL41" s="57"/>
      <c r="AM41" s="57"/>
      <c r="AN41" s="165"/>
      <c r="AO41" s="9">
        <v>400000</v>
      </c>
    </row>
    <row r="42" spans="2:41" s="193" customFormat="1" ht="19.149999999999999" customHeight="1" x14ac:dyDescent="0.2">
      <c r="B42" s="166"/>
      <c r="C42" s="19" t="s">
        <v>281</v>
      </c>
      <c r="D42" s="19" t="s">
        <v>282</v>
      </c>
      <c r="E42" s="19" t="s">
        <v>166</v>
      </c>
      <c r="F42" s="19" t="s">
        <v>75</v>
      </c>
      <c r="G42" s="19" t="s">
        <v>249</v>
      </c>
      <c r="H42" s="57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>
        <v>0</v>
      </c>
      <c r="W42" s="6">
        <v>28000</v>
      </c>
      <c r="X42" s="6">
        <v>28000</v>
      </c>
      <c r="Y42" s="6">
        <v>28000</v>
      </c>
      <c r="Z42" s="7"/>
      <c r="AA42" s="7"/>
      <c r="AB42" s="7"/>
      <c r="AC42" s="7"/>
      <c r="AD42" s="57">
        <v>633129.17000000004</v>
      </c>
      <c r="AE42" s="57"/>
      <c r="AF42" s="57"/>
      <c r="AG42" s="57"/>
      <c r="AH42" s="57"/>
      <c r="AI42" s="57"/>
      <c r="AJ42" s="57"/>
      <c r="AK42" s="57"/>
      <c r="AL42" s="57"/>
      <c r="AM42" s="57"/>
      <c r="AN42" s="165"/>
      <c r="AO42" s="9">
        <v>661129.17000000004</v>
      </c>
    </row>
    <row r="43" spans="2:41" s="193" customFormat="1" ht="19.149999999999999" customHeight="1" x14ac:dyDescent="0.2">
      <c r="B43" s="166"/>
      <c r="C43" s="19" t="s">
        <v>283</v>
      </c>
      <c r="D43" s="19" t="s">
        <v>284</v>
      </c>
      <c r="E43" s="19"/>
      <c r="F43" s="19" t="s">
        <v>75</v>
      </c>
      <c r="G43" s="19" t="s">
        <v>84</v>
      </c>
      <c r="H43" s="57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>
        <v>0</v>
      </c>
      <c r="W43" s="20">
        <v>30000</v>
      </c>
      <c r="X43" s="20">
        <v>30000</v>
      </c>
      <c r="Y43" s="20">
        <v>30000</v>
      </c>
      <c r="Z43" s="21"/>
      <c r="AA43" s="21"/>
      <c r="AB43" s="21"/>
      <c r="AC43" s="21"/>
      <c r="AD43" s="57">
        <v>710251.92</v>
      </c>
      <c r="AE43" s="57">
        <v>87353.12</v>
      </c>
      <c r="AF43" s="57"/>
      <c r="AG43" s="57"/>
      <c r="AH43" s="57"/>
      <c r="AI43" s="57"/>
      <c r="AJ43" s="57"/>
      <c r="AK43" s="57"/>
      <c r="AL43" s="57"/>
      <c r="AM43" s="57"/>
      <c r="AN43" s="165"/>
      <c r="AO43" s="9">
        <v>827605.04</v>
      </c>
    </row>
    <row r="44" spans="2:41" s="193" customFormat="1" ht="19.149999999999999" customHeight="1" x14ac:dyDescent="0.15">
      <c r="B44" s="167"/>
      <c r="C44" s="22" t="s">
        <v>82</v>
      </c>
      <c r="D44" s="341"/>
      <c r="E44" s="341"/>
      <c r="F44" s="24"/>
      <c r="G44" s="24"/>
      <c r="H44" s="60"/>
      <c r="I44" s="60">
        <v>0</v>
      </c>
      <c r="J44" s="60">
        <v>227.2</v>
      </c>
      <c r="K44" s="60">
        <v>0</v>
      </c>
      <c r="L44" s="60">
        <v>227.2</v>
      </c>
      <c r="M44" s="60">
        <v>0</v>
      </c>
      <c r="N44" s="60">
        <v>173.49</v>
      </c>
      <c r="O44" s="60">
        <v>0</v>
      </c>
      <c r="P44" s="60">
        <v>173.49</v>
      </c>
      <c r="Q44" s="60">
        <v>0</v>
      </c>
      <c r="R44" s="60">
        <v>0</v>
      </c>
      <c r="S44" s="60">
        <v>0</v>
      </c>
      <c r="T44" s="60">
        <v>0</v>
      </c>
      <c r="U44" s="60">
        <v>0</v>
      </c>
      <c r="V44" s="60">
        <v>0</v>
      </c>
      <c r="W44" s="60">
        <v>131099.31</v>
      </c>
      <c r="X44" s="60">
        <v>131099.31</v>
      </c>
      <c r="Y44" s="60">
        <v>131500</v>
      </c>
      <c r="Z44" s="24"/>
      <c r="AA44" s="24"/>
      <c r="AB44" s="24"/>
      <c r="AC44" s="24"/>
      <c r="AD44" s="60">
        <v>2445845.71</v>
      </c>
      <c r="AE44" s="60">
        <v>87353.12</v>
      </c>
      <c r="AF44" s="60"/>
      <c r="AG44" s="60"/>
      <c r="AH44" s="60"/>
      <c r="AI44" s="60"/>
      <c r="AJ44" s="60"/>
      <c r="AK44" s="60"/>
      <c r="AL44" s="60"/>
      <c r="AM44" s="60"/>
      <c r="AN44" s="176"/>
      <c r="AO44" s="60">
        <v>2664698.83</v>
      </c>
    </row>
    <row r="45" spans="2:41" s="193" customFormat="1" ht="2.65" customHeight="1" x14ac:dyDescent="0.2"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  <c r="AO45" s="170"/>
    </row>
    <row r="46" spans="2:41" s="193" customFormat="1" ht="19.149999999999999" customHeight="1" x14ac:dyDescent="0.2">
      <c r="B46" s="4" t="s">
        <v>88</v>
      </c>
      <c r="C46" s="25" t="s">
        <v>285</v>
      </c>
      <c r="D46" s="25" t="s">
        <v>286</v>
      </c>
      <c r="E46" s="25"/>
      <c r="F46" s="25" t="s">
        <v>75</v>
      </c>
      <c r="G46" s="25" t="s">
        <v>249</v>
      </c>
      <c r="H46" s="57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>
        <v>0</v>
      </c>
      <c r="W46" s="6"/>
      <c r="X46" s="6">
        <v>0</v>
      </c>
      <c r="Y46" s="6">
        <v>0</v>
      </c>
      <c r="Z46" s="7"/>
      <c r="AA46" s="7"/>
      <c r="AB46" s="7"/>
      <c r="AC46" s="7"/>
      <c r="AD46" s="57"/>
      <c r="AE46" s="57"/>
      <c r="AF46" s="57">
        <v>100000</v>
      </c>
      <c r="AG46" s="57"/>
      <c r="AH46" s="57"/>
      <c r="AI46" s="57"/>
      <c r="AJ46" s="57"/>
      <c r="AK46" s="57"/>
      <c r="AL46" s="57"/>
      <c r="AM46" s="57"/>
      <c r="AN46" s="165"/>
      <c r="AO46" s="9">
        <v>100000</v>
      </c>
    </row>
    <row r="47" spans="2:41" s="193" customFormat="1" ht="19.149999999999999" customHeight="1" x14ac:dyDescent="0.2">
      <c r="B47" s="166"/>
      <c r="C47" s="25" t="s">
        <v>287</v>
      </c>
      <c r="D47" s="25" t="s">
        <v>95</v>
      </c>
      <c r="E47" s="25"/>
      <c r="F47" s="25" t="s">
        <v>75</v>
      </c>
      <c r="G47" s="25" t="s">
        <v>75</v>
      </c>
      <c r="H47" s="57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>
        <v>0</v>
      </c>
      <c r="W47" s="20"/>
      <c r="X47" s="20">
        <v>0</v>
      </c>
      <c r="Y47" s="20">
        <v>0</v>
      </c>
      <c r="Z47" s="21"/>
      <c r="AA47" s="21"/>
      <c r="AB47" s="21"/>
      <c r="AC47" s="21"/>
      <c r="AD47" s="57"/>
      <c r="AE47" s="57"/>
      <c r="AF47" s="57"/>
      <c r="AG47" s="57"/>
      <c r="AH47" s="57"/>
      <c r="AI47" s="57">
        <v>0</v>
      </c>
      <c r="AJ47" s="57">
        <v>650000</v>
      </c>
      <c r="AK47" s="57"/>
      <c r="AL47" s="57"/>
      <c r="AM47" s="57"/>
      <c r="AN47" s="165"/>
      <c r="AO47" s="9">
        <v>650000</v>
      </c>
    </row>
    <row r="48" spans="2:41" s="193" customFormat="1" ht="19.149999999999999" customHeight="1" x14ac:dyDescent="0.2">
      <c r="B48" s="166"/>
      <c r="C48" s="25" t="s">
        <v>288</v>
      </c>
      <c r="D48" s="25" t="s">
        <v>289</v>
      </c>
      <c r="E48" s="25"/>
      <c r="F48" s="25" t="s">
        <v>75</v>
      </c>
      <c r="G48" s="25" t="s">
        <v>75</v>
      </c>
      <c r="H48" s="57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>
        <v>0</v>
      </c>
      <c r="W48" s="6"/>
      <c r="X48" s="6">
        <v>0</v>
      </c>
      <c r="Y48" s="6">
        <v>0</v>
      </c>
      <c r="Z48" s="7"/>
      <c r="AA48" s="7"/>
      <c r="AB48" s="7"/>
      <c r="AC48" s="7"/>
      <c r="AD48" s="57"/>
      <c r="AE48" s="57"/>
      <c r="AF48" s="57"/>
      <c r="AG48" s="57"/>
      <c r="AH48" s="57"/>
      <c r="AI48" s="57">
        <v>0</v>
      </c>
      <c r="AJ48" s="57">
        <v>2090000</v>
      </c>
      <c r="AK48" s="57"/>
      <c r="AL48" s="57"/>
      <c r="AM48" s="57"/>
      <c r="AN48" s="165"/>
      <c r="AO48" s="9">
        <v>2090000</v>
      </c>
    </row>
    <row r="49" spans="2:41" s="193" customFormat="1" ht="19.149999999999999" customHeight="1" x14ac:dyDescent="0.2">
      <c r="B49" s="166"/>
      <c r="C49" s="25" t="s">
        <v>290</v>
      </c>
      <c r="D49" s="25" t="s">
        <v>291</v>
      </c>
      <c r="E49" s="25"/>
      <c r="F49" s="25" t="s">
        <v>75</v>
      </c>
      <c r="G49" s="25" t="s">
        <v>75</v>
      </c>
      <c r="H49" s="57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>
        <v>0</v>
      </c>
      <c r="W49" s="20"/>
      <c r="X49" s="20">
        <v>0</v>
      </c>
      <c r="Y49" s="20">
        <v>0</v>
      </c>
      <c r="Z49" s="21"/>
      <c r="AA49" s="21"/>
      <c r="AB49" s="21"/>
      <c r="AC49" s="21"/>
      <c r="AD49" s="57"/>
      <c r="AE49" s="57"/>
      <c r="AF49" s="57"/>
      <c r="AG49" s="57"/>
      <c r="AH49" s="57"/>
      <c r="AI49" s="57">
        <v>0</v>
      </c>
      <c r="AJ49" s="57">
        <v>1600000</v>
      </c>
      <c r="AK49" s="57"/>
      <c r="AL49" s="57"/>
      <c r="AM49" s="57"/>
      <c r="AN49" s="165"/>
      <c r="AO49" s="9">
        <v>1600000</v>
      </c>
    </row>
    <row r="50" spans="2:41" s="193" customFormat="1" ht="19.149999999999999" customHeight="1" x14ac:dyDescent="0.2">
      <c r="B50" s="166"/>
      <c r="C50" s="25" t="s">
        <v>292</v>
      </c>
      <c r="D50" s="25" t="s">
        <v>293</v>
      </c>
      <c r="E50" s="25" t="s">
        <v>165</v>
      </c>
      <c r="F50" s="25" t="s">
        <v>75</v>
      </c>
      <c r="G50" s="25" t="s">
        <v>249</v>
      </c>
      <c r="H50" s="57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>
        <v>0</v>
      </c>
      <c r="W50" s="6"/>
      <c r="X50" s="6">
        <v>0</v>
      </c>
      <c r="Y50" s="6">
        <v>0</v>
      </c>
      <c r="Z50" s="7"/>
      <c r="AA50" s="7"/>
      <c r="AB50" s="7"/>
      <c r="AC50" s="7"/>
      <c r="AD50" s="57"/>
      <c r="AE50" s="57"/>
      <c r="AF50" s="57"/>
      <c r="AG50" s="57"/>
      <c r="AH50" s="57"/>
      <c r="AI50" s="57">
        <v>0</v>
      </c>
      <c r="AJ50" s="57">
        <v>1500000</v>
      </c>
      <c r="AK50" s="57"/>
      <c r="AL50" s="57"/>
      <c r="AM50" s="57"/>
      <c r="AN50" s="165"/>
      <c r="AO50" s="9">
        <v>1500000</v>
      </c>
    </row>
    <row r="51" spans="2:41" s="193" customFormat="1" ht="19.149999999999999" customHeight="1" x14ac:dyDescent="0.2">
      <c r="B51" s="166"/>
      <c r="C51" s="25" t="s">
        <v>294</v>
      </c>
      <c r="D51" s="25" t="s">
        <v>295</v>
      </c>
      <c r="E51" s="25" t="s">
        <v>172</v>
      </c>
      <c r="F51" s="25" t="s">
        <v>75</v>
      </c>
      <c r="G51" s="25" t="s">
        <v>249</v>
      </c>
      <c r="H51" s="57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>
        <v>0</v>
      </c>
      <c r="W51" s="20"/>
      <c r="X51" s="20">
        <v>0</v>
      </c>
      <c r="Y51" s="20">
        <v>0</v>
      </c>
      <c r="Z51" s="21"/>
      <c r="AA51" s="21"/>
      <c r="AB51" s="21"/>
      <c r="AC51" s="21"/>
      <c r="AD51" s="57">
        <v>70000</v>
      </c>
      <c r="AE51" s="57">
        <v>1830000</v>
      </c>
      <c r="AF51" s="57"/>
      <c r="AG51" s="57"/>
      <c r="AH51" s="57"/>
      <c r="AI51" s="57"/>
      <c r="AJ51" s="57"/>
      <c r="AK51" s="57"/>
      <c r="AL51" s="57"/>
      <c r="AM51" s="57"/>
      <c r="AN51" s="165"/>
      <c r="AO51" s="9">
        <v>1900000</v>
      </c>
    </row>
    <row r="52" spans="2:41" s="193" customFormat="1" ht="19.149999999999999" customHeight="1" x14ac:dyDescent="0.2">
      <c r="B52" s="166"/>
      <c r="C52" s="25" t="s">
        <v>296</v>
      </c>
      <c r="D52" s="25" t="s">
        <v>297</v>
      </c>
      <c r="E52" s="25" t="s">
        <v>164</v>
      </c>
      <c r="F52" s="25" t="s">
        <v>75</v>
      </c>
      <c r="G52" s="25" t="s">
        <v>97</v>
      </c>
      <c r="H52" s="57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>
        <v>0</v>
      </c>
      <c r="W52" s="6"/>
      <c r="X52" s="6">
        <v>0</v>
      </c>
      <c r="Y52" s="6">
        <v>0</v>
      </c>
      <c r="Z52" s="7"/>
      <c r="AA52" s="7"/>
      <c r="AB52" s="7"/>
      <c r="AC52" s="7"/>
      <c r="AD52" s="57"/>
      <c r="AE52" s="57"/>
      <c r="AF52" s="57"/>
      <c r="AG52" s="57">
        <v>3300000</v>
      </c>
      <c r="AH52" s="57"/>
      <c r="AI52" s="57"/>
      <c r="AJ52" s="57"/>
      <c r="AK52" s="57"/>
      <c r="AL52" s="57"/>
      <c r="AM52" s="57"/>
      <c r="AN52" s="165"/>
      <c r="AO52" s="9">
        <v>3300000</v>
      </c>
    </row>
    <row r="53" spans="2:41" s="193" customFormat="1" ht="19.149999999999999" customHeight="1" x14ac:dyDescent="0.2">
      <c r="B53" s="166"/>
      <c r="C53" s="25" t="s">
        <v>198</v>
      </c>
      <c r="D53" s="25" t="s">
        <v>298</v>
      </c>
      <c r="E53" s="25" t="s">
        <v>169</v>
      </c>
      <c r="F53" s="25" t="s">
        <v>75</v>
      </c>
      <c r="G53" s="25" t="s">
        <v>84</v>
      </c>
      <c r="H53" s="57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>
        <v>0</v>
      </c>
      <c r="W53" s="20"/>
      <c r="X53" s="20">
        <v>0</v>
      </c>
      <c r="Y53" s="20">
        <v>0</v>
      </c>
      <c r="Z53" s="21"/>
      <c r="AA53" s="21"/>
      <c r="AB53" s="21"/>
      <c r="AC53" s="21"/>
      <c r="AD53" s="57"/>
      <c r="AE53" s="57"/>
      <c r="AF53" s="57"/>
      <c r="AG53" s="57">
        <v>0</v>
      </c>
      <c r="AH53" s="57">
        <v>0</v>
      </c>
      <c r="AI53" s="57">
        <v>557638</v>
      </c>
      <c r="AJ53" s="57">
        <v>995276.85</v>
      </c>
      <c r="AK53" s="57"/>
      <c r="AL53" s="57"/>
      <c r="AM53" s="57"/>
      <c r="AN53" s="165"/>
      <c r="AO53" s="9">
        <v>1552914.85</v>
      </c>
    </row>
    <row r="54" spans="2:41" s="193" customFormat="1" ht="19.149999999999999" customHeight="1" x14ac:dyDescent="0.2">
      <c r="B54" s="166"/>
      <c r="C54" s="25" t="s">
        <v>299</v>
      </c>
      <c r="D54" s="25" t="s">
        <v>300</v>
      </c>
      <c r="E54" s="25" t="s">
        <v>246</v>
      </c>
      <c r="F54" s="25" t="s">
        <v>75</v>
      </c>
      <c r="G54" s="25" t="s">
        <v>97</v>
      </c>
      <c r="H54" s="57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>
        <v>0</v>
      </c>
      <c r="W54" s="6"/>
      <c r="X54" s="6">
        <v>0</v>
      </c>
      <c r="Y54" s="6">
        <v>0</v>
      </c>
      <c r="Z54" s="7"/>
      <c r="AA54" s="7"/>
      <c r="AB54" s="7"/>
      <c r="AC54" s="7"/>
      <c r="AD54" s="57"/>
      <c r="AE54" s="57"/>
      <c r="AF54" s="57"/>
      <c r="AG54" s="57"/>
      <c r="AH54" s="57">
        <v>0</v>
      </c>
      <c r="AI54" s="57">
        <v>0</v>
      </c>
      <c r="AJ54" s="57">
        <v>1904000</v>
      </c>
      <c r="AK54" s="57"/>
      <c r="AL54" s="57"/>
      <c r="AM54" s="57"/>
      <c r="AN54" s="165"/>
      <c r="AO54" s="9">
        <v>1904000</v>
      </c>
    </row>
    <row r="55" spans="2:41" s="193" customFormat="1" ht="19.149999999999999" customHeight="1" x14ac:dyDescent="0.2">
      <c r="B55" s="166"/>
      <c r="C55" s="25" t="s">
        <v>301</v>
      </c>
      <c r="D55" s="25" t="s">
        <v>302</v>
      </c>
      <c r="E55" s="25" t="s">
        <v>246</v>
      </c>
      <c r="F55" s="25" t="s">
        <v>75</v>
      </c>
      <c r="G55" s="25" t="s">
        <v>249</v>
      </c>
      <c r="H55" s="57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>
        <v>0</v>
      </c>
      <c r="W55" s="20"/>
      <c r="X55" s="20">
        <v>0</v>
      </c>
      <c r="Y55" s="20">
        <v>0</v>
      </c>
      <c r="Z55" s="21"/>
      <c r="AA55" s="21"/>
      <c r="AB55" s="21"/>
      <c r="AC55" s="21"/>
      <c r="AD55" s="57"/>
      <c r="AE55" s="57"/>
      <c r="AF55" s="57"/>
      <c r="AG55" s="57"/>
      <c r="AH55" s="57">
        <v>1900000</v>
      </c>
      <c r="AI55" s="57"/>
      <c r="AJ55" s="57"/>
      <c r="AK55" s="57"/>
      <c r="AL55" s="57"/>
      <c r="AM55" s="57"/>
      <c r="AN55" s="165"/>
      <c r="AO55" s="9">
        <v>1900000</v>
      </c>
    </row>
    <row r="56" spans="2:41" s="193" customFormat="1" ht="19.149999999999999" customHeight="1" x14ac:dyDescent="0.2">
      <c r="B56" s="166"/>
      <c r="C56" s="25" t="s">
        <v>303</v>
      </c>
      <c r="D56" s="25" t="s">
        <v>304</v>
      </c>
      <c r="E56" s="25" t="s">
        <v>169</v>
      </c>
      <c r="F56" s="25" t="s">
        <v>75</v>
      </c>
      <c r="G56" s="25" t="s">
        <v>84</v>
      </c>
      <c r="H56" s="57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>
        <v>0</v>
      </c>
      <c r="W56" s="6"/>
      <c r="X56" s="6">
        <v>0</v>
      </c>
      <c r="Y56" s="6">
        <v>0</v>
      </c>
      <c r="Z56" s="7"/>
      <c r="AA56" s="7"/>
      <c r="AB56" s="7"/>
      <c r="AC56" s="7"/>
      <c r="AD56" s="57"/>
      <c r="AE56" s="57"/>
      <c r="AF56" s="57">
        <v>0</v>
      </c>
      <c r="AG56" s="57">
        <v>60000</v>
      </c>
      <c r="AH56" s="57">
        <v>1492914.85</v>
      </c>
      <c r="AI56" s="57"/>
      <c r="AJ56" s="57"/>
      <c r="AK56" s="57"/>
      <c r="AL56" s="57"/>
      <c r="AM56" s="57"/>
      <c r="AN56" s="165"/>
      <c r="AO56" s="9">
        <v>1552914.85</v>
      </c>
    </row>
    <row r="57" spans="2:41" s="193" customFormat="1" ht="19.149999999999999" customHeight="1" x14ac:dyDescent="0.2">
      <c r="B57" s="166"/>
      <c r="C57" s="25" t="s">
        <v>305</v>
      </c>
      <c r="D57" s="25" t="s">
        <v>306</v>
      </c>
      <c r="E57" s="25" t="s">
        <v>246</v>
      </c>
      <c r="F57" s="25" t="s">
        <v>75</v>
      </c>
      <c r="G57" s="25" t="s">
        <v>84</v>
      </c>
      <c r="H57" s="57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>
        <v>0</v>
      </c>
      <c r="W57" s="20"/>
      <c r="X57" s="20">
        <v>0</v>
      </c>
      <c r="Y57" s="20">
        <v>0</v>
      </c>
      <c r="Z57" s="21"/>
      <c r="AA57" s="21"/>
      <c r="AB57" s="21"/>
      <c r="AC57" s="21"/>
      <c r="AD57" s="57"/>
      <c r="AE57" s="57">
        <v>175000</v>
      </c>
      <c r="AF57" s="57"/>
      <c r="AG57" s="57"/>
      <c r="AH57" s="57"/>
      <c r="AI57" s="57"/>
      <c r="AJ57" s="57"/>
      <c r="AK57" s="57"/>
      <c r="AL57" s="57"/>
      <c r="AM57" s="57"/>
      <c r="AN57" s="165"/>
      <c r="AO57" s="9">
        <v>175000</v>
      </c>
    </row>
    <row r="58" spans="2:41" s="193" customFormat="1" ht="19.149999999999999" customHeight="1" x14ac:dyDescent="0.2">
      <c r="B58" s="166"/>
      <c r="C58" s="25" t="s">
        <v>307</v>
      </c>
      <c r="D58" s="25" t="s">
        <v>308</v>
      </c>
      <c r="E58" s="25" t="s">
        <v>246</v>
      </c>
      <c r="F58" s="25" t="s">
        <v>75</v>
      </c>
      <c r="G58" s="25" t="s">
        <v>84</v>
      </c>
      <c r="H58" s="57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>
        <v>0</v>
      </c>
      <c r="W58" s="6"/>
      <c r="X58" s="6">
        <v>0</v>
      </c>
      <c r="Y58" s="6">
        <v>0</v>
      </c>
      <c r="Z58" s="7"/>
      <c r="AA58" s="7"/>
      <c r="AB58" s="7"/>
      <c r="AC58" s="7"/>
      <c r="AD58" s="57"/>
      <c r="AE58" s="57"/>
      <c r="AF58" s="57"/>
      <c r="AG58" s="57"/>
      <c r="AH58" s="57">
        <v>175000</v>
      </c>
      <c r="AI58" s="57"/>
      <c r="AJ58" s="57"/>
      <c r="AK58" s="57"/>
      <c r="AL58" s="57"/>
      <c r="AM58" s="57"/>
      <c r="AN58" s="165"/>
      <c r="AO58" s="9">
        <v>175000</v>
      </c>
    </row>
    <row r="59" spans="2:41" s="193" customFormat="1" ht="19.149999999999999" customHeight="1" x14ac:dyDescent="0.2">
      <c r="B59" s="166"/>
      <c r="C59" s="25" t="s">
        <v>309</v>
      </c>
      <c r="D59" s="25" t="s">
        <v>310</v>
      </c>
      <c r="E59" s="25" t="s">
        <v>91</v>
      </c>
      <c r="F59" s="25" t="s">
        <v>75</v>
      </c>
      <c r="G59" s="25" t="s">
        <v>84</v>
      </c>
      <c r="H59" s="57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>
        <v>0</v>
      </c>
      <c r="W59" s="20"/>
      <c r="X59" s="20">
        <v>0</v>
      </c>
      <c r="Y59" s="20">
        <v>0</v>
      </c>
      <c r="Z59" s="21"/>
      <c r="AA59" s="21"/>
      <c r="AB59" s="21"/>
      <c r="AC59" s="21"/>
      <c r="AD59" s="57"/>
      <c r="AE59" s="57"/>
      <c r="AF59" s="57"/>
      <c r="AG59" s="57"/>
      <c r="AH59" s="57">
        <v>350000</v>
      </c>
      <c r="AI59" s="57"/>
      <c r="AJ59" s="57"/>
      <c r="AK59" s="57"/>
      <c r="AL59" s="57"/>
      <c r="AM59" s="57"/>
      <c r="AN59" s="165"/>
      <c r="AO59" s="9">
        <v>350000</v>
      </c>
    </row>
    <row r="60" spans="2:41" s="193" customFormat="1" ht="19.149999999999999" customHeight="1" x14ac:dyDescent="0.2">
      <c r="B60" s="166"/>
      <c r="C60" s="25" t="s">
        <v>311</v>
      </c>
      <c r="D60" s="25" t="s">
        <v>312</v>
      </c>
      <c r="E60" s="25" t="s">
        <v>91</v>
      </c>
      <c r="F60" s="25" t="s">
        <v>75</v>
      </c>
      <c r="G60" s="25" t="s">
        <v>84</v>
      </c>
      <c r="H60" s="57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>
        <v>0</v>
      </c>
      <c r="W60" s="6"/>
      <c r="X60" s="6">
        <v>0</v>
      </c>
      <c r="Y60" s="6">
        <v>0</v>
      </c>
      <c r="Z60" s="7"/>
      <c r="AA60" s="7"/>
      <c r="AB60" s="7"/>
      <c r="AC60" s="7"/>
      <c r="AD60" s="57"/>
      <c r="AE60" s="57"/>
      <c r="AF60" s="57"/>
      <c r="AG60" s="57"/>
      <c r="AH60" s="57"/>
      <c r="AI60" s="57">
        <v>400000</v>
      </c>
      <c r="AJ60" s="57"/>
      <c r="AK60" s="57"/>
      <c r="AL60" s="57"/>
      <c r="AM60" s="57"/>
      <c r="AN60" s="165"/>
      <c r="AO60" s="9">
        <v>400000</v>
      </c>
    </row>
    <row r="61" spans="2:41" s="193" customFormat="1" ht="19.149999999999999" customHeight="1" x14ac:dyDescent="0.2">
      <c r="B61" s="166"/>
      <c r="C61" s="25" t="s">
        <v>313</v>
      </c>
      <c r="D61" s="25" t="s">
        <v>314</v>
      </c>
      <c r="E61" s="25" t="s">
        <v>246</v>
      </c>
      <c r="F61" s="25" t="s">
        <v>75</v>
      </c>
      <c r="G61" s="25" t="s">
        <v>84</v>
      </c>
      <c r="H61" s="57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>
        <v>0</v>
      </c>
      <c r="W61" s="20"/>
      <c r="X61" s="20">
        <v>0</v>
      </c>
      <c r="Y61" s="20">
        <v>0</v>
      </c>
      <c r="Z61" s="21"/>
      <c r="AA61" s="21"/>
      <c r="AB61" s="21"/>
      <c r="AC61" s="21"/>
      <c r="AD61" s="57"/>
      <c r="AE61" s="57"/>
      <c r="AF61" s="57"/>
      <c r="AG61" s="57"/>
      <c r="AH61" s="57"/>
      <c r="AI61" s="57">
        <v>175000</v>
      </c>
      <c r="AJ61" s="57"/>
      <c r="AK61" s="57"/>
      <c r="AL61" s="57"/>
      <c r="AM61" s="57"/>
      <c r="AN61" s="165"/>
      <c r="AO61" s="9">
        <v>175000</v>
      </c>
    </row>
    <row r="62" spans="2:41" s="193" customFormat="1" ht="19.149999999999999" customHeight="1" x14ac:dyDescent="0.2">
      <c r="B62" s="166"/>
      <c r="C62" s="25" t="s">
        <v>315</v>
      </c>
      <c r="D62" s="25" t="s">
        <v>316</v>
      </c>
      <c r="E62" s="25" t="s">
        <v>317</v>
      </c>
      <c r="F62" s="25" t="s">
        <v>75</v>
      </c>
      <c r="G62" s="25" t="s">
        <v>84</v>
      </c>
      <c r="H62" s="57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>
        <v>0</v>
      </c>
      <c r="W62" s="6"/>
      <c r="X62" s="6">
        <v>0</v>
      </c>
      <c r="Y62" s="6">
        <v>0</v>
      </c>
      <c r="Z62" s="7"/>
      <c r="AA62" s="7"/>
      <c r="AB62" s="7"/>
      <c r="AC62" s="7"/>
      <c r="AD62" s="57"/>
      <c r="AE62" s="57"/>
      <c r="AF62" s="57"/>
      <c r="AG62" s="57">
        <v>100000</v>
      </c>
      <c r="AH62" s="57">
        <v>2400000</v>
      </c>
      <c r="AI62" s="57"/>
      <c r="AJ62" s="57"/>
      <c r="AK62" s="57"/>
      <c r="AL62" s="57"/>
      <c r="AM62" s="57"/>
      <c r="AN62" s="165"/>
      <c r="AO62" s="9">
        <v>2500000</v>
      </c>
    </row>
    <row r="63" spans="2:41" s="193" customFormat="1" ht="19.149999999999999" customHeight="1" x14ac:dyDescent="0.2">
      <c r="B63" s="166"/>
      <c r="C63" s="25" t="s">
        <v>318</v>
      </c>
      <c r="D63" s="25" t="s">
        <v>319</v>
      </c>
      <c r="E63" s="25" t="s">
        <v>223</v>
      </c>
      <c r="F63" s="25" t="s">
        <v>75</v>
      </c>
      <c r="G63" s="25" t="s">
        <v>81</v>
      </c>
      <c r="H63" s="57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>
        <v>0</v>
      </c>
      <c r="W63" s="20"/>
      <c r="X63" s="20">
        <v>0</v>
      </c>
      <c r="Y63" s="20">
        <v>0</v>
      </c>
      <c r="Z63" s="21"/>
      <c r="AA63" s="21"/>
      <c r="AB63" s="21"/>
      <c r="AC63" s="21"/>
      <c r="AD63" s="57">
        <v>0</v>
      </c>
      <c r="AE63" s="57">
        <v>1334701</v>
      </c>
      <c r="AF63" s="57">
        <v>3083985</v>
      </c>
      <c r="AG63" s="57">
        <v>3056534.59</v>
      </c>
      <c r="AH63" s="57"/>
      <c r="AI63" s="57"/>
      <c r="AJ63" s="57"/>
      <c r="AK63" s="57"/>
      <c r="AL63" s="57"/>
      <c r="AM63" s="57"/>
      <c r="AN63" s="165"/>
      <c r="AO63" s="9">
        <v>7475220.5899999999</v>
      </c>
    </row>
    <row r="64" spans="2:41" s="193" customFormat="1" ht="19.149999999999999" customHeight="1" x14ac:dyDescent="0.2">
      <c r="B64" s="166"/>
      <c r="C64" s="25" t="s">
        <v>320</v>
      </c>
      <c r="D64" s="25" t="s">
        <v>321</v>
      </c>
      <c r="E64" s="25" t="s">
        <v>169</v>
      </c>
      <c r="F64" s="25" t="s">
        <v>75</v>
      </c>
      <c r="G64" s="25" t="s">
        <v>84</v>
      </c>
      <c r="H64" s="57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>
        <v>0</v>
      </c>
      <c r="W64" s="6"/>
      <c r="X64" s="6">
        <v>0</v>
      </c>
      <c r="Y64" s="6">
        <v>0</v>
      </c>
      <c r="Z64" s="7"/>
      <c r="AA64" s="7"/>
      <c r="AB64" s="7"/>
      <c r="AC64" s="7"/>
      <c r="AD64" s="57"/>
      <c r="AE64" s="57">
        <v>0</v>
      </c>
      <c r="AF64" s="57">
        <v>0</v>
      </c>
      <c r="AG64" s="57">
        <v>0</v>
      </c>
      <c r="AH64" s="57">
        <v>1423505.85</v>
      </c>
      <c r="AI64" s="57">
        <v>129410</v>
      </c>
      <c r="AJ64" s="57"/>
      <c r="AK64" s="57"/>
      <c r="AL64" s="57"/>
      <c r="AM64" s="57"/>
      <c r="AN64" s="165"/>
      <c r="AO64" s="9">
        <v>1552915.85</v>
      </c>
    </row>
    <row r="65" spans="2:41" s="193" customFormat="1" ht="19.149999999999999" customHeight="1" x14ac:dyDescent="0.2">
      <c r="B65" s="166"/>
      <c r="C65" s="25" t="s">
        <v>322</v>
      </c>
      <c r="D65" s="25" t="s">
        <v>323</v>
      </c>
      <c r="E65" s="25" t="s">
        <v>96</v>
      </c>
      <c r="F65" s="25" t="s">
        <v>75</v>
      </c>
      <c r="G65" s="25" t="s">
        <v>100</v>
      </c>
      <c r="H65" s="57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>
        <v>0</v>
      </c>
      <c r="W65" s="20"/>
      <c r="X65" s="20">
        <v>0</v>
      </c>
      <c r="Y65" s="20">
        <v>0</v>
      </c>
      <c r="Z65" s="21"/>
      <c r="AA65" s="21"/>
      <c r="AB65" s="21"/>
      <c r="AC65" s="21"/>
      <c r="AD65" s="57"/>
      <c r="AE65" s="57"/>
      <c r="AF65" s="57"/>
      <c r="AG65" s="57"/>
      <c r="AH65" s="57"/>
      <c r="AI65" s="57">
        <v>0</v>
      </c>
      <c r="AJ65" s="57">
        <v>400000</v>
      </c>
      <c r="AK65" s="57"/>
      <c r="AL65" s="57"/>
      <c r="AM65" s="57"/>
      <c r="AN65" s="165"/>
      <c r="AO65" s="9">
        <v>400000</v>
      </c>
    </row>
    <row r="66" spans="2:41" s="193" customFormat="1" ht="19.149999999999999" customHeight="1" x14ac:dyDescent="0.2">
      <c r="B66" s="166"/>
      <c r="C66" s="25" t="s">
        <v>324</v>
      </c>
      <c r="D66" s="25" t="s">
        <v>325</v>
      </c>
      <c r="E66" s="25" t="s">
        <v>96</v>
      </c>
      <c r="F66" s="25" t="s">
        <v>75</v>
      </c>
      <c r="G66" s="25" t="s">
        <v>100</v>
      </c>
      <c r="H66" s="57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>
        <v>0</v>
      </c>
      <c r="W66" s="6"/>
      <c r="X66" s="6">
        <v>0</v>
      </c>
      <c r="Y66" s="6">
        <v>0</v>
      </c>
      <c r="Z66" s="7"/>
      <c r="AA66" s="7"/>
      <c r="AB66" s="7"/>
      <c r="AC66" s="7"/>
      <c r="AD66" s="57"/>
      <c r="AE66" s="57"/>
      <c r="AF66" s="57"/>
      <c r="AG66" s="57"/>
      <c r="AH66" s="57"/>
      <c r="AI66" s="57"/>
      <c r="AJ66" s="57">
        <v>400000</v>
      </c>
      <c r="AK66" s="57"/>
      <c r="AL66" s="57"/>
      <c r="AM66" s="57"/>
      <c r="AN66" s="165"/>
      <c r="AO66" s="9">
        <v>400000</v>
      </c>
    </row>
    <row r="67" spans="2:41" s="193" customFormat="1" ht="19.149999999999999" customHeight="1" x14ac:dyDescent="0.2">
      <c r="B67" s="166"/>
      <c r="C67" s="25" t="s">
        <v>326</v>
      </c>
      <c r="D67" s="25" t="s">
        <v>327</v>
      </c>
      <c r="E67" s="25" t="s">
        <v>96</v>
      </c>
      <c r="F67" s="25" t="s">
        <v>75</v>
      </c>
      <c r="G67" s="25" t="s">
        <v>328</v>
      </c>
      <c r="H67" s="57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>
        <v>0</v>
      </c>
      <c r="W67" s="20"/>
      <c r="X67" s="20">
        <v>0</v>
      </c>
      <c r="Y67" s="20">
        <v>0</v>
      </c>
      <c r="Z67" s="21"/>
      <c r="AA67" s="21"/>
      <c r="AB67" s="21"/>
      <c r="AC67" s="21"/>
      <c r="AD67" s="57"/>
      <c r="AE67" s="57"/>
      <c r="AF67" s="57"/>
      <c r="AG67" s="57"/>
      <c r="AH67" s="57"/>
      <c r="AI67" s="57">
        <v>0</v>
      </c>
      <c r="AJ67" s="57">
        <v>160000</v>
      </c>
      <c r="AK67" s="57"/>
      <c r="AL67" s="57"/>
      <c r="AM67" s="57"/>
      <c r="AN67" s="165"/>
      <c r="AO67" s="9">
        <v>160000</v>
      </c>
    </row>
    <row r="68" spans="2:41" s="193" customFormat="1" ht="19.149999999999999" customHeight="1" x14ac:dyDescent="0.2">
      <c r="B68" s="166"/>
      <c r="C68" s="25" t="s">
        <v>329</v>
      </c>
      <c r="D68" s="25" t="s">
        <v>330</v>
      </c>
      <c r="E68" s="25" t="s">
        <v>165</v>
      </c>
      <c r="F68" s="25" t="s">
        <v>75</v>
      </c>
      <c r="G68" s="25" t="s">
        <v>249</v>
      </c>
      <c r="H68" s="57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>
        <v>0</v>
      </c>
      <c r="W68" s="6"/>
      <c r="X68" s="6">
        <v>0</v>
      </c>
      <c r="Y68" s="6">
        <v>0</v>
      </c>
      <c r="Z68" s="7"/>
      <c r="AA68" s="7"/>
      <c r="AB68" s="7"/>
      <c r="AC68" s="7"/>
      <c r="AD68" s="57"/>
      <c r="AE68" s="57"/>
      <c r="AF68" s="57"/>
      <c r="AG68" s="57"/>
      <c r="AH68" s="57"/>
      <c r="AI68" s="57">
        <v>1500000</v>
      </c>
      <c r="AJ68" s="57"/>
      <c r="AK68" s="57"/>
      <c r="AL68" s="57"/>
      <c r="AM68" s="57"/>
      <c r="AN68" s="165"/>
      <c r="AO68" s="9">
        <v>1500000</v>
      </c>
    </row>
    <row r="69" spans="2:41" s="193" customFormat="1" ht="19.149999999999999" customHeight="1" x14ac:dyDescent="0.2">
      <c r="B69" s="166"/>
      <c r="C69" s="25" t="s">
        <v>331</v>
      </c>
      <c r="D69" s="25" t="s">
        <v>332</v>
      </c>
      <c r="E69" s="25"/>
      <c r="F69" s="25" t="s">
        <v>75</v>
      </c>
      <c r="G69" s="25" t="s">
        <v>97</v>
      </c>
      <c r="H69" s="57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>
        <v>0</v>
      </c>
      <c r="W69" s="20"/>
      <c r="X69" s="20">
        <v>0</v>
      </c>
      <c r="Y69" s="20">
        <v>0</v>
      </c>
      <c r="Z69" s="21"/>
      <c r="AA69" s="21"/>
      <c r="AB69" s="21"/>
      <c r="AC69" s="21"/>
      <c r="AD69" s="57">
        <v>500000</v>
      </c>
      <c r="AE69" s="57"/>
      <c r="AF69" s="57"/>
      <c r="AG69" s="57"/>
      <c r="AH69" s="57"/>
      <c r="AI69" s="57"/>
      <c r="AJ69" s="57"/>
      <c r="AK69" s="57"/>
      <c r="AL69" s="57"/>
      <c r="AM69" s="57"/>
      <c r="AN69" s="165"/>
      <c r="AO69" s="9">
        <v>500000</v>
      </c>
    </row>
    <row r="70" spans="2:41" s="193" customFormat="1" ht="19.149999999999999" customHeight="1" x14ac:dyDescent="0.2">
      <c r="B70" s="166"/>
      <c r="C70" s="25" t="s">
        <v>333</v>
      </c>
      <c r="D70" s="25" t="s">
        <v>334</v>
      </c>
      <c r="E70" s="25"/>
      <c r="F70" s="25" t="s">
        <v>75</v>
      </c>
      <c r="G70" s="25" t="s">
        <v>84</v>
      </c>
      <c r="H70" s="57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>
        <v>0</v>
      </c>
      <c r="W70" s="6"/>
      <c r="X70" s="6">
        <v>0</v>
      </c>
      <c r="Y70" s="6">
        <v>0</v>
      </c>
      <c r="Z70" s="7"/>
      <c r="AA70" s="7"/>
      <c r="AB70" s="7"/>
      <c r="AC70" s="7"/>
      <c r="AD70" s="57">
        <v>500000</v>
      </c>
      <c r="AE70" s="57"/>
      <c r="AF70" s="57"/>
      <c r="AG70" s="57"/>
      <c r="AH70" s="57"/>
      <c r="AI70" s="57"/>
      <c r="AJ70" s="57"/>
      <c r="AK70" s="57"/>
      <c r="AL70" s="57"/>
      <c r="AM70" s="57"/>
      <c r="AN70" s="165"/>
      <c r="AO70" s="9">
        <v>500000</v>
      </c>
    </row>
    <row r="71" spans="2:41" s="193" customFormat="1" ht="19.149999999999999" customHeight="1" x14ac:dyDescent="0.2">
      <c r="B71" s="166"/>
      <c r="C71" s="25" t="s">
        <v>335</v>
      </c>
      <c r="D71" s="25" t="s">
        <v>336</v>
      </c>
      <c r="E71" s="25" t="s">
        <v>96</v>
      </c>
      <c r="F71" s="25" t="s">
        <v>75</v>
      </c>
      <c r="G71" s="25" t="s">
        <v>328</v>
      </c>
      <c r="H71" s="57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>
        <v>0</v>
      </c>
      <c r="W71" s="20"/>
      <c r="X71" s="20">
        <v>0</v>
      </c>
      <c r="Y71" s="20">
        <v>0</v>
      </c>
      <c r="Z71" s="21"/>
      <c r="AA71" s="21"/>
      <c r="AB71" s="21"/>
      <c r="AC71" s="21"/>
      <c r="AD71" s="57"/>
      <c r="AE71" s="57"/>
      <c r="AF71" s="57"/>
      <c r="AG71" s="57">
        <v>0</v>
      </c>
      <c r="AH71" s="57">
        <v>0</v>
      </c>
      <c r="AI71" s="57"/>
      <c r="AJ71" s="57">
        <v>1210586.8899999999</v>
      </c>
      <c r="AK71" s="57"/>
      <c r="AL71" s="57"/>
      <c r="AM71" s="57"/>
      <c r="AN71" s="165"/>
      <c r="AO71" s="9">
        <v>1210586.8899999999</v>
      </c>
    </row>
    <row r="72" spans="2:41" s="193" customFormat="1" ht="19.149999999999999" customHeight="1" x14ac:dyDescent="0.2">
      <c r="B72" s="166"/>
      <c r="C72" s="25" t="s">
        <v>105</v>
      </c>
      <c r="D72" s="25" t="s">
        <v>337</v>
      </c>
      <c r="E72" s="25" t="s">
        <v>176</v>
      </c>
      <c r="F72" s="25" t="s">
        <v>75</v>
      </c>
      <c r="G72" s="25" t="s">
        <v>84</v>
      </c>
      <c r="H72" s="57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>
        <v>0</v>
      </c>
      <c r="W72" s="6"/>
      <c r="X72" s="6">
        <v>0</v>
      </c>
      <c r="Y72" s="6">
        <v>0</v>
      </c>
      <c r="Z72" s="7"/>
      <c r="AA72" s="7"/>
      <c r="AB72" s="7"/>
      <c r="AC72" s="7"/>
      <c r="AD72" s="57">
        <v>81500</v>
      </c>
      <c r="AE72" s="57"/>
      <c r="AF72" s="57"/>
      <c r="AG72" s="57"/>
      <c r="AH72" s="57"/>
      <c r="AI72" s="57"/>
      <c r="AJ72" s="57"/>
      <c r="AK72" s="57"/>
      <c r="AL72" s="57"/>
      <c r="AM72" s="57"/>
      <c r="AN72" s="165"/>
      <c r="AO72" s="9">
        <v>81500</v>
      </c>
    </row>
    <row r="73" spans="2:41" s="193" customFormat="1" ht="19.149999999999999" customHeight="1" x14ac:dyDescent="0.2">
      <c r="B73" s="166"/>
      <c r="C73" s="25" t="s">
        <v>338</v>
      </c>
      <c r="D73" s="25" t="s">
        <v>339</v>
      </c>
      <c r="E73" s="25" t="s">
        <v>184</v>
      </c>
      <c r="F73" s="25" t="s">
        <v>75</v>
      </c>
      <c r="G73" s="25" t="s">
        <v>100</v>
      </c>
      <c r="H73" s="57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>
        <v>0</v>
      </c>
      <c r="W73" s="20"/>
      <c r="X73" s="20">
        <v>0</v>
      </c>
      <c r="Y73" s="20">
        <v>0</v>
      </c>
      <c r="Z73" s="21"/>
      <c r="AA73" s="21"/>
      <c r="AB73" s="21"/>
      <c r="AC73" s="21"/>
      <c r="AD73" s="57"/>
      <c r="AE73" s="57">
        <v>0</v>
      </c>
      <c r="AF73" s="57">
        <v>0</v>
      </c>
      <c r="AG73" s="57">
        <v>433230</v>
      </c>
      <c r="AH73" s="57">
        <v>1119685.8500000001</v>
      </c>
      <c r="AI73" s="57"/>
      <c r="AJ73" s="57"/>
      <c r="AK73" s="57"/>
      <c r="AL73" s="57"/>
      <c r="AM73" s="57"/>
      <c r="AN73" s="165"/>
      <c r="AO73" s="9">
        <v>1552915.85</v>
      </c>
    </row>
    <row r="74" spans="2:41" s="193" customFormat="1" ht="19.149999999999999" customHeight="1" x14ac:dyDescent="0.2">
      <c r="B74" s="166"/>
      <c r="C74" s="25" t="s">
        <v>340</v>
      </c>
      <c r="D74" s="25" t="s">
        <v>341</v>
      </c>
      <c r="E74" s="25"/>
      <c r="F74" s="25" t="s">
        <v>75</v>
      </c>
      <c r="G74" s="25" t="s">
        <v>100</v>
      </c>
      <c r="H74" s="57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>
        <v>0</v>
      </c>
      <c r="W74" s="6">
        <v>0</v>
      </c>
      <c r="X74" s="6">
        <v>0</v>
      </c>
      <c r="Y74" s="6">
        <v>0</v>
      </c>
      <c r="Z74" s="7"/>
      <c r="AA74" s="7"/>
      <c r="AB74" s="7"/>
      <c r="AC74" s="7"/>
      <c r="AD74" s="57">
        <v>0</v>
      </c>
      <c r="AE74" s="57">
        <v>1442055.4</v>
      </c>
      <c r="AF74" s="57"/>
      <c r="AG74" s="57"/>
      <c r="AH74" s="57"/>
      <c r="AI74" s="57"/>
      <c r="AJ74" s="57"/>
      <c r="AK74" s="57"/>
      <c r="AL74" s="57"/>
      <c r="AM74" s="57"/>
      <c r="AN74" s="165"/>
      <c r="AO74" s="9">
        <v>1442055.4</v>
      </c>
    </row>
    <row r="75" spans="2:41" s="193" customFormat="1" ht="19.149999999999999" customHeight="1" x14ac:dyDescent="0.2">
      <c r="B75" s="166"/>
      <c r="C75" s="25" t="s">
        <v>342</v>
      </c>
      <c r="D75" s="25" t="s">
        <v>343</v>
      </c>
      <c r="E75" s="25"/>
      <c r="F75" s="25" t="s">
        <v>75</v>
      </c>
      <c r="G75" s="25" t="s">
        <v>100</v>
      </c>
      <c r="H75" s="57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>
        <v>0</v>
      </c>
      <c r="W75" s="20"/>
      <c r="X75" s="20">
        <v>0</v>
      </c>
      <c r="Y75" s="20">
        <v>0</v>
      </c>
      <c r="Z75" s="21"/>
      <c r="AA75" s="21"/>
      <c r="AB75" s="21"/>
      <c r="AC75" s="21"/>
      <c r="AD75" s="57">
        <v>0</v>
      </c>
      <c r="AE75" s="57">
        <v>20000</v>
      </c>
      <c r="AF75" s="57">
        <v>160031.89000000001</v>
      </c>
      <c r="AG75" s="57"/>
      <c r="AH75" s="57"/>
      <c r="AI75" s="57"/>
      <c r="AJ75" s="57"/>
      <c r="AK75" s="57"/>
      <c r="AL75" s="57"/>
      <c r="AM75" s="57"/>
      <c r="AN75" s="165"/>
      <c r="AO75" s="9">
        <v>180031.89</v>
      </c>
    </row>
    <row r="76" spans="2:41" s="193" customFormat="1" ht="19.149999999999999" customHeight="1" x14ac:dyDescent="0.2">
      <c r="B76" s="166"/>
      <c r="C76" s="25" t="s">
        <v>199</v>
      </c>
      <c r="D76" s="25" t="s">
        <v>344</v>
      </c>
      <c r="E76" s="25"/>
      <c r="F76" s="25" t="s">
        <v>75</v>
      </c>
      <c r="G76" s="25" t="s">
        <v>84</v>
      </c>
      <c r="H76" s="57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>
        <v>0</v>
      </c>
      <c r="W76" s="6"/>
      <c r="X76" s="6">
        <v>0</v>
      </c>
      <c r="Y76" s="6">
        <v>0</v>
      </c>
      <c r="Z76" s="7"/>
      <c r="AA76" s="7"/>
      <c r="AB76" s="7"/>
      <c r="AC76" s="7"/>
      <c r="AD76" s="57">
        <v>0</v>
      </c>
      <c r="AE76" s="57">
        <v>347962.72</v>
      </c>
      <c r="AF76" s="57"/>
      <c r="AG76" s="57"/>
      <c r="AH76" s="57"/>
      <c r="AI76" s="57"/>
      <c r="AJ76" s="57"/>
      <c r="AK76" s="57"/>
      <c r="AL76" s="57"/>
      <c r="AM76" s="57"/>
      <c r="AN76" s="165"/>
      <c r="AO76" s="9">
        <v>347962.72</v>
      </c>
    </row>
    <row r="77" spans="2:41" s="193" customFormat="1" ht="19.149999999999999" customHeight="1" x14ac:dyDescent="0.2">
      <c r="B77" s="166"/>
      <c r="C77" s="25" t="s">
        <v>196</v>
      </c>
      <c r="D77" s="25" t="s">
        <v>197</v>
      </c>
      <c r="E77" s="25"/>
      <c r="F77" s="25" t="s">
        <v>75</v>
      </c>
      <c r="G77" s="25" t="s">
        <v>100</v>
      </c>
      <c r="H77" s="57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>
        <v>0</v>
      </c>
      <c r="W77" s="20">
        <v>0</v>
      </c>
      <c r="X77" s="20">
        <v>0</v>
      </c>
      <c r="Y77" s="20">
        <v>0</v>
      </c>
      <c r="Z77" s="21"/>
      <c r="AA77" s="21"/>
      <c r="AB77" s="21"/>
      <c r="AC77" s="21"/>
      <c r="AD77" s="57">
        <v>0</v>
      </c>
      <c r="AE77" s="57">
        <v>0</v>
      </c>
      <c r="AF77" s="57">
        <v>643731.03</v>
      </c>
      <c r="AG77" s="57"/>
      <c r="AH77" s="57"/>
      <c r="AI77" s="57"/>
      <c r="AJ77" s="57"/>
      <c r="AK77" s="57"/>
      <c r="AL77" s="57"/>
      <c r="AM77" s="57"/>
      <c r="AN77" s="165"/>
      <c r="AO77" s="9">
        <v>643731.03</v>
      </c>
    </row>
    <row r="78" spans="2:41" s="193" customFormat="1" ht="19.149999999999999" customHeight="1" x14ac:dyDescent="0.2">
      <c r="B78" s="166"/>
      <c r="C78" s="25" t="s">
        <v>163</v>
      </c>
      <c r="D78" s="25" t="s">
        <v>345</v>
      </c>
      <c r="E78" s="25"/>
      <c r="F78" s="25" t="s">
        <v>75</v>
      </c>
      <c r="G78" s="25" t="s">
        <v>100</v>
      </c>
      <c r="H78" s="57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>
        <v>0</v>
      </c>
      <c r="W78" s="6"/>
      <c r="X78" s="6">
        <v>0</v>
      </c>
      <c r="Y78" s="6">
        <v>0</v>
      </c>
      <c r="Z78" s="7"/>
      <c r="AA78" s="7"/>
      <c r="AB78" s="7"/>
      <c r="AC78" s="7"/>
      <c r="AD78" s="57">
        <v>0</v>
      </c>
      <c r="AE78" s="57">
        <v>0</v>
      </c>
      <c r="AF78" s="57">
        <v>50000</v>
      </c>
      <c r="AG78" s="57">
        <v>1133073.25</v>
      </c>
      <c r="AH78" s="57"/>
      <c r="AI78" s="57"/>
      <c r="AJ78" s="57"/>
      <c r="AK78" s="57"/>
      <c r="AL78" s="57"/>
      <c r="AM78" s="57"/>
      <c r="AN78" s="165"/>
      <c r="AO78" s="9">
        <v>1183073.25</v>
      </c>
    </row>
    <row r="79" spans="2:41" s="193" customFormat="1" ht="19.149999999999999" customHeight="1" x14ac:dyDescent="0.2">
      <c r="B79" s="166"/>
      <c r="C79" s="25" t="s">
        <v>346</v>
      </c>
      <c r="D79" s="25" t="s">
        <v>347</v>
      </c>
      <c r="E79" s="25"/>
      <c r="F79" s="25" t="s">
        <v>75</v>
      </c>
      <c r="G79" s="25" t="s">
        <v>249</v>
      </c>
      <c r="H79" s="57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>
        <v>0</v>
      </c>
      <c r="W79" s="20"/>
      <c r="X79" s="20">
        <v>0</v>
      </c>
      <c r="Y79" s="20">
        <v>0</v>
      </c>
      <c r="Z79" s="21"/>
      <c r="AA79" s="21"/>
      <c r="AB79" s="21"/>
      <c r="AC79" s="21"/>
      <c r="AD79" s="57">
        <v>0</v>
      </c>
      <c r="AE79" s="57">
        <v>0</v>
      </c>
      <c r="AF79" s="57">
        <v>243573.9</v>
      </c>
      <c r="AG79" s="57"/>
      <c r="AH79" s="57"/>
      <c r="AI79" s="57"/>
      <c r="AJ79" s="57"/>
      <c r="AK79" s="57"/>
      <c r="AL79" s="57"/>
      <c r="AM79" s="57"/>
      <c r="AN79" s="165"/>
      <c r="AO79" s="9">
        <v>243573.9</v>
      </c>
    </row>
    <row r="80" spans="2:41" s="193" customFormat="1" ht="19.149999999999999" customHeight="1" x14ac:dyDescent="0.2">
      <c r="B80" s="166"/>
      <c r="C80" s="25" t="s">
        <v>348</v>
      </c>
      <c r="D80" s="25" t="s">
        <v>349</v>
      </c>
      <c r="E80" s="25"/>
      <c r="F80" s="25" t="s">
        <v>75</v>
      </c>
      <c r="G80" s="25" t="s">
        <v>100</v>
      </c>
      <c r="H80" s="57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>
        <v>0</v>
      </c>
      <c r="W80" s="6">
        <v>0</v>
      </c>
      <c r="X80" s="6">
        <v>0</v>
      </c>
      <c r="Y80" s="6">
        <v>0</v>
      </c>
      <c r="Z80" s="7"/>
      <c r="AA80" s="7"/>
      <c r="AB80" s="7"/>
      <c r="AC80" s="7"/>
      <c r="AD80" s="57">
        <v>0</v>
      </c>
      <c r="AE80" s="57">
        <v>0</v>
      </c>
      <c r="AF80" s="57">
        <v>295768.31</v>
      </c>
      <c r="AG80" s="57"/>
      <c r="AH80" s="57"/>
      <c r="AI80" s="57"/>
      <c r="AJ80" s="57"/>
      <c r="AK80" s="57"/>
      <c r="AL80" s="57"/>
      <c r="AM80" s="57"/>
      <c r="AN80" s="165"/>
      <c r="AO80" s="9">
        <v>295768.31</v>
      </c>
    </row>
    <row r="81" spans="2:41" s="193" customFormat="1" ht="19.149999999999999" customHeight="1" x14ac:dyDescent="0.2">
      <c r="B81" s="166"/>
      <c r="C81" s="25" t="s">
        <v>350</v>
      </c>
      <c r="D81" s="25" t="s">
        <v>351</v>
      </c>
      <c r="E81" s="25"/>
      <c r="F81" s="25" t="s">
        <v>75</v>
      </c>
      <c r="G81" s="25" t="s">
        <v>100</v>
      </c>
      <c r="H81" s="57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>
        <v>0</v>
      </c>
      <c r="W81" s="20"/>
      <c r="X81" s="20">
        <v>0</v>
      </c>
      <c r="Y81" s="20">
        <v>0</v>
      </c>
      <c r="Z81" s="21"/>
      <c r="AA81" s="21"/>
      <c r="AB81" s="21"/>
      <c r="AC81" s="21"/>
      <c r="AD81" s="57">
        <v>0</v>
      </c>
      <c r="AE81" s="57">
        <v>0</v>
      </c>
      <c r="AF81" s="57">
        <v>1652822.92</v>
      </c>
      <c r="AG81" s="57"/>
      <c r="AH81" s="57"/>
      <c r="AI81" s="57"/>
      <c r="AJ81" s="57"/>
      <c r="AK81" s="57"/>
      <c r="AL81" s="57"/>
      <c r="AM81" s="57"/>
      <c r="AN81" s="165"/>
      <c r="AO81" s="9">
        <v>1652822.92</v>
      </c>
    </row>
    <row r="82" spans="2:41" s="193" customFormat="1" ht="19.149999999999999" customHeight="1" x14ac:dyDescent="0.2">
      <c r="B82" s="166"/>
      <c r="C82" s="25" t="s">
        <v>352</v>
      </c>
      <c r="D82" s="25" t="s">
        <v>353</v>
      </c>
      <c r="E82" s="25"/>
      <c r="F82" s="25" t="s">
        <v>75</v>
      </c>
      <c r="G82" s="25" t="s">
        <v>100</v>
      </c>
      <c r="H82" s="57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>
        <v>0</v>
      </c>
      <c r="W82" s="6"/>
      <c r="X82" s="6">
        <v>0</v>
      </c>
      <c r="Y82" s="6">
        <v>0</v>
      </c>
      <c r="Z82" s="7"/>
      <c r="AA82" s="7"/>
      <c r="AB82" s="7"/>
      <c r="AC82" s="7"/>
      <c r="AD82" s="57"/>
      <c r="AE82" s="57">
        <v>0</v>
      </c>
      <c r="AF82" s="57">
        <v>40000</v>
      </c>
      <c r="AG82" s="57">
        <v>617116.38</v>
      </c>
      <c r="AH82" s="57"/>
      <c r="AI82" s="57"/>
      <c r="AJ82" s="57"/>
      <c r="AK82" s="57"/>
      <c r="AL82" s="57"/>
      <c r="AM82" s="57"/>
      <c r="AN82" s="165"/>
      <c r="AO82" s="9">
        <v>657116.38</v>
      </c>
    </row>
    <row r="83" spans="2:41" s="193" customFormat="1" ht="19.149999999999999" customHeight="1" x14ac:dyDescent="0.2">
      <c r="B83" s="166"/>
      <c r="C83" s="25" t="s">
        <v>354</v>
      </c>
      <c r="D83" s="25" t="s">
        <v>355</v>
      </c>
      <c r="E83" s="25"/>
      <c r="F83" s="25" t="s">
        <v>75</v>
      </c>
      <c r="G83" s="25" t="s">
        <v>75</v>
      </c>
      <c r="H83" s="57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>
        <v>0</v>
      </c>
      <c r="W83" s="20"/>
      <c r="X83" s="20">
        <v>0</v>
      </c>
      <c r="Y83" s="20">
        <v>0</v>
      </c>
      <c r="Z83" s="21"/>
      <c r="AA83" s="21"/>
      <c r="AB83" s="21"/>
      <c r="AC83" s="21"/>
      <c r="AD83" s="57">
        <v>0</v>
      </c>
      <c r="AE83" s="57">
        <v>0</v>
      </c>
      <c r="AF83" s="57">
        <v>500000</v>
      </c>
      <c r="AG83" s="57"/>
      <c r="AH83" s="57"/>
      <c r="AI83" s="57"/>
      <c r="AJ83" s="57"/>
      <c r="AK83" s="57"/>
      <c r="AL83" s="57"/>
      <c r="AM83" s="57"/>
      <c r="AN83" s="165"/>
      <c r="AO83" s="9">
        <v>500000</v>
      </c>
    </row>
    <row r="84" spans="2:41" s="193" customFormat="1" ht="19.149999999999999" customHeight="1" x14ac:dyDescent="0.15">
      <c r="B84" s="167"/>
      <c r="C84" s="26" t="s">
        <v>88</v>
      </c>
      <c r="D84" s="342"/>
      <c r="E84" s="342"/>
      <c r="F84" s="28"/>
      <c r="G84" s="28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>
        <v>0</v>
      </c>
      <c r="W84" s="61">
        <v>0</v>
      </c>
      <c r="X84" s="61">
        <v>0</v>
      </c>
      <c r="Y84" s="61">
        <v>0</v>
      </c>
      <c r="Z84" s="28"/>
      <c r="AA84" s="28"/>
      <c r="AB84" s="28"/>
      <c r="AC84" s="28"/>
      <c r="AD84" s="61">
        <v>1151500</v>
      </c>
      <c r="AE84" s="61">
        <v>5149719.12</v>
      </c>
      <c r="AF84" s="61">
        <v>6769913.0499999998</v>
      </c>
      <c r="AG84" s="61">
        <v>8699954.2200000007</v>
      </c>
      <c r="AH84" s="61">
        <v>8861106.5500000007</v>
      </c>
      <c r="AI84" s="61">
        <v>2762048</v>
      </c>
      <c r="AJ84" s="61">
        <v>10909863.74</v>
      </c>
      <c r="AK84" s="61"/>
      <c r="AL84" s="61"/>
      <c r="AM84" s="61"/>
      <c r="AN84" s="176"/>
      <c r="AO84" s="61">
        <v>44304104.68</v>
      </c>
    </row>
    <row r="85" spans="2:41" s="193" customFormat="1" ht="2.65" customHeight="1" x14ac:dyDescent="0.2"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</row>
    <row r="86" spans="2:41" s="193" customFormat="1" ht="19.149999999999999" customHeight="1" x14ac:dyDescent="0.2">
      <c r="B86" s="163"/>
      <c r="C86" s="29" t="s">
        <v>356</v>
      </c>
      <c r="D86" s="29" t="s">
        <v>357</v>
      </c>
      <c r="E86" s="29"/>
      <c r="F86" s="29" t="s">
        <v>75</v>
      </c>
      <c r="G86" s="29" t="s">
        <v>75</v>
      </c>
      <c r="H86" s="57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>
        <v>0</v>
      </c>
      <c r="W86" s="6"/>
      <c r="X86" s="6">
        <v>0</v>
      </c>
      <c r="Y86" s="6">
        <v>0</v>
      </c>
      <c r="Z86" s="7"/>
      <c r="AA86" s="7"/>
      <c r="AB86" s="7"/>
      <c r="AC86" s="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165"/>
      <c r="AO86" s="9">
        <v>170205</v>
      </c>
    </row>
    <row r="87" spans="2:41" s="193" customFormat="1" ht="19.149999999999999" customHeight="1" x14ac:dyDescent="0.2">
      <c r="B87" s="163"/>
      <c r="C87" s="29" t="s">
        <v>358</v>
      </c>
      <c r="D87" s="29" t="s">
        <v>359</v>
      </c>
      <c r="E87" s="29"/>
      <c r="F87" s="29" t="s">
        <v>75</v>
      </c>
      <c r="G87" s="29" t="s">
        <v>75</v>
      </c>
      <c r="H87" s="57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>
        <v>0</v>
      </c>
      <c r="W87" s="20"/>
      <c r="X87" s="20">
        <v>0</v>
      </c>
      <c r="Y87" s="20">
        <v>0</v>
      </c>
      <c r="Z87" s="21"/>
      <c r="AA87" s="21"/>
      <c r="AB87" s="21"/>
      <c r="AC87" s="21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165"/>
      <c r="AO87" s="9">
        <v>1790000</v>
      </c>
    </row>
    <row r="88" spans="2:41" s="193" customFormat="1" ht="19.149999999999999" customHeight="1" x14ac:dyDescent="0.2">
      <c r="B88" s="163"/>
      <c r="C88" s="29" t="s">
        <v>360</v>
      </c>
      <c r="D88" s="29" t="s">
        <v>361</v>
      </c>
      <c r="E88" s="29" t="s">
        <v>80</v>
      </c>
      <c r="F88" s="29" t="s">
        <v>75</v>
      </c>
      <c r="G88" s="29" t="s">
        <v>81</v>
      </c>
      <c r="H88" s="57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>
        <v>0</v>
      </c>
      <c r="W88" s="6"/>
      <c r="X88" s="6">
        <v>0</v>
      </c>
      <c r="Y88" s="6">
        <v>0</v>
      </c>
      <c r="Z88" s="7"/>
      <c r="AA88" s="7"/>
      <c r="AB88" s="7"/>
      <c r="AC88" s="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165"/>
      <c r="AO88" s="9">
        <v>644829.53</v>
      </c>
    </row>
    <row r="89" spans="2:41" s="193" customFormat="1" ht="19.149999999999999" customHeight="1" x14ac:dyDescent="0.2">
      <c r="B89" s="163"/>
      <c r="C89" s="29" t="s">
        <v>362</v>
      </c>
      <c r="D89" s="29" t="s">
        <v>363</v>
      </c>
      <c r="E89" s="29"/>
      <c r="F89" s="29" t="s">
        <v>75</v>
      </c>
      <c r="G89" s="29" t="s">
        <v>328</v>
      </c>
      <c r="H89" s="57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>
        <v>0</v>
      </c>
      <c r="W89" s="20"/>
      <c r="X89" s="20">
        <v>0</v>
      </c>
      <c r="Y89" s="20">
        <v>0</v>
      </c>
      <c r="Z89" s="21"/>
      <c r="AA89" s="21"/>
      <c r="AB89" s="21"/>
      <c r="AC89" s="21"/>
      <c r="AD89" s="57">
        <v>0</v>
      </c>
      <c r="AE89" s="57"/>
      <c r="AF89" s="57"/>
      <c r="AG89" s="57"/>
      <c r="AH89" s="57"/>
      <c r="AI89" s="57"/>
      <c r="AJ89" s="57"/>
      <c r="AK89" s="57"/>
      <c r="AL89" s="57"/>
      <c r="AM89" s="57"/>
      <c r="AN89" s="165"/>
      <c r="AO89" s="9">
        <v>0</v>
      </c>
    </row>
    <row r="90" spans="2:41" s="193" customFormat="1" ht="19.149999999999999" customHeight="1" x14ac:dyDescent="0.2">
      <c r="B90" s="163"/>
      <c r="C90" s="29" t="s">
        <v>364</v>
      </c>
      <c r="D90" s="29" t="s">
        <v>365</v>
      </c>
      <c r="E90" s="29" t="s">
        <v>317</v>
      </c>
      <c r="F90" s="29" t="s">
        <v>75</v>
      </c>
      <c r="G90" s="29" t="s">
        <v>81</v>
      </c>
      <c r="H90" s="57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>
        <v>0</v>
      </c>
      <c r="W90" s="6"/>
      <c r="X90" s="6">
        <v>0</v>
      </c>
      <c r="Y90" s="6">
        <v>0</v>
      </c>
      <c r="Z90" s="7"/>
      <c r="AA90" s="7"/>
      <c r="AB90" s="7"/>
      <c r="AC90" s="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165"/>
      <c r="AO90" s="9">
        <v>350000</v>
      </c>
    </row>
    <row r="91" spans="2:41" s="193" customFormat="1" ht="19.149999999999999" customHeight="1" x14ac:dyDescent="0.2">
      <c r="B91" s="163"/>
      <c r="C91" s="29" t="s">
        <v>366</v>
      </c>
      <c r="D91" s="29" t="s">
        <v>367</v>
      </c>
      <c r="E91" s="29" t="s">
        <v>176</v>
      </c>
      <c r="F91" s="29" t="s">
        <v>75</v>
      </c>
      <c r="G91" s="29" t="s">
        <v>81</v>
      </c>
      <c r="H91" s="57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>
        <v>0</v>
      </c>
      <c r="W91" s="20"/>
      <c r="X91" s="20">
        <v>0</v>
      </c>
      <c r="Y91" s="20">
        <v>0</v>
      </c>
      <c r="Z91" s="21"/>
      <c r="AA91" s="21"/>
      <c r="AB91" s="21"/>
      <c r="AC91" s="21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165"/>
      <c r="AO91" s="9">
        <v>200000</v>
      </c>
    </row>
    <row r="92" spans="2:41" s="193" customFormat="1" ht="19.149999999999999" customHeight="1" x14ac:dyDescent="0.2">
      <c r="B92" s="163"/>
      <c r="C92" s="29" t="s">
        <v>368</v>
      </c>
      <c r="D92" s="29" t="s">
        <v>369</v>
      </c>
      <c r="E92" s="29" t="s">
        <v>80</v>
      </c>
      <c r="F92" s="29" t="s">
        <v>75</v>
      </c>
      <c r="G92" s="29" t="s">
        <v>81</v>
      </c>
      <c r="H92" s="57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>
        <v>0</v>
      </c>
      <c r="W92" s="6"/>
      <c r="X92" s="6">
        <v>0</v>
      </c>
      <c r="Y92" s="6">
        <v>0</v>
      </c>
      <c r="Z92" s="7"/>
      <c r="AA92" s="7"/>
      <c r="AB92" s="7"/>
      <c r="AC92" s="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165"/>
      <c r="AO92" s="9">
        <v>200000</v>
      </c>
    </row>
    <row r="93" spans="2:41" s="193" customFormat="1" ht="19.149999999999999" customHeight="1" x14ac:dyDescent="0.2">
      <c r="B93" s="163"/>
      <c r="C93" s="29" t="s">
        <v>370</v>
      </c>
      <c r="D93" s="29" t="s">
        <v>371</v>
      </c>
      <c r="E93" s="29" t="s">
        <v>91</v>
      </c>
      <c r="F93" s="29" t="s">
        <v>75</v>
      </c>
      <c r="G93" s="29" t="s">
        <v>84</v>
      </c>
      <c r="H93" s="57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>
        <v>0</v>
      </c>
      <c r="W93" s="20"/>
      <c r="X93" s="20">
        <v>0</v>
      </c>
      <c r="Y93" s="20">
        <v>0</v>
      </c>
      <c r="Z93" s="21"/>
      <c r="AA93" s="21"/>
      <c r="AB93" s="21"/>
      <c r="AC93" s="21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165"/>
      <c r="AO93" s="9">
        <v>1200000</v>
      </c>
    </row>
    <row r="94" spans="2:41" s="193" customFormat="1" ht="19.149999999999999" customHeight="1" x14ac:dyDescent="0.2">
      <c r="B94" s="163"/>
      <c r="C94" s="29" t="s">
        <v>372</v>
      </c>
      <c r="D94" s="29" t="s">
        <v>373</v>
      </c>
      <c r="E94" s="29" t="s">
        <v>96</v>
      </c>
      <c r="F94" s="29" t="s">
        <v>75</v>
      </c>
      <c r="G94" s="29" t="s">
        <v>100</v>
      </c>
      <c r="H94" s="57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>
        <v>0</v>
      </c>
      <c r="W94" s="6"/>
      <c r="X94" s="6">
        <v>0</v>
      </c>
      <c r="Y94" s="6">
        <v>0</v>
      </c>
      <c r="Z94" s="7"/>
      <c r="AA94" s="7"/>
      <c r="AB94" s="7"/>
      <c r="AC94" s="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165"/>
      <c r="AO94" s="9">
        <v>500000</v>
      </c>
    </row>
    <row r="95" spans="2:41" s="193" customFormat="1" ht="19.149999999999999" customHeight="1" x14ac:dyDescent="0.2">
      <c r="B95" s="163"/>
      <c r="C95" s="29" t="s">
        <v>374</v>
      </c>
      <c r="D95" s="29" t="s">
        <v>375</v>
      </c>
      <c r="E95" s="29" t="s">
        <v>91</v>
      </c>
      <c r="F95" s="29" t="s">
        <v>75</v>
      </c>
      <c r="G95" s="29" t="s">
        <v>100</v>
      </c>
      <c r="H95" s="57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>
        <v>0</v>
      </c>
      <c r="W95" s="20"/>
      <c r="X95" s="20">
        <v>0</v>
      </c>
      <c r="Y95" s="20">
        <v>0</v>
      </c>
      <c r="Z95" s="21"/>
      <c r="AA95" s="21"/>
      <c r="AB95" s="21"/>
      <c r="AC95" s="21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165"/>
      <c r="AO95" s="9">
        <v>21663000</v>
      </c>
    </row>
    <row r="96" spans="2:41" s="193" customFormat="1" ht="19.149999999999999" customHeight="1" x14ac:dyDescent="0.2">
      <c r="B96" s="163"/>
      <c r="C96" s="30" t="s">
        <v>113</v>
      </c>
      <c r="D96" s="343"/>
      <c r="E96" s="343"/>
      <c r="F96" s="343"/>
      <c r="G96" s="343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>
        <v>0</v>
      </c>
      <c r="W96" s="62"/>
      <c r="X96" s="62">
        <v>0</v>
      </c>
      <c r="Y96" s="62">
        <v>0</v>
      </c>
      <c r="Z96" s="62"/>
      <c r="AA96" s="62"/>
      <c r="AB96" s="62"/>
      <c r="AC96" s="62"/>
      <c r="AD96" s="62">
        <v>0</v>
      </c>
      <c r="AE96" s="62"/>
      <c r="AF96" s="62"/>
      <c r="AG96" s="62"/>
      <c r="AH96" s="62"/>
      <c r="AI96" s="62"/>
      <c r="AJ96" s="62"/>
      <c r="AK96" s="62"/>
      <c r="AL96" s="62"/>
      <c r="AM96" s="62"/>
      <c r="AN96" s="178"/>
      <c r="AO96" s="33">
        <v>26718034.530000001</v>
      </c>
    </row>
    <row r="97" spans="2:41" s="193" customFormat="1" ht="2.1" customHeight="1" x14ac:dyDescent="0.15"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</row>
    <row r="98" spans="2:41" s="193" customFormat="1" ht="19.149999999999999" customHeight="1" x14ac:dyDescent="0.2">
      <c r="B98" s="4" t="s">
        <v>114</v>
      </c>
      <c r="C98" s="34" t="s">
        <v>114</v>
      </c>
      <c r="D98" s="34" t="s">
        <v>115</v>
      </c>
      <c r="E98" s="34" t="s">
        <v>116</v>
      </c>
      <c r="F98" s="34" t="s">
        <v>116</v>
      </c>
      <c r="G98" s="34" t="s">
        <v>116</v>
      </c>
      <c r="H98" s="57">
        <v>2103572.9300000002</v>
      </c>
      <c r="I98" s="6">
        <v>11567.74</v>
      </c>
      <c r="J98" s="6">
        <v>16724.599999999999</v>
      </c>
      <c r="K98" s="6">
        <v>79740.66</v>
      </c>
      <c r="L98" s="6">
        <v>108033</v>
      </c>
      <c r="M98" s="6">
        <v>31264.78</v>
      </c>
      <c r="N98" s="6">
        <v>87780.14</v>
      </c>
      <c r="O98" s="6">
        <v>65952.63</v>
      </c>
      <c r="P98" s="6">
        <v>184997.55</v>
      </c>
      <c r="Q98" s="6">
        <v>182131.12</v>
      </c>
      <c r="R98" s="6">
        <v>28794.09</v>
      </c>
      <c r="S98" s="6">
        <v>199835.82</v>
      </c>
      <c r="T98" s="6">
        <v>410761.03</v>
      </c>
      <c r="U98" s="6">
        <v>169760.32</v>
      </c>
      <c r="V98" s="6">
        <v>54199.44</v>
      </c>
      <c r="W98" s="6">
        <v>487226.66</v>
      </c>
      <c r="X98" s="6">
        <v>711186.42</v>
      </c>
      <c r="Y98" s="6">
        <v>1414978</v>
      </c>
      <c r="Z98" s="7"/>
      <c r="AA98" s="7"/>
      <c r="AB98" s="7"/>
      <c r="AC98" s="7"/>
      <c r="AD98" s="57">
        <v>1000000</v>
      </c>
      <c r="AE98" s="57">
        <v>1000000</v>
      </c>
      <c r="AF98" s="57">
        <v>1000000</v>
      </c>
      <c r="AG98" s="57">
        <v>1000000</v>
      </c>
      <c r="AH98" s="57"/>
      <c r="AI98" s="57"/>
      <c r="AJ98" s="57"/>
      <c r="AK98" s="57"/>
      <c r="AL98" s="57"/>
      <c r="AM98" s="57"/>
      <c r="AN98" s="165"/>
      <c r="AO98" s="9">
        <v>7518550.9299999997</v>
      </c>
    </row>
    <row r="99" spans="2:41" s="193" customFormat="1" ht="19.149999999999999" customHeight="1" x14ac:dyDescent="0.15">
      <c r="B99" s="167"/>
      <c r="C99" s="35" t="s">
        <v>114</v>
      </c>
      <c r="D99" s="179"/>
      <c r="E99" s="179"/>
      <c r="F99" s="37"/>
      <c r="G99" s="37"/>
      <c r="H99" s="64">
        <v>2103572.9300000002</v>
      </c>
      <c r="I99" s="64">
        <v>11567.74</v>
      </c>
      <c r="J99" s="64">
        <v>16724.599999999999</v>
      </c>
      <c r="K99" s="64">
        <v>79740.66</v>
      </c>
      <c r="L99" s="64">
        <v>108033</v>
      </c>
      <c r="M99" s="64">
        <v>31264.78</v>
      </c>
      <c r="N99" s="64">
        <v>87780.14</v>
      </c>
      <c r="O99" s="64">
        <v>65952.63</v>
      </c>
      <c r="P99" s="64">
        <v>184997.55</v>
      </c>
      <c r="Q99" s="64">
        <v>182131.12</v>
      </c>
      <c r="R99" s="64">
        <v>28794.09</v>
      </c>
      <c r="S99" s="64">
        <v>199835.82</v>
      </c>
      <c r="T99" s="64">
        <v>410761.03</v>
      </c>
      <c r="U99" s="64">
        <v>169760.32</v>
      </c>
      <c r="V99" s="64">
        <v>54199.44</v>
      </c>
      <c r="W99" s="64">
        <v>487226.66</v>
      </c>
      <c r="X99" s="64">
        <v>711186.42</v>
      </c>
      <c r="Y99" s="64">
        <v>1414978</v>
      </c>
      <c r="Z99" s="37"/>
      <c r="AA99" s="37"/>
      <c r="AB99" s="37"/>
      <c r="AC99" s="37"/>
      <c r="AD99" s="64">
        <v>1000000</v>
      </c>
      <c r="AE99" s="64">
        <v>1000000</v>
      </c>
      <c r="AF99" s="64">
        <v>1000000</v>
      </c>
      <c r="AG99" s="64">
        <v>1000000</v>
      </c>
      <c r="AH99" s="64"/>
      <c r="AI99" s="64"/>
      <c r="AJ99" s="64"/>
      <c r="AK99" s="64"/>
      <c r="AL99" s="64"/>
      <c r="AM99" s="64"/>
      <c r="AN99" s="176"/>
      <c r="AO99" s="64">
        <v>7518550.9299999997</v>
      </c>
    </row>
    <row r="100" spans="2:41" s="193" customFormat="1" ht="2.65" customHeight="1" x14ac:dyDescent="0.2"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Y100" s="170"/>
      <c r="Z100" s="170"/>
      <c r="AA100" s="170"/>
      <c r="AB100" s="170"/>
      <c r="AC100" s="170"/>
      <c r="AD100" s="170"/>
      <c r="AE100" s="170"/>
      <c r="AF100" s="170"/>
      <c r="AG100" s="170"/>
      <c r="AH100" s="170"/>
      <c r="AI100" s="170"/>
      <c r="AJ100" s="170"/>
      <c r="AK100" s="170"/>
      <c r="AL100" s="170"/>
      <c r="AM100" s="170"/>
      <c r="AN100" s="170"/>
      <c r="AO100" s="170"/>
    </row>
    <row r="101" spans="2:41" s="193" customFormat="1" ht="19.149999999999999" customHeight="1" x14ac:dyDescent="0.2">
      <c r="B101" s="166"/>
      <c r="C101" s="38" t="s">
        <v>117</v>
      </c>
      <c r="D101" s="180"/>
      <c r="E101" s="180"/>
      <c r="F101" s="180"/>
      <c r="G101" s="180"/>
      <c r="H101" s="56">
        <v>7866564.2999999998</v>
      </c>
      <c r="I101" s="56">
        <v>36097.269999999997</v>
      </c>
      <c r="J101" s="56">
        <v>204151.1</v>
      </c>
      <c r="K101" s="56">
        <v>193806.39</v>
      </c>
      <c r="L101" s="56">
        <v>434054.76</v>
      </c>
      <c r="M101" s="56">
        <v>146138.06</v>
      </c>
      <c r="N101" s="56">
        <v>366186.81</v>
      </c>
      <c r="O101" s="56">
        <v>461739.14</v>
      </c>
      <c r="P101" s="56">
        <v>974064.01</v>
      </c>
      <c r="Q101" s="56">
        <v>675258.79</v>
      </c>
      <c r="R101" s="56">
        <v>49551.97</v>
      </c>
      <c r="S101" s="56">
        <v>412525.5</v>
      </c>
      <c r="T101" s="56">
        <v>1137336.26</v>
      </c>
      <c r="U101" s="56">
        <v>542613.77</v>
      </c>
      <c r="V101" s="56">
        <v>54199.44</v>
      </c>
      <c r="W101" s="56">
        <v>3846352.18</v>
      </c>
      <c r="X101" s="56">
        <v>4443165.3899999997</v>
      </c>
      <c r="Y101" s="56">
        <v>6988620.4199999999</v>
      </c>
      <c r="Z101" s="39"/>
      <c r="AA101" s="39"/>
      <c r="AB101" s="39"/>
      <c r="AC101" s="39"/>
      <c r="AD101" s="56">
        <v>7919479.29</v>
      </c>
      <c r="AE101" s="56">
        <v>8463928.8499999996</v>
      </c>
      <c r="AF101" s="56">
        <v>7769913.0499999998</v>
      </c>
      <c r="AG101" s="56">
        <v>9699954.2200000007</v>
      </c>
      <c r="AH101" s="56">
        <v>8861106.5500000007</v>
      </c>
      <c r="AI101" s="56">
        <v>2762048</v>
      </c>
      <c r="AJ101" s="56">
        <v>10909863.74</v>
      </c>
      <c r="AK101" s="56"/>
      <c r="AL101" s="56"/>
      <c r="AM101" s="56"/>
      <c r="AN101" s="181"/>
      <c r="AO101" s="56">
        <v>97959512.950000003</v>
      </c>
    </row>
    <row r="102" spans="2:41" s="193" customFormat="1" ht="14.85" customHeight="1" x14ac:dyDescent="0.15"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3"/>
      <c r="AO102" s="163"/>
    </row>
    <row r="103" spans="2:41" s="193" customFormat="1" ht="27.2" customHeight="1" x14ac:dyDescent="0.2">
      <c r="B103" s="163"/>
      <c r="C103" s="182"/>
      <c r="D103" s="183"/>
      <c r="E103" s="183"/>
      <c r="F103" s="183"/>
      <c r="G103" s="184"/>
      <c r="H103" s="44" t="s">
        <v>201</v>
      </c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44" t="s">
        <v>206</v>
      </c>
      <c r="Z103" s="184"/>
      <c r="AA103" s="184"/>
      <c r="AB103" s="184"/>
      <c r="AC103" s="184"/>
      <c r="AD103" s="45" t="s">
        <v>61</v>
      </c>
      <c r="AE103" s="45" t="s">
        <v>62</v>
      </c>
      <c r="AF103" s="45" t="s">
        <v>63</v>
      </c>
      <c r="AG103" s="45" t="s">
        <v>64</v>
      </c>
      <c r="AH103" s="45" t="s">
        <v>65</v>
      </c>
      <c r="AI103" s="45" t="s">
        <v>66</v>
      </c>
      <c r="AJ103" s="45" t="s">
        <v>67</v>
      </c>
      <c r="AK103" s="45" t="s">
        <v>68</v>
      </c>
      <c r="AL103" s="45" t="s">
        <v>69</v>
      </c>
      <c r="AM103" s="45" t="s">
        <v>155</v>
      </c>
      <c r="AN103" s="164"/>
      <c r="AO103" s="45" t="s">
        <v>70</v>
      </c>
    </row>
    <row r="104" spans="2:41" s="193" customFormat="1" ht="19.149999999999999" customHeight="1" x14ac:dyDescent="0.2">
      <c r="B104" s="163"/>
      <c r="C104" s="364" t="s">
        <v>118</v>
      </c>
      <c r="D104" s="364"/>
      <c r="E104" s="364"/>
      <c r="F104" s="364"/>
      <c r="G104" s="364"/>
      <c r="H104" s="46">
        <v>7789652.5199999996</v>
      </c>
      <c r="I104" s="185"/>
      <c r="J104" s="185"/>
      <c r="K104" s="186"/>
      <c r="L104" s="185"/>
      <c r="M104" s="185"/>
      <c r="N104" s="185"/>
      <c r="O104" s="185"/>
      <c r="P104" s="185"/>
      <c r="Q104" s="185"/>
      <c r="R104" s="185"/>
      <c r="S104" s="185"/>
      <c r="T104" s="185"/>
      <c r="U104" s="364" t="s">
        <v>118</v>
      </c>
      <c r="V104" s="364"/>
      <c r="W104" s="364"/>
      <c r="X104" s="364"/>
      <c r="Y104" s="49">
        <v>7000000</v>
      </c>
      <c r="Z104" s="364" t="s">
        <v>118</v>
      </c>
      <c r="AA104" s="364"/>
      <c r="AB104" s="364"/>
      <c r="AC104" s="364"/>
      <c r="AD104" s="49">
        <v>7000000</v>
      </c>
      <c r="AE104" s="50"/>
      <c r="AF104" s="50"/>
      <c r="AG104" s="50"/>
      <c r="AH104" s="50"/>
      <c r="AI104" s="50"/>
      <c r="AJ104" s="50"/>
      <c r="AK104" s="50"/>
      <c r="AL104" s="50"/>
      <c r="AM104" s="50"/>
      <c r="AN104" s="178"/>
      <c r="AO104" s="51">
        <v>21789652.52</v>
      </c>
    </row>
    <row r="105" spans="2:41" s="193" customFormat="1" ht="19.149999999999999" customHeight="1" x14ac:dyDescent="0.2">
      <c r="B105" s="163"/>
      <c r="C105" s="364" t="s">
        <v>119</v>
      </c>
      <c r="D105" s="364"/>
      <c r="E105" s="364"/>
      <c r="F105" s="364"/>
      <c r="G105" s="364"/>
      <c r="H105" s="54">
        <v>65886.899999999994</v>
      </c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7"/>
      <c r="U105" s="364" t="s">
        <v>119</v>
      </c>
      <c r="V105" s="364"/>
      <c r="W105" s="364"/>
      <c r="X105" s="364"/>
      <c r="Y105" s="50">
        <v>-154086.96</v>
      </c>
      <c r="Z105" s="365" t="s">
        <v>119</v>
      </c>
      <c r="AA105" s="365"/>
      <c r="AB105" s="365"/>
      <c r="AC105" s="365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178"/>
      <c r="AO105" s="51">
        <v>-88200.06</v>
      </c>
    </row>
    <row r="106" spans="2:41" s="193" customFormat="1" ht="19.149999999999999" customHeight="1" x14ac:dyDescent="0.2">
      <c r="B106" s="163"/>
      <c r="C106" s="364" t="s">
        <v>120</v>
      </c>
      <c r="D106" s="364"/>
      <c r="E106" s="364"/>
      <c r="F106" s="364"/>
      <c r="G106" s="364"/>
      <c r="H106" s="46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364" t="s">
        <v>120</v>
      </c>
      <c r="V106" s="364"/>
      <c r="W106" s="364"/>
      <c r="X106" s="364"/>
      <c r="Y106" s="49">
        <v>1000000</v>
      </c>
      <c r="Z106" s="365" t="s">
        <v>120</v>
      </c>
      <c r="AA106" s="365"/>
      <c r="AB106" s="365"/>
      <c r="AC106" s="365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178"/>
      <c r="AO106" s="51">
        <v>1000000</v>
      </c>
    </row>
    <row r="107" spans="2:41" s="193" customFormat="1" ht="19.149999999999999" customHeight="1" x14ac:dyDescent="0.2">
      <c r="B107" s="163"/>
      <c r="C107" s="364" t="s">
        <v>121</v>
      </c>
      <c r="D107" s="364"/>
      <c r="E107" s="364"/>
      <c r="F107" s="364"/>
      <c r="G107" s="364"/>
      <c r="H107" s="54">
        <v>7855539.4199999999</v>
      </c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364" t="s">
        <v>121</v>
      </c>
      <c r="V107" s="364"/>
      <c r="W107" s="364"/>
      <c r="X107" s="364"/>
      <c r="Y107" s="50">
        <v>7845913.04</v>
      </c>
      <c r="Z107" s="365" t="s">
        <v>121</v>
      </c>
      <c r="AA107" s="365"/>
      <c r="AB107" s="365"/>
      <c r="AC107" s="365"/>
      <c r="AD107" s="50">
        <v>7000000</v>
      </c>
      <c r="AE107" s="50"/>
      <c r="AF107" s="50"/>
      <c r="AG107" s="50"/>
      <c r="AH107" s="50"/>
      <c r="AI107" s="50"/>
      <c r="AJ107" s="50"/>
      <c r="AK107" s="50"/>
      <c r="AL107" s="50"/>
      <c r="AM107" s="50"/>
      <c r="AN107" s="178"/>
      <c r="AO107" s="51">
        <v>22701452.460000001</v>
      </c>
    </row>
    <row r="108" spans="2:41" s="193" customFormat="1" ht="19.149999999999999" customHeight="1" x14ac:dyDescent="0.2">
      <c r="B108" s="163"/>
      <c r="C108" s="364" t="s">
        <v>122</v>
      </c>
      <c r="D108" s="364"/>
      <c r="E108" s="364"/>
      <c r="F108" s="364"/>
      <c r="G108" s="364"/>
      <c r="H108" s="54">
        <v>7866564.2999999998</v>
      </c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  <c r="U108" s="365" t="s">
        <v>123</v>
      </c>
      <c r="V108" s="365"/>
      <c r="W108" s="365"/>
      <c r="X108" s="365"/>
      <c r="Y108" s="50">
        <v>6988620.4199999999</v>
      </c>
      <c r="Z108" s="365" t="s">
        <v>123</v>
      </c>
      <c r="AA108" s="365"/>
      <c r="AB108" s="365"/>
      <c r="AC108" s="365"/>
      <c r="AD108" s="50">
        <v>7919479.29</v>
      </c>
      <c r="AE108" s="50">
        <v>8463928.8499999996</v>
      </c>
      <c r="AF108" s="50">
        <v>7769913.0499999998</v>
      </c>
      <c r="AG108" s="49">
        <v>9699954.2200000007</v>
      </c>
      <c r="AH108" s="50">
        <v>8861106.5500000007</v>
      </c>
      <c r="AI108" s="50">
        <v>2762048</v>
      </c>
      <c r="AJ108" s="50">
        <v>10909863.74</v>
      </c>
      <c r="AK108" s="50"/>
      <c r="AL108" s="50"/>
      <c r="AM108" s="50"/>
      <c r="AN108" s="178"/>
      <c r="AO108" s="51">
        <v>97959512.950000003</v>
      </c>
    </row>
    <row r="109" spans="2:41" s="193" customFormat="1" ht="19.149999999999999" customHeight="1" x14ac:dyDescent="0.2">
      <c r="B109" s="163"/>
      <c r="C109" s="364" t="s">
        <v>124</v>
      </c>
      <c r="D109" s="364"/>
      <c r="E109" s="364"/>
      <c r="F109" s="364"/>
      <c r="G109" s="364"/>
      <c r="H109" s="54">
        <v>-11024.879999999899</v>
      </c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  <c r="S109" s="185"/>
      <c r="T109" s="185"/>
      <c r="U109" s="364" t="s">
        <v>124</v>
      </c>
      <c r="V109" s="364"/>
      <c r="W109" s="364"/>
      <c r="X109" s="364"/>
      <c r="Y109" s="50">
        <v>857292.62</v>
      </c>
      <c r="Z109" s="365" t="s">
        <v>124</v>
      </c>
      <c r="AA109" s="365"/>
      <c r="AB109" s="365"/>
      <c r="AC109" s="365"/>
      <c r="AD109" s="50">
        <v>-919479.28999999899</v>
      </c>
      <c r="AE109" s="50">
        <v>-8463928.8499999996</v>
      </c>
      <c r="AF109" s="50">
        <v>-7769913.0499999998</v>
      </c>
      <c r="AG109" s="50">
        <v>-9699954.2200000007</v>
      </c>
      <c r="AH109" s="50">
        <v>-8861106.5500000007</v>
      </c>
      <c r="AI109" s="50">
        <v>-2762048</v>
      </c>
      <c r="AJ109" s="50">
        <v>-10909863.74</v>
      </c>
      <c r="AK109" s="50"/>
      <c r="AL109" s="50"/>
      <c r="AM109" s="50"/>
      <c r="AN109" s="178"/>
      <c r="AO109" s="51">
        <v>75258060.489999995</v>
      </c>
    </row>
    <row r="110" spans="2:41" s="193" customFormat="1" ht="28.7" customHeight="1" x14ac:dyDescent="0.15"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163"/>
      <c r="AG110" s="163"/>
      <c r="AH110" s="163"/>
      <c r="AI110" s="163"/>
      <c r="AJ110" s="163"/>
      <c r="AK110" s="163"/>
      <c r="AL110" s="163"/>
      <c r="AM110" s="163"/>
      <c r="AN110" s="163"/>
      <c r="AO110" s="163"/>
    </row>
  </sheetData>
  <mergeCells count="18">
    <mergeCell ref="C108:G108"/>
    <mergeCell ref="U108:X108"/>
    <mergeCell ref="Z108:AC108"/>
    <mergeCell ref="C109:G109"/>
    <mergeCell ref="U109:X109"/>
    <mergeCell ref="Z109:AC109"/>
    <mergeCell ref="C106:G106"/>
    <mergeCell ref="U106:X106"/>
    <mergeCell ref="Z106:AC106"/>
    <mergeCell ref="C107:G107"/>
    <mergeCell ref="U107:X107"/>
    <mergeCell ref="Z107:AC107"/>
    <mergeCell ref="C104:G104"/>
    <mergeCell ref="U104:X104"/>
    <mergeCell ref="Z104:AC104"/>
    <mergeCell ref="C105:G105"/>
    <mergeCell ref="U105:X105"/>
    <mergeCell ref="Z105:AC105"/>
  </mergeCells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O28"/>
  <sheetViews>
    <sheetView topLeftCell="G1" workbookViewId="0">
      <selection activeCell="P32" sqref="P32"/>
    </sheetView>
  </sheetViews>
  <sheetFormatPr baseColWidth="10" defaultColWidth="11.42578125" defaultRowHeight="12.75" x14ac:dyDescent="0.2"/>
  <cols>
    <col min="1" max="1" width="0.85546875" customWidth="1"/>
    <col min="2" max="2" width="0.42578125" customWidth="1"/>
    <col min="3" max="3" width="13.5703125" customWidth="1"/>
    <col min="4" max="4" width="42" customWidth="1"/>
    <col min="5" max="6" width="10.5703125" customWidth="1"/>
    <col min="7" max="7" width="20.7109375" customWidth="1"/>
    <col min="8" max="39" width="14.7109375" customWidth="1"/>
    <col min="40" max="40" width="0.85546875" customWidth="1"/>
    <col min="41" max="41" width="14.7109375" customWidth="1"/>
  </cols>
  <sheetData>
    <row r="1" spans="2:41" s="163" customFormat="1" ht="24.6" customHeight="1" x14ac:dyDescent="0.15">
      <c r="C1" s="1" t="s">
        <v>33</v>
      </c>
      <c r="D1" s="1" t="s">
        <v>34</v>
      </c>
      <c r="E1" s="2" t="s">
        <v>35</v>
      </c>
      <c r="F1" s="2" t="s">
        <v>200</v>
      </c>
      <c r="G1" s="2" t="s">
        <v>37</v>
      </c>
      <c r="H1" s="2" t="s">
        <v>201</v>
      </c>
      <c r="I1" s="2" t="s">
        <v>39</v>
      </c>
      <c r="J1" s="2" t="s">
        <v>40</v>
      </c>
      <c r="K1" s="2" t="s">
        <v>41</v>
      </c>
      <c r="L1" s="2" t="s">
        <v>202</v>
      </c>
      <c r="M1" s="2" t="s">
        <v>43</v>
      </c>
      <c r="N1" s="2" t="s">
        <v>44</v>
      </c>
      <c r="O1" s="2" t="s">
        <v>45</v>
      </c>
      <c r="P1" s="2" t="s">
        <v>203</v>
      </c>
      <c r="Q1" s="2" t="s">
        <v>47</v>
      </c>
      <c r="R1" s="2" t="s">
        <v>48</v>
      </c>
      <c r="S1" s="2" t="s">
        <v>49</v>
      </c>
      <c r="T1" s="2" t="s">
        <v>204</v>
      </c>
      <c r="U1" s="2" t="s">
        <v>51</v>
      </c>
      <c r="V1" s="2" t="s">
        <v>52</v>
      </c>
      <c r="W1" s="2" t="s">
        <v>53</v>
      </c>
      <c r="X1" s="2" t="s">
        <v>205</v>
      </c>
      <c r="Y1" s="2" t="s">
        <v>206</v>
      </c>
      <c r="Z1" s="2" t="s">
        <v>207</v>
      </c>
      <c r="AA1" s="2" t="s">
        <v>208</v>
      </c>
      <c r="AB1" s="2" t="s">
        <v>209</v>
      </c>
      <c r="AC1" s="2" t="s">
        <v>210</v>
      </c>
      <c r="AD1" s="2" t="s">
        <v>61</v>
      </c>
      <c r="AE1" s="2" t="s">
        <v>62</v>
      </c>
      <c r="AF1" s="2" t="s">
        <v>63</v>
      </c>
      <c r="AG1" s="2" t="s">
        <v>64</v>
      </c>
      <c r="AH1" s="2" t="s">
        <v>65</v>
      </c>
      <c r="AI1" s="2" t="s">
        <v>66</v>
      </c>
      <c r="AJ1" s="2" t="s">
        <v>67</v>
      </c>
      <c r="AK1" s="2" t="s">
        <v>68</v>
      </c>
      <c r="AL1" s="2" t="s">
        <v>69</v>
      </c>
      <c r="AM1" s="2" t="s">
        <v>155</v>
      </c>
      <c r="AN1" s="164"/>
      <c r="AO1" s="2" t="s">
        <v>70</v>
      </c>
    </row>
    <row r="2" spans="2:41" s="163" customFormat="1" ht="19.149999999999999" customHeight="1" x14ac:dyDescent="0.2">
      <c r="B2" s="4" t="s">
        <v>71</v>
      </c>
      <c r="C2" s="5" t="s">
        <v>31</v>
      </c>
      <c r="D2" s="5" t="s">
        <v>83</v>
      </c>
      <c r="E2" s="5" t="s">
        <v>74</v>
      </c>
      <c r="F2" s="5" t="s">
        <v>75</v>
      </c>
      <c r="G2" s="5" t="s">
        <v>84</v>
      </c>
      <c r="H2" s="57">
        <v>100000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  <c r="AA2" s="7"/>
      <c r="AB2" s="7"/>
      <c r="AC2" s="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165"/>
      <c r="AO2" s="9">
        <v>100000</v>
      </c>
    </row>
    <row r="3" spans="2:41" s="163" customFormat="1" ht="19.149999999999999" customHeight="1" x14ac:dyDescent="0.2">
      <c r="B3" s="166"/>
      <c r="C3" s="5" t="s">
        <v>72</v>
      </c>
      <c r="D3" s="5" t="s">
        <v>73</v>
      </c>
      <c r="E3" s="5" t="s">
        <v>74</v>
      </c>
      <c r="F3" s="5" t="s">
        <v>75</v>
      </c>
      <c r="G3" s="5" t="s">
        <v>76</v>
      </c>
      <c r="H3" s="57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1"/>
      <c r="AA3" s="21"/>
      <c r="AB3" s="21"/>
      <c r="AC3" s="21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165"/>
      <c r="AO3" s="9"/>
    </row>
    <row r="4" spans="2:41" s="163" customFormat="1" ht="19.149999999999999" customHeight="1" x14ac:dyDescent="0.2">
      <c r="B4" s="166"/>
      <c r="C4" s="5" t="s">
        <v>103</v>
      </c>
      <c r="D4" s="5" t="s">
        <v>104</v>
      </c>
      <c r="E4" s="5" t="s">
        <v>96</v>
      </c>
      <c r="F4" s="5" t="s">
        <v>75</v>
      </c>
      <c r="G4" s="5" t="s">
        <v>84</v>
      </c>
      <c r="H4" s="57">
        <v>12585.56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/>
      <c r="AA4" s="7"/>
      <c r="AB4" s="7"/>
      <c r="AC4" s="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165"/>
      <c r="AO4" s="9">
        <v>12585.56</v>
      </c>
    </row>
    <row r="5" spans="2:41" s="163" customFormat="1" ht="19.149999999999999" customHeight="1" x14ac:dyDescent="0.2">
      <c r="B5" s="166"/>
      <c r="C5" s="5" t="s">
        <v>105</v>
      </c>
      <c r="D5" s="5" t="s">
        <v>106</v>
      </c>
      <c r="E5" s="5" t="s">
        <v>96</v>
      </c>
      <c r="F5" s="5" t="s">
        <v>75</v>
      </c>
      <c r="G5" s="5" t="s">
        <v>84</v>
      </c>
      <c r="H5" s="57">
        <v>12496.89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/>
      <c r="AA5" s="21"/>
      <c r="AB5" s="21"/>
      <c r="AC5" s="21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165"/>
      <c r="AO5" s="9">
        <v>12496.89</v>
      </c>
    </row>
    <row r="6" spans="2:41" s="163" customFormat="1" ht="19.149999999999999" customHeight="1" x14ac:dyDescent="0.2">
      <c r="B6" s="166"/>
      <c r="C6" s="5" t="s">
        <v>376</v>
      </c>
      <c r="D6" s="5" t="s">
        <v>266</v>
      </c>
      <c r="E6" s="5"/>
      <c r="F6" s="5" t="s">
        <v>75</v>
      </c>
      <c r="G6" s="5" t="s">
        <v>84</v>
      </c>
      <c r="H6" s="57">
        <v>12660.52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7"/>
      <c r="AA6" s="7"/>
      <c r="AB6" s="7"/>
      <c r="AC6" s="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165"/>
      <c r="AO6" s="9">
        <v>12660.52</v>
      </c>
    </row>
    <row r="7" spans="2:41" s="163" customFormat="1" ht="19.149999999999999" customHeight="1" x14ac:dyDescent="0.15">
      <c r="B7" s="167"/>
      <c r="C7" s="11" t="s">
        <v>71</v>
      </c>
      <c r="D7" s="168"/>
      <c r="E7" s="168"/>
      <c r="F7" s="168"/>
      <c r="G7" s="12"/>
      <c r="H7" s="58">
        <v>137742.97</v>
      </c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12"/>
      <c r="AA7" s="12"/>
      <c r="AB7" s="12"/>
      <c r="AC7" s="12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169"/>
      <c r="AO7" s="58">
        <v>137742.97</v>
      </c>
    </row>
    <row r="8" spans="2:41" s="163" customFormat="1" ht="2.65" customHeight="1" x14ac:dyDescent="0.2"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</row>
    <row r="9" spans="2:41" s="163" customFormat="1" ht="19.149999999999999" customHeight="1" x14ac:dyDescent="0.2">
      <c r="B9" s="4" t="s">
        <v>243</v>
      </c>
      <c r="C9" s="171" t="s">
        <v>78</v>
      </c>
      <c r="D9" s="171" t="s">
        <v>79</v>
      </c>
      <c r="E9" s="171" t="s">
        <v>80</v>
      </c>
      <c r="F9" s="171" t="s">
        <v>75</v>
      </c>
      <c r="G9" s="171" t="s">
        <v>81</v>
      </c>
      <c r="H9" s="57">
        <v>140293.18</v>
      </c>
      <c r="I9" s="6">
        <v>9732.0300000000007</v>
      </c>
      <c r="J9" s="6">
        <v>5009.3999999999996</v>
      </c>
      <c r="K9" s="6">
        <v>144398.32</v>
      </c>
      <c r="L9" s="6">
        <v>159139.75</v>
      </c>
      <c r="M9" s="6">
        <v>150270.82999999999</v>
      </c>
      <c r="N9" s="6">
        <v>168.81</v>
      </c>
      <c r="O9" s="6">
        <v>0</v>
      </c>
      <c r="P9" s="6">
        <v>150439.64000000001</v>
      </c>
      <c r="Q9" s="6">
        <v>0</v>
      </c>
      <c r="R9" s="6">
        <v>0</v>
      </c>
      <c r="S9" s="6">
        <v>0</v>
      </c>
      <c r="T9" s="6">
        <v>0</v>
      </c>
      <c r="U9" s="6">
        <v>0.01</v>
      </c>
      <c r="V9" s="6">
        <v>133047.76</v>
      </c>
      <c r="W9" s="6">
        <v>0</v>
      </c>
      <c r="X9" s="6">
        <v>133047.76999999999</v>
      </c>
      <c r="Y9" s="6">
        <v>442627.16</v>
      </c>
      <c r="Z9" s="7"/>
      <c r="AA9" s="7"/>
      <c r="AB9" s="7"/>
      <c r="AC9" s="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165"/>
      <c r="AO9" s="9">
        <v>582920.34</v>
      </c>
    </row>
    <row r="10" spans="2:41" s="163" customFormat="1" ht="19.149999999999999" customHeight="1" x14ac:dyDescent="0.15">
      <c r="B10" s="167"/>
      <c r="C10" s="172" t="s">
        <v>243</v>
      </c>
      <c r="D10" s="173"/>
      <c r="E10" s="173"/>
      <c r="F10" s="174"/>
      <c r="G10" s="174"/>
      <c r="H10" s="175">
        <v>140293.18</v>
      </c>
      <c r="I10" s="175">
        <v>9732.0300000000007</v>
      </c>
      <c r="J10" s="175">
        <v>5009.3999999999996</v>
      </c>
      <c r="K10" s="175">
        <v>144398.32</v>
      </c>
      <c r="L10" s="175">
        <v>159139.75</v>
      </c>
      <c r="M10" s="175">
        <v>150270.82999999999</v>
      </c>
      <c r="N10" s="175">
        <v>168.81</v>
      </c>
      <c r="O10" s="175">
        <v>0</v>
      </c>
      <c r="P10" s="175">
        <v>150439.64000000001</v>
      </c>
      <c r="Q10" s="175">
        <v>0</v>
      </c>
      <c r="R10" s="175">
        <v>0</v>
      </c>
      <c r="S10" s="175">
        <v>0</v>
      </c>
      <c r="T10" s="175">
        <v>0</v>
      </c>
      <c r="U10" s="175">
        <v>0.01</v>
      </c>
      <c r="V10" s="175">
        <v>133047.76</v>
      </c>
      <c r="W10" s="175">
        <v>0</v>
      </c>
      <c r="X10" s="175">
        <v>133047.76999999999</v>
      </c>
      <c r="Y10" s="175">
        <v>442627.16</v>
      </c>
      <c r="Z10" s="174"/>
      <c r="AA10" s="174"/>
      <c r="AB10" s="174"/>
      <c r="AC10" s="174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  <c r="AO10" s="175">
        <v>582920.34</v>
      </c>
    </row>
    <row r="11" spans="2:41" s="163" customFormat="1" ht="2.65" customHeight="1" x14ac:dyDescent="0.2"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</row>
    <row r="12" spans="2:41" s="163" customFormat="1" ht="19.149999999999999" customHeight="1" x14ac:dyDescent="0.2">
      <c r="B12" s="4" t="s">
        <v>77</v>
      </c>
      <c r="C12" s="15" t="s">
        <v>85</v>
      </c>
      <c r="D12" s="15" t="s">
        <v>86</v>
      </c>
      <c r="E12" s="15" t="s">
        <v>87</v>
      </c>
      <c r="F12" s="15" t="s">
        <v>75</v>
      </c>
      <c r="G12" s="15" t="s">
        <v>249</v>
      </c>
      <c r="H12" s="57">
        <v>99365.96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>
        <v>0</v>
      </c>
      <c r="W12" s="6">
        <v>5871.86</v>
      </c>
      <c r="X12" s="6">
        <v>5871.86</v>
      </c>
      <c r="Y12" s="6">
        <v>5871.86</v>
      </c>
      <c r="Z12" s="7"/>
      <c r="AA12" s="7"/>
      <c r="AB12" s="7"/>
      <c r="AC12" s="7"/>
      <c r="AD12" s="57">
        <v>27500</v>
      </c>
      <c r="AE12" s="57">
        <v>39833.82</v>
      </c>
      <c r="AF12" s="57"/>
      <c r="AG12" s="57"/>
      <c r="AH12" s="57"/>
      <c r="AI12" s="57"/>
      <c r="AJ12" s="57"/>
      <c r="AK12" s="57"/>
      <c r="AL12" s="57"/>
      <c r="AM12" s="57"/>
      <c r="AN12" s="165"/>
      <c r="AO12" s="9">
        <v>172571.64</v>
      </c>
    </row>
    <row r="13" spans="2:41" s="163" customFormat="1" ht="19.149999999999999" customHeight="1" x14ac:dyDescent="0.15">
      <c r="B13" s="167"/>
      <c r="C13" s="16" t="s">
        <v>77</v>
      </c>
      <c r="D13" s="177"/>
      <c r="E13" s="177"/>
      <c r="F13" s="177"/>
      <c r="G13" s="17"/>
      <c r="H13" s="59">
        <v>99365.96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>
        <v>0</v>
      </c>
      <c r="W13" s="59">
        <v>5871.86</v>
      </c>
      <c r="X13" s="59">
        <v>5871.86</v>
      </c>
      <c r="Y13" s="59">
        <v>5871.86</v>
      </c>
      <c r="Z13" s="17"/>
      <c r="AA13" s="17"/>
      <c r="AB13" s="17"/>
      <c r="AC13" s="17"/>
      <c r="AD13" s="59">
        <v>27500</v>
      </c>
      <c r="AE13" s="59">
        <v>39833.82</v>
      </c>
      <c r="AF13" s="59"/>
      <c r="AG13" s="59"/>
      <c r="AH13" s="59"/>
      <c r="AI13" s="59"/>
      <c r="AJ13" s="59"/>
      <c r="AK13" s="59"/>
      <c r="AL13" s="59"/>
      <c r="AM13" s="59"/>
      <c r="AN13" s="176"/>
      <c r="AO13" s="59">
        <v>172571.64</v>
      </c>
    </row>
    <row r="14" spans="2:41" s="163" customFormat="1" ht="2.65" customHeight="1" x14ac:dyDescent="0.2"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</row>
    <row r="15" spans="2:41" s="163" customFormat="1" ht="2.1" customHeight="1" x14ac:dyDescent="0.15"/>
    <row r="16" spans="2:41" s="163" customFormat="1" ht="19.149999999999999" customHeight="1" x14ac:dyDescent="0.2">
      <c r="B16" s="4" t="s">
        <v>114</v>
      </c>
      <c r="C16" s="34" t="s">
        <v>114</v>
      </c>
      <c r="D16" s="34" t="s">
        <v>115</v>
      </c>
      <c r="E16" s="34" t="s">
        <v>116</v>
      </c>
      <c r="F16" s="34" t="s">
        <v>116</v>
      </c>
      <c r="G16" s="34" t="s">
        <v>116</v>
      </c>
      <c r="H16" s="57">
        <v>328262.51</v>
      </c>
      <c r="I16" s="6">
        <v>0.01</v>
      </c>
      <c r="J16" s="6">
        <v>0.01</v>
      </c>
      <c r="K16" s="6">
        <v>0</v>
      </c>
      <c r="L16" s="6">
        <v>0.02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0.02</v>
      </c>
      <c r="Z16" s="7"/>
      <c r="AA16" s="7"/>
      <c r="AB16" s="7"/>
      <c r="AC16" s="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165"/>
      <c r="AO16" s="9">
        <v>328262.53000000003</v>
      </c>
    </row>
    <row r="17" spans="2:41" s="163" customFormat="1" ht="19.149999999999999" customHeight="1" x14ac:dyDescent="0.15">
      <c r="B17" s="167"/>
      <c r="C17" s="35" t="s">
        <v>114</v>
      </c>
      <c r="D17" s="179"/>
      <c r="E17" s="179"/>
      <c r="F17" s="37"/>
      <c r="G17" s="37"/>
      <c r="H17" s="64">
        <v>328262.51</v>
      </c>
      <c r="I17" s="64">
        <v>0.01</v>
      </c>
      <c r="J17" s="64">
        <v>0.01</v>
      </c>
      <c r="K17" s="64">
        <v>0</v>
      </c>
      <c r="L17" s="64">
        <v>0.02</v>
      </c>
      <c r="M17" s="64">
        <v>0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0</v>
      </c>
      <c r="V17" s="64">
        <v>0</v>
      </c>
      <c r="W17" s="64">
        <v>0</v>
      </c>
      <c r="X17" s="64">
        <v>0</v>
      </c>
      <c r="Y17" s="64">
        <v>0.02</v>
      </c>
      <c r="Z17" s="37"/>
      <c r="AA17" s="37"/>
      <c r="AB17" s="37"/>
      <c r="AC17" s="37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176"/>
      <c r="AO17" s="64">
        <v>328262.53000000003</v>
      </c>
    </row>
    <row r="18" spans="2:41" s="163" customFormat="1" ht="2.65" customHeight="1" x14ac:dyDescent="0.2"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</row>
    <row r="19" spans="2:41" s="163" customFormat="1" ht="19.149999999999999" customHeight="1" x14ac:dyDescent="0.2">
      <c r="B19" s="166"/>
      <c r="C19" s="38" t="s">
        <v>117</v>
      </c>
      <c r="D19" s="180"/>
      <c r="E19" s="180"/>
      <c r="F19" s="180"/>
      <c r="G19" s="180"/>
      <c r="H19" s="56">
        <v>705664.62</v>
      </c>
      <c r="I19" s="56">
        <v>9732.0400000000009</v>
      </c>
      <c r="J19" s="56">
        <v>5009.41</v>
      </c>
      <c r="K19" s="56">
        <v>144398.32</v>
      </c>
      <c r="L19" s="56">
        <v>159139.76999999999</v>
      </c>
      <c r="M19" s="56">
        <v>150270.82999999999</v>
      </c>
      <c r="N19" s="56">
        <v>168.81</v>
      </c>
      <c r="O19" s="56">
        <v>0</v>
      </c>
      <c r="P19" s="56">
        <v>150439.64000000001</v>
      </c>
      <c r="Q19" s="56">
        <v>0</v>
      </c>
      <c r="R19" s="56">
        <v>0</v>
      </c>
      <c r="S19" s="56">
        <v>0</v>
      </c>
      <c r="T19" s="56">
        <v>0</v>
      </c>
      <c r="U19" s="56">
        <v>0.01</v>
      </c>
      <c r="V19" s="56">
        <v>133047.76</v>
      </c>
      <c r="W19" s="56">
        <v>5871.86</v>
      </c>
      <c r="X19" s="56">
        <v>138919.63</v>
      </c>
      <c r="Y19" s="56">
        <v>448499.04</v>
      </c>
      <c r="Z19" s="39"/>
      <c r="AA19" s="39"/>
      <c r="AB19" s="39"/>
      <c r="AC19" s="39"/>
      <c r="AD19" s="56">
        <v>27500</v>
      </c>
      <c r="AE19" s="56">
        <v>39833.82</v>
      </c>
      <c r="AF19" s="56"/>
      <c r="AG19" s="56"/>
      <c r="AH19" s="56"/>
      <c r="AI19" s="56"/>
      <c r="AJ19" s="56"/>
      <c r="AK19" s="56"/>
      <c r="AL19" s="56"/>
      <c r="AM19" s="56"/>
      <c r="AN19" s="181"/>
      <c r="AO19" s="56">
        <v>1221497.48</v>
      </c>
    </row>
    <row r="20" spans="2:41" s="163" customFormat="1" ht="14.85" customHeight="1" x14ac:dyDescent="0.15"/>
    <row r="21" spans="2:41" s="163" customFormat="1" ht="27.2" customHeight="1" x14ac:dyDescent="0.2">
      <c r="C21" s="182"/>
      <c r="D21" s="183"/>
      <c r="E21" s="183"/>
      <c r="F21" s="183"/>
      <c r="G21" s="184"/>
      <c r="H21" s="44" t="s">
        <v>201</v>
      </c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44" t="s">
        <v>206</v>
      </c>
      <c r="Z21" s="184"/>
      <c r="AA21" s="184"/>
      <c r="AB21" s="184"/>
      <c r="AC21" s="184"/>
      <c r="AD21" s="45" t="s">
        <v>61</v>
      </c>
      <c r="AE21" s="45" t="s">
        <v>62</v>
      </c>
      <c r="AF21" s="45" t="s">
        <v>63</v>
      </c>
      <c r="AG21" s="45" t="s">
        <v>64</v>
      </c>
      <c r="AH21" s="45" t="s">
        <v>65</v>
      </c>
      <c r="AI21" s="45" t="s">
        <v>66</v>
      </c>
      <c r="AJ21" s="45" t="s">
        <v>67</v>
      </c>
      <c r="AK21" s="45" t="s">
        <v>68</v>
      </c>
      <c r="AL21" s="45" t="s">
        <v>69</v>
      </c>
      <c r="AM21" s="45" t="s">
        <v>155</v>
      </c>
      <c r="AN21" s="164"/>
      <c r="AO21" s="45" t="s">
        <v>70</v>
      </c>
    </row>
    <row r="22" spans="2:41" s="163" customFormat="1" ht="19.149999999999999" customHeight="1" x14ac:dyDescent="0.2">
      <c r="C22" s="364" t="s">
        <v>118</v>
      </c>
      <c r="D22" s="364"/>
      <c r="E22" s="364"/>
      <c r="F22" s="364"/>
      <c r="G22" s="364"/>
      <c r="H22" s="46">
        <v>707848.24</v>
      </c>
      <c r="I22" s="185"/>
      <c r="J22" s="185"/>
      <c r="K22" s="186"/>
      <c r="L22" s="185"/>
      <c r="M22" s="185"/>
      <c r="N22" s="185"/>
      <c r="O22" s="185"/>
      <c r="P22" s="185"/>
      <c r="Q22" s="185"/>
      <c r="R22" s="185"/>
      <c r="S22" s="185"/>
      <c r="T22" s="185"/>
      <c r="U22" s="364" t="s">
        <v>118</v>
      </c>
      <c r="V22" s="364"/>
      <c r="W22" s="364"/>
      <c r="X22" s="364"/>
      <c r="Y22" s="49">
        <v>442920.34</v>
      </c>
      <c r="Z22" s="364" t="s">
        <v>118</v>
      </c>
      <c r="AA22" s="364"/>
      <c r="AB22" s="364"/>
      <c r="AC22" s="364"/>
      <c r="AD22" s="49"/>
      <c r="AE22" s="50"/>
      <c r="AF22" s="50"/>
      <c r="AG22" s="50"/>
      <c r="AH22" s="50"/>
      <c r="AI22" s="50"/>
      <c r="AJ22" s="50"/>
      <c r="AK22" s="50"/>
      <c r="AL22" s="50"/>
      <c r="AM22" s="50"/>
      <c r="AN22" s="178"/>
      <c r="AO22" s="51">
        <v>1150768.58</v>
      </c>
    </row>
    <row r="23" spans="2:41" s="163" customFormat="1" ht="19.149999999999999" customHeight="1" x14ac:dyDescent="0.2">
      <c r="C23" s="364" t="s">
        <v>119</v>
      </c>
      <c r="D23" s="364"/>
      <c r="E23" s="364"/>
      <c r="F23" s="364"/>
      <c r="G23" s="364"/>
      <c r="H23" s="54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364" t="s">
        <v>119</v>
      </c>
      <c r="V23" s="364"/>
      <c r="W23" s="364"/>
      <c r="X23" s="364"/>
      <c r="Y23" s="50"/>
      <c r="Z23" s="365" t="s">
        <v>119</v>
      </c>
      <c r="AA23" s="365"/>
      <c r="AB23" s="365"/>
      <c r="AC23" s="365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178"/>
      <c r="AO23" s="51"/>
    </row>
    <row r="24" spans="2:41" s="163" customFormat="1" ht="19.149999999999999" customHeight="1" x14ac:dyDescent="0.2">
      <c r="C24" s="364" t="s">
        <v>120</v>
      </c>
      <c r="D24" s="364"/>
      <c r="E24" s="364"/>
      <c r="F24" s="364"/>
      <c r="G24" s="364"/>
      <c r="H24" s="46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364" t="s">
        <v>120</v>
      </c>
      <c r="V24" s="364"/>
      <c r="W24" s="364"/>
      <c r="X24" s="364"/>
      <c r="Y24" s="49"/>
      <c r="Z24" s="365" t="s">
        <v>120</v>
      </c>
      <c r="AA24" s="365"/>
      <c r="AB24" s="365"/>
      <c r="AC24" s="365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178"/>
      <c r="AO24" s="51"/>
    </row>
    <row r="25" spans="2:41" s="163" customFormat="1" ht="19.149999999999999" customHeight="1" x14ac:dyDescent="0.2">
      <c r="C25" s="364" t="s">
        <v>121</v>
      </c>
      <c r="D25" s="364"/>
      <c r="E25" s="364"/>
      <c r="F25" s="364"/>
      <c r="G25" s="364"/>
      <c r="H25" s="54">
        <v>707848.24</v>
      </c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364" t="s">
        <v>121</v>
      </c>
      <c r="V25" s="364"/>
      <c r="W25" s="364"/>
      <c r="X25" s="364"/>
      <c r="Y25" s="50">
        <v>442920.34</v>
      </c>
      <c r="Z25" s="365" t="s">
        <v>121</v>
      </c>
      <c r="AA25" s="365"/>
      <c r="AB25" s="365"/>
      <c r="AC25" s="365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178"/>
      <c r="AO25" s="51">
        <v>1150768.58</v>
      </c>
    </row>
    <row r="26" spans="2:41" s="163" customFormat="1" ht="19.149999999999999" customHeight="1" x14ac:dyDescent="0.2">
      <c r="C26" s="364" t="s">
        <v>122</v>
      </c>
      <c r="D26" s="364"/>
      <c r="E26" s="364"/>
      <c r="F26" s="364"/>
      <c r="G26" s="364"/>
      <c r="H26" s="54">
        <v>705664.62</v>
      </c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365" t="s">
        <v>123</v>
      </c>
      <c r="V26" s="365"/>
      <c r="W26" s="365"/>
      <c r="X26" s="365"/>
      <c r="Y26" s="50">
        <v>448499.04</v>
      </c>
      <c r="Z26" s="365" t="s">
        <v>123</v>
      </c>
      <c r="AA26" s="365"/>
      <c r="AB26" s="365"/>
      <c r="AC26" s="365"/>
      <c r="AD26" s="50">
        <v>27500</v>
      </c>
      <c r="AE26" s="50">
        <v>39833.82</v>
      </c>
      <c r="AF26" s="50"/>
      <c r="AG26" s="49"/>
      <c r="AH26" s="50"/>
      <c r="AI26" s="50"/>
      <c r="AJ26" s="50"/>
      <c r="AK26" s="50"/>
      <c r="AL26" s="50"/>
      <c r="AM26" s="50"/>
      <c r="AN26" s="178"/>
      <c r="AO26" s="51">
        <v>1221497.48</v>
      </c>
    </row>
    <row r="27" spans="2:41" s="163" customFormat="1" ht="19.149999999999999" customHeight="1" x14ac:dyDescent="0.2">
      <c r="C27" s="364" t="s">
        <v>124</v>
      </c>
      <c r="D27" s="364"/>
      <c r="E27" s="364"/>
      <c r="F27" s="364"/>
      <c r="G27" s="364"/>
      <c r="H27" s="54">
        <v>2183.6199999998798</v>
      </c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364" t="s">
        <v>124</v>
      </c>
      <c r="V27" s="364"/>
      <c r="W27" s="364"/>
      <c r="X27" s="364"/>
      <c r="Y27" s="50">
        <v>-5578.7000000000098</v>
      </c>
      <c r="Z27" s="365" t="s">
        <v>124</v>
      </c>
      <c r="AA27" s="365"/>
      <c r="AB27" s="365"/>
      <c r="AC27" s="365"/>
      <c r="AD27" s="50">
        <v>-27500</v>
      </c>
      <c r="AE27" s="50">
        <v>-39833.82</v>
      </c>
      <c r="AF27" s="50"/>
      <c r="AG27" s="50"/>
      <c r="AH27" s="50"/>
      <c r="AI27" s="50"/>
      <c r="AJ27" s="50"/>
      <c r="AK27" s="50"/>
      <c r="AL27" s="50"/>
      <c r="AM27" s="50"/>
      <c r="AN27" s="178"/>
      <c r="AO27" s="51">
        <v>70728.900000000096</v>
      </c>
    </row>
    <row r="28" spans="2:41" s="163" customFormat="1" ht="28.7" customHeight="1" x14ac:dyDescent="0.15"/>
  </sheetData>
  <mergeCells count="18">
    <mergeCell ref="C22:G22"/>
    <mergeCell ref="U22:X22"/>
    <mergeCell ref="Z22:AC22"/>
    <mergeCell ref="C23:G23"/>
    <mergeCell ref="U23:X23"/>
    <mergeCell ref="Z23:AC23"/>
    <mergeCell ref="C24:G24"/>
    <mergeCell ref="U24:X24"/>
    <mergeCell ref="Z24:AC24"/>
    <mergeCell ref="C25:G25"/>
    <mergeCell ref="U25:X25"/>
    <mergeCell ref="Z25:AC25"/>
    <mergeCell ref="C26:G26"/>
    <mergeCell ref="U26:X26"/>
    <mergeCell ref="Z26:AC26"/>
    <mergeCell ref="C27:G27"/>
    <mergeCell ref="U27:X27"/>
    <mergeCell ref="Z27:AC27"/>
  </mergeCells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C4:I10"/>
  <sheetViews>
    <sheetView workbookViewId="0">
      <selection activeCell="G8" sqref="G8"/>
    </sheetView>
  </sheetViews>
  <sheetFormatPr baseColWidth="10" defaultColWidth="11.42578125" defaultRowHeight="12.75" x14ac:dyDescent="0.2"/>
  <cols>
    <col min="4" max="4" width="11.85546875" style="132" bestFit="1" customWidth="1"/>
    <col min="5" max="5" width="13.42578125" style="132" bestFit="1" customWidth="1"/>
    <col min="6" max="7" width="14.42578125" style="132" bestFit="1" customWidth="1"/>
    <col min="8" max="9" width="14.42578125" style="108" bestFit="1" customWidth="1"/>
  </cols>
  <sheetData>
    <row r="4" spans="3:9" x14ac:dyDescent="0.2">
      <c r="D4" s="133">
        <v>2017</v>
      </c>
      <c r="E4" s="133">
        <v>2018</v>
      </c>
      <c r="F4" s="133">
        <v>2019</v>
      </c>
      <c r="G4" s="133">
        <v>2020</v>
      </c>
      <c r="H4" s="135" t="s">
        <v>377</v>
      </c>
      <c r="I4" s="135" t="s">
        <v>377</v>
      </c>
    </row>
    <row r="5" spans="3:9" x14ac:dyDescent="0.2">
      <c r="C5" s="142" t="s">
        <v>378</v>
      </c>
      <c r="D5" s="134">
        <v>0</v>
      </c>
      <c r="E5" s="134">
        <f>505000+1500-200000+7000</f>
        <v>313500</v>
      </c>
      <c r="F5" s="134">
        <f>1200000+21000+100000+1500</f>
        <v>1322500</v>
      </c>
      <c r="G5" s="134">
        <f>1645775-27500+100000-8500</f>
        <v>1709775</v>
      </c>
      <c r="H5" s="135">
        <f>SUM(D5:G5)</f>
        <v>3345775</v>
      </c>
      <c r="I5" s="108">
        <f>3345775-H5</f>
        <v>0</v>
      </c>
    </row>
    <row r="6" spans="3:9" x14ac:dyDescent="0.2">
      <c r="C6" s="142" t="s">
        <v>379</v>
      </c>
      <c r="D6" s="134" t="e">
        <f>+#REF!</f>
        <v>#REF!</v>
      </c>
      <c r="E6" s="138">
        <f>10371.86-4500</f>
        <v>5871.8600000000006</v>
      </c>
      <c r="F6" s="138">
        <f>25000+1000+4000-1000-1500</f>
        <v>27500</v>
      </c>
      <c r="G6" s="138">
        <f>28333.82+9500-1000-500-5000+11500-3000</f>
        <v>39833.82</v>
      </c>
      <c r="H6" s="135" t="e">
        <f>SUM(D6:G6)</f>
        <v>#REF!</v>
      </c>
      <c r="I6" s="108" t="e">
        <f>172571.96-H6</f>
        <v>#REF!</v>
      </c>
    </row>
    <row r="7" spans="3:9" x14ac:dyDescent="0.2">
      <c r="E7" s="139">
        <f>+E6+E5</f>
        <v>319371.86</v>
      </c>
      <c r="F7" s="139">
        <f>+F6+F5</f>
        <v>1350000</v>
      </c>
      <c r="G7" s="139">
        <f>+G6+G5</f>
        <v>1749608.82</v>
      </c>
      <c r="H7" s="140">
        <f>SUM(E7:G7)</f>
        <v>3418980.6799999997</v>
      </c>
    </row>
    <row r="8" spans="3:9" x14ac:dyDescent="0.2">
      <c r="E8" s="141" t="e">
        <f>+#REF!-bq!E7+#REF!</f>
        <v>#REF!</v>
      </c>
      <c r="F8" s="141" t="e">
        <f>+#REF!-bq!F7+#REF!</f>
        <v>#REF!</v>
      </c>
      <c r="G8" s="141" t="e">
        <f>+#REF!-bq!G7+#REF!</f>
        <v>#REF!</v>
      </c>
      <c r="H8" s="108" t="e">
        <f>SUM(E8:G8)</f>
        <v>#REF!</v>
      </c>
    </row>
    <row r="9" spans="3:9" x14ac:dyDescent="0.2">
      <c r="E9" s="137">
        <f>+E5/$H$5</f>
        <v>9.3700263765495284E-2</v>
      </c>
      <c r="F9" s="137">
        <f>+F5/$H$5</f>
        <v>0.39527463741584534</v>
      </c>
      <c r="G9" s="137">
        <f>+G5/$H$5</f>
        <v>0.51102509881865932</v>
      </c>
      <c r="H9" s="136">
        <f>SUM(E9:G9)</f>
        <v>1</v>
      </c>
    </row>
    <row r="10" spans="3:9" x14ac:dyDescent="0.2">
      <c r="E10" s="137" t="e">
        <f>+E6/($H$6-$D$6)</f>
        <v>#REF!</v>
      </c>
      <c r="F10" s="137" t="e">
        <f>+F6/($H$6-$D$6)</f>
        <v>#REF!</v>
      </c>
      <c r="G10" s="137" t="e">
        <f>+G6/($H$6-$D$6)</f>
        <v>#REF!</v>
      </c>
      <c r="H10" s="136" t="e">
        <f>SUM(E10:G10)</f>
        <v>#REF!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F33"/>
  <sheetViews>
    <sheetView workbookViewId="0">
      <selection activeCell="AB16" sqref="AB16"/>
    </sheetView>
  </sheetViews>
  <sheetFormatPr baseColWidth="10" defaultColWidth="11.42578125" defaultRowHeight="12.75" x14ac:dyDescent="0.2"/>
  <cols>
    <col min="3" max="3" width="58" bestFit="1" customWidth="1"/>
    <col min="4" max="4" width="12.85546875" style="131" bestFit="1" customWidth="1"/>
    <col min="5" max="6" width="14.42578125" style="131" bestFit="1" customWidth="1"/>
  </cols>
  <sheetData>
    <row r="2" spans="2:6" ht="38.25" x14ac:dyDescent="0.2">
      <c r="C2" s="153" t="s">
        <v>30</v>
      </c>
      <c r="D2" s="154" t="s">
        <v>380</v>
      </c>
      <c r="E2" s="154" t="s">
        <v>381</v>
      </c>
      <c r="F2" s="154" t="s">
        <v>382</v>
      </c>
    </row>
    <row r="3" spans="2:6" x14ac:dyDescent="0.2">
      <c r="B3" s="146" t="s">
        <v>190</v>
      </c>
      <c r="C3" s="158" t="s">
        <v>104</v>
      </c>
      <c r="D3" s="131" t="e">
        <f>VLOOKUP(B3,#REF!,24,FALSE)+VLOOKUP(B3,#REF!,25,FALSE)+VLOOKUP(B3,#REF!,26,FALSE)+VLOOKUP(B3,#REF!,28,FALSE)+VLOOKUP(B3,#REF!,29,FALSE)</f>
        <v>#REF!</v>
      </c>
      <c r="E3" s="131" t="e">
        <f t="shared" ref="E3:E27" si="0">+F3-D3</f>
        <v>#REF!</v>
      </c>
      <c r="F3" s="131" t="e">
        <f>VLOOKUP(B3,#REF!,34,FALSE)</f>
        <v>#REF!</v>
      </c>
    </row>
    <row r="4" spans="2:6" x14ac:dyDescent="0.2">
      <c r="B4" s="146" t="s">
        <v>270</v>
      </c>
      <c r="C4" s="146" t="s">
        <v>106</v>
      </c>
      <c r="D4" s="131" t="e">
        <f>VLOOKUP(B4,#REF!,24,FALSE)+VLOOKUP(B4,#REF!,25,FALSE)+VLOOKUP(B4,#REF!,26,FALSE)+VLOOKUP(B4,#REF!,28,FALSE)+VLOOKUP(B4,#REF!,29,FALSE)</f>
        <v>#REF!</v>
      </c>
      <c r="E4" s="131" t="e">
        <f t="shared" si="0"/>
        <v>#REF!</v>
      </c>
      <c r="F4" s="131" t="e">
        <f>VLOOKUP(B4,#REF!,34,FALSE)</f>
        <v>#REF!</v>
      </c>
    </row>
    <row r="5" spans="2:6" x14ac:dyDescent="0.2">
      <c r="B5" s="146" t="s">
        <v>265</v>
      </c>
      <c r="C5" s="146" t="s">
        <v>266</v>
      </c>
      <c r="D5" s="131" t="e">
        <f>VLOOKUP(B5,#REF!,24,FALSE)+VLOOKUP(B5,#REF!,25,FALSE)+VLOOKUP(B5,#REF!,26,FALSE)+VLOOKUP(B5,#REF!,28,FALSE)+VLOOKUP(B5,#REF!,29,FALSE)</f>
        <v>#REF!</v>
      </c>
      <c r="E5" s="131" t="e">
        <f t="shared" si="0"/>
        <v>#REF!</v>
      </c>
      <c r="F5" s="131" t="e">
        <f>VLOOKUP(B5,#REF!,34,FALSE)</f>
        <v>#REF!</v>
      </c>
    </row>
    <row r="6" spans="2:6" x14ac:dyDescent="0.2">
      <c r="B6" s="146" t="s">
        <v>85</v>
      </c>
      <c r="C6" s="146" t="s">
        <v>86</v>
      </c>
      <c r="D6" s="131" t="e">
        <f>VLOOKUP(B6,#REF!,24,FALSE)+VLOOKUP(B6,#REF!,25,FALSE)+VLOOKUP(B6,#REF!,26,FALSE)+VLOOKUP(B6,#REF!,28,FALSE)+VLOOKUP(B6,#REF!,29,FALSE)</f>
        <v>#REF!</v>
      </c>
      <c r="E6" s="131" t="e">
        <f t="shared" si="0"/>
        <v>#REF!</v>
      </c>
      <c r="F6" s="131" t="e">
        <f>VLOOKUP(B6,#REF!,34,FALSE)</f>
        <v>#REF!</v>
      </c>
    </row>
    <row r="7" spans="2:6" x14ac:dyDescent="0.2">
      <c r="B7" s="147" t="s">
        <v>281</v>
      </c>
      <c r="C7" s="147" t="s">
        <v>383</v>
      </c>
      <c r="D7" s="131" t="e">
        <f>VLOOKUP(B7,#REF!,24,FALSE)+VLOOKUP(B7,#REF!,25,FALSE)+VLOOKUP(B7,#REF!,26,FALSE)+VLOOKUP(B7,#REF!,28,FALSE)+VLOOKUP(B7,#REF!,29,FALSE)</f>
        <v>#REF!</v>
      </c>
      <c r="E7" s="131" t="e">
        <f t="shared" si="0"/>
        <v>#REF!</v>
      </c>
      <c r="F7" s="131" t="e">
        <f>VLOOKUP(B7,#REF!,34,FALSE)</f>
        <v>#REF!</v>
      </c>
    </row>
    <row r="8" spans="2:6" x14ac:dyDescent="0.2">
      <c r="B8" s="147" t="s">
        <v>283</v>
      </c>
      <c r="C8" s="147" t="s">
        <v>384</v>
      </c>
      <c r="D8" s="131" t="e">
        <f>VLOOKUP(B8,#REF!,24,FALSE)+VLOOKUP(B8,#REF!,25,FALSE)+VLOOKUP(B8,#REF!,26,FALSE)+VLOOKUP(B8,#REF!,28,FALSE)+VLOOKUP(B8,#REF!,29,FALSE)</f>
        <v>#REF!</v>
      </c>
      <c r="E8" s="131" t="e">
        <f t="shared" si="0"/>
        <v>#REF!</v>
      </c>
      <c r="F8" s="131" t="e">
        <f>VLOOKUP(B8,#REF!,34,FALSE)</f>
        <v>#REF!</v>
      </c>
    </row>
    <row r="9" spans="2:6" x14ac:dyDescent="0.2">
      <c r="B9" s="145" t="s">
        <v>250</v>
      </c>
      <c r="C9" s="145" t="s">
        <v>251</v>
      </c>
      <c r="D9" s="131" t="e">
        <f>VLOOKUP(B9,#REF!,24,FALSE)+VLOOKUP(B9,#REF!,25,FALSE)+VLOOKUP(B9,#REF!,26,FALSE)+VLOOKUP(B9,#REF!,28,FALSE)+VLOOKUP(B9,#REF!,29,FALSE)</f>
        <v>#REF!</v>
      </c>
      <c r="E9" s="131" t="e">
        <f t="shared" si="0"/>
        <v>#REF!</v>
      </c>
      <c r="F9" s="131" t="e">
        <f>VLOOKUP(B9,#REF!,34,FALSE)</f>
        <v>#REF!</v>
      </c>
    </row>
    <row r="10" spans="2:6" x14ac:dyDescent="0.2">
      <c r="B10" s="146" t="s">
        <v>277</v>
      </c>
      <c r="C10" s="146" t="s">
        <v>278</v>
      </c>
      <c r="D10" s="131" t="e">
        <f>VLOOKUP(B10,#REF!,24,FALSE)+VLOOKUP(B10,#REF!,25,FALSE)+VLOOKUP(B10,#REF!,26,FALSE)+VLOOKUP(B10,#REF!,28,FALSE)+VLOOKUP(B10,#REF!,29,FALSE)</f>
        <v>#REF!</v>
      </c>
      <c r="E10" s="131" t="e">
        <f t="shared" si="0"/>
        <v>#REF!</v>
      </c>
      <c r="F10" s="131" t="e">
        <f>VLOOKUP(B10,#REF!,34,FALSE)</f>
        <v>#REF!</v>
      </c>
    </row>
    <row r="11" spans="2:6" x14ac:dyDescent="0.2">
      <c r="B11" s="145" t="s">
        <v>252</v>
      </c>
      <c r="C11" s="145" t="s">
        <v>253</v>
      </c>
      <c r="D11" s="131" t="e">
        <f>VLOOKUP(B11,#REF!,24,FALSE)+VLOOKUP(B11,#REF!,25,FALSE)+VLOOKUP(B11,#REF!,26,FALSE)+VLOOKUP(B11,#REF!,28,FALSE)+VLOOKUP(B11,#REF!,29,FALSE)</f>
        <v>#REF!</v>
      </c>
      <c r="E11" s="131" t="e">
        <f t="shared" si="0"/>
        <v>#REF!</v>
      </c>
      <c r="F11" s="131" t="e">
        <f>VLOOKUP(B11,#REF!,34,FALSE)</f>
        <v>#REF!</v>
      </c>
    </row>
    <row r="12" spans="2:6" x14ac:dyDescent="0.2">
      <c r="B12" s="146" t="s">
        <v>257</v>
      </c>
      <c r="C12" s="146" t="s">
        <v>258</v>
      </c>
      <c r="D12" s="131" t="e">
        <f>VLOOKUP(B12,#REF!,24,FALSE)+VLOOKUP(B12,#REF!,25,FALSE)+VLOOKUP(B12,#REF!,26,FALSE)+VLOOKUP(B12,#REF!,28,FALSE)+VLOOKUP(B12,#REF!,29,FALSE)</f>
        <v>#REF!</v>
      </c>
      <c r="E12" s="131" t="e">
        <f t="shared" si="0"/>
        <v>#REF!</v>
      </c>
      <c r="F12" s="131" t="e">
        <f>VLOOKUP(B12,#REF!,34,FALSE)</f>
        <v>#REF!</v>
      </c>
    </row>
    <row r="13" spans="2:6" x14ac:dyDescent="0.2">
      <c r="B13" s="146" t="s">
        <v>272</v>
      </c>
      <c r="C13" s="146" t="s">
        <v>86</v>
      </c>
      <c r="D13" s="131" t="e">
        <f>VLOOKUP(B13,#REF!,24,FALSE)+VLOOKUP(B13,#REF!,25,FALSE)+VLOOKUP(B13,#REF!,26,FALSE)+VLOOKUP(B13,#REF!,28,FALSE)+VLOOKUP(B13,#REF!,29,FALSE)</f>
        <v>#REF!</v>
      </c>
      <c r="E13" s="131" t="e">
        <f t="shared" si="0"/>
        <v>#REF!</v>
      </c>
      <c r="F13" s="131" t="e">
        <f>VLOOKUP(B13,#REF!,34,FALSE)</f>
        <v>#REF!</v>
      </c>
    </row>
    <row r="14" spans="2:6" x14ac:dyDescent="0.2">
      <c r="B14" s="147" t="s">
        <v>261</v>
      </c>
      <c r="C14" s="147" t="s">
        <v>385</v>
      </c>
      <c r="D14" s="131" t="e">
        <f>VLOOKUP(B14,#REF!,24,FALSE)+VLOOKUP(B14,#REF!,25,FALSE)+VLOOKUP(B14,#REF!,26,FALSE)+VLOOKUP(B14,#REF!,28,FALSE)+VLOOKUP(B14,#REF!,29,FALSE)</f>
        <v>#REF!</v>
      </c>
      <c r="E14" s="131" t="e">
        <f t="shared" si="0"/>
        <v>#REF!</v>
      </c>
      <c r="F14" s="131" t="e">
        <f>VLOOKUP(B14,#REF!,34,FALSE)</f>
        <v>#REF!</v>
      </c>
    </row>
    <row r="15" spans="2:6" x14ac:dyDescent="0.2">
      <c r="B15" s="145" t="s">
        <v>244</v>
      </c>
      <c r="C15" s="145" t="s">
        <v>245</v>
      </c>
      <c r="D15" s="131" t="e">
        <f>VLOOKUP(B15,#REF!,24,FALSE)+VLOOKUP(B15,#REF!,25,FALSE)+VLOOKUP(B15,#REF!,26,FALSE)+VLOOKUP(B15,#REF!,28,FALSE)+VLOOKUP(B15,#REF!,29,FALSE)</f>
        <v>#REF!</v>
      </c>
      <c r="E15" s="131" t="e">
        <f t="shared" si="0"/>
        <v>#REF!</v>
      </c>
      <c r="F15" s="131" t="e">
        <f>VLOOKUP(B15,#REF!,34,FALSE)</f>
        <v>#REF!</v>
      </c>
    </row>
    <row r="16" spans="2:6" x14ac:dyDescent="0.2">
      <c r="B16" s="146" t="s">
        <v>275</v>
      </c>
      <c r="C16" s="146" t="s">
        <v>276</v>
      </c>
      <c r="D16" s="131" t="e">
        <f>VLOOKUP(B16,#REF!,24,FALSE)+VLOOKUP(B16,#REF!,25,FALSE)+VLOOKUP(B16,#REF!,26,FALSE)+VLOOKUP(B16,#REF!,28,FALSE)+VLOOKUP(B16,#REF!,29,FALSE)</f>
        <v>#REF!</v>
      </c>
      <c r="E16" s="131" t="e">
        <f t="shared" si="0"/>
        <v>#REF!</v>
      </c>
      <c r="F16" s="131" t="e">
        <f>VLOOKUP(B16,#REF!,34,FALSE)</f>
        <v>#REF!</v>
      </c>
    </row>
    <row r="17" spans="2:6" x14ac:dyDescent="0.2">
      <c r="B17" s="145" t="s">
        <v>19</v>
      </c>
      <c r="C17" s="145" t="s">
        <v>254</v>
      </c>
      <c r="D17" s="131" t="e">
        <f>VLOOKUP(B17,#REF!,24,FALSE)+VLOOKUP(B17,#REF!,25,FALSE)+VLOOKUP(B17,#REF!,26,FALSE)+VLOOKUP(B17,#REF!,28,FALSE)+VLOOKUP(B17,#REF!,29,FALSE)</f>
        <v>#REF!</v>
      </c>
      <c r="E17" s="131" t="e">
        <f t="shared" si="0"/>
        <v>#REF!</v>
      </c>
      <c r="F17" s="131" t="e">
        <f>VLOOKUP(B17,#REF!,34,FALSE)</f>
        <v>#REF!</v>
      </c>
    </row>
    <row r="18" spans="2:6" x14ac:dyDescent="0.2">
      <c r="B18" s="146" t="s">
        <v>273</v>
      </c>
      <c r="C18" s="146" t="s">
        <v>386</v>
      </c>
      <c r="D18" s="131" t="e">
        <f>VLOOKUP(B18,#REF!,24,FALSE)+VLOOKUP(B18,#REF!,25,FALSE)+VLOOKUP(B18,#REF!,26,FALSE)+VLOOKUP(B18,#REF!,28,FALSE)+VLOOKUP(B18,#REF!,29,FALSE)</f>
        <v>#REF!</v>
      </c>
      <c r="E18" s="131" t="e">
        <f t="shared" si="0"/>
        <v>#REF!</v>
      </c>
      <c r="F18" s="131" t="e">
        <f>VLOOKUP(B18,#REF!,34,FALSE)</f>
        <v>#REF!</v>
      </c>
    </row>
    <row r="19" spans="2:6" x14ac:dyDescent="0.2">
      <c r="B19" s="146" t="s">
        <v>279</v>
      </c>
      <c r="C19" s="146" t="s">
        <v>387</v>
      </c>
      <c r="D19" s="131" t="e">
        <f>VLOOKUP(B19,#REF!,24,FALSE)+VLOOKUP(B19,#REF!,25,FALSE)+VLOOKUP(B19,#REF!,26,FALSE)+VLOOKUP(B19,#REF!,28,FALSE)+VLOOKUP(B19,#REF!,29,FALSE)</f>
        <v>#REF!</v>
      </c>
      <c r="E19" s="131" t="e">
        <f t="shared" si="0"/>
        <v>#REF!</v>
      </c>
      <c r="F19" s="131" t="e">
        <f>VLOOKUP(B19,#REF!,34,FALSE)</f>
        <v>#REF!</v>
      </c>
    </row>
    <row r="20" spans="2:6" x14ac:dyDescent="0.2">
      <c r="B20" s="147" t="s">
        <v>269</v>
      </c>
      <c r="C20" s="147" t="s">
        <v>162</v>
      </c>
      <c r="D20" s="131" t="e">
        <f>VLOOKUP(B20,#REF!,24,FALSE)+VLOOKUP(B20,#REF!,25,FALSE)+VLOOKUP(B20,#REF!,26,FALSE)+VLOOKUP(B20,#REF!,28,FALSE)+VLOOKUP(B20,#REF!,29,FALSE)</f>
        <v>#REF!</v>
      </c>
      <c r="E20" s="131" t="e">
        <f t="shared" si="0"/>
        <v>#REF!</v>
      </c>
      <c r="F20" s="131" t="e">
        <f>VLOOKUP(B20,#REF!,34,FALSE)</f>
        <v>#REF!</v>
      </c>
    </row>
    <row r="21" spans="2:6" x14ac:dyDescent="0.2">
      <c r="B21" s="151" t="s">
        <v>78</v>
      </c>
      <c r="C21" s="151" t="s">
        <v>79</v>
      </c>
      <c r="D21" s="131" t="e">
        <f>VLOOKUP(B21,#REF!,24,FALSE)+VLOOKUP(B21,#REF!,25,FALSE)+VLOOKUP(B21,#REF!,26,FALSE)+VLOOKUP(B21,#REF!,28,FALSE)+VLOOKUP(B21,#REF!,29,FALSE)</f>
        <v>#REF!</v>
      </c>
      <c r="E21" s="131" t="e">
        <f t="shared" si="0"/>
        <v>#REF!</v>
      </c>
      <c r="F21" s="131" t="e">
        <f>VLOOKUP(B21,#REF!,34,FALSE)</f>
        <v>#REF!</v>
      </c>
    </row>
    <row r="22" spans="2:6" x14ac:dyDescent="0.2">
      <c r="B22" s="147" t="s">
        <v>263</v>
      </c>
      <c r="C22" s="147" t="s">
        <v>90</v>
      </c>
      <c r="D22" s="131" t="e">
        <f>VLOOKUP(B22,#REF!,24,FALSE)+VLOOKUP(B22,#REF!,25,FALSE)+VLOOKUP(B22,#REF!,26,FALSE)+VLOOKUP(B22,#REF!,28,FALSE)+VLOOKUP(B22,#REF!,29,FALSE)</f>
        <v>#REF!</v>
      </c>
      <c r="E22" s="131" t="e">
        <f t="shared" si="0"/>
        <v>#REF!</v>
      </c>
      <c r="F22" s="131" t="e">
        <f>VLOOKUP(B22,#REF!,34,FALSE)</f>
        <v>#REF!</v>
      </c>
    </row>
    <row r="23" spans="2:6" x14ac:dyDescent="0.2">
      <c r="B23" s="146" t="s">
        <v>267</v>
      </c>
      <c r="C23" s="146" t="s">
        <v>268</v>
      </c>
      <c r="D23" s="131" t="e">
        <f>VLOOKUP(B23,#REF!,24,FALSE)+VLOOKUP(B23,#REF!,25,FALSE)+VLOOKUP(B23,#REF!,26,FALSE)+VLOOKUP(B23,#REF!,28,FALSE)+VLOOKUP(B23,#REF!,29,FALSE)</f>
        <v>#REF!</v>
      </c>
      <c r="E23" s="131" t="e">
        <f t="shared" si="0"/>
        <v>#REF!</v>
      </c>
      <c r="F23" s="131" t="e">
        <f>VLOOKUP(B23,#REF!,34,FALSE)</f>
        <v>#REF!</v>
      </c>
    </row>
    <row r="24" spans="2:6" x14ac:dyDescent="0.2">
      <c r="B24" s="157" t="s">
        <v>255</v>
      </c>
      <c r="C24" s="145" t="s">
        <v>256</v>
      </c>
      <c r="D24" s="131" t="e">
        <f>VLOOKUP(B24,#REF!,24,FALSE)+VLOOKUP(B24,#REF!,25,FALSE)+VLOOKUP(B24,#REF!,26,FALSE)+VLOOKUP(B24,#REF!,28,FALSE)+VLOOKUP(B24,#REF!,29,FALSE)</f>
        <v>#REF!</v>
      </c>
      <c r="E24" s="131" t="e">
        <f t="shared" si="0"/>
        <v>#REF!</v>
      </c>
      <c r="F24" s="131" t="e">
        <f>VLOOKUP(B24,#REF!,34,FALSE)</f>
        <v>#REF!</v>
      </c>
    </row>
    <row r="25" spans="2:6" x14ac:dyDescent="0.2">
      <c r="B25" s="150" t="s">
        <v>114</v>
      </c>
      <c r="C25" s="150" t="s">
        <v>115</v>
      </c>
      <c r="D25" s="131" t="e">
        <f>VLOOKUP(B25,#REF!,24,FALSE)+VLOOKUP(B25,#REF!,25,FALSE)+VLOOKUP(B25,#REF!,26,FALSE)+VLOOKUP(B25,#REF!,28,FALSE)+VLOOKUP(B25,#REF!,29,FALSE)</f>
        <v>#REF!</v>
      </c>
      <c r="E25" s="131" t="e">
        <f t="shared" si="0"/>
        <v>#REF!</v>
      </c>
      <c r="F25" s="131" t="e">
        <f>VLOOKUP(B25,#REF!,34,FALSE)</f>
        <v>#REF!</v>
      </c>
    </row>
    <row r="26" spans="2:6" x14ac:dyDescent="0.2">
      <c r="B26" s="145" t="s">
        <v>259</v>
      </c>
      <c r="C26" s="145" t="s">
        <v>260</v>
      </c>
      <c r="D26" s="131" t="e">
        <f>VLOOKUP(B26,#REF!,24,FALSE)+VLOOKUP(B26,#REF!,25,FALSE)+VLOOKUP(B26,#REF!,26,FALSE)+VLOOKUP(B26,#REF!,28,FALSE)+VLOOKUP(B26,#REF!,29,FALSE)</f>
        <v>#REF!</v>
      </c>
      <c r="E26" s="131" t="e">
        <f t="shared" si="0"/>
        <v>#REF!</v>
      </c>
      <c r="F26" s="131" t="e">
        <f>VLOOKUP(B26,#REF!,34,FALSE)</f>
        <v>#REF!</v>
      </c>
    </row>
    <row r="27" spans="2:6" x14ac:dyDescent="0.2">
      <c r="B27" s="145" t="s">
        <v>247</v>
      </c>
      <c r="C27" s="145" t="s">
        <v>248</v>
      </c>
      <c r="D27" s="131" t="e">
        <f>VLOOKUP(B27,#REF!,24,FALSE)+VLOOKUP(B27,#REF!,25,FALSE)+VLOOKUP(B27,#REF!,26,FALSE)+VLOOKUP(B27,#REF!,28,FALSE)+VLOOKUP(B27,#REF!,29,FALSE)</f>
        <v>#REF!</v>
      </c>
      <c r="E27" s="131" t="e">
        <f t="shared" si="0"/>
        <v>#REF!</v>
      </c>
      <c r="F27" s="131" t="e">
        <f>VLOOKUP(B27,#REF!,34,FALSE)</f>
        <v>#REF!</v>
      </c>
    </row>
    <row r="28" spans="2:6" x14ac:dyDescent="0.2">
      <c r="D28" s="155" t="e">
        <f>SUM(D3:D27)</f>
        <v>#REF!</v>
      </c>
      <c r="E28" s="155" t="e">
        <f>SUM(E3:E27)</f>
        <v>#REF!</v>
      </c>
      <c r="F28" s="155" t="e">
        <f>SUM(F3:F27)</f>
        <v>#REF!</v>
      </c>
    </row>
    <row r="29" spans="2:6" x14ac:dyDescent="0.2">
      <c r="D29" s="131" t="e">
        <f>+D28-#REF!</f>
        <v>#REF!</v>
      </c>
      <c r="E29" s="131" t="e">
        <f>+E28-#REF!</f>
        <v>#REF!</v>
      </c>
      <c r="F29" s="131" t="e">
        <f>+F28-#REF!</f>
        <v>#REF!</v>
      </c>
    </row>
    <row r="32" spans="2:6" ht="38.25" x14ac:dyDescent="0.2">
      <c r="C32" s="153" t="s">
        <v>30</v>
      </c>
      <c r="D32" s="154" t="s">
        <v>380</v>
      </c>
      <c r="E32" s="154" t="s">
        <v>381</v>
      </c>
      <c r="F32" s="154" t="s">
        <v>382</v>
      </c>
    </row>
    <row r="33" spans="3:6" x14ac:dyDescent="0.2">
      <c r="C33" s="152" t="s">
        <v>388</v>
      </c>
      <c r="D33" s="156" t="e">
        <f>+D28</f>
        <v>#REF!</v>
      </c>
      <c r="E33" s="156" t="e">
        <f>+E28</f>
        <v>#REF!</v>
      </c>
      <c r="F33" s="156" t="e">
        <f>+F28</f>
        <v>#REF!</v>
      </c>
    </row>
  </sheetData>
  <sortState xmlns:xlrd2="http://schemas.microsoft.com/office/spreadsheetml/2017/richdata2" ref="B3:F27">
    <sortCondition ref="F3:F2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18C5883241034ABCE1D0AB21D7D223" ma:contentTypeVersion="14" ma:contentTypeDescription="Crea un document nou" ma:contentTypeScope="" ma:versionID="4516095a0665d63d5838f109bcd373dd">
  <xsd:schema xmlns:xsd="http://www.w3.org/2001/XMLSchema" xmlns:xs="http://www.w3.org/2001/XMLSchema" xmlns:p="http://schemas.microsoft.com/office/2006/metadata/properties" xmlns:ns2="995ca286-a6c8-434d-8297-fb350131c1ee" xmlns:ns3="67450163-4f28-4f2e-9d6c-fa741114e0e7" targetNamespace="http://schemas.microsoft.com/office/2006/metadata/properties" ma:root="true" ma:fieldsID="6bc5c061fa6f2ce8eb1b65915775e29b" ns2:_="" ns3:_="">
    <xsd:import namespace="995ca286-a6c8-434d-8297-fb350131c1ee"/>
    <xsd:import namespace="67450163-4f28-4f2e-9d6c-fa741114e0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a286-a6c8-434d-8297-fb350131c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93c5be41-a6aa-483d-a0c8-f4c5ef9c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50163-4f28-4f2e-9d6c-fa741114e0e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559adc4-3133-4b3b-91b7-dc33e0f020b2}" ma:internalName="TaxCatchAll" ma:showField="CatchAllData" ma:web="67450163-4f28-4f2e-9d6c-fa741114e0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450163-4f28-4f2e-9d6c-fa741114e0e7" xsi:nil="true"/>
    <lcf76f155ced4ddcb4097134ff3c332f xmlns="995ca286-a6c8-434d-8297-fb350131c1e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E6E493-3ABE-4B05-A6D6-AE349511942A}"/>
</file>

<file path=customXml/itemProps2.xml><?xml version="1.0" encoding="utf-8"?>
<ds:datastoreItem xmlns:ds="http://schemas.openxmlformats.org/officeDocument/2006/customXml" ds:itemID="{4195F293-9104-4DB6-9B9F-BDE5014CB71C}"/>
</file>

<file path=customXml/itemProps3.xml><?xml version="1.0" encoding="utf-8"?>
<ds:datastoreItem xmlns:ds="http://schemas.openxmlformats.org/officeDocument/2006/customXml" ds:itemID="{1121C612-CF49-4B56-89ED-06854A701A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estalvis concursos</vt:lpstr>
      <vt:lpstr>PO cgcs_llistat BO</vt:lpstr>
      <vt:lpstr>resum PO 30,09</vt:lpstr>
      <vt:lpstr>PO FEBRER 2025</vt:lpstr>
      <vt:lpstr>PO 1018 SAP HCB</vt:lpstr>
      <vt:lpstr>PO 1018 SAP CGCS</vt:lpstr>
      <vt:lpstr>bq</vt:lpstr>
      <vt:lpstr>Resum per projecte</vt:lpstr>
      <vt:lpstr>'PO cgcs_llistat BO'!Área_de_impresión</vt:lpstr>
      <vt:lpstr>'PO FEBRER 2025'!Área_de_impresión</vt:lpstr>
      <vt:lpstr>'resum PO 30,09'!Área_de_impresión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>ROMERA, JOSEP MARIA (DIR.EC.)</cp:lastModifiedBy>
  <cp:revision/>
  <dcterms:created xsi:type="dcterms:W3CDTF">2010-03-23T10:34:53Z</dcterms:created>
  <dcterms:modified xsi:type="dcterms:W3CDTF">2025-03-25T15:27:50Z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0x010100D418C5883241034ABCE1D0AB21D7D223</vt:lpwstr>
  </property>
</Properties>
</file>