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<sst xmlns="http://schemas.openxmlformats.org/spreadsheetml/2006/main" count="791" uniqueCount="791">
  <si>
    <t xml:space="preserve">Obra:</t>
  </si>
  <si>
    <t xml:space="preserve">Projecte executiu d'obres de reforma per a la creació de dues aules a la Biblioteca de la facultat de Veterinària de la UAB</t>
  </si>
  <si>
    <t xml:space="preserve">Pressupost</t>
  </si>
  <si>
    <t xml:space="preserve">% C.I.</t>
  </si>
  <si>
    <t xml:space="preserve">Codi</t>
  </si>
  <si>
    <t xml:space="preserve">Tipus</t>
  </si>
  <si>
    <t xml:space="preserve">U</t>
  </si>
  <si>
    <t xml:space="preserve">Resum</t>
  </si>
  <si>
    <t xml:space="preserve">Quantitat</t>
  </si>
  <si>
    <t xml:space="preserve">Preu (€)</t>
  </si>
  <si>
    <t xml:space="preserve">Import (€)</t>
  </si>
  <si>
    <t xml:space="preserve">PRESSUPOST UAB BIBLIOTECA VETERIANARIA_EXECUTIU_NET</t>
  </si>
  <si>
    <t xml:space="preserve">Capítol</t>
  </si>
  <si>
    <t xml:space="preserve">Projecte executiu d'obres de reforma per a la creació de dues aules a la Biblioteca de la facultat de Veterinària de la UAB</t>
  </si>
  <si>
    <t xml:space="preserve">01.00</t>
  </si>
  <si>
    <t xml:space="preserve">Capítol</t>
  </si>
  <si>
    <t xml:space="preserve">TREBALLS PREVIS</t>
  </si>
  <si>
    <t xml:space="preserve">P1541-EQFG</t>
  </si>
  <si>
    <t xml:space="preserve">Partida</t>
  </si>
  <si>
    <t xml:space="preserve">u</t>
  </si>
  <si>
    <t xml:space="preserve">Mampara plegable protecc.partíc.,tauler,h=2m,ampl.=3m,desm.</t>
  </si>
  <si>
    <t xml:space="preserve">Mampara plegable de protecció contra projecció de partícules de tauler de fusta amb acabat estratificat, d'alçària 2 m i amplària 3 m, i amb el desmuntatge inclòs</t>
  </si>
  <si>
    <t xml:space="preserve">P1D2-HA2M</t>
  </si>
  <si>
    <t xml:space="preserve">Partida</t>
  </si>
  <si>
    <t xml:space="preserve">m2</t>
  </si>
  <si>
    <t xml:space="preserve">Protec.pols/runa mobiliari + vel polietilè 0,25 mm + Cinta adhesiva p/làm.polietilè</t>
  </si>
  <si>
    <t xml:space="preserve">Protecció de la pols i la runa de mobiliari amb vel de polietilè, de 0,25 mm de gruix adherida amb Cinta adhesiva plàstica per a làmines de polietilè, inclòs fixada al parament mitjançant un bastiment</t>
  </si>
  <si>
    <t xml:space="preserve">01.00</t>
  </si>
  <si>
    <t xml:space="preserve">01.01</t>
  </si>
  <si>
    <t xml:space="preserve">Capítol</t>
  </si>
  <si>
    <t xml:space="preserve">ENDERROCS</t>
  </si>
  <si>
    <t xml:space="preserve">P21GA-CUNO</t>
  </si>
  <si>
    <t xml:space="preserve">Partida</t>
  </si>
  <si>
    <t xml:space="preserve">m2</t>
  </si>
  <si>
    <t xml:space="preserve">Arrencada cond.rectang.fibra,m.man.,càrr.man.</t>
  </si>
  <si>
    <t xml:space="preserve">Arrencada de conducte rectangular de fibra, muntat sobre suports, amb mitjans manuals i càrrega manual sobre camió o contenidor</t>
  </si>
  <si>
    <t xml:space="preserve">P21GA-CUND</t>
  </si>
  <si>
    <t xml:space="preserve">Partida</t>
  </si>
  <si>
    <t xml:space="preserve">m</t>
  </si>
  <si>
    <t xml:space="preserve">Arrencada cond.circ.metàl·lic D&lt;= 300mm,m.man.,càrr.man.</t>
  </si>
  <si>
    <t xml:space="preserve">Arrencada de conducte circular metàl·lic de diàmetre &lt;= 300 mm, muntat sobre suports, amb mitjans manuals i càrrega manual sobre camió o contenidor</t>
  </si>
  <si>
    <t xml:space="preserve">P124-H9AF</t>
  </si>
  <si>
    <t xml:space="preserve">Partida</t>
  </si>
  <si>
    <t xml:space="preserve">u</t>
  </si>
  <si>
    <t xml:space="preserve">Anul·lació i retirada d'instal·lació interior existent</t>
  </si>
  <si>
    <t xml:space="preserve">Anul·lació, desmantellament, adaptació i retirada després de identifiació de detall, de la part proporcional d'instal·lació elèctrica i de comunicacions existent afectades per l'actuació i obsoleta després dels treballs.
Criteri d'abonament: a preu íntegre</t>
  </si>
  <si>
    <t xml:space="preserve">P214I-AKZM</t>
  </si>
  <si>
    <t xml:space="preserve">Partida</t>
  </si>
  <si>
    <t xml:space="preserve">m2</t>
  </si>
  <si>
    <t xml:space="preserve">Enderroc cel ras+entram.sup.,m.manuals,càrr.man.</t>
  </si>
  <si>
    <t xml:space="preserve">Enderroc de cel ras i entramat de suport, amb mitjans manuals i càrrega manual sobre camió o contenidor</t>
  </si>
  <si>
    <t xml:space="preserve">P21GN-4RUK</t>
  </si>
  <si>
    <t xml:space="preserve">Partida</t>
  </si>
  <si>
    <t xml:space="preserve">u</t>
  </si>
  <si>
    <t xml:space="preserve">Arrencada llumenera int.superf.,h&lt;= 3m,m.man.,càrr.man.</t>
  </si>
  <si>
    <t xml:space="preserve">Arrencada de llumenera interior de superfície, a una alçària &lt;= 3 m, amb mitjans manuals i càrrega manual sobre camió o contenidor</t>
  </si>
  <si>
    <t xml:space="preserve">P21GL-HCXR</t>
  </si>
  <si>
    <t xml:space="preserve">Partida</t>
  </si>
  <si>
    <t xml:space="preserve">m</t>
  </si>
  <si>
    <t xml:space="preserve">Arrencada línea elèctrica superf.,10&lt;S=&lt;35mm2,m.a/mitj.manuals,càrr.manual</t>
  </si>
  <si>
    <t xml:space="preserve">Arrencada de línea elèctrica estesa sobre safates o canals, conductors de coure o alumini, amb aïllament i coberta o nus, unipolars o multipolars, de secció entre 10 mm2 i 35 mm2, amb mitjans manuals i càrrega manual de runa sobre camió o contenidor</t>
  </si>
  <si>
    <t xml:space="preserve">P221I-8GY6</t>
  </si>
  <si>
    <t xml:space="preserve">Partida</t>
  </si>
  <si>
    <t xml:space="preserve">m</t>
  </si>
  <si>
    <t xml:space="preserve">Excav.rasa instal.20x10cm m.man.,rebl.+compact. terres selec.excav. manuals</t>
  </si>
  <si>
    <t xml:space="preserve">Excavació de rasa per a pas d'instal·lacions de 20 cm d'amplària i 10 cm de fondària com a màximen paviment de morter i ceràmic, amb mitjans manuals i reblert i compactació amb morter, lliscat, execució amb mitjans manuals</t>
  </si>
  <si>
    <t xml:space="preserve">P214I-AKT1</t>
  </si>
  <si>
    <t xml:space="preserve">Partida</t>
  </si>
  <si>
    <t xml:space="preserve">u</t>
  </si>
  <si>
    <t xml:space="preserve">Transport manual de runa generada a l'obra per l'interior de l'edifici i càrrega manual sobre camió</t>
  </si>
  <si>
    <t xml:space="preserve">Transport manual de runa generada a l'obra per l'interior de l'edifici i càrrega manual sobre camió o contenidor</t>
  </si>
  <si>
    <t xml:space="preserve">01.01</t>
  </si>
  <si>
    <t xml:space="preserve">01.02</t>
  </si>
  <si>
    <t xml:space="preserve">Capítol</t>
  </si>
  <si>
    <t xml:space="preserve">GESTIÓ DE RESIDUS DE L'OBRA CIVIL</t>
  </si>
  <si>
    <t xml:space="preserve">P2R2-EU9P</t>
  </si>
  <si>
    <t xml:space="preserve">Partida</t>
  </si>
  <si>
    <t xml:space="preserve">m3</t>
  </si>
  <si>
    <t xml:space="preserve">Classif.obra residus construcció/demoliciós/construcció/demolició,m.man.</t>
  </si>
  <si>
    <t xml:space="preserve">Classificació a peu d'obra de residus de construcció o demolició en fraccions segons REAL DECRETO 105/2008, amb mitjans manuals</t>
  </si>
  <si>
    <t xml:space="preserve">P2R5-DT41</t>
  </si>
  <si>
    <t xml:space="preserve">Partida</t>
  </si>
  <si>
    <t xml:space="preserve">m3</t>
  </si>
  <si>
    <t xml:space="preserve">Transp.residus inerts o no especials,instal.gestió residus,contenidor 8m3</t>
  </si>
  <si>
    <t xml:space="preserve">Transport de residus inerts o no especials a instal·lació autoritzada de gestió de residus, amb contenidor de 8 m3 de capacitat</t>
  </si>
  <si>
    <t xml:space="preserve">P2RA-EU6C</t>
  </si>
  <si>
    <t xml:space="preserve">Partida</t>
  </si>
  <si>
    <t xml:space="preserve">m3</t>
  </si>
  <si>
    <t xml:space="preserve">Disposició controlada dipòsit autoritzat inclòs el cànon sobre la deposició controlada dels residus de la construcció, segons la LLEI 8/2008,,residus barrej. inerts,1t/m3,LER 17 01 07</t>
  </si>
  <si>
    <t xml:space="preserve">Disposició controlada en dipòsit autoritzat inclòs el cànon sobre la deposició controlada dels residus de la construcció, segons la LLEI 8/2008, de residus barrejats inerts amb una densitat 1 t/m3, procedents de construcció o demolició, amb codi 17 01 07 segons la Llista Europea de Residus</t>
  </si>
  <si>
    <t xml:space="preserve">01.02</t>
  </si>
  <si>
    <t xml:space="preserve">01.05</t>
  </si>
  <si>
    <t xml:space="preserve">Capítol</t>
  </si>
  <si>
    <t xml:space="preserve">TANCAMENTS I DIVISÒRIES</t>
  </si>
  <si>
    <t xml:space="preserve">P654-8MCA</t>
  </si>
  <si>
    <t xml:space="preserve">Partida</t>
  </si>
  <si>
    <t xml:space="preserve">m2</t>
  </si>
  <si>
    <t xml:space="preserve">Envà pl.guix lam.t+aïll.pl.llana roca,estruc.senzilla N78mm / 400mm(48mm),1xA(15mm)+MW-roca R &gt;=1,08</t>
  </si>
  <si>
    <t xml:space="preserve">Envà de plaques de guix laminat amb aïllament de plaques de llana de roca format per estructura senzilla normal amb perfileria de planxa d'acer galvanitzat, amb un gruix total de l'envà de 78 mm, muntants cada 400 mm de 48 mm d'amplària i canals de 48 mm d'amplària, 1 placa estàndard (A) de 15 mm de gruix en cada cara, fixades mecànicament i aïllament de plaques de llana mineral de roca de resistència tèrmica &gt;= 1,081 m2·K/W</t>
  </si>
  <si>
    <t xml:space="preserve">PAFA-7QXV</t>
  </si>
  <si>
    <t xml:space="preserve">Partida</t>
  </si>
  <si>
    <t xml:space="preserve">u</t>
  </si>
  <si>
    <t xml:space="preserve">Fulla fixa alumini lacat negre mat,trenc.pont tèrmic,100x275cm,preu alt,classif. 4 9A C4, vidre 5+5</t>
  </si>
  <si>
    <t xml:space="preserve">Fulla fixa d'alumini lacat negre mat, amb trencament de pont tèrmic, col·locada sense bastiment de base, per a un buit d'obra aproximat de 100x275 cm, elaborada amb perfils de preu alt, classificació mínima 4 de permeabilitat a l'aire segons UNE-EN 12207, classificació mínima 9A d'estanquitat a l'aigua segons UNE-EN 12208 i classificació mínima C4 de resistència al vent segons UNE-EN 12210, incloent vidre de seguretat 5+5. Acabats de perfileria i vidre similar a la preexistent.</t>
  </si>
  <si>
    <t xml:space="preserve">PAFA-7R06</t>
  </si>
  <si>
    <t xml:space="preserve">Partida</t>
  </si>
  <si>
    <t xml:space="preserve">u</t>
  </si>
  <si>
    <t xml:space="preserve">Fulla fixa alumini lacat negre mat,trenc.pont tèrmic,155x310cm,preu alt,classif. 4 9A C4, vidre 5+5</t>
  </si>
  <si>
    <t xml:space="preserve">Fulla fixa d'alumini lacat negre mat, amb trencament de pont tèrmic, col·locada sobre bastiment de base, per a un buit d'obra aproximat de 155x310 cm, elaborada amb perfils de preu alt, classificació mínima 4 de permeabilitat a l'aire segons UNE-EN 12207, classificació mínima 9A d'estanquitat a l'aigua segons UNE-EN 12208 i classificació mínima C4 de resistència al vent segons UNE-EN 12210, incloent vidre de seguretat 5+5. Acabats de perfileria i vidre similar a la preexistent.</t>
  </si>
  <si>
    <t xml:space="preserve">P660-73GB</t>
  </si>
  <si>
    <t xml:space="preserve">Partida</t>
  </si>
  <si>
    <t xml:space="preserve">m2</t>
  </si>
  <si>
    <t xml:space="preserve">Mampara modular,g=80mm,tauler part.aglom.fusta+vidre+melamina,simp. vidre 3+3mm,col.</t>
  </si>
  <si>
    <t xml:space="preserve">Mampara modular, igual o similar a l'existent en p.1, de 80 mm de gruix, formada per doble tauler de partícules aglomerades de fusta i vidre revestit amb melamina de 16 mm de gruix a la part inferior, i envidriament amb simple vidre laminar de seguretat de 5+5 de gruix, espai interior reblert de llana mineral de roca, sòcol inferior i remat superior d'alumini, amb sistema de suspensió sobre perfileria oculta d'alumini extrusionat i junts termoplàstics per al segellat dels vidres i del perímetre dels taulers, col·locada, inclou detall de tancament de remat i segellat contra finestra</t>
  </si>
  <si>
    <t xml:space="preserve">P663-AJHS</t>
  </si>
  <si>
    <t xml:space="preserve">Partida</t>
  </si>
  <si>
    <t xml:space="preserve">m2</t>
  </si>
  <si>
    <t xml:space="preserve">Mòdul porta vidre 1fulla bat.,g=10mm,82.5x210cm,+fre,+ferramenta,p/mampara mod.perf,alum.,col.</t>
  </si>
  <si>
    <t xml:space="preserve">Mòdul de porta, igual o similar a l'existent, de vidre d'una fulla batent de 10 mm de gruix i 82.5x210 cm de llum de pas, amb mecanisme de fre, inclosa la ferramenta, per a mampara modular amb perfils d'alumini i tauler doble de partícules aglomerades de fusta i vidre revestit amb melamina de 16mm de gruix a la parti inferior i envidrament amb simple vidre laminar 5+5, espai inferior reblert de llana de roca, sòcol inferior i remat superior d'alumini, amb sistema de suspensió sobre perfileria oculta, amb junts termoplàstics per al segellat dels vides i del perímetre dels taulers, col·locat</t>
  </si>
  <si>
    <t xml:space="preserve">P654-RE01</t>
  </si>
  <si>
    <t xml:space="preserve">Partida</t>
  </si>
  <si>
    <t xml:space="preserve">m2</t>
  </si>
  <si>
    <t xml:space="preserve">Partida d'aïllament acústic en tancament sobre separador de les sales</t>
  </si>
  <si>
    <t xml:space="preserve">Partida d'aïllament acústic en tancament sobre separador de les sales, material inclòs en partida d'envà i de fals sostre.</t>
  </si>
  <si>
    <t xml:space="preserve">P651-1111</t>
  </si>
  <si>
    <t xml:space="preserve">Partida</t>
  </si>
  <si>
    <t xml:space="preserve">u</t>
  </si>
  <si>
    <t xml:space="preserve">Suport universal de fusta de 40x30cm, per a reforç d'elements fixats a parament vertical de guix laminat, mitjançant reforç metàl·lic per a la correcte suportació</t>
  </si>
  <si>
    <t xml:space="preserve">Suport universal de fusta de 40x30cm, per a reforç d'elements fixats a parament vertical de guix laminat, mitjançant reforç de fusta per a la correcte suportació d'elements suspesos</t>
  </si>
  <si>
    <t xml:space="preserve">01.05</t>
  </si>
  <si>
    <t xml:space="preserve">01.06</t>
  </si>
  <si>
    <t xml:space="preserve">Capítol</t>
  </si>
  <si>
    <t xml:space="preserve">DIVISÒRIES PRACTICABLES</t>
  </si>
  <si>
    <t xml:space="preserve">PAM1-H96D</t>
  </si>
  <si>
    <t xml:space="preserve">Partida</t>
  </si>
  <si>
    <t xml:space="preserve">u</t>
  </si>
  <si>
    <t xml:space="preserve">Porta corredissa automàtica 2 fulles 270x309+2fix210x309 vidre 5+5</t>
  </si>
  <si>
    <t xml:space="preserve">Porta corredissa d'obertura automàtica, de dues fulles de 135x309cm, i 1 vidre lateal fix, de 150 fins a 210cm i x 309cm d'alt, amb vidres laminats 5+5 amb butiral transparent, sistema modular flexible, mini-mecanisme de comandament pre ensamblat i comprobat a fàbrica per fulles de fins a 2x100kg. Per amplades d'obertura entre 800 i 4000mm, Baixa sonoritat, carril de odadura reemplassable. Unitat de comandament multifuncional amb inversió automàtica, parada d'emergència, lectura i emmagatzematgge d'errors, bateria recarregable per obertura o tancament d'emergència i programador de 5 posicions electrònic (obert, tancat, automàtic, parcial, sols sortida). Complint amb les normes europees i les de seguretat (norma UNE EN 16005). Kit telescòpic de 2 fulles amb bloquejador. Perfil autoportant de 120x20x6mm, amb tubs laterals de subjecció d'alumini mateix color per la instal·lació sense estructura auxiliar. Detector de moviment amb funció de fotocèl·lula de 5 camps amb zona de seguretat de pas, i clau de 2 contactes de superfície per a obertura.</t>
  </si>
  <si>
    <t xml:space="preserve">PAN1-36XB</t>
  </si>
  <si>
    <t xml:space="preserve">Partida</t>
  </si>
  <si>
    <t xml:space="preserve">u</t>
  </si>
  <si>
    <t xml:space="preserve">Bast.envà armari fusta,p/llum bast.=80cmx275cm</t>
  </si>
  <si>
    <t xml:space="preserve">Bastiment de base d'envà per a armari amb travesser inferior, de fusta per a una llum de bastiment de 80 cm d'amplària i 275 cm d'alçària</t>
  </si>
  <si>
    <t xml:space="preserve">PAQ0-51NU</t>
  </si>
  <si>
    <t xml:space="preserve">Partida</t>
  </si>
  <si>
    <t xml:space="preserve">u</t>
  </si>
  <si>
    <t xml:space="preserve">2 fulles bat.armari,fusta 25mm,c.llises+int.cartró,40cmx275cm</t>
  </si>
  <si>
    <t xml:space="preserve">Conjunt de dues fulles batents per a portes d'armari, de fusta per a pintar, de 25 mm de gruix, de cares llises i estructura interior de cartró, de 40 cm d'amplària i 275 cm d'alçària</t>
  </si>
  <si>
    <t xml:space="preserve">PAZ7-4XIF</t>
  </si>
  <si>
    <t xml:space="preserve">Partida</t>
  </si>
  <si>
    <t xml:space="preserve">m</t>
  </si>
  <si>
    <t xml:space="preserve">Tapajunts fusta,sec.rectang.llisa,9mmx60mm</t>
  </si>
  <si>
    <t xml:space="preserve">Tapajunts de fusta per a pintar de secció rectangular llisa de 9 mm de gruix i de 60 mm d'amplària</t>
  </si>
  <si>
    <t xml:space="preserve">PAF9-5TE8</t>
  </si>
  <si>
    <t xml:space="preserve">Partida</t>
  </si>
  <si>
    <t xml:space="preserve">u</t>
  </si>
  <si>
    <t xml:space="preserve">Porta alumini lacat negre mat,2bat.,160x310cm,perf.preu alt,col.</t>
  </si>
  <si>
    <t xml:space="preserve">Porta d'alumini lacat negre mat, col·locada sobre bastiment de base, amb dues fulles batents, per a un buit d'obra aproximat de 160x310 cm, elaborada amb perfils de preu alt</t>
  </si>
  <si>
    <t xml:space="preserve">PC1H-5CWV</t>
  </si>
  <si>
    <t xml:space="preserve">Partida</t>
  </si>
  <si>
    <t xml:space="preserve">m2</t>
  </si>
  <si>
    <t xml:space="preserve">Vidre lam.seg. 2 llunes,5+5mm,1 butiral transparent, col.llistó vidre</t>
  </si>
  <si>
    <t xml:space="preserve">Vidre laminar de seguretat 2 llunes, amb acabat de lluna incolora, de 5+5 mm de gruix, amb 1 butiral transparent, classe 2 (B) 2 segons UNE-EN 12600, col·locat amb llistó de vidre sobre fusta, acer o alumini</t>
  </si>
  <si>
    <t xml:space="preserve">01.06</t>
  </si>
  <si>
    <t xml:space="preserve">01.07</t>
  </si>
  <si>
    <t xml:space="preserve">Capítol</t>
  </si>
  <si>
    <t xml:space="preserve">REVESTIMENTS I F/SOSTRES</t>
  </si>
  <si>
    <t xml:space="preserve">P815-3FND</t>
  </si>
  <si>
    <t xml:space="preserve">Partida</t>
  </si>
  <si>
    <t xml:space="preserve">m2</t>
  </si>
  <si>
    <t xml:space="preserve">Enguixat bona vista,horit.int.h&gt;3m,B1,lliscat C6</t>
  </si>
  <si>
    <t xml:space="preserve">Repasssos d'enguixat de sostre. Enguixat a bona vista sobre parament horitzontal interior, a més de 3,00 m d'alçària, amb guix B1, acabat lliscat amb guix C6 segons la norma UNE-EN 13279-1</t>
  </si>
  <si>
    <t xml:space="preserve">P84N-A82D</t>
  </si>
  <si>
    <t xml:space="preserve">Partida</t>
  </si>
  <si>
    <t xml:space="preserve">m2</t>
  </si>
  <si>
    <t xml:space="preserve">Formació calaix cel ras plaques guix laminat tipus A,g=12,5mm,col.+mestres</t>
  </si>
  <si>
    <t xml:space="preserve">Formació de calaix en cel ras amb plaques de guix laminat tipus estàndard (A) de 12,5 mm de gruix, col·locades amb perfileria de mestres fixades directament al sostre, per a una alçària de cel ras de 4 m com a màxim</t>
  </si>
  <si>
    <t xml:space="preserve">P846-9JO8</t>
  </si>
  <si>
    <t xml:space="preserve">Partida</t>
  </si>
  <si>
    <t xml:space="preserve">m2</t>
  </si>
  <si>
    <t xml:space="preserve">Cel ras continu PGL-A (12.5),entram. estruc.senzilla acer galv. perfils c/600mm +vareta de suspensió</t>
  </si>
  <si>
    <t xml:space="preserve">Cel ras continu de plaques de guix laminat tipus estàndard (A), per a revestir, de 12,5 mm de gruix i vora afinada (BA), amb entramat estructura senzilla d'acer galvanitzat format per perfils col·locats cada 600 mm fixats al sostre mitjançant vareta de suspensió cada 1,2 m, per a una alçària de cel ras de 4 m com a màxim</t>
  </si>
  <si>
    <t xml:space="preserve">P84J-9JRF</t>
  </si>
  <si>
    <t xml:space="preserve">Partida</t>
  </si>
  <si>
    <t xml:space="preserve">m2</t>
  </si>
  <si>
    <t xml:space="preserve">Cel ras regist.PGL acabat perfor. agrupades,600x600mm g=12,5mm, class.absor.acústica=D, sistema desm</t>
  </si>
  <si>
    <t xml:space="preserve">Cel ras registrable de plaques de guix laminat acabat amb perforacions agrupades, 600x 600 mm i 12,5 mm de gruix amb classe d'absorció acústica D segons la UNE-EN ISO 11654, sistema desmuntable amb estructura d'acer galvanitzat vist format per perfils principals amb forma de T invertida de 15 mm de base col·locats cada 1,2 m i fixats al sostre mitjançant vareta de suspensió cada 1,2 m, amb perfils secundaris col·locats formant retícula de 600x 600 mm, per a una alçària de cel ras de 4 m com a màxim</t>
  </si>
  <si>
    <t xml:space="preserve">P874-RE01</t>
  </si>
  <si>
    <t xml:space="preserve">Partida</t>
  </si>
  <si>
    <t xml:space="preserve">m2</t>
  </si>
  <si>
    <t xml:space="preserve">Reparació de cel ras per a pas d'instal·lacions d'electricitat</t>
  </si>
  <si>
    <t xml:space="preserve">Reparació de cel ras per a pas d'instal·lacions d'electricitat, mitjançant massilla i posterior pintat amb mitjans manuals, neteja i càrrega de runa sobre contenidor, acabat pintat de la zona afectada.</t>
  </si>
  <si>
    <t xml:space="preserve">P89I-4V8T</t>
  </si>
  <si>
    <t xml:space="preserve">Partida</t>
  </si>
  <si>
    <t xml:space="preserve">m2</t>
  </si>
  <si>
    <t xml:space="preserve">Pint.vert.guix,pintura plàstica llis+segelladora+2acab.</t>
  </si>
  <si>
    <t xml:space="preserve">Pintat de parament vertical de guix, amb pintura plàstica amb acabat llis, amb una capa segelladora i dues d'acabat</t>
  </si>
  <si>
    <t xml:space="preserve">P89I-4V8R</t>
  </si>
  <si>
    <t xml:space="preserve">Partida</t>
  </si>
  <si>
    <t xml:space="preserve">m2</t>
  </si>
  <si>
    <t xml:space="preserve">Pint.horitz.guix,pintura plàstica llis+segelladora+2acab.</t>
  </si>
  <si>
    <t xml:space="preserve">Pintat de parament horitzontal de guix, amb pintura plàstica amb acabat llis, amb una capa segelladora i dues d'acabat</t>
  </si>
  <si>
    <t xml:space="preserve">P89K-42YQ</t>
  </si>
  <si>
    <t xml:space="preserve">Partida</t>
  </si>
  <si>
    <t xml:space="preserve">m2</t>
  </si>
  <si>
    <t xml:space="preserve">Pintat vert.fusta,esmalt poliuretà,1protector+1segelladora+2acab.</t>
  </si>
  <si>
    <t xml:space="preserve">Pintat de parament vertical de fusta, a l'esmalt de poliuretà, amb una capa de protector químic insecticida-fungicida, una segelladora i dues d'acabat</t>
  </si>
  <si>
    <t xml:space="preserve">01.07</t>
  </si>
  <si>
    <t xml:space="preserve">01.08</t>
  </si>
  <si>
    <t xml:space="preserve">Capítol</t>
  </si>
  <si>
    <t xml:space="preserve">PAVIMENTS</t>
  </si>
  <si>
    <t xml:space="preserve">P9P7-8FA1</t>
  </si>
  <si>
    <t xml:space="preserve">Partida</t>
  </si>
  <si>
    <t xml:space="preserve">m2</t>
  </si>
  <si>
    <t xml:space="preserve">Aplicació d'una capa de pasta allisadora fins a 2mm, inclòs pont d'unió</t>
  </si>
  <si>
    <t xml:space="preserve">Aplicació prèvia a Linòleum d'una capa de pasta allisadora sobre terrazo existent de fins a 2mm, incloent pont d'unió per a subjecció del linóleum final</t>
  </si>
  <si>
    <t xml:space="preserve">P9P7-8FNF</t>
  </si>
  <si>
    <t xml:space="preserve">Partida</t>
  </si>
  <si>
    <t xml:space="preserve">m2</t>
  </si>
  <si>
    <t xml:space="preserve">Pav.linòleum rotlle,23-34-42,g=2,5mm,col.adhesiu/sold.en cal.</t>
  </si>
  <si>
    <t xml:space="preserve">Paviment de linòleum en rotlle classe 23-34-42 segons UNE-EN 548 i de gruix de 2,5 mm, col·locat amb adhesiu acrílic de dispersió aquosa i soldat en calent amb cordó cel·lular de diàmetre 4 mm _ model marmoleum marbled ´´serene grey´´ o similar en rotlle, amb resistència als àcids i productes de neteja segons EN ISO26987</t>
  </si>
  <si>
    <t xml:space="preserve">P9U3-6Y7X</t>
  </si>
  <si>
    <t xml:space="preserve">Partida</t>
  </si>
  <si>
    <t xml:space="preserve">m</t>
  </si>
  <si>
    <t xml:space="preserve">Sòcol alumini anoditzat,h=100mm,col.adhesiu</t>
  </si>
  <si>
    <t xml:space="preserve">Sòcol d'alumini anoditzat de 100 mm d'alçària, col·locat amb adhesiu</t>
  </si>
  <si>
    <t xml:space="preserve">P9Z1-CVR3</t>
  </si>
  <si>
    <t xml:space="preserve">Partida</t>
  </si>
  <si>
    <t xml:space="preserve">m</t>
  </si>
  <si>
    <t xml:space="preserve">Acabat junt pav.alumini,a=50mm,h=3mm,càrrega mitja,col.fix.mec.</t>
  </si>
  <si>
    <t xml:space="preserve">Acabat de junt de dilatació de paviment amb perfil d'alumini, de 50 mm d'amplària de màxima de junt, de 3 mm d'alçària de perfil i gruix màxim admisible de paviment, per a una càrrega mitja, col·locat fixacions mecàniques</t>
  </si>
  <si>
    <t xml:space="preserve">01.08</t>
  </si>
  <si>
    <t xml:space="preserve">01.09</t>
  </si>
  <si>
    <t xml:space="preserve">Capítol</t>
  </si>
  <si>
    <t xml:space="preserve">INSTAL·LACIONS</t>
  </si>
  <si>
    <t xml:space="preserve">01.09.01</t>
  </si>
  <si>
    <t xml:space="preserve">Capítol</t>
  </si>
  <si>
    <t xml:space="preserve">Climatització</t>
  </si>
  <si>
    <t xml:space="preserve">01.09.01.01</t>
  </si>
  <si>
    <t xml:space="preserve">Capítol</t>
  </si>
  <si>
    <t xml:space="preserve">Planta 1</t>
  </si>
  <si>
    <t xml:space="preserve">PEG2-CTMG</t>
  </si>
  <si>
    <t xml:space="preserve">Partida</t>
  </si>
  <si>
    <t xml:space="preserve">u</t>
  </si>
  <si>
    <t xml:space="preserve">Bomba de calor partida d'expansió directa per a conductes, potència frigorífica nominal de 6,8 kW, potència calorífica nominal de 7,5 kW, amb uns coeficients d'eficiència energètica estacionals SEER de 6.22 (A++) i SCOP de 4.2 (A+) segons REGLAMENTO (UE) 626/2011, alimentació elèctrica monofàsica de 230 V, gas refrigerant R-32</t>
  </si>
  <si>
    <t xml:space="preserve">Bomba de calor partida d'expansió directa per a conductes, potència frigorífica nominal de 6,8 kW, potència calorífica nominal de 7,5 kW, amb uns coeficients d'eficiència energètica estacionals SEER de 6.22 (A++) i SCOP de 4.2 (A+) segons REGLAMENTO (UE) 626/2011, alimentació elèctrica monofàsica de 230 V, gas refrigerant R-32, col.locada.
Unitat interior:
Dimensions (altxamplexllarg): 245x1.000x800mm
Pes: 35kg
Unitat exterior:
Dimensions (altxamplexllarg): 870x1.100x460mm
Pes: 81kg
Unitat exterior muntada a la coberta de l'edifici, inclou bancada i elements de suport, connectada  ala xarxa d'alimentació elèctrica, bomba de condensats, si s'escau, interconnexió elèctrica i de maniobra entre la unitat terminal i l'exterior, controladors, petit material auxiliar de connexió i muntatge, inclou transport, mitjans d'elevació i muntatge fins emplaçament definitiu. Programació i posada en marxa per part del servei tècnic oficial de l'equip.
Marca i model: Daikin ZBAG71A, o equivalent</t>
  </si>
  <si>
    <t xml:space="preserve">PEG2-CTL3</t>
  </si>
  <si>
    <t xml:space="preserve">Partida</t>
  </si>
  <si>
    <t xml:space="preserve">u</t>
  </si>
  <si>
    <t xml:space="preserve">Bomba de calor partida d'expansió directa per a conductes, potència frigorífica nominal de 9,5 kW, potència calorífica nominal de 10,8 kW, amb uns coeficients d'eficiència energètica estacionals SEER de 6.47 (A++) i SCOP de 4.36 (A+) segons REGLAMENTO (UE) 626/2011, alimentació elèctrica monofàsica de 230 V, gas refrigerant R-32, col.locada.</t>
  </si>
  <si>
    <t xml:space="preserve">Bomba de calor partida d'expansió directa per a conductes, potència frigorífica nominal de 9,5 kW, potència calorífica nominal de 10,8 kW, amb uns coeficients d'eficiència energètica estacionals SEER de 6.47 (A++) i SCOP de 4.36 (A+) segons REGLAMENTO (UE) 626/2011, alimentació elèctrica monofàsica de 230 V, gas refrigerant R-32, col.locada.
Unitat interior:
Dimensions (altxamplexllarg): 245x1.400x800mm
Pes: 46kg
Unitat exterior:
Dimensions (altxamplexllarg): 870x1.100x460mm
Pes: 85kg
Unitat exterior muntada a la coberta de l'edifici, inclou bancada i elements de suport, connectada  ala xarxa d'alimentació elèctrica, bomba de condensats, si s'escau, interconnexió elèctrica i de maniobra entre la unitat terminal i l'exterior, controladors, petit material auxiliar de connexió i muntatge, inclou transport, mitjans d'elevació i muntatge fins emplaçament definitiu. Programació i posada en marxa per part del servei tècnic oficial de l'equip.
Marca i model: Daikin ZBAG100A, o equivalent</t>
  </si>
  <si>
    <t xml:space="preserve">PE53-4UFR</t>
  </si>
  <si>
    <t xml:space="preserve">Partida</t>
  </si>
  <si>
    <t xml:space="preserve">m2</t>
  </si>
  <si>
    <t xml:space="preserve">Formació conducte rect.MW,R&gt;=0,78125m2·K/W,Al+malla vidre p/ext.+Al+malla vidre p/int.,encast.cel ras</t>
  </si>
  <si>
    <t xml:space="preserve">Formació de conducte rectangular de llana mineral de vidre (MW), segons UNE-EN 14303, de gruix 25 mm, resistència tèrmica &gt;= 0,78125 m2·K/W, amb recobriment exterior d'alumini i malla de fibra de vidre i recobriment interior d'alumini i malla de fibra de vidre, muntat encastat en el cel ras</t>
  </si>
  <si>
    <t xml:space="preserve">PEVC-H7JV</t>
  </si>
  <si>
    <t xml:space="preserve">Partida</t>
  </si>
  <si>
    <t xml:space="preserve">u</t>
  </si>
  <si>
    <t xml:space="preserve">Termòstat electrònic ambient, p/fan-coil 2 tubs, selector hivern/estiu, selector 3 velocitats</t>
  </si>
  <si>
    <t xml:space="preserve">Termòstat electronic, d'ambient, per a fan-coil 2 tubs. selector hivern/estiu, selector de 3 velocitats amb comunicació Modbus, amb accessoris de muntatge i part proporcional de cablejat, muntat i connectat
Marca i Model: Daikin BRCH52S o equivalent</t>
  </si>
  <si>
    <t xml:space="preserve">02.01.01.02</t>
  </si>
  <si>
    <t xml:space="preserve">Partida</t>
  </si>
  <si>
    <t xml:space="preserve">u</t>
  </si>
  <si>
    <t xml:space="preserve">Interconnexió entre termostat de paret i fancoil, tram horitzontal per fals sostre amb tub corrugat i tram vertical fins a termostat en minicanal de PVC</t>
  </si>
  <si>
    <t xml:space="preserve">Interconnexió entre termostat de paret i fancoil, tram horitzontal per fals sostre amb tub corrugat i tram vertical fins a termostat en minicanal de PVC. Inclou caixetí per a mecanismes universal per a connexió i elmenents especials de muntatge i ajudes de paleteria per a pas de canalitzacions i connexions.</t>
  </si>
  <si>
    <t xml:space="preserve">PP44-663J</t>
  </si>
  <si>
    <t xml:space="preserve">Partida</t>
  </si>
  <si>
    <t xml:space="preserve">m</t>
  </si>
  <si>
    <t xml:space="preserve">Cable transm.dades,4par.,cat.5e U/UTP,poliolefina/poliolefina,n/propag.flama UNE-EN 60332,col.tub/canal</t>
  </si>
  <si>
    <t xml:space="preserve">Cable per a transmissió de dades amb conductor de coure, de 4 parells, categoria 5e U/UTP, aïllament de poliolefina i coberta de poliolefina, de baixa emissió de fums i opacitat reduïda, no propagador de la flama segons UNE-EN 60332-1-2, col·locat sota tub o canal</t>
  </si>
  <si>
    <t xml:space="preserve">PG2N-EUK7</t>
  </si>
  <si>
    <t xml:space="preserve">Partida</t>
  </si>
  <si>
    <t xml:space="preserve">m</t>
  </si>
  <si>
    <t xml:space="preserve">Tub flexible corrugat PVC,DN=20mm,1J,320N,2000V,sob/sostremort</t>
  </si>
  <si>
    <t xml:space="preserve">Tub flexible corrugat de PVC, de 20 mm de diàmetre nominal, aïllant i no propagador de la flama, resistència a l'impacte d'1 J, resistència a compressió de 320 N i una rigidesa dielèctrica de 2000 V, muntat sobre sostremort</t>
  </si>
  <si>
    <t xml:space="preserve">PF51-6RX8</t>
  </si>
  <si>
    <t xml:space="preserve">Partida</t>
  </si>
  <si>
    <t xml:space="preserve">m</t>
  </si>
  <si>
    <t xml:space="preserve">Tub Cu R220 (recuit) DN=3/8",g= 0,8mm soldat capil.,dific. mitjà i col·locat sota canal</t>
  </si>
  <si>
    <t xml:space="preserve">Tub de coure R220 (recuit) 3/8 " de diàmetre nominal i de gruix 0,8 mm, segons norma UNE-EN 12735-1, soldat per capil·laritat amb soldadura forta (T&gt;450ºC) amb grau de dificultat mitjà i col·locat sota canal per a fluids i subjectat amb el sistema de grapes de la canal</t>
  </si>
  <si>
    <t xml:space="preserve">PF51-6RX9</t>
  </si>
  <si>
    <t xml:space="preserve">Partida</t>
  </si>
  <si>
    <t xml:space="preserve">m</t>
  </si>
  <si>
    <t xml:space="preserve">Tub Cu R220 (recuit) DN=5/8",g= 0,8mm soldat capil.,dific. mitjà i col·locat sota canal</t>
  </si>
  <si>
    <t xml:space="preserve">Tub de coure R220 (recuit) 5/8 " de diàmetre nominal i de gruix 0,8 mm, segons norma UNE-EN 12735-1, soldat per capil·laritat amb soldadura forta (T&gt;450ºC) amb grau de dificultat mitjà i col·locat sota canal per a fluids i subjectat amb el sistema de grapes de la canal</t>
  </si>
  <si>
    <t xml:space="preserve">PFQ0-3LIH</t>
  </si>
  <si>
    <t xml:space="preserve">Partida</t>
  </si>
  <si>
    <t xml:space="preserve">m</t>
  </si>
  <si>
    <t xml:space="preserve">Aïllament tèrmic escum.elastom.,fluids (-50 i 105°C),D=10mm,g=13mm,factor dif.vapor&gt;= 5000superf.mitjà</t>
  </si>
  <si>
    <t xml:space="preserve">Aïllament tèrmic d'escuma elastomèrica per a canonades que transporten fluids a temperatura entre -50°C i 105°C, per a tub de diàmetre exterior 10 mm, de 13 mm de gruix, classe de reacció al foc BL-s2, d0 segons norma UNE-EN 13501-1, amb un factor de resistència a la difusió del vapor d'aigua &gt;= 5000, col·locat superficialment amb grau de dificultat mitjà</t>
  </si>
  <si>
    <t xml:space="preserve">PFQ0-3LKM</t>
  </si>
  <si>
    <t xml:space="preserve">Partida</t>
  </si>
  <si>
    <t xml:space="preserve">m</t>
  </si>
  <si>
    <t xml:space="preserve">Aïllament tèrmic escum.elastom.,fluids (-50 i 105°C),D=15mm,g=19mm,factor dif.vapor&gt;= 5000superf.mitjà</t>
  </si>
  <si>
    <t xml:space="preserve">Aïllament tèrmic d'escuma elastomèrica per a canonades que transporten fluids a temperatura entre -50°C i 105°C, per a tub de diàmetre exterior 15 mm, de 19 mm de gruix, classe de reacció al foc BL-s2, d0 segons norma UNE-EN 13501-1, amb un factor de resistència a la difusió del vapor d'aigua &gt;= 5000, col·locat superficialment amb grau de dificultat mitjà</t>
  </si>
  <si>
    <t xml:space="preserve">PG2J-4CGJ</t>
  </si>
  <si>
    <t xml:space="preserve">Partida</t>
  </si>
  <si>
    <t xml:space="preserve">m</t>
  </si>
  <si>
    <t xml:space="preserve">Safata xapa llisa+coberta acer galv.calent,60mmx200mm,col.terra tècnic</t>
  </si>
  <si>
    <t xml:space="preserve">Safata metàl·lica de xapa llisa amb coberta d'acer galvanitzat en calent, d'alçària 60 mm i amplària 200 mm, col·locada en terra tècnic amb elements de suport</t>
  </si>
  <si>
    <t xml:space="preserve">EEK11G23CLM</t>
  </si>
  <si>
    <t xml:space="preserve">Partida</t>
  </si>
  <si>
    <t xml:space="preserve">u</t>
  </si>
  <si>
    <t xml:space="preserve">Conjunt de reixes de climatització segons documentació gràfica</t>
  </si>
  <si>
    <t xml:space="preserve">Conjunt de reixes de climatització segons documentació gràfica, incloent conjunt d'accessoris de muntatge en paraments d'obra, connexions a conductes, part proporcional de plenum i petit material.
ref        servei     tipo                                         dimensions                     n ut.    marca    model
                                                                                     llarg    alt   diam              
    d3    impulsió   reixa + comporta regulació                          400       2ut    Madel    AXO-S+BOXSTAR-R  
    d4    retorn        reixa + comporta regulació   600    x600                  1ut    Madel    DMT-MOD+PFT
    d5    retorn        reixa + comporta regulació   600    x600                  1ut    Madel    DMT-MOD+PFT</t>
  </si>
  <si>
    <t xml:space="preserve">PD1A-F11R</t>
  </si>
  <si>
    <t xml:space="preserve">Partida</t>
  </si>
  <si>
    <t xml:space="preserve">m</t>
  </si>
  <si>
    <t xml:space="preserve">Desg.ap.sanitari tub PVC-U,paret estructurada,àrea aplicació B,DN=32mm</t>
  </si>
  <si>
    <t xml:space="preserve">Desguàs d'aparell sanitari amb tub de PVC-U de paret estructurada, àrea d'aplicació B segons norma UNE-EN 1453-1, classe de reacció al foc B-s1, d0 segons norma UNE-EN 13501-1, de DN 32 mm, fins a baixant, caixa o clavegueró</t>
  </si>
  <si>
    <t xml:space="preserve">02.01.03.01</t>
  </si>
  <si>
    <t xml:space="preserve">Partida</t>
  </si>
  <si>
    <t xml:space="preserve">u</t>
  </si>
  <si>
    <t xml:space="preserve">Treballs de connexió de la xarxa de recollida de condensats de les instal·lacions a baixant/col·lector preexistent</t>
  </si>
  <si>
    <t xml:space="preserve">Treballs de connexió de la xarxa de recollida de condensats de les instal·lacions a baixant/col·lector preexistent. Inclou mà d'obra i material auxiliar.</t>
  </si>
  <si>
    <t xml:space="preserve">01.09.01.01</t>
  </si>
  <si>
    <t xml:space="preserve">01.09.01.02</t>
  </si>
  <si>
    <t xml:space="preserve">Capítol</t>
  </si>
  <si>
    <t xml:space="preserve">Planta Altell</t>
  </si>
  <si>
    <t xml:space="preserve">PEJ2-RE01</t>
  </si>
  <si>
    <t xml:space="preserve">Partida</t>
  </si>
  <si>
    <t xml:space="preserve">u</t>
  </si>
  <si>
    <t xml:space="preserve">Desplaçament de fan coil de terra existent a nova ubicació a una distància màxima de 2 metres, apte per la nova distribució de planta.</t>
  </si>
  <si>
    <t xml:space="preserve">Desplaçament de fan coil de terra existent a nova ubicació a una distància màxima de 2 metres, apte per la nova distribució de planta. Inclou treballs de mà d'obra de desmuntatge, buidat de circuit i adaptació de canonades, nous picatges, part proporcional de canonada de distribució hidràulica per a connexió a ramal existent, aïllament i cablejat amb termostat. Inclou càrrega de residus en camió o contenidor.</t>
  </si>
  <si>
    <t xml:space="preserve">PEVC-368N</t>
  </si>
  <si>
    <t xml:space="preserve">Partida</t>
  </si>
  <si>
    <t xml:space="preserve">u</t>
  </si>
  <si>
    <t xml:space="preserve">Termòstat ambient indiv. p/emissor,preu mitjà,acoblat</t>
  </si>
  <si>
    <t xml:space="preserve">Termòstat d'ambient analògic amb programació individual per a emissor, preu mitjà, acoblat</t>
  </si>
  <si>
    <t xml:space="preserve">01.09.01.02</t>
  </si>
  <si>
    <t xml:space="preserve">01.09.01</t>
  </si>
  <si>
    <t xml:space="preserve">01.09.02</t>
  </si>
  <si>
    <t xml:space="preserve">Capítol</t>
  </si>
  <si>
    <t xml:space="preserve">Ventilació</t>
  </si>
  <si>
    <t xml:space="preserve">01.09.02.01</t>
  </si>
  <si>
    <t xml:space="preserve">Capítol</t>
  </si>
  <si>
    <t xml:space="preserve">Planta 1</t>
  </si>
  <si>
    <t xml:space="preserve">PE53-4UFR</t>
  </si>
  <si>
    <t xml:space="preserve">Partida</t>
  </si>
  <si>
    <t xml:space="preserve">m2</t>
  </si>
  <si>
    <t xml:space="preserve">Formació conducte rect.MW,R&gt;=0,78125m2·K/W,Al+malla vidre p/ext.+Al+malla vidre p/int.,encast.cel ras</t>
  </si>
  <si>
    <t xml:space="preserve">Formació de conducte rectangular de llana mineral de vidre (MW), segons UNE-EN 14303, de gruix 25 mm, resistència tèrmica &gt;= 0,78125 m2·K/W, amb recobriment exterior d'alumini i malla de fibra de vidre i recobriment interior d'alumini i malla de fibra de vidre, muntat encastat en el cel ras</t>
  </si>
  <si>
    <t xml:space="preserve">02.01.01.03</t>
  </si>
  <si>
    <t xml:space="preserve">Partida</t>
  </si>
  <si>
    <t xml:space="preserve">u</t>
  </si>
  <si>
    <t xml:space="preserve">Treballs d'adequació de conducte preexistent plenum de pas de forjat de coberta per a connexió nova distribució de conductes planta primera, incloent formació de peces especials amb condcute de llana mineral de 25mm i mà d'obra</t>
  </si>
  <si>
    <t xml:space="preserve">Treballs d'adequació de conducte preexistent plenum de pas de forjat de coberta per a connexió nova distribució de conductes planta primera, incloent formació de peces especials amb condcute de llana mineral de 25mm i mà d'obra.</t>
  </si>
  <si>
    <t xml:space="preserve">EEK11G23VENT</t>
  </si>
  <si>
    <t xml:space="preserve">Partida</t>
  </si>
  <si>
    <t xml:space="preserve">u</t>
  </si>
  <si>
    <t xml:space="preserve">Conjunt de reixes de ventilació segons documentació gràfica</t>
  </si>
  <si>
    <t xml:space="preserve">Conjunt de reixes de ventilació segons documentació gràfica, incloent conjunt d'accessoris de muntatge en paraments d'obra i la seva perforació, connexions a conductes, part proporcional de plenum i petit material.
ref        servei     tipo                                         dimensions                     n ut.    marca    model
                                                                                     llarg    alt   diam              
    d1    aportació  reixa + comporta regulació   300    x150                 5ut    Madel    AMT-AN+SP+CM</t>
  </si>
  <si>
    <t xml:space="preserve">02.01.01.04</t>
  </si>
  <si>
    <t xml:space="preserve">Partida</t>
  </si>
  <si>
    <t xml:space="preserve">u</t>
  </si>
  <si>
    <t xml:space="preserve">Treballs de segellat de conducte procedent de coberta (retorn instal·lació existent) mitjançant conducte de fibra. Inclou mà d'obra i material auxiliar.</t>
  </si>
  <si>
    <t xml:space="preserve">Treballs de segellat de conducte procedent de coberta (retorn instal·lació existent del climatitzador) mitjançant conducte de fibra. Inclou mà d'obra, material auxiliar i gestió de residus.</t>
  </si>
  <si>
    <t xml:space="preserve">02.01.01.05</t>
  </si>
  <si>
    <t xml:space="preserve">Partida</t>
  </si>
  <si>
    <t xml:space="preserve">u</t>
  </si>
  <si>
    <t xml:space="preserve">Ajust de les condicions de treball de climatitzador existent de planta primera per anulació del circuit de retorn, inclou ajust de comportes a tot entrada d'aire exterior i integració en el sistema de control del ventilador. Inclou mà d'obra, material auxiliar i gestió de residus.</t>
  </si>
  <si>
    <t xml:space="preserve">Ajust de les condicions de treball de climatitzador existent de planta primera per anulació del circuit de retorn, inclou ajust de comportes a tot entrada d'aire exterior i integració en el sistema de control del ventilador.
Inclou mà d'obra, material auxiliar i gestió de residus.</t>
  </si>
  <si>
    <t xml:space="preserve">01.09.02.01</t>
  </si>
  <si>
    <t xml:space="preserve">01.09.02.02</t>
  </si>
  <si>
    <t xml:space="preserve">Capítol</t>
  </si>
  <si>
    <t xml:space="preserve">Planta Altell</t>
  </si>
  <si>
    <t xml:space="preserve">EEK11G23VENTb</t>
  </si>
  <si>
    <t xml:space="preserve">Partida</t>
  </si>
  <si>
    <t xml:space="preserve">u</t>
  </si>
  <si>
    <t xml:space="preserve">Conjunt de reixes de ventilació segons documentació gràfica</t>
  </si>
  <si>
    <t xml:space="preserve">Conjunt de reixes de ventilació segons documentació gràfica, incloent conjunt d'accessoris de muntatge en paraments d'obra, connexions a conductes, perforació del parament, part proporcional de plenum i petit material.
ref        servei       tipo                                               dimensions                     n ut.    marca    model
                                                                                     llarg    alt   diam              
d6         ventilació reixa                                              400    x300               10ut    Madel    AMT-AN</t>
  </si>
  <si>
    <t xml:space="preserve">01.09.02.02</t>
  </si>
  <si>
    <t xml:space="preserve">01.09.02</t>
  </si>
  <si>
    <t xml:space="preserve">01.09.03</t>
  </si>
  <si>
    <t xml:space="preserve">Capítol</t>
  </si>
  <si>
    <t xml:space="preserve">Electricitat</t>
  </si>
  <si>
    <t xml:space="preserve">01.09.03.01</t>
  </si>
  <si>
    <t xml:space="preserve">Capítol</t>
  </si>
  <si>
    <t xml:space="preserve">Planta Baixa</t>
  </si>
  <si>
    <t xml:space="preserve">P21DC-HBIS</t>
  </si>
  <si>
    <t xml:space="preserve">Partida</t>
  </si>
  <si>
    <t xml:space="preserve">m</t>
  </si>
  <si>
    <t xml:space="preserve">Desmuntatge p/subst.línea elèctrica superf.,S=&lt;10mm2,a/mitj.manuals,càrr.manual</t>
  </si>
  <si>
    <t xml:space="preserve">Desmuntatge per a substitució de línea elèctrica estesa sobre safates o canals, conductors de coure o alumini, amb aïllament, amb aïllament i coberta o nus, unipolars o multipolars, de fins a 10 mm2 de secció, amb mitjans manuals i càrrega manual de runa sobre camió o contenidor, incloent identificació de línies acurada, recollida de circuits a reaprofitar i preperació per a adaptació a nova funcionalitat</t>
  </si>
  <si>
    <t xml:space="preserve">P21DC-RE03</t>
  </si>
  <si>
    <t xml:space="preserve">Partida</t>
  </si>
  <si>
    <t xml:space="preserve">m</t>
  </si>
  <si>
    <t xml:space="preserve">Desmuntatge de canal de plàstic per a protecció de línia elèctrica,</t>
  </si>
  <si>
    <t xml:space="preserve">Desmuntatge de canal de plàstic per a protecció de línia elèctrica, amb mitjans manuals i càrrega manual de runa sobre camió o contenidor</t>
  </si>
  <si>
    <t xml:space="preserve">PG27-RE01</t>
  </si>
  <si>
    <t xml:space="preserve">Partida</t>
  </si>
  <si>
    <t xml:space="preserve">m</t>
  </si>
  <si>
    <t xml:space="preserve">Reforma de canal d'alumini preexistent per a nova electrificació</t>
  </si>
  <si>
    <t xml:space="preserve">Reforma de canal d'alumini preexistent per a nova electrificació. Inclou tapat de forats per a sortida de cablejat i formació de nou forat en canal per a nova alimentació elèctrica.</t>
  </si>
  <si>
    <t xml:space="preserve">PG2F-AZK7</t>
  </si>
  <si>
    <t xml:space="preserve">Partida</t>
  </si>
  <si>
    <t xml:space="preserve">m</t>
  </si>
  <si>
    <t xml:space="preserve">Minicanal alumini anoditzat,65x40mm,1 compartiment,munt.s/paraments</t>
  </si>
  <si>
    <t xml:space="preserve">Minicanal d'alumini anoditzat de 65x40 mm, d'1 compartiment, muntada sobre paraments</t>
  </si>
  <si>
    <t xml:space="preserve">PG33-E4W7</t>
  </si>
  <si>
    <t xml:space="preserve">Partida</t>
  </si>
  <si>
    <t xml:space="preserve">m</t>
  </si>
  <si>
    <t xml:space="preserve">Cable 0,6/1 kV RZ1-K (AS), 3x2,5mm2,col.canal/safata</t>
  </si>
  <si>
    <t xml:space="preserve">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canal o safata</t>
  </si>
  <si>
    <t xml:space="preserve">02.03.01.01</t>
  </si>
  <si>
    <t xml:space="preserve">Partida</t>
  </si>
  <si>
    <t xml:space="preserve">u</t>
  </si>
  <si>
    <t xml:space="preserve">Electrificació de força de conjunt de taules de treball des de canal de terra</t>
  </si>
  <si>
    <t xml:space="preserve">Electrificació de força de conjunt en fila de taules de treball des de canal de terra, amb la mateixa línia d'alimentació,fins a caixa de derivació muntada en taules (cable inclòs en partida a banda), incloent part proporcional de canalització i petit material necessari, incloent modificació de la canal per a sortida de canalització i fils.</t>
  </si>
  <si>
    <t xml:space="preserve">01.09.03.01</t>
  </si>
  <si>
    <t xml:space="preserve">01.09.03.02</t>
  </si>
  <si>
    <t xml:space="preserve">Capítol</t>
  </si>
  <si>
    <t xml:space="preserve">Planta 1</t>
  </si>
  <si>
    <t xml:space="preserve">02.01.00</t>
  </si>
  <si>
    <t xml:space="preserve">Partida</t>
  </si>
  <si>
    <t xml:space="preserve">u</t>
  </si>
  <si>
    <t xml:space="preserve">Treballs d'identificació de linies del QGBT existents i reconnexió de les línies a conservar per electrificació dels endolls de les taules.</t>
  </si>
  <si>
    <t xml:space="preserve">Treballs d'identificació de linies del QGBT existents i reconnexió de les línies a conservar per electrificació dels endolls de les taules. Inclou part proporcional de cablejat i canalització per la connexió de les línies a conservar, aprofitament de proteccions existents i gestió de residus d'elements desmantellats.
Criteri d'abonament: Concepte d'abonament íntegre</t>
  </si>
  <si>
    <t xml:space="preserve">02.03.02.01</t>
  </si>
  <si>
    <t xml:space="preserve">Partida</t>
  </si>
  <si>
    <t xml:space="preserve">u</t>
  </si>
  <si>
    <t xml:space="preserve">Subquadre espai docència polivalent</t>
  </si>
  <si>
    <t xml:space="preserve">Subquadre per a espai docència polivalent, per a muntatge en armari de la pròpia sala, de peu o mural amb sòcol, metàl·lic, amb tapa cega, apte per les proteccions descrites en esquema, mes espai de reserva del 50%, cablejat, borns, barres, blocs de connexió, elements de presa de terra, troquelats i elements de fixació dels mecanismes.</t>
  </si>
  <si>
    <t xml:space="preserve">02.03.02.02</t>
  </si>
  <si>
    <t xml:space="preserve">Partida</t>
  </si>
  <si>
    <t xml:space="preserve">u</t>
  </si>
  <si>
    <t xml:space="preserve">Subquadre espai simulació</t>
  </si>
  <si>
    <t xml:space="preserve">Subquadre per a espai de simulació, per a muntatge en armari de la pròpia sala, de peu o mural amb sòcol, metàl·lic, amb tapa cega, apte per les proteccions descrites en esquema, mes espai de reserva del 50%, cablejat, borns, barres, blocs de connexió, elements de presa de terra, troquelats i elements de fixació dels mecanismes.</t>
  </si>
  <si>
    <t xml:space="preserve">02.03.02.03</t>
  </si>
  <si>
    <t xml:space="preserve">Partida</t>
  </si>
  <si>
    <t xml:space="preserve">u</t>
  </si>
  <si>
    <t xml:space="preserve">Reforma quadre general de baixa tensió de la biblioteca</t>
  </si>
  <si>
    <t xml:space="preserve">Reforma quadre general de baixa tensió de la biblioteca, apte per les proteccions descrites en esquema, mes espai de reserva del 30%, cablejat, borns, barres, blocs de connexió, elements de presa de terra, troquelats i elements de fixació dels mecanismes.</t>
  </si>
  <si>
    <t xml:space="preserve">PG76-CP48</t>
  </si>
  <si>
    <t xml:space="preserve">Partida</t>
  </si>
  <si>
    <t xml:space="preserve">u</t>
  </si>
  <si>
    <t xml:space="preserve">Variador freqüència entrada trif. 400V/sortida trif. 400V, 4kW, IP 20,munt.superf./quadre</t>
  </si>
  <si>
    <t xml:space="preserve">Variador de freqüència per a control de velocitat del motor, amb entrada trifàsica 400 V i sortida trifàsica 400 V, de 4 kW de potència, control amb display led i bus de dades integrat, amb grau de protecció IP 20, muntat superficialment o en quadre, connectat a línies elèctriques i de control i configurat. Inclou part proporcional de cablejat d'alimentació elèctrica des de quadre gnereal i de control fins a quadre de control centralitzat.</t>
  </si>
  <si>
    <t xml:space="preserve">PG10-RE01</t>
  </si>
  <si>
    <t xml:space="preserve">Partida</t>
  </si>
  <si>
    <t xml:space="preserve">u</t>
  </si>
  <si>
    <t xml:space="preserve">Armari metàl·lic de 400x400x200,per a distribució i control, col·locat superficialment</t>
  </si>
  <si>
    <t xml:space="preserve">Armari metàl·lic de 400x400x200,per a distribució i control, col·locat superficialment</t>
  </si>
  <si>
    <t xml:space="preserve">PG2J-4BTJ</t>
  </si>
  <si>
    <t xml:space="preserve">Partida</t>
  </si>
  <si>
    <t xml:space="preserve">m</t>
  </si>
  <si>
    <t xml:space="preserve">Safata reixa acer electrozincat,50mmx150mm,col.susp/param.horitz.</t>
  </si>
  <si>
    <t xml:space="preserve">Safata metàl·lica de reixa d'acer electrozincat, d'alçària 50 mm i amplària 150 mm, col·locada suspesa de paraments horitzontals amb elements de suport</t>
  </si>
  <si>
    <t xml:space="preserve">PG33-E75A</t>
  </si>
  <si>
    <t xml:space="preserve">Partida</t>
  </si>
  <si>
    <t xml:space="preserve">m</t>
  </si>
  <si>
    <t xml:space="preserve">Cable 0,6/1 kV RZ1-K (AS), 3x10mm2,col.tub</t>
  </si>
  <si>
    <t xml:space="preserve">Cable amb conductor de coure de tensió assignada0,6/1 kV, de designació RZ1-K (AS), construcció segons norma UNE 21123-4, tripolar, de secció 3x10 mm2, amb coberta del cable de poliolefines, classe de reacció al foc Cca-s1b, d1, a1 segons la norma UNE-EN 50575 amb baixa emissió fums, col·locat en tub</t>
  </si>
  <si>
    <t xml:space="preserve">PG33-E759</t>
  </si>
  <si>
    <t xml:space="preserve">Partida</t>
  </si>
  <si>
    <t xml:space="preserve">m</t>
  </si>
  <si>
    <t xml:space="preserve">Cable 0,6/1 kV RZ1-K (AS), 3x6mm2,col.tub</t>
  </si>
  <si>
    <t xml:space="preserve">Cable amb conductor de coure de tensió assignada0,6/1 kV, de designació RZ1-K (AS), construcció segons norma UNE 21123-4, tripolar, de secció 3x6 mm2, amb coberta del cable de poliolefines, classe de reacció al foc Cca-s1b, d1, a1 segons la norma UNE-EN 50575 amb baixa emissió fums, col·locat en tub</t>
  </si>
  <si>
    <t xml:space="preserve">PG33-E4W8</t>
  </si>
  <si>
    <t xml:space="preserve">Partida</t>
  </si>
  <si>
    <t xml:space="preserve">m</t>
  </si>
  <si>
    <t xml:space="preserve">Cable 0,6/1 kV RZ1-K (AS), 3x4mm2,col.canal/safata</t>
  </si>
  <si>
    <t xml:space="preserve">Cable amb conductor de coure de tensió assignada0,6/1 kV, de designació RZ1-K (AS), construcció segons norma UNE 21123-4, tripolar, de secció 3x4 mm2, amb coberta del cable de poliolefines, classe de reacció al foc Cca-s1b, d1, a1 segons la norma UNE-EN 50575 amb baixa emissió fums, col·locat en canal o safata</t>
  </si>
  <si>
    <t xml:space="preserve">PG33-E756</t>
  </si>
  <si>
    <t xml:space="preserve">Partida</t>
  </si>
  <si>
    <t xml:space="preserve">m</t>
  </si>
  <si>
    <t xml:space="preserve">Cable 0,6/1 kV RZ1-K (AS), 3x2,5mm2,col.tub</t>
  </si>
  <si>
    <t xml:space="preserve">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t>
  </si>
  <si>
    <t xml:space="preserve">PG33-E4W6</t>
  </si>
  <si>
    <t xml:space="preserve">Partida</t>
  </si>
  <si>
    <t xml:space="preserve">m</t>
  </si>
  <si>
    <t xml:space="preserve">Cable 0,6/1 kV RZ1-K (AS), 3x1,5mm2,col.canal/safata</t>
  </si>
  <si>
    <t xml:space="preserve">Cable amb conductor de coure de tensió assignada0,6/1 kV, de designació RZ1-K (AS), construcció segons norma UNE 21123-4, tripolar, de secció 3x1,5 mm2, amb coberta del cable de poliolefines, classe de reacció al foc Cca-s1b, d1, a1 segons la norma UNE-EN 50575 amb baixa emissió fums, col·locat en canal o safata</t>
  </si>
  <si>
    <t xml:space="preserve">PG2P-6T09</t>
  </si>
  <si>
    <t xml:space="preserve">Partida</t>
  </si>
  <si>
    <t xml:space="preserve">m</t>
  </si>
  <si>
    <t xml:space="preserve">Tub rígid PVC,DN=25mm,impacte=2J,resist.compress.=1250N,unió endollada+munt.superf.</t>
  </si>
  <si>
    <t xml:space="preserve">Tub rígid de PVC, de 25 mm de diàmetre nominal, aïllant i no propagador de la flama, amb una resistència a l'impacte de 2 J, resistència a compressió de 1250 N i una rigidesa dielèctrica de 2000 V, amb unió endollada i muntat superficialment</t>
  </si>
  <si>
    <t xml:space="preserve">PG2N-EUJM</t>
  </si>
  <si>
    <t xml:space="preserve">Partida</t>
  </si>
  <si>
    <t xml:space="preserve">m</t>
  </si>
  <si>
    <t xml:space="preserve">Tub flexible corrugat PVC,DN=25mm,1J,320N,2000V,encastat</t>
  </si>
  <si>
    <t xml:space="preserve">Tub flexible corrugat de PVC, de 25 mm de diàmetre nominal, aïllant i no propagador de la flama, resistència a l'impacte d'1 J, resistència a compressió de 320 N i una rigidesa dielèctrica de 2000 V, muntat encastat</t>
  </si>
  <si>
    <t xml:space="preserve">PG2N-RE01</t>
  </si>
  <si>
    <t xml:space="preserve">Partida</t>
  </si>
  <si>
    <t xml:space="preserve">m</t>
  </si>
  <si>
    <t xml:space="preserve">Tub flexible corrugat PVC,DN=25mm amb espiral interior rígida,1J,320N,2000V,encastat</t>
  </si>
  <si>
    <t xml:space="preserve">Tub flexible corrugat de PVC, de 25 mm de diàmetre nominal amb espiral interior rígida, aïllant i no propagador de la flama, resistència a l'impacte d'1 J, resistència a compressió de 320 N i una rigidesa dielèctrica de 2000 V, muntat encastat</t>
  </si>
  <si>
    <t xml:space="preserve">PG25-AZH2</t>
  </si>
  <si>
    <t xml:space="preserve">Partida</t>
  </si>
  <si>
    <t xml:space="preserve">m</t>
  </si>
  <si>
    <t xml:space="preserve">Canal aïllant PVC,1 tapa p/distribució,30x40mm,1 compartiment,blanc,IP4X,IK10,n/propag.flama,obertura tapa a/eina especial,de -5ºC a +60°C,UNE-EN 50085-2-1,s/param.vert.</t>
  </si>
  <si>
    <t xml:space="preserve">Canal aïllant de PVC, amb 1 tapa per a distribució, de 30x40 mm, amb 1 compartiment, de color blanc, resistència a la penetració d'objectes sòlids IP4X, protecció mecànica contra impactes IK10, no propagador de la flama, obertura de la tapa amb eina especial, de temperatura de servei de -5ºC a +60°C, d'acord amb la norma UNE-EN 50085-2-1, directament sobre paraments verticals</t>
  </si>
  <si>
    <t xml:space="preserve">PG13-E35Z</t>
  </si>
  <si>
    <t xml:space="preserve">Partida</t>
  </si>
  <si>
    <t xml:space="preserve">u</t>
  </si>
  <si>
    <t xml:space="preserve">Caixa deriv.plàstic,75x100mm,prot.IP-40,munt.superf.</t>
  </si>
  <si>
    <t xml:space="preserve">Caixa de derivació rectangular de plàstic, de 75x100 mm, amb grau de protecció IP-40, muntada superficialment</t>
  </si>
  <si>
    <t xml:space="preserve">PG62-006</t>
  </si>
  <si>
    <t xml:space="preserve">Partida</t>
  </si>
  <si>
    <t xml:space="preserve">u</t>
  </si>
  <si>
    <t xml:space="preserve">Caixa mecanismes per encastar a terra,p/4mecanismes modulars,muntat encastat (caixa A)</t>
  </si>
  <si>
    <t xml:space="preserve">Caixa de mecanismes per a centralització de funcions en lloc de treball, de material plàstic, per a encastar a terra amb caixa per encastar i tapa, amb capacitat per a 4 mecanismes modulars, muntat encastat a terra, formada pels diferents elements:
· 4 x preses de corrent modular tipo shucko (blanc, linia de força normal)</t>
  </si>
  <si>
    <t xml:space="preserve">PG62-007</t>
  </si>
  <si>
    <t xml:space="preserve">Partida</t>
  </si>
  <si>
    <t xml:space="preserve">u</t>
  </si>
  <si>
    <t xml:space="preserve">Caixa mecanismes per encastar a terra,p/4mecanismes modulars,muntat encastat (caixa B)</t>
  </si>
  <si>
    <t xml:space="preserve">Caixa de mecanismes per a centralització de funcions en lloc de treball, de material plàstic, per a encastar a terra amb caixa per encastar i tapa, amb capacitat per a 4 mecanismes modulars, muntat encastat a terra, formada pels diferents elements:
· 2 x preses de corrent modular tipo shucko (blanc, linia de força normal)
· 2 x presa de señal RJ45 Cat6a (previsió)</t>
  </si>
  <si>
    <t xml:space="preserve">PG62-005</t>
  </si>
  <si>
    <t xml:space="preserve">Partida</t>
  </si>
  <si>
    <t xml:space="preserve">u</t>
  </si>
  <si>
    <t xml:space="preserve">Caixa mecanismes per encastar a terra,p/2mecanismes modulars,muntat encastat (caixa C)</t>
  </si>
  <si>
    <t xml:space="preserve">Caixa de mecanismes per a centralització de funcions en lloc de treball, de material plàstic, per a encastar a terra amb caixa per encastar i tapa, amb capacitat per a 2 mecanismes modulars, muntat encastat a terra, formada pels diferents elements:
· 2 x presa de señal RJ45 Cat6a (previsió)</t>
  </si>
  <si>
    <t xml:space="preserve">PG62-008</t>
  </si>
  <si>
    <t xml:space="preserve">Partida</t>
  </si>
  <si>
    <t xml:space="preserve">u</t>
  </si>
  <si>
    <t xml:space="preserve">Caixa mec.central.,plàstic,1fileras,p/2mecanismes modulars,muntat superficial (caixa E)</t>
  </si>
  <si>
    <t xml:space="preserve">Caixa de mecanismes per a centralització de funcions en lloc de treball, de material plàstic, de 1 filera, amb capacitat per a 2 mecanismes modulars, muntat superficial, formada pels diferents elements:
· 2 x presa de señal RJ45 Cat6a (previsió)</t>
  </si>
  <si>
    <t xml:space="preserve">PG62-009</t>
  </si>
  <si>
    <t xml:space="preserve">Partida</t>
  </si>
  <si>
    <t xml:space="preserve">u</t>
  </si>
  <si>
    <t xml:space="preserve">Caixa mec.central.,plàstic,2fileres,p/4mecanismes modulars,muntat superficial (caixa D)</t>
  </si>
  <si>
    <t xml:space="preserve">Caixa de mecanismes per a centralització de funcions en lloc de treball, de material plàstic, de 2 fileres, amb capacitat per a 4 mecanismes modulars, muntat superficial, formada pels diferents elements:
· 4 x preses de corrent modular tipo shucko (blanc, linia de força normal)</t>
  </si>
  <si>
    <t xml:space="preserve">PG65-483R</t>
  </si>
  <si>
    <t xml:space="preserve">Partida</t>
  </si>
  <si>
    <t xml:space="preserve">u</t>
  </si>
  <si>
    <t xml:space="preserve">Caixa mecanismes,p/un element,preu alt,encastada</t>
  </si>
  <si>
    <t xml:space="preserve">Caixa de mecanismes, per a un element, preu alt, encastada</t>
  </si>
  <si>
    <t xml:space="preserve">PG6I-78BW</t>
  </si>
  <si>
    <t xml:space="preserve">Partida</t>
  </si>
  <si>
    <t xml:space="preserve">u</t>
  </si>
  <si>
    <t xml:space="preserve">Marc p/mec.universal,1elem.,preu alt,col.</t>
  </si>
  <si>
    <t xml:space="preserve">Marc per a mecanisme universal, d'1 element, preu alt, col·locat</t>
  </si>
  <si>
    <t xml:space="preserve">PG6E-7724</t>
  </si>
  <si>
    <t xml:space="preserve">Partida</t>
  </si>
  <si>
    <t xml:space="preserve">u</t>
  </si>
  <si>
    <t xml:space="preserve">Interruptor,tipus univ.,(1P),10AX/250V,a/tecla,preu alt,encastat</t>
  </si>
  <si>
    <t xml:space="preserve">Interruptor, de tipus universal, unipolar (1P), 10 AX/250 V, amb tecla, preu alt, encastat</t>
  </si>
  <si>
    <t xml:space="preserve">PG6O-77RL</t>
  </si>
  <si>
    <t xml:space="preserve">Partida</t>
  </si>
  <si>
    <t xml:space="preserve">u</t>
  </si>
  <si>
    <t xml:space="preserve">Presa corrent(2P+T),16A/250V,a/tapa,preu mitjà,munt.superf.</t>
  </si>
  <si>
    <t xml:space="preserve">Presa de corrent bipolar amb presa de terra lateral, (2P+T), 16 A 250 V, amb tapa, preu mitjà, muntada superficialment</t>
  </si>
  <si>
    <t xml:space="preserve">02.03.02.05</t>
  </si>
  <si>
    <t xml:space="preserve">Partida</t>
  </si>
  <si>
    <t xml:space="preserve">u</t>
  </si>
  <si>
    <t xml:space="preserve">Treballs de recablejat de variador de freqüència, modificació de línia d'entrada des de quadre i línia de sortida des de nou variador de freqüència</t>
  </si>
  <si>
    <t xml:space="preserve">Treballs de recablejat de variador de freqüència, modificació de línia d'entrada des de quadre elèctric i línia de sortida des de nou variador de freqüència. Inclou mà d'obra i material auxiliar.</t>
  </si>
  <si>
    <t xml:space="preserve">01.09.03.02</t>
  </si>
  <si>
    <t xml:space="preserve">01.09.03.03</t>
  </si>
  <si>
    <t xml:space="preserve">Capítol</t>
  </si>
  <si>
    <t xml:space="preserve">Planta Altell</t>
  </si>
  <si>
    <t xml:space="preserve">02.03.03.02</t>
  </si>
  <si>
    <t xml:space="preserve">Partida</t>
  </si>
  <si>
    <t xml:space="preserve">u</t>
  </si>
  <si>
    <t xml:space="preserve">Treballs de preparació dels circuit elèctrics actuals per adequació amb la nova instal·lació elèctrica</t>
  </si>
  <si>
    <t xml:space="preserve">Treballs de preparació dels circuit elèctrics actuals per adequació amb la nova instal·lació elèctrica. Inclou la retirada de mecanismes existents a la zona d'actuació, adequació de canal de PVC i extensió de línia elèctrica fins a nou punt. Inclou mà d'obra i material auxiliar.</t>
  </si>
  <si>
    <t xml:space="preserve">02.03.03.01</t>
  </si>
  <si>
    <t xml:space="preserve">Partida</t>
  </si>
  <si>
    <t xml:space="preserve">u</t>
  </si>
  <si>
    <t xml:space="preserve">Caixa mec.central.,plàstic,1filerAs,p/3mecanismes modulars,muntat superficial o encastat (tipus C)</t>
  </si>
  <si>
    <t xml:space="preserve">Caixa de mecanismes per a centralització de funcions en lloc de treball, de material plàstic, de 1 filera, amb capacitat per a 3 mecanismes modulars, muntat superficial o encastat, formada pels diferents elements:
· 2 x preses de corrent modular tipo shucko (blanc, linia de força normal)
· 1 x presa de señal RJ45 Cat6a (previsió sense connexió)</t>
  </si>
  <si>
    <t xml:space="preserve">02.03.02.04</t>
  </si>
  <si>
    <t xml:space="preserve">Partida</t>
  </si>
  <si>
    <t xml:space="preserve">u</t>
  </si>
  <si>
    <t xml:space="preserve">Electrificació de força per a base d'endoll o caixa de mecanismes</t>
  </si>
  <si>
    <t xml:space="preserve">Electrificació de força per a mecanisme de bases endoll o conjunt de bases d'endolls (universal o caixa de centralització), amb la mateixa línia d'alimentació, des de caixa de derivació de línia d'alimentació en safata fins a mecanisme o quadre elèctric, amb cable UH07V-R 750V, de secció 2,5 mm2, monofàsic, incloent part proporcional de canalització, cablejat, caixes de derivació i petit material necessari. Criteri de mesurament, amidament unitari de la present partida per endoll o grups d'endoll amb la mateixa línia d'alimentació des del receptor fins a al safata general (amidament del cablejat de distribució general per safata en línia a banda).</t>
  </si>
  <si>
    <t xml:space="preserve">PG6E-771R</t>
  </si>
  <si>
    <t xml:space="preserve">Partida</t>
  </si>
  <si>
    <t xml:space="preserve">u</t>
  </si>
  <si>
    <t xml:space="preserve">Interruptor,(2P),10AX/250V,a/tecla,preu alt,munt.superf.</t>
  </si>
  <si>
    <t xml:space="preserve">Interruptor, bipolar (2P), 10 AX/250 V, amb tecla, preu alt, muntat superficialment</t>
  </si>
  <si>
    <t xml:space="preserve">PG65-483R</t>
  </si>
  <si>
    <t xml:space="preserve">Partida</t>
  </si>
  <si>
    <t xml:space="preserve">u</t>
  </si>
  <si>
    <t xml:space="preserve">Caixa mecanismes,p/un element,preu alt,encastada</t>
  </si>
  <si>
    <t xml:space="preserve">Caixa de mecanismes, per a un element, preu alt, encastada</t>
  </si>
  <si>
    <t xml:space="preserve">PG6I-78BW</t>
  </si>
  <si>
    <t xml:space="preserve">Partida</t>
  </si>
  <si>
    <t xml:space="preserve">u</t>
  </si>
  <si>
    <t xml:space="preserve">Marc p/mec.universal,1elem.,preu alt,col.</t>
  </si>
  <si>
    <t xml:space="preserve">Marc per a mecanisme universal, d'1 element, preu alt, col·locat</t>
  </si>
  <si>
    <t xml:space="preserve">01.09.03.03</t>
  </si>
  <si>
    <t xml:space="preserve">01.09.03</t>
  </si>
  <si>
    <t xml:space="preserve">01.09.04</t>
  </si>
  <si>
    <t xml:space="preserve">Capítol</t>
  </si>
  <si>
    <t xml:space="preserve">Il·luminació</t>
  </si>
  <si>
    <t xml:space="preserve">01.09.04.01</t>
  </si>
  <si>
    <t xml:space="preserve">Capítol</t>
  </si>
  <si>
    <t xml:space="preserve">Planta Baixa</t>
  </si>
  <si>
    <t xml:space="preserve">P21DD-RE01</t>
  </si>
  <si>
    <t xml:space="preserve">Partida</t>
  </si>
  <si>
    <t xml:space="preserve">u</t>
  </si>
  <si>
    <t xml:space="preserve">Desmuntatge per desplaçament i posterior recol·locació de carril continu de 3 llumeneres amb tubs fluorescents en linia continua</t>
  </si>
  <si>
    <t xml:space="preserve">Desmuntatge per desplaçament i posterior recol·locació de carril continu de 3 llumeneres decoratives interior amb tubs LED del tipus línia continua, muntada suspesa a una alçària de 3 m com a màxim, inclosa la retirada dels elements de suspensió o carril.</t>
  </si>
  <si>
    <t xml:space="preserve">02.04.01.02</t>
  </si>
  <si>
    <t xml:space="preserve">Partida</t>
  </si>
  <si>
    <t xml:space="preserve">u</t>
  </si>
  <si>
    <t xml:space="preserve">Electrificació de punt de llum de llumeneres desplaçades</t>
  </si>
  <si>
    <t xml:space="preserve">Electrificació de llumenera posterior al seu desplaçament per a 1 línia d'encesa, cablejat nou de llum a llum, des de punt d'electrificació previ fins a nova ubicació de llumenera, i amb part proporcional de canalització i cablejat d'interruptor o commutador de comandament, amb cable H07V-R 750V 1x1.5 mm2, amb cable monofàsic i presa de terra, incloent part proporcional de canalització, cablejat, caixes de derivació, execució de forats a cel ras i reparació de cel ras i petit material necessari. Criteri de mesurament, amidament unitari de la present partida per llum o conjunt de llums amb la mateixa línia d'alimentació.</t>
  </si>
  <si>
    <t xml:space="preserve">01.09.04.01</t>
  </si>
  <si>
    <t xml:space="preserve">01.09.04.02</t>
  </si>
  <si>
    <t xml:space="preserve">Capítol</t>
  </si>
  <si>
    <t xml:space="preserve">Planta 1</t>
  </si>
  <si>
    <t xml:space="preserve">PH23-I111</t>
  </si>
  <si>
    <t xml:space="preserve">Partida</t>
  </si>
  <si>
    <t xml:space="preserve">u</t>
  </si>
  <si>
    <t xml:space="preserve">Llumenera decorativa modular,alumini,595x595cm,40W,3600lm,IP20,no regulable,UGR&lt;19,4000K,encastada</t>
  </si>
  <si>
    <t xml:space="preserve">Llumenera decorativa modular d'alumini, de 595x595 cm, de 40 W de potència de la llumenera, 3600 lm de flux lluminós, protecció IP20, no regulable, UGR&lt;19, de temperatura de color 4000 K.
Llumenera LED encastable en sostre de forma quadrada amb recubriment primàtic PMMA. Per a mòdul de sistemes de 600x600mm.
Marca i model: Duralamp SLIMFLUX BL, o equivalent</t>
  </si>
  <si>
    <t xml:space="preserve">02.04.01.01</t>
  </si>
  <si>
    <t xml:space="preserve">Partida</t>
  </si>
  <si>
    <t xml:space="preserve">u</t>
  </si>
  <si>
    <t xml:space="preserve">Electrificació de punt de llum</t>
  </si>
  <si>
    <t xml:space="preserve">Electrificació de llumenera per a 1 línia d'encesa, des quadre d'alimentació o llumenera de la mateixa encesa fins a equip, i amb part proporcional de canalització i cablejat d'interruptor o commutador de comandament, amb cable H07V-R 750V 1x1.5 mm2, amb cable monofàsic i presa de terra, incloent part proporcional de canalització, cablejat, caixes de derivació i petit material necessari. Criteri de mesurament, amidament unitari de la present partida per endoll o grups d'endoll amb la mateixa línia d'alimentació.</t>
  </si>
  <si>
    <t xml:space="preserve">01.09.04.02</t>
  </si>
  <si>
    <t xml:space="preserve">01.09.04.03</t>
  </si>
  <si>
    <t xml:space="preserve">Capítol</t>
  </si>
  <si>
    <t xml:space="preserve">Planta Altell</t>
  </si>
  <si>
    <t xml:space="preserve">PH23-I111</t>
  </si>
  <si>
    <t xml:space="preserve">Partida</t>
  </si>
  <si>
    <t xml:space="preserve">u</t>
  </si>
  <si>
    <t xml:space="preserve">Llumenera decorativa modular,alumini,595x595cm,40W,3600lm,IP20,no regulable,UGR&lt;19,4000K,encastada</t>
  </si>
  <si>
    <t xml:space="preserve">Llumenera decorativa modular d'alumini, de 595x595 cm, de 40 W de potència de la llumenera, 3600 lm de flux lluminós, protecció IP20, no regulable, UGR&lt;19, de temperatura de color 4000 K.
Llumenera LED encastable en sostre de forma quadrada amb recubriment primàtic PMMA. Per a mòdul de sistemes de 600x600mm.
Marca i model: Duralamp SLIMFLUX BL, o equivalent</t>
  </si>
  <si>
    <t xml:space="preserve">02.04.01.01</t>
  </si>
  <si>
    <t xml:space="preserve">Partida</t>
  </si>
  <si>
    <t xml:space="preserve">u</t>
  </si>
  <si>
    <t xml:space="preserve">Electrificació de punt de llum</t>
  </si>
  <si>
    <t xml:space="preserve">Electrificació de llumenera per a 1 línia d'encesa, des quadre d'alimentació o llumenera de la mateixa encesa fins a equip, i amb part proporcional de canalització i cablejat d'interruptor o commutador de comandament, amb cable H07V-R 750V 1x1.5 mm2, amb cable monofàsic i presa de terra, incloent part proporcional de canalització, cablejat, caixes de derivació i petit material necessari. Criteri de mesurament, amidament unitari de la present partida per endoll o grups d'endoll amb la mateixa línia d'alimentació.</t>
  </si>
  <si>
    <t xml:space="preserve">01.09.04.03</t>
  </si>
  <si>
    <t xml:space="preserve">01.09.04</t>
  </si>
  <si>
    <t xml:space="preserve">01.09.05</t>
  </si>
  <si>
    <t xml:space="preserve">Capítol</t>
  </si>
  <si>
    <t xml:space="preserve">Protecció contraincendis</t>
  </si>
  <si>
    <t xml:space="preserve">02.05.01</t>
  </si>
  <si>
    <t xml:space="preserve">Partida</t>
  </si>
  <si>
    <t xml:space="preserve">u</t>
  </si>
  <si>
    <t xml:space="preserve">Electrificació de punt de llumenera emergència</t>
  </si>
  <si>
    <t xml:space="preserve">Electrificació de llumenera per a 1 línia d'encesa, des quadre d'alimentació o llumenera de la mateixa encesa fins a equip, i amb part proporcional de canalització i cablejat d'interruptor o commutador de comandament, amb cable H07V-R 750V 1x1.5 mm2, amb cable monofàsic i presa de terra, incloent part proporcional de canalització, cablejat, caixes de derivació i petit material necessari. Criteri de mesurament, amidament unitari de la present partida per llum o conjunt de llums amb la mateixa línia d'alimentació.</t>
  </si>
  <si>
    <t xml:space="preserve">02.05.02</t>
  </si>
  <si>
    <t xml:space="preserve">Partida</t>
  </si>
  <si>
    <t xml:space="preserve">u</t>
  </si>
  <si>
    <t xml:space="preserve">Retirada, acopi i posterior recol·locació de sensor de fums</t>
  </si>
  <si>
    <t xml:space="preserve">Retirada, acopi i posterior recol·locació de sensor de fums</t>
  </si>
  <si>
    <t xml:space="preserve">PH57-B387</t>
  </si>
  <si>
    <t xml:space="preserve">Partida</t>
  </si>
  <si>
    <t xml:space="preserve">u</t>
  </si>
  <si>
    <t xml:space="preserve">Llum emerg.led,permanent,IP4X,classe II,170 a 200lm,auton&lt; 2h,,forma rect.,policarbon.,preu alt, col.encastat</t>
  </si>
  <si>
    <t xml:space="preserve">Llum d'emergència amb làmpada led, amb una vida útil de 100000 h, permanent i no estanca amb grau de protecció IP4X, aïllament classe II, amb un flux aproximat de 170 a 200 lm, 2 h d'autonomia, de forma rectangular amb difusor i cos de policarbonat, preu alt, col·locat encastat</t>
  </si>
  <si>
    <t xml:space="preserve">PM32-DZ3Z</t>
  </si>
  <si>
    <t xml:space="preserve">Partida</t>
  </si>
  <si>
    <t xml:space="preserve">u</t>
  </si>
  <si>
    <t xml:space="preserve">Extintor manual pols seca poliv.,6kg,pressió incorpo.,pintat,sup.paret</t>
  </si>
  <si>
    <t xml:space="preserve">Extintor manual de pols seca polivalent, de càrrega 6 kg, amb pressió incorporada, pintat, amb suport a paret</t>
  </si>
  <si>
    <t xml:space="preserve">PM32-DZ48</t>
  </si>
  <si>
    <t xml:space="preserve">Partida</t>
  </si>
  <si>
    <t xml:space="preserve">u</t>
  </si>
  <si>
    <t xml:space="preserve">Extintor manual CO2,5kg,pressió incorpo.,pintat,sup.paret</t>
  </si>
  <si>
    <t xml:space="preserve">Extintor manual de diòxid de carboni, de càrrega 5 kg, amb pressió incorporada, pintat, amb suport a paret</t>
  </si>
  <si>
    <t xml:space="preserve">PMS0-6Z18</t>
  </si>
  <si>
    <t xml:space="preserve">Partida</t>
  </si>
  <si>
    <t xml:space="preserve">u</t>
  </si>
  <si>
    <t xml:space="preserve">Retol seny. instal.protecció/incendis,210x210mm2,panell PVC,gruix=0,7mm,fotoluminiscent (B),col.adherit</t>
  </si>
  <si>
    <t xml:space="preserve">Rètol senyalització instal·lació de protecció contra incendis, quadrat, de 210x210 mm2 de panell de PVC de 0,7 mm de gruix, fotoluminiscent categoria B segons UNE 23035-4, col·locat adherit sobre parament vertical</t>
  </si>
  <si>
    <t xml:space="preserve">PMS0-6Z15</t>
  </si>
  <si>
    <t xml:space="preserve">Partida</t>
  </si>
  <si>
    <t xml:space="preserve">u</t>
  </si>
  <si>
    <t xml:space="preserve">Retol seny. sortida habitual,297x105mm2,panell PVC,gruix=0,7mm,fotoluminiscent (B),col.adherit</t>
  </si>
  <si>
    <t xml:space="preserve">Rètol senyalització sortida habitual, rectangular, de 297x105 mm2 de panell de PVC de 0,7 mm de gruix, fotoluminiscent categoria B segons UNE 23035-4, col·locat adherit sobre parament vertical</t>
  </si>
  <si>
    <t xml:space="preserve">PM15-4ICO</t>
  </si>
  <si>
    <t xml:space="preserve">Partida</t>
  </si>
  <si>
    <t xml:space="preserve">u</t>
  </si>
  <si>
    <t xml:space="preserve">Sensor fums òptic,instal.analògica,UNE-EN 54-7,+base superfície,munt.superf.</t>
  </si>
  <si>
    <t xml:space="preserve">Sensor de fums òptic per a instal·lació contra incendis analògica, segons norma UNE-EN 54-7, amb base de superfície, muntat superficialment</t>
  </si>
  <si>
    <t xml:space="preserve">EM11AR01</t>
  </si>
  <si>
    <t xml:space="preserve">Partida</t>
  </si>
  <si>
    <t xml:space="preserve">u</t>
  </si>
  <si>
    <t xml:space="preserve">Ampliació de llaç de detecció d'incendis per a nou element de protecció contra incendis</t>
  </si>
  <si>
    <t xml:space="preserve">Ampliació de llaç de detecció d'incendis per a nou element de protecció contra incendis, part proporcional d'electrificació d'element de protecció contra incendis amb cable trenat de 2x1,5mm2, formant xarxa bus des de centraleta de detecció fins a detector, centraleta o instal·lació preexistant, incloent part proporcional de canalització, cablejat, caixes de derivació i petit material necessari.</t>
  </si>
  <si>
    <t xml:space="preserve">01.09.05</t>
  </si>
  <si>
    <t xml:space="preserve">01.09.06</t>
  </si>
  <si>
    <t xml:space="preserve">Capítol</t>
  </si>
  <si>
    <t xml:space="preserve">Control</t>
  </si>
  <si>
    <t xml:space="preserve">02.06.01.</t>
  </si>
  <si>
    <t xml:space="preserve">Capítol</t>
  </si>
  <si>
    <t xml:space="preserve">Planta 1</t>
  </si>
  <si>
    <t xml:space="preserve">PEV2-RE01</t>
  </si>
  <si>
    <t xml:space="preserve">Partida</t>
  </si>
  <si>
    <t xml:space="preserve">u</t>
  </si>
  <si>
    <t xml:space="preserve">Passarel·la de comunicació per a unitat d'expansió directe amb xarxa BACnet/IP o MS/TP</t>
  </si>
  <si>
    <t xml:space="preserve">Passarel·la de comunicació per a unitat d'expansió directe amb xarxa BACnet/IP o MS/TP, per a integració, control i telegestió de la instal·lació de climatització, totalment instal·lada i amb pp de connexió i cablejat.
Marca i model: Daikin Intesis HVAC (INBACDA001R000), o equivalent</t>
  </si>
  <si>
    <t xml:space="preserve">PG8Z-HD39</t>
  </si>
  <si>
    <t xml:space="preserve">Partida</t>
  </si>
  <si>
    <t xml:space="preserve">m</t>
  </si>
  <si>
    <t xml:space="preserve">Cable de comunicacions p/bus de dades, 2x0,8 mm2 trenat i apantallat p/parells,LSZH</t>
  </si>
  <si>
    <t xml:space="preserve">Cable de comunicacions per a bus de dades, 2x0,8 mm2 trenat i apantallat per parells, aïllament de poliolefina i coberta de poliolefina, de baixa emissió de fums i opacitat reduïda, no propagador de la flama segons UNE-EN 60332-1-2, muntat en canalització i connectat</t>
  </si>
  <si>
    <t xml:space="preserve">02.06.01.01</t>
  </si>
  <si>
    <t xml:space="preserve">Partida</t>
  </si>
  <si>
    <t xml:space="preserve">u</t>
  </si>
  <si>
    <t xml:space="preserve">Programació i posta en marxa de l'ampliació del sistema de control</t>
  </si>
  <si>
    <t xml:space="preserve">Programació i posta en marxa de l'ampliació del sistema de control Schneider existent a l'edifici, per a ampliació amb la integració de les dues noves unitats autònomes de climatització de la planta primera i integració de nou variador de freqüència per a control del ventilador del climatitzador existent de la planta primera amb nou cabal de ventilació de disseny amb ajust de programació de comportes a tot aire exterior.</t>
  </si>
  <si>
    <t xml:space="preserve">PP7A-RE01</t>
  </si>
  <si>
    <t xml:space="preserve">Partida</t>
  </si>
  <si>
    <t xml:space="preserve">u</t>
  </si>
  <si>
    <t xml:space="preserve">Switch industrial + font d'alimentació 24vcc</t>
  </si>
  <si>
    <t xml:space="preserve">Switch industrial + font d'alimentació 24vcc</t>
  </si>
  <si>
    <t xml:space="preserve">PG2N-EUJM</t>
  </si>
  <si>
    <t xml:space="preserve">Partida</t>
  </si>
  <si>
    <t xml:space="preserve">m</t>
  </si>
  <si>
    <t xml:space="preserve">Tub flexible corrugat PVC,DN=25mm,1J,320N,2000V,encastat</t>
  </si>
  <si>
    <t xml:space="preserve">Tub flexible corrugat de PVC, de 25 mm de diàmetre nominal, aïllant i no propagador de la flama, resistència a l'impacte d'1 J, resistència a compressió de 320 N i una rigidesa dielèctrica de 2000 V, muntat encastat</t>
  </si>
  <si>
    <t xml:space="preserve">PG2P-6T09</t>
  </si>
  <si>
    <t xml:space="preserve">Partida</t>
  </si>
  <si>
    <t xml:space="preserve">m</t>
  </si>
  <si>
    <t xml:space="preserve">Tub rígid PVC,DN=25mm,impacte=2J,resist.compress.=1250N,unió endollada+munt.superf.</t>
  </si>
  <si>
    <t xml:space="preserve">Tub rígid de PVC, de 25 mm de diàmetre nominal, aïllant i no propagador de la flama, amb una resistència a l'impacte de 2 J, resistència a compressió de 1250 N i una rigidesa dielèctrica de 2000 V, amb unió endollada i muntat superficialment</t>
  </si>
  <si>
    <t xml:space="preserve">02.06.01.</t>
  </si>
  <si>
    <t xml:space="preserve">01.09.06</t>
  </si>
  <si>
    <t xml:space="preserve">01.09.07</t>
  </si>
  <si>
    <t xml:space="preserve">Capítol</t>
  </si>
  <si>
    <t xml:space="preserve">Gestió de residus instal·lacions</t>
  </si>
  <si>
    <t xml:space="preserve">P2R5-DT15</t>
  </si>
  <si>
    <t xml:space="preserve">Partida</t>
  </si>
  <si>
    <t xml:space="preserve">m3</t>
  </si>
  <si>
    <t xml:space="preserve">Transport residus,instal.gestió residus,camió 7t,càrrega mec.,rec.més de 10 i fins a 15km</t>
  </si>
  <si>
    <t xml:space="preserve">Transport de residus a instal·lació autoritzada de gestió de residus, amb camió de 7 t i temps d'espera per a la càrrega a màquina, amb un recorregut de més de 10 i fins a 15 km</t>
  </si>
  <si>
    <t xml:space="preserve">P2RA-EU6C</t>
  </si>
  <si>
    <t xml:space="preserve">Partida</t>
  </si>
  <si>
    <t xml:space="preserve">m3</t>
  </si>
  <si>
    <t xml:space="preserve">Disposició controlada dipòsit autoritzat inclòs el cànon sobre la deposició controlada dels residus de la construcció, segons la LLEI 8/2008,,residus barrej. inerts,1t/m3,LER 17 01 07</t>
  </si>
  <si>
    <t xml:space="preserve">Disposició controlada en dipòsit autoritzat inclòs el cànon sobre la deposició controlada dels residus de la construcció, segons la LLEI 8/2008, de residus barrejats inerts amb una densitat 1 t/m3, procedents de construcció o demolició, amb codi 17 01 07 segons la Llista Europea de Residus</t>
  </si>
  <si>
    <t xml:space="preserve">P2RA-EU6F</t>
  </si>
  <si>
    <t xml:space="preserve">Partida</t>
  </si>
  <si>
    <t xml:space="preserve">m3</t>
  </si>
  <si>
    <t xml:space="preserve">Disposició controlada dipòsit autoritzat inclòs el cànon sobre la deposició controlada dels residus de la construcció, segons la LLEI 8/2008,,residus form. inerts,1,45t/m3,LER 17 01 01</t>
  </si>
  <si>
    <t xml:space="preserve">Disposició controlada en dipòsit autoritzat inclòs el cànon sobre la deposició controlada dels residus de la construcció, segons la LLEI 8/2008, de residus de formigó inerts amb una densitat 1,45 t/m3, procedents de construcció o demolició, amb codi 17 01 01 segons la Llista Europea de Residus</t>
  </si>
  <si>
    <t xml:space="preserve">01.09.07</t>
  </si>
  <si>
    <t xml:space="preserve">01.09</t>
  </si>
  <si>
    <t xml:space="preserve">01.12</t>
  </si>
  <si>
    <t xml:space="preserve">Capítol</t>
  </si>
  <si>
    <t xml:space="preserve">DOCUMENTACIÓ FINAL D'OBRA</t>
  </si>
  <si>
    <t xml:space="preserve">03.01</t>
  </si>
  <si>
    <t xml:space="preserve">Partida</t>
  </si>
  <si>
    <t xml:space="preserve">u</t>
  </si>
  <si>
    <t xml:space="preserve">Legalització de les instal·lacions tèrmiques i documentació final d'obra</t>
  </si>
  <si>
    <t xml:space="preserve">Documentació Asbuilt, tramitació i legalització de les instal·lacions tèrmiques, incloent documentació tècnica necessària, projecte tècnic, certificats i models normalitzats del Dept. d'Indústria de la Genealitat, inscripció al Registre d'instal·lacions de seguretat industrial, pagament de la taxa corresponent, acompanyament durant la inspecció de l'Organisme de Control, si s'escau, i pagament de l'import corresponent al servei d'aquest Organisme.</t>
  </si>
  <si>
    <t xml:space="preserve">14.3</t>
  </si>
  <si>
    <t xml:space="preserve">Partida</t>
  </si>
  <si>
    <t xml:space="preserve">u</t>
  </si>
  <si>
    <t xml:space="preserve">Legalització de la instal·lació de baixa tensió i documentació final d'obra</t>
  </si>
  <si>
    <t xml:space="preserve">Legalització de la instal·lació de baixa tensió, signatura del certificat de la instal·lació de baixa tensió de l'edifici, projecte de reforma de la instal·lació existent signat per un enginyer, inspecció inicial de BT a realitzar per part de la propietat en seguiment de les periòdiques corresponents. Inclou pagament de la taxa corresponent</t>
  </si>
  <si>
    <t xml:space="preserve">01.12</t>
  </si>
  <si>
    <t xml:space="preserve">01.13</t>
  </si>
  <si>
    <t xml:space="preserve">Capítol</t>
  </si>
  <si>
    <t xml:space="preserve">AJUDES DE RAM DE PALETA</t>
  </si>
  <si>
    <t xml:space="preserve">EY0310RE</t>
  </si>
  <si>
    <t xml:space="preserve">Partida</t>
  </si>
  <si>
    <t xml:space="preserve">u</t>
  </si>
  <si>
    <t xml:space="preserve">Realització de pas de canalitzacions en paret d'obra ceràmica i posterior reconstrucció de tancament amb mitjans manuals</t>
  </si>
  <si>
    <t xml:space="preserve">Realització de pas de canalitzacions en paret d'obra ceràmica i posterior reconstrucció de tancament amb mitjans manuals, inclou material auxiliar, mà d'obra i gestió de residus</t>
  </si>
  <si>
    <t xml:space="preserve">PA00-ARP1</t>
  </si>
  <si>
    <t xml:space="preserve">Partida</t>
  </si>
  <si>
    <t xml:space="preserve">pa</t>
  </si>
  <si>
    <t xml:space="preserve">Partida alçada a justificar d'ajudes de ram de paleta al llarg de l'obra de reforma o construcció, c</t>
  </si>
  <si>
    <t xml:space="preserve">Partida alçada a justificar d'ajudes de ram de paleta al llarg de l'obra de reforma o construcció, consistent en una bossa d'hores d'oficial 1a paleta i manobre.</t>
  </si>
  <si>
    <t xml:space="preserve">04.01</t>
  </si>
  <si>
    <t xml:space="preserve">Partida</t>
  </si>
  <si>
    <t xml:space="preserve">u</t>
  </si>
  <si>
    <t xml:space="preserve">Partida alçada a justificar en concepte d'ajudes de paleta a les instal·lacions</t>
  </si>
  <si>
    <t xml:space="preserve">Partida alçada a justificar en concepte d'ajudes de paleta a les instal·lacions</t>
  </si>
  <si>
    <t xml:space="preserve">PAIO-ARP2</t>
  </si>
  <si>
    <t xml:space="preserve">Partida</t>
  </si>
  <si>
    <t xml:space="preserve">pa</t>
  </si>
  <si>
    <t xml:space="preserve">Partida d'imprevistos d'obra per l'apartat de construcció i reforma</t>
  </si>
  <si>
    <t xml:space="preserve">Partida d'imprevistos d'obra per l'apartat de construcció i reforma</t>
  </si>
  <si>
    <t xml:space="preserve">04.02</t>
  </si>
  <si>
    <t xml:space="preserve">Partida</t>
  </si>
  <si>
    <t xml:space="preserve">u</t>
  </si>
  <si>
    <t xml:space="preserve">Partida alçada a justificar d'imprevistos d'obra i instal·lacions</t>
  </si>
  <si>
    <t xml:space="preserve">Partida alçada a justificar d'imprevistos d'obra i instal·lacions.</t>
  </si>
  <si>
    <t xml:space="preserve">01.13</t>
  </si>
  <si>
    <t xml:space="preserve">01.14</t>
  </si>
  <si>
    <t xml:space="preserve">Capítol</t>
  </si>
  <si>
    <t xml:space="preserve">SEGURETAT I SALUT</t>
  </si>
  <si>
    <t xml:space="preserve">P1415-1617</t>
  </si>
  <si>
    <t xml:space="preserve">Partida</t>
  </si>
  <si>
    <t xml:space="preserve">pa</t>
  </si>
  <si>
    <t xml:space="preserve">Partida alçada a justificar segons el pressupost de l'estudi de seguretat i salut</t>
  </si>
  <si>
    <t xml:space="preserve">Partida alçada a justificar segons el pressupost de l'estudi de seguretat i salut, segons el decret 555/86, decret 84/1990 i decret 1627/97 amb els elements necessaris per dur a terme el pla de seguretat i salut durant el decurs de l'obra. Inclou els elements de protecció individual, col·lectiva, extinció d'incendis, protecció d'instal·lacions elèctriques, instal·lacions d'higiene i benester, medicina preventiva i primers auxilis i formació. Partida a justificar detalladament sobre pressupost de seguretat o pla de seguretat aprovat.</t>
  </si>
  <si>
    <t xml:space="preserve">01.14</t>
  </si>
  <si>
    <t xml:space="preserve">PRESSUPOST UAB BIBLIOTECA VETERIANARIA_EXECUTIU_NET</t>
  </si>
</sst>
</file>

<file path=xl/styles.xml><?xml version="1.0" encoding="utf-8"?>
<styleSheet xmlns="http://schemas.openxmlformats.org/spreadsheetml/2006/main">
  <numFmts count="2">
    <numFmt numFmtId="200" formatCode="#,##0.00"/>
    <numFmt numFmtId="201" formatCode="#,##0.000"/>
  </numFmts>
  <fonts count="5">
    <font>
      <sz val="12.00"/>
      <color rgb="FF000000"/>
      <name val="Verdana"/>
      <family val="2"/>
    </font>
    <font>
      <b/>
      <sz val="9.96"/>
      <color rgb="FF000000"/>
      <name val="Arial"/>
      <family val="2"/>
    </font>
    <font>
      <sz val="8.04"/>
      <color rgb="FF000000"/>
      <name val="Arial"/>
      <family val="2"/>
    </font>
    <font>
      <b/>
      <sz val="9.00"/>
      <color rgb="FF000000"/>
      <name val="Arial"/>
      <family val="2"/>
    </font>
    <font>
      <b/>
      <sz val="8.04"/>
      <color rgb="FF000000"/>
      <name val="Arial"/>
      <family val="2"/>
    </font>
  </fonts>
  <fills count="7">
    <fill>
      <patternFill patternType="none"/>
    </fill>
    <fill>
      <patternFill patternType="gray125"/>
    </fill>
    <fill>
      <patternFill patternType="solid">
        <fgColor rgb="FFDFFFBF"/>
      </patternFill>
    </fill>
    <fill>
      <patternFill patternType="solid">
        <fgColor rgb="FF269900"/>
      </patternFill>
    </fill>
    <fill>
      <patternFill patternType="solid">
        <fgColor rgb="FF3FB219"/>
      </patternFill>
    </fill>
    <fill>
      <patternFill patternType="solid">
        <fgColor rgb="FF58CB32"/>
      </patternFill>
    </fill>
    <fill>
      <patternFill patternType="solid">
        <fgColor rgb="FF71E44B"/>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1">
    <xf numFmtId="0" fontId="0" fillId="0" borderId="0"/>
  </cellStyleXfs>
  <cellXfs count="69">
    <xf numFmtId="0" fontId="0" fillId="0" borderId="0" xfId="0" applyFont="1" applyAlignment="1">
      <alignment horizontal="left" vertical="center" wrapText="0"/>
    </xf>
    <xf numFmtId="0" fontId="1" fillId="0" borderId="0" xfId="0" applyFont="1" applyAlignment="1">
      <alignment horizontal="right" vertical="top" wrapText="1"/>
    </xf>
    <xf numFmtId="0" fontId="1" fillId="2" borderId="0" xfId="0" applyFont="1" applyAlignment="1">
      <alignment horizontal="right" vertical="top" wrapText="1"/>
    </xf>
    <xf numFmtId="0" fontId="1" fillId="0" borderId="0" xfId="0" applyFont="1" applyAlignment="1">
      <alignment horizontal="left" vertical="top" wrapText="1"/>
    </xf>
    <xf numFmtId="0" fontId="1" fillId="2" borderId="0" xfId="0" applyFont="1" applyAlignment="1">
      <alignment horizontal="left" vertical="top" wrapText="1"/>
    </xf>
    <xf numFmtId="0" fontId="0" fillId="2" borderId="0" xfId="0" applyFont="1" applyAlignment="1">
      <alignment horizontal="left" vertical="top" wrapText="1"/>
    </xf>
    <xf numFmtId="0" fontId="2" fillId="0" borderId="0" xfId="0" applyFont="1" applyAlignment="1">
      <alignment horizontal="right" vertical="top" wrapText="1"/>
    </xf>
    <xf numFmtId="0" fontId="2" fillId="2" borderId="0" xfId="0" applyFont="1" applyAlignment="1">
      <alignment horizontal="right" vertical="top" wrapText="1"/>
    </xf>
    <xf numFmtId="0" fontId="2" fillId="0" borderId="0" xfId="0" applyFont="1" applyAlignment="1">
      <alignment horizontal="left" vertical="top" wrapText="1"/>
    </xf>
    <xf numFmtId="0" fontId="2" fillId="2" borderId="0" xfId="0" applyFont="1" applyAlignment="1">
      <alignment horizontal="left" vertical="top" wrapText="1"/>
    </xf>
    <xf numFmtId="0" fontId="3" fillId="0" borderId="0" xfId="0" applyFont="1" applyAlignment="1">
      <alignment horizontal="left" vertical="top" wrapText="1"/>
    </xf>
    <xf numFmtId="0" fontId="3" fillId="2" borderId="1" xfId="0" applyFont="1" applyAlignment="1">
      <alignment horizontal="left" vertical="top" wrapText="1"/>
    </xf>
    <xf numFmtId="0" fontId="3" fillId="0" borderId="0" xfId="0" applyFont="1" applyAlignment="1">
      <alignment horizontal="right" vertical="top" wrapText="1"/>
    </xf>
    <xf numFmtId="0" fontId="3" fillId="2" borderId="1" xfId="0" applyFont="1" applyAlignment="1">
      <alignment horizontal="right" vertical="top" wrapText="1"/>
    </xf>
    <xf numFmtId="0" fontId="4" fillId="0" borderId="0" xfId="0" applyFont="1" applyAlignment="1">
      <alignment horizontal="left" vertical="top" wrapText="1"/>
    </xf>
    <xf numFmtId="0" fontId="4" fillId="3" borderId="2" xfId="0" applyFont="1" applyAlignment="1">
      <alignment horizontal="left" vertical="top" wrapText="1"/>
    </xf>
    <xf numFmtId="0" fontId="0" fillId="3" borderId="2" xfId="0" applyFont="1" applyAlignment="1">
      <alignment horizontal="left" vertical="top" wrapText="1"/>
    </xf>
    <xf numFmtId="0" fontId="4" fillId="0" borderId="0" xfId="0" applyFont="1" applyAlignment="1">
      <alignment horizontal="justify" vertical="top" wrapText="1"/>
    </xf>
    <xf numFmtId="0" fontId="4" fillId="3" borderId="2" xfId="0" applyFont="1" applyAlignment="1">
      <alignment horizontal="justify" vertical="top" wrapText="1"/>
    </xf>
    <xf numFmtId="200" fontId="4" fillId="0" borderId="0" xfId="0" applyFont="1" applyAlignment="1">
      <alignment horizontal="right" vertical="top" wrapText="1"/>
    </xf>
    <xf numFmtId="200" fontId="4" fillId="3" borderId="2" xfId="0" applyFont="1" applyAlignment="1">
      <alignment horizontal="right" vertical="top" wrapText="1"/>
    </xf>
    <xf numFmtId="0" fontId="4" fillId="4" borderId="0" xfId="0" applyFont="1" applyAlignment="1">
      <alignment horizontal="left" vertical="top" wrapText="1"/>
    </xf>
    <xf numFmtId="0" fontId="0" fillId="4" borderId="0" xfId="0" applyFont="1" applyAlignment="1">
      <alignment horizontal="left" vertical="top" wrapText="1"/>
    </xf>
    <xf numFmtId="0" fontId="4" fillId="4" borderId="0" xfId="0" applyFont="1" applyAlignment="1">
      <alignment horizontal="justify" vertical="top" wrapText="1"/>
    </xf>
    <xf numFmtId="200" fontId="4" fillId="4" borderId="0" xfId="0" applyFont="1" applyAlignment="1">
      <alignment horizontal="right" vertical="top" wrapText="1"/>
    </xf>
    <xf numFmtId="0" fontId="2" fillId="0" borderId="0" xfId="0" applyFont="1" applyAlignment="1">
      <alignment horizontal="justify" vertical="top" wrapText="1"/>
    </xf>
    <xf numFmtId="201" fontId="2" fillId="0" borderId="0" xfId="0" applyFont="1" applyAlignment="1">
      <alignment horizontal="right" vertical="top" wrapText="1"/>
    </xf>
    <xf numFmtId="200" fontId="2" fillId="0" borderId="0" xfId="0" applyFont="1" applyAlignment="1">
      <alignment horizontal="right" vertical="top" wrapText="1"/>
    </xf>
    <xf numFmtId="0" fontId="0" fillId="0" borderId="0" xfId="0" applyFont="1" applyAlignment="1">
      <alignment horizontal="center" vertical="center" wrapText="1"/>
    </xf>
    <xf numFmtId="0" fontId="0" fillId="0" borderId="1" xfId="0" applyFont="1" applyAlignment="1">
      <alignment horizontal="center" vertical="center" wrapText="1"/>
    </xf>
    <xf numFmtId="0" fontId="4" fillId="4" borderId="1" xfId="0" applyFont="1" applyAlignment="1">
      <alignment horizontal="left" vertical="top" wrapText="1"/>
    </xf>
    <xf numFmtId="0" fontId="0" fillId="4" borderId="1" xfId="0" applyFont="1" applyAlignment="1">
      <alignment horizontal="left" vertical="top" wrapText="1"/>
    </xf>
    <xf numFmtId="200" fontId="4" fillId="4" borderId="1" xfId="0" applyFont="1" applyAlignment="1">
      <alignment horizontal="right" vertical="top" wrapText="1"/>
    </xf>
    <xf numFmtId="0" fontId="4" fillId="4" borderId="2" xfId="0" applyFont="1" applyAlignment="1">
      <alignment horizontal="left" vertical="top" wrapText="1"/>
    </xf>
    <xf numFmtId="0" fontId="0" fillId="4" borderId="2" xfId="0" applyFont="1" applyAlignment="1">
      <alignment horizontal="left" vertical="top" wrapText="1"/>
    </xf>
    <xf numFmtId="0" fontId="4" fillId="4" borderId="2" xfId="0" applyFont="1" applyAlignment="1">
      <alignment horizontal="justify" vertical="top" wrapText="1"/>
    </xf>
    <xf numFmtId="200" fontId="4" fillId="4" borderId="2" xfId="0" applyFont="1" applyAlignment="1">
      <alignment horizontal="right" vertical="top" wrapText="1"/>
    </xf>
    <xf numFmtId="0" fontId="4" fillId="5" borderId="0" xfId="0" applyFont="1" applyAlignment="1">
      <alignment horizontal="left" vertical="top" wrapText="1"/>
    </xf>
    <xf numFmtId="0" fontId="0" fillId="5" borderId="0" xfId="0" applyFont="1" applyAlignment="1">
      <alignment horizontal="left" vertical="top" wrapText="1"/>
    </xf>
    <xf numFmtId="0" fontId="4" fillId="5" borderId="0" xfId="0" applyFont="1" applyAlignment="1">
      <alignment horizontal="justify" vertical="top" wrapText="1"/>
    </xf>
    <xf numFmtId="200" fontId="4" fillId="5" borderId="0" xfId="0" applyFont="1" applyAlignment="1">
      <alignment horizontal="right" vertical="top" wrapText="1"/>
    </xf>
    <xf numFmtId="0" fontId="4" fillId="6" borderId="0" xfId="0" applyFont="1" applyAlignment="1">
      <alignment horizontal="left" vertical="top" wrapText="1"/>
    </xf>
    <xf numFmtId="0" fontId="0" fillId="6" borderId="0" xfId="0" applyFont="1" applyAlignment="1">
      <alignment horizontal="left" vertical="top" wrapText="1"/>
    </xf>
    <xf numFmtId="0" fontId="4" fillId="6" borderId="0" xfId="0" applyFont="1" applyAlignment="1">
      <alignment horizontal="justify" vertical="top" wrapText="1"/>
    </xf>
    <xf numFmtId="200" fontId="4" fillId="6" borderId="0" xfId="0" applyFont="1" applyAlignment="1">
      <alignment horizontal="right" vertical="top" wrapText="1"/>
    </xf>
    <xf numFmtId="0" fontId="4" fillId="6" borderId="1" xfId="0" applyFont="1" applyAlignment="1">
      <alignment horizontal="left" vertical="top" wrapText="1"/>
    </xf>
    <xf numFmtId="0" fontId="0" fillId="6" borderId="1" xfId="0" applyFont="1" applyAlignment="1">
      <alignment horizontal="left" vertical="top" wrapText="1"/>
    </xf>
    <xf numFmtId="200" fontId="4" fillId="6" borderId="1" xfId="0" applyFont="1" applyAlignment="1">
      <alignment horizontal="right" vertical="top" wrapText="1"/>
    </xf>
    <xf numFmtId="0" fontId="4" fillId="6" borderId="2" xfId="0" applyFont="1" applyAlignment="1">
      <alignment horizontal="left" vertical="top" wrapText="1"/>
    </xf>
    <xf numFmtId="0" fontId="0" fillId="6" borderId="2" xfId="0" applyFont="1" applyAlignment="1">
      <alignment horizontal="left" vertical="top" wrapText="1"/>
    </xf>
    <xf numFmtId="0" fontId="4" fillId="6" borderId="2" xfId="0" applyFont="1" applyAlignment="1">
      <alignment horizontal="justify" vertical="top" wrapText="1"/>
    </xf>
    <xf numFmtId="200" fontId="4" fillId="6" borderId="2" xfId="0" applyFont="1" applyAlignment="1">
      <alignment horizontal="right" vertical="top" wrapText="1"/>
    </xf>
    <xf numFmtId="0" fontId="0" fillId="0" borderId="3" xfId="0" applyFont="1" applyAlignment="1">
      <alignment horizontal="center" vertical="center" wrapText="1"/>
    </xf>
    <xf numFmtId="0" fontId="4" fillId="5" borderId="3" xfId="0" applyFont="1" applyAlignment="1">
      <alignment horizontal="left" vertical="top" wrapText="1"/>
    </xf>
    <xf numFmtId="0" fontId="0" fillId="5" borderId="3" xfId="0" applyFont="1" applyAlignment="1">
      <alignment horizontal="left" vertical="top" wrapText="1"/>
    </xf>
    <xf numFmtId="200" fontId="4" fillId="5" borderId="3" xfId="0" applyFont="1" applyAlignment="1">
      <alignment horizontal="right" vertical="top" wrapText="1"/>
    </xf>
    <xf numFmtId="0" fontId="4" fillId="5" borderId="2" xfId="0" applyFont="1" applyAlignment="1">
      <alignment horizontal="left" vertical="top" wrapText="1"/>
    </xf>
    <xf numFmtId="0" fontId="0" fillId="5" borderId="2" xfId="0" applyFont="1" applyAlignment="1">
      <alignment horizontal="left" vertical="top" wrapText="1"/>
    </xf>
    <xf numFmtId="0" fontId="4" fillId="5" borderId="2" xfId="0" applyFont="1" applyAlignment="1">
      <alignment horizontal="justify" vertical="top" wrapText="1"/>
    </xf>
    <xf numFmtId="200" fontId="4" fillId="5" borderId="2" xfId="0" applyFont="1" applyAlignment="1">
      <alignment horizontal="right" vertical="top" wrapText="1"/>
    </xf>
    <xf numFmtId="0" fontId="4" fillId="5" borderId="1" xfId="0" applyFont="1" applyAlignment="1">
      <alignment horizontal="left" vertical="top" wrapText="1"/>
    </xf>
    <xf numFmtId="0" fontId="0" fillId="5" borderId="1" xfId="0" applyFont="1" applyAlignment="1">
      <alignment horizontal="left" vertical="top" wrapText="1"/>
    </xf>
    <xf numFmtId="200" fontId="4" fillId="5" borderId="1" xfId="0" applyFont="1" applyAlignment="1">
      <alignment horizontal="right" vertical="top" wrapText="1"/>
    </xf>
    <xf numFmtId="0" fontId="4" fillId="4" borderId="3" xfId="0" applyFont="1" applyAlignment="1">
      <alignment horizontal="left" vertical="top" wrapText="1"/>
    </xf>
    <xf numFmtId="0" fontId="0" fillId="4" borderId="3" xfId="0" applyFont="1" applyAlignment="1">
      <alignment horizontal="left" vertical="top" wrapText="1"/>
    </xf>
    <xf numFmtId="200" fontId="4" fillId="4" borderId="3" xfId="0" applyFont="1" applyAlignment="1">
      <alignment horizontal="right" vertical="top" wrapText="1"/>
    </xf>
    <xf numFmtId="0" fontId="4" fillId="3" borderId="3" xfId="0" applyFont="1" applyAlignment="1">
      <alignment horizontal="left" vertical="top" wrapText="1"/>
    </xf>
    <xf numFmtId="0" fontId="0" fillId="3" borderId="3" xfId="0" applyFont="1" applyAlignment="1">
      <alignment horizontal="left" vertical="top" wrapText="1"/>
    </xf>
    <xf numFmtId="200" fontId="4" fillId="3"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2.24" customWidth="1"/>
    <col min="2" max="2" width="10.81" customWidth="1"/>
    <col min="3" max="3" width="5.16" customWidth="1"/>
    <col min="4" max="4" width="29.26" customWidth="1"/>
    <col min="5" max="5" width="13.47" customWidth="1"/>
    <col min="6" max="6" width="13.36" customWidth="1"/>
    <col min="7" max="7" width="13.47" customWidth="1"/>
  </cols>
  <sheetData>
    <row r="1" spans="1:7" ht="17.76" thickBot="1" customHeight="1">
      <c r="A1" s="2" t="s">
        <v>0</v>
      </c>
      <c r="B1" s="4" t="s">
        <v>1</v>
      </c>
      <c r="C1" s="4"/>
      <c r="D1" s="4"/>
      <c r="E1" s="4"/>
      <c r="F1" s="4"/>
      <c r="G1" s="4"/>
    </row>
    <row r="2" spans="1:7" ht="17.76" thickBot="1" customHeight="1">
      <c r="A2" s="4" t="s">
        <v>2</v>
      </c>
      <c r="B2" s="4"/>
      <c r="C2" s="4"/>
      <c r="D2" s="5"/>
      <c r="E2" s="5"/>
      <c r="F2" s="7" t="s">
        <v>3</v>
      </c>
      <c r="G2" s="9">
        <v>0</v>
      </c>
    </row>
    <row r="3" spans="1:7" ht="16.68" thickBot="1" customHeight="1">
      <c r="A3" s="11" t="s">
        <v>4</v>
      </c>
      <c r="B3" s="11" t="s">
        <v>5</v>
      </c>
      <c r="C3" s="11" t="s">
        <v>6</v>
      </c>
      <c r="D3" s="11" t="s">
        <v>7</v>
      </c>
      <c r="E3" s="13" t="s">
        <v>8</v>
      </c>
      <c r="F3" s="13" t="s">
        <v>9</v>
      </c>
      <c r="G3" s="13" t="s">
        <v>10</v>
      </c>
    </row>
    <row r="4" spans="1:7" ht="44.28" thickBot="1" customHeight="1">
      <c r="A4" s="15" t="s">
        <v>11</v>
      </c>
      <c r="B4" s="15" t="s">
        <v>12</v>
      </c>
      <c r="C4" s="16"/>
      <c r="D4" s="18" t="s">
        <v>13</v>
      </c>
      <c r="E4" s="16"/>
      <c r="F4" s="20">
        <f ca="1">F327</f>
        <v>0</v>
      </c>
      <c r="G4" s="20">
        <f ca="1">ROUND(F4,2)</f>
        <v>0</v>
      </c>
    </row>
    <row r="5" spans="1:7" ht="15.48" thickBot="1" customHeight="1">
      <c r="A5" s="21" t="s">
        <v>14</v>
      </c>
      <c r="B5" s="21" t="s">
        <v>15</v>
      </c>
      <c r="C5" s="22"/>
      <c r="D5" s="23" t="s">
        <v>16</v>
      </c>
      <c r="E5" s="22"/>
      <c r="F5" s="24">
        <f ca="1">F10</f>
        <v>0</v>
      </c>
      <c r="G5" s="24">
        <f ca="1">ROUND(F5,2)</f>
        <v>0</v>
      </c>
    </row>
    <row r="6" spans="1:7" ht="21.36" thickBot="1" customHeight="1">
      <c r="A6" s="14" t="s">
        <v>17</v>
      </c>
      <c r="B6" s="8" t="s">
        <v>18</v>
      </c>
      <c r="C6" s="8" t="s">
        <v>19</v>
      </c>
      <c r="D6" s="25" t="s">
        <v>20</v>
      </c>
      <c r="E6" s="26">
        <v>2.000</v>
      </c>
      <c r="F6" s="27">
        <f ca="1">ROUND(260.320*(1+G2/100),2)</f>
        <v>0</v>
      </c>
      <c r="G6" s="27">
        <f ca="1">ROUND(E6*F6,2)</f>
        <v>0</v>
      </c>
    </row>
    <row r="7" spans="1:7" ht="21.36" thickBot="1" customHeight="1">
      <c r="A7" s="28"/>
      <c r="B7" s="28"/>
      <c r="C7" s="28"/>
      <c r="D7" s="25" t="s">
        <v>21</v>
      </c>
      <c r="E7" s="25"/>
      <c r="F7" s="25"/>
      <c r="G7" s="25"/>
    </row>
    <row r="8" spans="1:7" ht="21.36" thickBot="1" customHeight="1">
      <c r="A8" s="14" t="s">
        <v>22</v>
      </c>
      <c r="B8" s="8" t="s">
        <v>23</v>
      </c>
      <c r="C8" s="8" t="s">
        <v>24</v>
      </c>
      <c r="D8" s="25" t="s">
        <v>25</v>
      </c>
      <c r="E8" s="26">
        <v>51.200</v>
      </c>
      <c r="F8" s="27">
        <f ca="1">ROUND(4.710*(1+G2/100),2)</f>
        <v>0</v>
      </c>
      <c r="G8" s="27">
        <f ca="1">ROUND(E8*F8,2)</f>
        <v>0</v>
      </c>
    </row>
    <row r="9" spans="1:7" ht="21.36" thickBot="1" customHeight="1">
      <c r="A9" s="28"/>
      <c r="B9" s="28"/>
      <c r="C9" s="28"/>
      <c r="D9" s="25" t="s">
        <v>26</v>
      </c>
      <c r="E9" s="25"/>
      <c r="F9" s="25"/>
      <c r="G9" s="25"/>
    </row>
    <row r="10" spans="1:7" ht="15.48" thickBot="1" customHeight="1">
      <c r="A10" s="29"/>
      <c r="B10" s="29"/>
      <c r="C10" s="29"/>
      <c r="D10" s="30" t="s">
        <v>27</v>
      </c>
      <c r="E10" s="31"/>
      <c r="F10" s="32">
        <f ca="1">G6+G8</f>
        <v>0</v>
      </c>
      <c r="G10" s="32">
        <f ca="1">ROUND(F10,2)</f>
        <v>0</v>
      </c>
    </row>
    <row r="11" spans="1:7" ht="15.48" thickBot="1" customHeight="1">
      <c r="A11" s="33" t="s">
        <v>28</v>
      </c>
      <c r="B11" s="33" t="s">
        <v>29</v>
      </c>
      <c r="C11" s="34"/>
      <c r="D11" s="35" t="s">
        <v>30</v>
      </c>
      <c r="E11" s="34"/>
      <c r="F11" s="36">
        <f ca="1">F28</f>
        <v>0</v>
      </c>
      <c r="G11" s="36">
        <f ca="1">ROUND(F11,2)</f>
        <v>0</v>
      </c>
    </row>
    <row r="12" spans="1:7" ht="15.48" thickBot="1" customHeight="1">
      <c r="A12" s="14" t="s">
        <v>31</v>
      </c>
      <c r="B12" s="8" t="s">
        <v>32</v>
      </c>
      <c r="C12" s="8" t="s">
        <v>33</v>
      </c>
      <c r="D12" s="25" t="s">
        <v>34</v>
      </c>
      <c r="E12" s="26">
        <v>64.000</v>
      </c>
      <c r="F12" s="27">
        <f ca="1">ROUND(2.820*(1+G2/100),2)</f>
        <v>0</v>
      </c>
      <c r="G12" s="27">
        <f ca="1">ROUND(E12*F12,2)</f>
        <v>0</v>
      </c>
    </row>
    <row r="13" spans="1:7" ht="12.12" thickBot="1" customHeight="1">
      <c r="A13" s="28"/>
      <c r="B13" s="28"/>
      <c r="C13" s="28"/>
      <c r="D13" s="25" t="s">
        <v>35</v>
      </c>
      <c r="E13" s="25"/>
      <c r="F13" s="25"/>
      <c r="G13" s="25"/>
    </row>
    <row r="14" spans="1:7" ht="21.36" thickBot="1" customHeight="1">
      <c r="A14" s="14" t="s">
        <v>36</v>
      </c>
      <c r="B14" s="8" t="s">
        <v>37</v>
      </c>
      <c r="C14" s="8" t="s">
        <v>38</v>
      </c>
      <c r="D14" s="25" t="s">
        <v>39</v>
      </c>
      <c r="E14" s="26">
        <v>80.000</v>
      </c>
      <c r="F14" s="27">
        <f ca="1">ROUND(3.760*(1+G2/100),2)</f>
        <v>0</v>
      </c>
      <c r="G14" s="27">
        <f ca="1">ROUND(E14*F14,2)</f>
        <v>0</v>
      </c>
    </row>
    <row r="15" spans="1:7" ht="21.36" thickBot="1" customHeight="1">
      <c r="A15" s="28"/>
      <c r="B15" s="28"/>
      <c r="C15" s="28"/>
      <c r="D15" s="25" t="s">
        <v>40</v>
      </c>
      <c r="E15" s="25"/>
      <c r="F15" s="25"/>
      <c r="G15" s="25"/>
    </row>
    <row r="16" spans="1:7" ht="15.48" thickBot="1" customHeight="1">
      <c r="A16" s="14" t="s">
        <v>41</v>
      </c>
      <c r="B16" s="8" t="s">
        <v>42</v>
      </c>
      <c r="C16" s="8" t="s">
        <v>43</v>
      </c>
      <c r="D16" s="25" t="s">
        <v>44</v>
      </c>
      <c r="E16" s="26">
        <v>1.000</v>
      </c>
      <c r="F16" s="27">
        <f ca="1">ROUND(501.330*(1+G2/100),2)</f>
        <v>0</v>
      </c>
      <c r="G16" s="27">
        <f ca="1">ROUND(E16*F16,2)</f>
        <v>0</v>
      </c>
    </row>
    <row r="17" spans="1:7" ht="30.60" thickBot="1" customHeight="1">
      <c r="A17" s="28"/>
      <c r="B17" s="28"/>
      <c r="C17" s="28"/>
      <c r="D17" s="25" t="s">
        <v>45</v>
      </c>
      <c r="E17" s="25"/>
      <c r="F17" s="25"/>
      <c r="G17" s="25"/>
    </row>
    <row r="18" spans="1:7" ht="15.48" thickBot="1" customHeight="1">
      <c r="A18" s="14" t="s">
        <v>46</v>
      </c>
      <c r="B18" s="8" t="s">
        <v>47</v>
      </c>
      <c r="C18" s="8" t="s">
        <v>48</v>
      </c>
      <c r="D18" s="25" t="s">
        <v>49</v>
      </c>
      <c r="E18" s="26">
        <v>145.000</v>
      </c>
      <c r="F18" s="27">
        <f ca="1">ROUND(9.530*(1+G2/100),2)</f>
        <v>0</v>
      </c>
      <c r="G18" s="27">
        <f ca="1">ROUND(E18*F18,2)</f>
        <v>0</v>
      </c>
    </row>
    <row r="19" spans="1:7" ht="12.12" thickBot="1" customHeight="1">
      <c r="A19" s="28"/>
      <c r="B19" s="28"/>
      <c r="C19" s="28"/>
      <c r="D19" s="25" t="s">
        <v>50</v>
      </c>
      <c r="E19" s="25"/>
      <c r="F19" s="25"/>
      <c r="G19" s="25"/>
    </row>
    <row r="20" spans="1:7" ht="15.48" thickBot="1" customHeight="1">
      <c r="A20" s="14" t="s">
        <v>51</v>
      </c>
      <c r="B20" s="8" t="s">
        <v>52</v>
      </c>
      <c r="C20" s="8" t="s">
        <v>53</v>
      </c>
      <c r="D20" s="25" t="s">
        <v>54</v>
      </c>
      <c r="E20" s="26">
        <v>23.000</v>
      </c>
      <c r="F20" s="27">
        <f ca="1">ROUND(3.140*(1+G2/100),2)</f>
        <v>0</v>
      </c>
      <c r="G20" s="27">
        <f ca="1">ROUND(E20*F20,2)</f>
        <v>0</v>
      </c>
    </row>
    <row r="21" spans="1:7" ht="12.12" thickBot="1" customHeight="1">
      <c r="A21" s="28"/>
      <c r="B21" s="28"/>
      <c r="C21" s="28"/>
      <c r="D21" s="25" t="s">
        <v>55</v>
      </c>
      <c r="E21" s="25"/>
      <c r="F21" s="25"/>
      <c r="G21" s="25"/>
    </row>
    <row r="22" spans="1:7" ht="21.36" thickBot="1" customHeight="1">
      <c r="A22" s="14" t="s">
        <v>56</v>
      </c>
      <c r="B22" s="8" t="s">
        <v>57</v>
      </c>
      <c r="C22" s="8" t="s">
        <v>58</v>
      </c>
      <c r="D22" s="25" t="s">
        <v>59</v>
      </c>
      <c r="E22" s="26">
        <v>100.000</v>
      </c>
      <c r="F22" s="27">
        <f ca="1">ROUND(0.910*(1+G2/100),2)</f>
        <v>0</v>
      </c>
      <c r="G22" s="27">
        <f ca="1">ROUND(E22*F22,2)</f>
        <v>0</v>
      </c>
    </row>
    <row r="23" spans="1:7" ht="21.36" thickBot="1" customHeight="1">
      <c r="A23" s="28"/>
      <c r="B23" s="28"/>
      <c r="C23" s="28"/>
      <c r="D23" s="25" t="s">
        <v>60</v>
      </c>
      <c r="E23" s="25"/>
      <c r="F23" s="25"/>
      <c r="G23" s="25"/>
    </row>
    <row r="24" spans="1:7" ht="21.36" thickBot="1" customHeight="1">
      <c r="A24" s="14" t="s">
        <v>61</v>
      </c>
      <c r="B24" s="8" t="s">
        <v>62</v>
      </c>
      <c r="C24" s="8" t="s">
        <v>63</v>
      </c>
      <c r="D24" s="25" t="s">
        <v>64</v>
      </c>
      <c r="E24" s="26">
        <v>33.000</v>
      </c>
      <c r="F24" s="27">
        <f ca="1">ROUND(13.810*(1+G2/100),2)</f>
        <v>0</v>
      </c>
      <c r="G24" s="27">
        <f ca="1">ROUND(E24*F24,2)</f>
        <v>0</v>
      </c>
    </row>
    <row r="25" spans="1:7" ht="21.36" thickBot="1" customHeight="1">
      <c r="A25" s="28"/>
      <c r="B25" s="28"/>
      <c r="C25" s="28"/>
      <c r="D25" s="25" t="s">
        <v>65</v>
      </c>
      <c r="E25" s="25"/>
      <c r="F25" s="25"/>
      <c r="G25" s="25"/>
    </row>
    <row r="26" spans="1:7" ht="21.36" thickBot="1" customHeight="1">
      <c r="A26" s="14" t="s">
        <v>66</v>
      </c>
      <c r="B26" s="8" t="s">
        <v>67</v>
      </c>
      <c r="C26" s="8" t="s">
        <v>68</v>
      </c>
      <c r="D26" s="25" t="s">
        <v>69</v>
      </c>
      <c r="E26" s="26">
        <v>1.000</v>
      </c>
      <c r="F26" s="27">
        <f ca="1">ROUND(509.960*(1+G2/100),2)</f>
        <v>0</v>
      </c>
      <c r="G26" s="27">
        <f ca="1">ROUND(E26*F26,2)</f>
        <v>0</v>
      </c>
    </row>
    <row r="27" spans="1:7" ht="12.12" thickBot="1" customHeight="1">
      <c r="A27" s="28"/>
      <c r="B27" s="28"/>
      <c r="C27" s="28"/>
      <c r="D27" s="25" t="s">
        <v>70</v>
      </c>
      <c r="E27" s="25"/>
      <c r="F27" s="25"/>
      <c r="G27" s="25"/>
    </row>
    <row r="28" spans="1:7" ht="15.48" thickBot="1" customHeight="1">
      <c r="A28" s="29"/>
      <c r="B28" s="29"/>
      <c r="C28" s="29"/>
      <c r="D28" s="30" t="s">
        <v>71</v>
      </c>
      <c r="E28" s="31"/>
      <c r="F28" s="32">
        <f ca="1">G12+G14+G16+G18+G20+G22+G24+G26</f>
        <v>0</v>
      </c>
      <c r="G28" s="32">
        <f ca="1">ROUND(F28,2)</f>
        <v>0</v>
      </c>
    </row>
    <row r="29" spans="1:7" ht="15.48" thickBot="1" customHeight="1">
      <c r="A29" s="33" t="s">
        <v>72</v>
      </c>
      <c r="B29" s="33" t="s">
        <v>73</v>
      </c>
      <c r="C29" s="34"/>
      <c r="D29" s="35" t="s">
        <v>74</v>
      </c>
      <c r="E29" s="34"/>
      <c r="F29" s="36">
        <f ca="1">F36</f>
        <v>0</v>
      </c>
      <c r="G29" s="36">
        <f ca="1">ROUND(F29,2)</f>
        <v>0</v>
      </c>
    </row>
    <row r="30" spans="1:7" ht="21.36" thickBot="1" customHeight="1">
      <c r="A30" s="14" t="s">
        <v>75</v>
      </c>
      <c r="B30" s="8" t="s">
        <v>76</v>
      </c>
      <c r="C30" s="8" t="s">
        <v>77</v>
      </c>
      <c r="D30" s="25" t="s">
        <v>78</v>
      </c>
      <c r="E30" s="26">
        <v>7.540</v>
      </c>
      <c r="F30" s="27">
        <f ca="1">ROUND(27.240*(1+G2/100),2)</f>
        <v>0</v>
      </c>
      <c r="G30" s="27">
        <f ca="1">ROUND(E30*F30,2)</f>
        <v>0</v>
      </c>
    </row>
    <row r="31" spans="1:7" ht="12.12" thickBot="1" customHeight="1">
      <c r="A31" s="28"/>
      <c r="B31" s="28"/>
      <c r="C31" s="28"/>
      <c r="D31" s="25" t="s">
        <v>79</v>
      </c>
      <c r="E31" s="25"/>
      <c r="F31" s="25"/>
      <c r="G31" s="25"/>
    </row>
    <row r="32" spans="1:7" ht="21.36" thickBot="1" customHeight="1">
      <c r="A32" s="14" t="s">
        <v>80</v>
      </c>
      <c r="B32" s="8" t="s">
        <v>81</v>
      </c>
      <c r="C32" s="8" t="s">
        <v>82</v>
      </c>
      <c r="D32" s="25" t="s">
        <v>83</v>
      </c>
      <c r="E32" s="26">
        <v>7.540</v>
      </c>
      <c r="F32" s="27">
        <f ca="1">ROUND(21.300*(1+G2/100),2)</f>
        <v>0</v>
      </c>
      <c r="G32" s="27">
        <f ca="1">ROUND(E32*F32,2)</f>
        <v>0</v>
      </c>
    </row>
    <row r="33" spans="1:7" ht="12.12" thickBot="1" customHeight="1">
      <c r="A33" s="28"/>
      <c r="B33" s="28"/>
      <c r="C33" s="28"/>
      <c r="D33" s="25" t="s">
        <v>84</v>
      </c>
      <c r="E33" s="25"/>
      <c r="F33" s="25"/>
      <c r="G33" s="25"/>
    </row>
    <row r="34" spans="1:7" ht="39.84" thickBot="1" customHeight="1">
      <c r="A34" s="14" t="s">
        <v>85</v>
      </c>
      <c r="B34" s="8" t="s">
        <v>86</v>
      </c>
      <c r="C34" s="8" t="s">
        <v>87</v>
      </c>
      <c r="D34" s="25" t="s">
        <v>88</v>
      </c>
      <c r="E34" s="26">
        <v>7.540</v>
      </c>
      <c r="F34" s="27">
        <f ca="1">ROUND(25.850*(1+G2/100),2)</f>
        <v>0</v>
      </c>
      <c r="G34" s="27">
        <f ca="1">ROUND(E34*F34,2)</f>
        <v>0</v>
      </c>
    </row>
    <row r="35" spans="1:7" ht="21.36" thickBot="1" customHeight="1">
      <c r="A35" s="28"/>
      <c r="B35" s="28"/>
      <c r="C35" s="28"/>
      <c r="D35" s="25" t="s">
        <v>89</v>
      </c>
      <c r="E35" s="25"/>
      <c r="F35" s="25"/>
      <c r="G35" s="25"/>
    </row>
    <row r="36" spans="1:7" ht="15.48" thickBot="1" customHeight="1">
      <c r="A36" s="29"/>
      <c r="B36" s="29"/>
      <c r="C36" s="29"/>
      <c r="D36" s="30" t="s">
        <v>90</v>
      </c>
      <c r="E36" s="31"/>
      <c r="F36" s="32">
        <f ca="1">G30+G32+G34</f>
        <v>0</v>
      </c>
      <c r="G36" s="32">
        <f ca="1">ROUND(F36,2)</f>
        <v>0</v>
      </c>
    </row>
    <row r="37" spans="1:7" ht="15.48" thickBot="1" customHeight="1">
      <c r="A37" s="33" t="s">
        <v>91</v>
      </c>
      <c r="B37" s="33" t="s">
        <v>92</v>
      </c>
      <c r="C37" s="34"/>
      <c r="D37" s="35" t="s">
        <v>93</v>
      </c>
      <c r="E37" s="34"/>
      <c r="F37" s="36">
        <f ca="1">F52</f>
        <v>0</v>
      </c>
      <c r="G37" s="36">
        <f ca="1">ROUND(F37,2)</f>
        <v>0</v>
      </c>
    </row>
    <row r="38" spans="1:7" ht="21.36" thickBot="1" customHeight="1">
      <c r="A38" s="14" t="s">
        <v>94</v>
      </c>
      <c r="B38" s="8" t="s">
        <v>95</v>
      </c>
      <c r="C38" s="8" t="s">
        <v>96</v>
      </c>
      <c r="D38" s="25" t="s">
        <v>97</v>
      </c>
      <c r="E38" s="26">
        <v>24.645</v>
      </c>
      <c r="F38" s="27">
        <f ca="1">ROUND(55.530*(1+G2/100),2)</f>
        <v>0</v>
      </c>
      <c r="G38" s="27">
        <f ca="1">ROUND(E38*F38,2)</f>
        <v>0</v>
      </c>
    </row>
    <row r="39" spans="1:7" ht="39.84" thickBot="1" customHeight="1">
      <c r="A39" s="28"/>
      <c r="B39" s="28"/>
      <c r="C39" s="28"/>
      <c r="D39" s="25" t="s">
        <v>98</v>
      </c>
      <c r="E39" s="25"/>
      <c r="F39" s="25"/>
      <c r="G39" s="25"/>
    </row>
    <row r="40" spans="1:7" ht="21.36" thickBot="1" customHeight="1">
      <c r="A40" s="14" t="s">
        <v>99</v>
      </c>
      <c r="B40" s="8" t="s">
        <v>100</v>
      </c>
      <c r="C40" s="8" t="s">
        <v>101</v>
      </c>
      <c r="D40" s="25" t="s">
        <v>102</v>
      </c>
      <c r="E40" s="26">
        <v>5.000</v>
      </c>
      <c r="F40" s="27">
        <f ca="1">ROUND(896.990*(1+G2/100),2)</f>
        <v>0</v>
      </c>
      <c r="G40" s="27">
        <f ca="1">ROUND(E40*F40,2)</f>
        <v>0</v>
      </c>
    </row>
    <row r="41" spans="1:7" ht="39.84" thickBot="1" customHeight="1">
      <c r="A41" s="28"/>
      <c r="B41" s="28"/>
      <c r="C41" s="28"/>
      <c r="D41" s="25" t="s">
        <v>103</v>
      </c>
      <c r="E41" s="25"/>
      <c r="F41" s="25"/>
      <c r="G41" s="25"/>
    </row>
    <row r="42" spans="1:7" ht="21.36" thickBot="1" customHeight="1">
      <c r="A42" s="14" t="s">
        <v>104</v>
      </c>
      <c r="B42" s="8" t="s">
        <v>105</v>
      </c>
      <c r="C42" s="8" t="s">
        <v>106</v>
      </c>
      <c r="D42" s="25" t="s">
        <v>107</v>
      </c>
      <c r="E42" s="26">
        <v>8.000</v>
      </c>
      <c r="F42" s="27">
        <f ca="1">ROUND(1484.250*(1+G2/100),2)</f>
        <v>0</v>
      </c>
      <c r="G42" s="27">
        <f ca="1">ROUND(E42*F42,2)</f>
        <v>0</v>
      </c>
    </row>
    <row r="43" spans="1:7" ht="39.84" thickBot="1" customHeight="1">
      <c r="A43" s="28"/>
      <c r="B43" s="28"/>
      <c r="C43" s="28"/>
      <c r="D43" s="25" t="s">
        <v>108</v>
      </c>
      <c r="E43" s="25"/>
      <c r="F43" s="25"/>
      <c r="G43" s="25"/>
    </row>
    <row r="44" spans="1:7" ht="21.36" thickBot="1" customHeight="1">
      <c r="A44" s="14" t="s">
        <v>109</v>
      </c>
      <c r="B44" s="8" t="s">
        <v>110</v>
      </c>
      <c r="C44" s="8" t="s">
        <v>111</v>
      </c>
      <c r="D44" s="25" t="s">
        <v>112</v>
      </c>
      <c r="E44" s="26">
        <v>57.600</v>
      </c>
      <c r="F44" s="27">
        <f ca="1">ROUND(282.590*(1+G2/100),2)</f>
        <v>0</v>
      </c>
      <c r="G44" s="27">
        <f ca="1">ROUND(E44*F44,2)</f>
        <v>0</v>
      </c>
    </row>
    <row r="45" spans="1:7" ht="39.84" thickBot="1" customHeight="1">
      <c r="A45" s="28"/>
      <c r="B45" s="28"/>
      <c r="C45" s="28"/>
      <c r="D45" s="25" t="s">
        <v>113</v>
      </c>
      <c r="E45" s="25"/>
      <c r="F45" s="25"/>
      <c r="G45" s="25"/>
    </row>
    <row r="46" spans="1:7" ht="30.60" thickBot="1" customHeight="1">
      <c r="A46" s="14" t="s">
        <v>114</v>
      </c>
      <c r="B46" s="8" t="s">
        <v>115</v>
      </c>
      <c r="C46" s="8" t="s">
        <v>116</v>
      </c>
      <c r="D46" s="25" t="s">
        <v>117</v>
      </c>
      <c r="E46" s="26">
        <v>5.264</v>
      </c>
      <c r="F46" s="27">
        <f ca="1">ROUND(651.690*(1+G2/100),2)</f>
        <v>0</v>
      </c>
      <c r="G46" s="27">
        <f ca="1">ROUND(E46*F46,2)</f>
        <v>0</v>
      </c>
    </row>
    <row r="47" spans="1:7" ht="49.08" thickBot="1" customHeight="1">
      <c r="A47" s="28"/>
      <c r="B47" s="28"/>
      <c r="C47" s="28"/>
      <c r="D47" s="25" t="s">
        <v>118</v>
      </c>
      <c r="E47" s="25"/>
      <c r="F47" s="25"/>
      <c r="G47" s="25"/>
    </row>
    <row r="48" spans="1:7" ht="21.36" thickBot="1" customHeight="1">
      <c r="A48" s="14" t="s">
        <v>119</v>
      </c>
      <c r="B48" s="8" t="s">
        <v>120</v>
      </c>
      <c r="C48" s="8" t="s">
        <v>121</v>
      </c>
      <c r="D48" s="25" t="s">
        <v>122</v>
      </c>
      <c r="E48" s="26">
        <v>9.200</v>
      </c>
      <c r="F48" s="27">
        <f ca="1">ROUND(43.330*(1+G2/100),2)</f>
        <v>0</v>
      </c>
      <c r="G48" s="27">
        <f ca="1">ROUND(E48*F48,2)</f>
        <v>0</v>
      </c>
    </row>
    <row r="49" spans="1:7" ht="12.12" thickBot="1" customHeight="1">
      <c r="A49" s="28"/>
      <c r="B49" s="28"/>
      <c r="C49" s="28"/>
      <c r="D49" s="25" t="s">
        <v>123</v>
      </c>
      <c r="E49" s="25"/>
      <c r="F49" s="25"/>
      <c r="G49" s="25"/>
    </row>
    <row r="50" spans="1:7" ht="30.60" thickBot="1" customHeight="1">
      <c r="A50" s="14" t="s">
        <v>124</v>
      </c>
      <c r="B50" s="8" t="s">
        <v>125</v>
      </c>
      <c r="C50" s="8" t="s">
        <v>126</v>
      </c>
      <c r="D50" s="25" t="s">
        <v>127</v>
      </c>
      <c r="E50" s="26">
        <v>4.000</v>
      </c>
      <c r="F50" s="27">
        <f ca="1">ROUND(25.400*(1+G2/100),2)</f>
        <v>0</v>
      </c>
      <c r="G50" s="27">
        <f ca="1">ROUND(E50*F50,2)</f>
        <v>0</v>
      </c>
    </row>
    <row r="51" spans="1:7" ht="21.36" thickBot="1" customHeight="1">
      <c r="A51" s="28"/>
      <c r="B51" s="28"/>
      <c r="C51" s="28"/>
      <c r="D51" s="25" t="s">
        <v>128</v>
      </c>
      <c r="E51" s="25"/>
      <c r="F51" s="25"/>
      <c r="G51" s="25"/>
    </row>
    <row r="52" spans="1:7" ht="15.48" thickBot="1" customHeight="1">
      <c r="A52" s="29"/>
      <c r="B52" s="29"/>
      <c r="C52" s="29"/>
      <c r="D52" s="30" t="s">
        <v>129</v>
      </c>
      <c r="E52" s="31"/>
      <c r="F52" s="32">
        <f ca="1">G38+G40+G42+G44+G46+G48+G50</f>
        <v>0</v>
      </c>
      <c r="G52" s="32">
        <f ca="1">ROUND(F52,2)</f>
        <v>0</v>
      </c>
    </row>
    <row r="53" spans="1:7" ht="15.48" thickBot="1" customHeight="1">
      <c r="A53" s="33" t="s">
        <v>130</v>
      </c>
      <c r="B53" s="33" t="s">
        <v>131</v>
      </c>
      <c r="C53" s="34"/>
      <c r="D53" s="35" t="s">
        <v>132</v>
      </c>
      <c r="E53" s="34"/>
      <c r="F53" s="36">
        <f ca="1">F66</f>
        <v>0</v>
      </c>
      <c r="G53" s="36">
        <f ca="1">ROUND(F53,2)</f>
        <v>0</v>
      </c>
    </row>
    <row r="54" spans="1:7" ht="21.36" thickBot="1" customHeight="1">
      <c r="A54" s="14" t="s">
        <v>133</v>
      </c>
      <c r="B54" s="8" t="s">
        <v>134</v>
      </c>
      <c r="C54" s="8" t="s">
        <v>135</v>
      </c>
      <c r="D54" s="25" t="s">
        <v>136</v>
      </c>
      <c r="E54" s="26">
        <v>2.000</v>
      </c>
      <c r="F54" s="27">
        <f ca="1">ROUND(5766.510*(1+G2/100),2)</f>
        <v>0</v>
      </c>
      <c r="G54" s="27">
        <f ca="1">ROUND(E54*F54,2)</f>
        <v>0</v>
      </c>
    </row>
    <row r="55" spans="1:7" ht="76.80" thickBot="1" customHeight="1">
      <c r="A55" s="28"/>
      <c r="B55" s="28"/>
      <c r="C55" s="28"/>
      <c r="D55" s="25" t="s">
        <v>137</v>
      </c>
      <c r="E55" s="25"/>
      <c r="F55" s="25"/>
      <c r="G55" s="25"/>
    </row>
    <row r="56" spans="1:7" ht="15.48" thickBot="1" customHeight="1">
      <c r="A56" s="14" t="s">
        <v>138</v>
      </c>
      <c r="B56" s="8" t="s">
        <v>139</v>
      </c>
      <c r="C56" s="8" t="s">
        <v>140</v>
      </c>
      <c r="D56" s="25" t="s">
        <v>141</v>
      </c>
      <c r="E56" s="26">
        <v>2.000</v>
      </c>
      <c r="F56" s="27">
        <f ca="1">ROUND(39.130*(1+G2/100),2)</f>
        <v>0</v>
      </c>
      <c r="G56" s="27">
        <f ca="1">ROUND(E56*F56,2)</f>
        <v>0</v>
      </c>
    </row>
    <row r="57" spans="1:7" ht="12.12" thickBot="1" customHeight="1">
      <c r="A57" s="28"/>
      <c r="B57" s="28"/>
      <c r="C57" s="28"/>
      <c r="D57" s="25" t="s">
        <v>142</v>
      </c>
      <c r="E57" s="25"/>
      <c r="F57" s="25"/>
      <c r="G57" s="25"/>
    </row>
    <row r="58" spans="1:7" ht="21.36" thickBot="1" customHeight="1">
      <c r="A58" s="14" t="s">
        <v>143</v>
      </c>
      <c r="B58" s="8" t="s">
        <v>144</v>
      </c>
      <c r="C58" s="8" t="s">
        <v>145</v>
      </c>
      <c r="D58" s="25" t="s">
        <v>146</v>
      </c>
      <c r="E58" s="26">
        <v>2.000</v>
      </c>
      <c r="F58" s="27">
        <f ca="1">ROUND(215.990*(1+G2/100),2)</f>
        <v>0</v>
      </c>
      <c r="G58" s="27">
        <f ca="1">ROUND(E58*F58,2)</f>
        <v>0</v>
      </c>
    </row>
    <row r="59" spans="1:7" ht="21.36" thickBot="1" customHeight="1">
      <c r="A59" s="28"/>
      <c r="B59" s="28"/>
      <c r="C59" s="28"/>
      <c r="D59" s="25" t="s">
        <v>147</v>
      </c>
      <c r="E59" s="25"/>
      <c r="F59" s="25"/>
      <c r="G59" s="25"/>
    </row>
    <row r="60" spans="1:7" ht="15.48" thickBot="1" customHeight="1">
      <c r="A60" s="14" t="s">
        <v>148</v>
      </c>
      <c r="B60" s="8" t="s">
        <v>149</v>
      </c>
      <c r="C60" s="8" t="s">
        <v>150</v>
      </c>
      <c r="D60" s="25" t="s">
        <v>151</v>
      </c>
      <c r="E60" s="26">
        <v>27.200</v>
      </c>
      <c r="F60" s="27">
        <f ca="1">ROUND(3.470*(1+G2/100),2)</f>
        <v>0</v>
      </c>
      <c r="G60" s="27">
        <f ca="1">ROUND(E60*F60,2)</f>
        <v>0</v>
      </c>
    </row>
    <row r="61" spans="1:7" ht="12.12" thickBot="1" customHeight="1">
      <c r="A61" s="28"/>
      <c r="B61" s="28"/>
      <c r="C61" s="28"/>
      <c r="D61" s="25" t="s">
        <v>152</v>
      </c>
      <c r="E61" s="25"/>
      <c r="F61" s="25"/>
      <c r="G61" s="25"/>
    </row>
    <row r="62" spans="1:7" ht="21.36" thickBot="1" customHeight="1">
      <c r="A62" s="14" t="s">
        <v>153</v>
      </c>
      <c r="B62" s="8" t="s">
        <v>154</v>
      </c>
      <c r="C62" s="8" t="s">
        <v>155</v>
      </c>
      <c r="D62" s="25" t="s">
        <v>156</v>
      </c>
      <c r="E62" s="26">
        <v>1.000</v>
      </c>
      <c r="F62" s="27">
        <f ca="1">ROUND(1395.540*(1+G2/100),2)</f>
        <v>0</v>
      </c>
      <c r="G62" s="27">
        <f ca="1">ROUND(E62*F62,2)</f>
        <v>0</v>
      </c>
    </row>
    <row r="63" spans="1:7" ht="21.36" thickBot="1" customHeight="1">
      <c r="A63" s="28"/>
      <c r="B63" s="28"/>
      <c r="C63" s="28"/>
      <c r="D63" s="25" t="s">
        <v>157</v>
      </c>
      <c r="E63" s="25"/>
      <c r="F63" s="25"/>
      <c r="G63" s="25"/>
    </row>
    <row r="64" spans="1:7" ht="21.36" thickBot="1" customHeight="1">
      <c r="A64" s="14" t="s">
        <v>158</v>
      </c>
      <c r="B64" s="8" t="s">
        <v>159</v>
      </c>
      <c r="C64" s="8" t="s">
        <v>160</v>
      </c>
      <c r="D64" s="25" t="s">
        <v>161</v>
      </c>
      <c r="E64" s="26">
        <v>4.960</v>
      </c>
      <c r="F64" s="27">
        <f ca="1">ROUND(75.890*(1+G2/100),2)</f>
        <v>0</v>
      </c>
      <c r="G64" s="27">
        <f ca="1">ROUND(E64*F64,2)</f>
        <v>0</v>
      </c>
    </row>
    <row r="65" spans="1:7" ht="21.36" thickBot="1" customHeight="1">
      <c r="A65" s="28"/>
      <c r="B65" s="28"/>
      <c r="C65" s="28"/>
      <c r="D65" s="25" t="s">
        <v>162</v>
      </c>
      <c r="E65" s="25"/>
      <c r="F65" s="25"/>
      <c r="G65" s="25"/>
    </row>
    <row r="66" spans="1:7" ht="15.48" thickBot="1" customHeight="1">
      <c r="A66" s="29"/>
      <c r="B66" s="29"/>
      <c r="C66" s="29"/>
      <c r="D66" s="30" t="s">
        <v>163</v>
      </c>
      <c r="E66" s="31"/>
      <c r="F66" s="32">
        <f ca="1">G54+G56+G58+G60+G62+G64</f>
        <v>0</v>
      </c>
      <c r="G66" s="32">
        <f ca="1">ROUND(F66,2)</f>
        <v>0</v>
      </c>
    </row>
    <row r="67" spans="1:7" ht="15.48" thickBot="1" customHeight="1">
      <c r="A67" s="33" t="s">
        <v>164</v>
      </c>
      <c r="B67" s="33" t="s">
        <v>165</v>
      </c>
      <c r="C67" s="34"/>
      <c r="D67" s="35" t="s">
        <v>166</v>
      </c>
      <c r="E67" s="34"/>
      <c r="F67" s="36">
        <f ca="1">F84</f>
        <v>0</v>
      </c>
      <c r="G67" s="36">
        <f ca="1">ROUND(F67,2)</f>
        <v>0</v>
      </c>
    </row>
    <row r="68" spans="1:7" ht="15.48" thickBot="1" customHeight="1">
      <c r="A68" s="14" t="s">
        <v>167</v>
      </c>
      <c r="B68" s="8" t="s">
        <v>168</v>
      </c>
      <c r="C68" s="8" t="s">
        <v>169</v>
      </c>
      <c r="D68" s="25" t="s">
        <v>170</v>
      </c>
      <c r="E68" s="26">
        <v>38.000</v>
      </c>
      <c r="F68" s="27">
        <f ca="1">ROUND(34.190*(1+G2/100),2)</f>
        <v>0</v>
      </c>
      <c r="G68" s="27">
        <f ca="1">ROUND(E68*F68,2)</f>
        <v>0</v>
      </c>
    </row>
    <row r="69" spans="1:7" ht="21.36" thickBot="1" customHeight="1">
      <c r="A69" s="28"/>
      <c r="B69" s="28"/>
      <c r="C69" s="28"/>
      <c r="D69" s="25" t="s">
        <v>171</v>
      </c>
      <c r="E69" s="25"/>
      <c r="F69" s="25"/>
      <c r="G69" s="25"/>
    </row>
    <row r="70" spans="1:7" ht="21.36" thickBot="1" customHeight="1">
      <c r="A70" s="14" t="s">
        <v>172</v>
      </c>
      <c r="B70" s="8" t="s">
        <v>173</v>
      </c>
      <c r="C70" s="8" t="s">
        <v>174</v>
      </c>
      <c r="D70" s="25" t="s">
        <v>175</v>
      </c>
      <c r="E70" s="26">
        <v>36.300</v>
      </c>
      <c r="F70" s="27">
        <f ca="1">ROUND(49.160*(1+G2/100),2)</f>
        <v>0</v>
      </c>
      <c r="G70" s="27">
        <f ca="1">ROUND(E70*F70,2)</f>
        <v>0</v>
      </c>
    </row>
    <row r="71" spans="1:7" ht="21.36" thickBot="1" customHeight="1">
      <c r="A71" s="28"/>
      <c r="B71" s="28"/>
      <c r="C71" s="28"/>
      <c r="D71" s="25" t="s">
        <v>176</v>
      </c>
      <c r="E71" s="25"/>
      <c r="F71" s="25"/>
      <c r="G71" s="25"/>
    </row>
    <row r="72" spans="1:7" ht="21.36" thickBot="1" customHeight="1">
      <c r="A72" s="14" t="s">
        <v>177</v>
      </c>
      <c r="B72" s="8" t="s">
        <v>178</v>
      </c>
      <c r="C72" s="8" t="s">
        <v>179</v>
      </c>
      <c r="D72" s="25" t="s">
        <v>180</v>
      </c>
      <c r="E72" s="26">
        <v>5.940</v>
      </c>
      <c r="F72" s="27">
        <f ca="1">ROUND(40.660*(1+G2/100),2)</f>
        <v>0</v>
      </c>
      <c r="G72" s="27">
        <f ca="1">ROUND(E72*F72,2)</f>
        <v>0</v>
      </c>
    </row>
    <row r="73" spans="1:7" ht="30.60" thickBot="1" customHeight="1">
      <c r="A73" s="28"/>
      <c r="B73" s="28"/>
      <c r="C73" s="28"/>
      <c r="D73" s="25" t="s">
        <v>181</v>
      </c>
      <c r="E73" s="25"/>
      <c r="F73" s="25"/>
      <c r="G73" s="25"/>
    </row>
    <row r="74" spans="1:7" ht="21.36" thickBot="1" customHeight="1">
      <c r="A74" s="14" t="s">
        <v>182</v>
      </c>
      <c r="B74" s="8" t="s">
        <v>183</v>
      </c>
      <c r="C74" s="8" t="s">
        <v>184</v>
      </c>
      <c r="D74" s="25" t="s">
        <v>185</v>
      </c>
      <c r="E74" s="26">
        <v>126.585</v>
      </c>
      <c r="F74" s="27">
        <f ca="1">ROUND(48.640*(1+G2/100),2)</f>
        <v>0</v>
      </c>
      <c r="G74" s="27">
        <f ca="1">ROUND(E74*F74,2)</f>
        <v>0</v>
      </c>
    </row>
    <row r="75" spans="1:7" ht="39.84" thickBot="1" customHeight="1">
      <c r="A75" s="28"/>
      <c r="B75" s="28"/>
      <c r="C75" s="28"/>
      <c r="D75" s="25" t="s">
        <v>186</v>
      </c>
      <c r="E75" s="25"/>
      <c r="F75" s="25"/>
      <c r="G75" s="25"/>
    </row>
    <row r="76" spans="1:7" ht="15.48" thickBot="1" customHeight="1">
      <c r="A76" s="14" t="s">
        <v>187</v>
      </c>
      <c r="B76" s="8" t="s">
        <v>188</v>
      </c>
      <c r="C76" s="8" t="s">
        <v>189</v>
      </c>
      <c r="D76" s="25" t="s">
        <v>190</v>
      </c>
      <c r="E76" s="26">
        <v>5.000</v>
      </c>
      <c r="F76" s="27">
        <f ca="1">ROUND(9.500*(1+G2/100),2)</f>
        <v>0</v>
      </c>
      <c r="G76" s="27">
        <f ca="1">ROUND(E76*F76,2)</f>
        <v>0</v>
      </c>
    </row>
    <row r="77" spans="1:7" ht="21.36" thickBot="1" customHeight="1">
      <c r="A77" s="28"/>
      <c r="B77" s="28"/>
      <c r="C77" s="28"/>
      <c r="D77" s="25" t="s">
        <v>191</v>
      </c>
      <c r="E77" s="25"/>
      <c r="F77" s="25"/>
      <c r="G77" s="25"/>
    </row>
    <row r="78" spans="1:7" ht="15.48" thickBot="1" customHeight="1">
      <c r="A78" s="14" t="s">
        <v>192</v>
      </c>
      <c r="B78" s="8" t="s">
        <v>193</v>
      </c>
      <c r="C78" s="8" t="s">
        <v>194</v>
      </c>
      <c r="D78" s="25" t="s">
        <v>195</v>
      </c>
      <c r="E78" s="26">
        <v>94.430</v>
      </c>
      <c r="F78" s="27">
        <f ca="1">ROUND(5.790*(1+G2/100),2)</f>
        <v>0</v>
      </c>
      <c r="G78" s="27">
        <f ca="1">ROUND(E78*F78,2)</f>
        <v>0</v>
      </c>
    </row>
    <row r="79" spans="1:7" ht="12.12" thickBot="1" customHeight="1">
      <c r="A79" s="28"/>
      <c r="B79" s="28"/>
      <c r="C79" s="28"/>
      <c r="D79" s="25" t="s">
        <v>196</v>
      </c>
      <c r="E79" s="25"/>
      <c r="F79" s="25"/>
      <c r="G79" s="25"/>
    </row>
    <row r="80" spans="1:7" ht="15.48" thickBot="1" customHeight="1">
      <c r="A80" s="14" t="s">
        <v>197</v>
      </c>
      <c r="B80" s="8" t="s">
        <v>198</v>
      </c>
      <c r="C80" s="8" t="s">
        <v>199</v>
      </c>
      <c r="D80" s="25" t="s">
        <v>200</v>
      </c>
      <c r="E80" s="26">
        <v>216.200</v>
      </c>
      <c r="F80" s="27">
        <f ca="1">ROUND(6.740*(1+G2/100),2)</f>
        <v>0</v>
      </c>
      <c r="G80" s="27">
        <f ca="1">ROUND(E80*F80,2)</f>
        <v>0</v>
      </c>
    </row>
    <row r="81" spans="1:7" ht="12.12" thickBot="1" customHeight="1">
      <c r="A81" s="28"/>
      <c r="B81" s="28"/>
      <c r="C81" s="28"/>
      <c r="D81" s="25" t="s">
        <v>201</v>
      </c>
      <c r="E81" s="25"/>
      <c r="F81" s="25"/>
      <c r="G81" s="25"/>
    </row>
    <row r="82" spans="1:7" ht="21.36" thickBot="1" customHeight="1">
      <c r="A82" s="14" t="s">
        <v>202</v>
      </c>
      <c r="B82" s="8" t="s">
        <v>203</v>
      </c>
      <c r="C82" s="8" t="s">
        <v>204</v>
      </c>
      <c r="D82" s="25" t="s">
        <v>205</v>
      </c>
      <c r="E82" s="26">
        <v>11.000</v>
      </c>
      <c r="F82" s="27">
        <f ca="1">ROUND(12.430*(1+G2/100),2)</f>
        <v>0</v>
      </c>
      <c r="G82" s="27">
        <f ca="1">ROUND(E82*F82,2)</f>
        <v>0</v>
      </c>
    </row>
    <row r="83" spans="1:7" ht="21.36" thickBot="1" customHeight="1">
      <c r="A83" s="28"/>
      <c r="B83" s="28"/>
      <c r="C83" s="28"/>
      <c r="D83" s="25" t="s">
        <v>206</v>
      </c>
      <c r="E83" s="25"/>
      <c r="F83" s="25"/>
      <c r="G83" s="25"/>
    </row>
    <row r="84" spans="1:7" ht="15.48" thickBot="1" customHeight="1">
      <c r="A84" s="29"/>
      <c r="B84" s="29"/>
      <c r="C84" s="29"/>
      <c r="D84" s="30" t="s">
        <v>207</v>
      </c>
      <c r="E84" s="31"/>
      <c r="F84" s="32">
        <f ca="1">G68+G70+G72+G74+G76+G78+G80+G82</f>
        <v>0</v>
      </c>
      <c r="G84" s="32">
        <f ca="1">ROUND(F84,2)</f>
        <v>0</v>
      </c>
    </row>
    <row r="85" spans="1:7" ht="15.48" thickBot="1" customHeight="1">
      <c r="A85" s="33" t="s">
        <v>208</v>
      </c>
      <c r="B85" s="33" t="s">
        <v>209</v>
      </c>
      <c r="C85" s="34"/>
      <c r="D85" s="35" t="s">
        <v>210</v>
      </c>
      <c r="E85" s="34"/>
      <c r="F85" s="36">
        <f ca="1">F94</f>
        <v>0</v>
      </c>
      <c r="G85" s="36">
        <f ca="1">ROUND(F85,2)</f>
        <v>0</v>
      </c>
    </row>
    <row r="86" spans="1:7" ht="21.36" thickBot="1" customHeight="1">
      <c r="A86" s="14" t="s">
        <v>211</v>
      </c>
      <c r="B86" s="8" t="s">
        <v>212</v>
      </c>
      <c r="C86" s="8" t="s">
        <v>213</v>
      </c>
      <c r="D86" s="25" t="s">
        <v>214</v>
      </c>
      <c r="E86" s="26">
        <v>200.000</v>
      </c>
      <c r="F86" s="27">
        <f ca="1">ROUND(8.860*(1+G2/100),2)</f>
        <v>0</v>
      </c>
      <c r="G86" s="27">
        <f ca="1">ROUND(E86*F86,2)</f>
        <v>0</v>
      </c>
    </row>
    <row r="87" spans="1:7" ht="21.36" thickBot="1" customHeight="1">
      <c r="A87" s="28"/>
      <c r="B87" s="28"/>
      <c r="C87" s="28"/>
      <c r="D87" s="25" t="s">
        <v>215</v>
      </c>
      <c r="E87" s="25"/>
      <c r="F87" s="25"/>
      <c r="G87" s="25"/>
    </row>
    <row r="88" spans="1:7" ht="21.36" thickBot="1" customHeight="1">
      <c r="A88" s="14" t="s">
        <v>216</v>
      </c>
      <c r="B88" s="8" t="s">
        <v>217</v>
      </c>
      <c r="C88" s="8" t="s">
        <v>218</v>
      </c>
      <c r="D88" s="25" t="s">
        <v>219</v>
      </c>
      <c r="E88" s="26">
        <v>200.000</v>
      </c>
      <c r="F88" s="27">
        <f ca="1">ROUND(37.620*(1+G2/100),2)</f>
        <v>0</v>
      </c>
      <c r="G88" s="27">
        <f ca="1">ROUND(E88*F88,2)</f>
        <v>0</v>
      </c>
    </row>
    <row r="89" spans="1:7" ht="30.60" thickBot="1" customHeight="1">
      <c r="A89" s="28"/>
      <c r="B89" s="28"/>
      <c r="C89" s="28"/>
      <c r="D89" s="25" t="s">
        <v>220</v>
      </c>
      <c r="E89" s="25"/>
      <c r="F89" s="25"/>
      <c r="G89" s="25"/>
    </row>
    <row r="90" spans="1:7" ht="15.48" thickBot="1" customHeight="1">
      <c r="A90" s="14" t="s">
        <v>221</v>
      </c>
      <c r="B90" s="8" t="s">
        <v>222</v>
      </c>
      <c r="C90" s="8" t="s">
        <v>223</v>
      </c>
      <c r="D90" s="25" t="s">
        <v>224</v>
      </c>
      <c r="E90" s="26">
        <v>5.200</v>
      </c>
      <c r="F90" s="27">
        <f ca="1">ROUND(32.270*(1+G2/100),2)</f>
        <v>0</v>
      </c>
      <c r="G90" s="27">
        <f ca="1">ROUND(E90*F90,2)</f>
        <v>0</v>
      </c>
    </row>
    <row r="91" spans="1:7" ht="12.12" thickBot="1" customHeight="1">
      <c r="A91" s="28"/>
      <c r="B91" s="28"/>
      <c r="C91" s="28"/>
      <c r="D91" s="25" t="s">
        <v>225</v>
      </c>
      <c r="E91" s="25"/>
      <c r="F91" s="25"/>
      <c r="G91" s="25"/>
    </row>
    <row r="92" spans="1:7" ht="21.36" thickBot="1" customHeight="1">
      <c r="A92" s="14" t="s">
        <v>226</v>
      </c>
      <c r="B92" s="8" t="s">
        <v>227</v>
      </c>
      <c r="C92" s="8" t="s">
        <v>228</v>
      </c>
      <c r="D92" s="25" t="s">
        <v>229</v>
      </c>
      <c r="E92" s="26">
        <v>16.000</v>
      </c>
      <c r="F92" s="27">
        <f ca="1">ROUND(32.660*(1+G2/100),2)</f>
        <v>0</v>
      </c>
      <c r="G92" s="27">
        <f ca="1">ROUND(E92*F92,2)</f>
        <v>0</v>
      </c>
    </row>
    <row r="93" spans="1:7" ht="21.36" thickBot="1" customHeight="1">
      <c r="A93" s="28"/>
      <c r="B93" s="28"/>
      <c r="C93" s="28"/>
      <c r="D93" s="25" t="s">
        <v>230</v>
      </c>
      <c r="E93" s="25"/>
      <c r="F93" s="25"/>
      <c r="G93" s="25"/>
    </row>
    <row r="94" spans="1:7" ht="15.48" thickBot="1" customHeight="1">
      <c r="A94" s="29"/>
      <c r="B94" s="29"/>
      <c r="C94" s="29"/>
      <c r="D94" s="30" t="s">
        <v>231</v>
      </c>
      <c r="E94" s="31"/>
      <c r="F94" s="32">
        <f ca="1">G86+G88+G90+G92</f>
        <v>0</v>
      </c>
      <c r="G94" s="32">
        <f ca="1">ROUND(F94,2)</f>
        <v>0</v>
      </c>
    </row>
    <row r="95" spans="1:7" ht="15.48" thickBot="1" customHeight="1">
      <c r="A95" s="33" t="s">
        <v>232</v>
      </c>
      <c r="B95" s="33" t="s">
        <v>233</v>
      </c>
      <c r="C95" s="34"/>
      <c r="D95" s="35" t="s">
        <v>234</v>
      </c>
      <c r="E95" s="34"/>
      <c r="F95" s="36">
        <f ca="1">F304</f>
        <v>0</v>
      </c>
      <c r="G95" s="36">
        <f ca="1">ROUND(F95,2)</f>
        <v>0</v>
      </c>
    </row>
    <row r="96" spans="1:7" ht="15.48" thickBot="1" customHeight="1">
      <c r="A96" s="37" t="s">
        <v>235</v>
      </c>
      <c r="B96" s="37" t="s">
        <v>236</v>
      </c>
      <c r="C96" s="38"/>
      <c r="D96" s="39" t="s">
        <v>237</v>
      </c>
      <c r="E96" s="38"/>
      <c r="F96" s="40">
        <f ca="1">F135</f>
        <v>0</v>
      </c>
      <c r="G96" s="40">
        <f ca="1">ROUND(F96,2)</f>
        <v>0</v>
      </c>
    </row>
    <row r="97" spans="1:7" ht="15.48" thickBot="1" customHeight="1">
      <c r="A97" s="41" t="s">
        <v>238</v>
      </c>
      <c r="B97" s="41" t="s">
        <v>239</v>
      </c>
      <c r="C97" s="42"/>
      <c r="D97" s="43" t="s">
        <v>240</v>
      </c>
      <c r="E97" s="42"/>
      <c r="F97" s="44">
        <f ca="1">F128</f>
        <v>0</v>
      </c>
      <c r="G97" s="44">
        <f ca="1">ROUND(F97,2)</f>
        <v>0</v>
      </c>
    </row>
    <row r="98" spans="1:7" ht="58.32" thickBot="1" customHeight="1">
      <c r="A98" s="14" t="s">
        <v>241</v>
      </c>
      <c r="B98" s="8" t="s">
        <v>242</v>
      </c>
      <c r="C98" s="8" t="s">
        <v>243</v>
      </c>
      <c r="D98" s="25" t="s">
        <v>244</v>
      </c>
      <c r="E98" s="26">
        <v>1.000</v>
      </c>
      <c r="F98" s="27">
        <f ca="1">ROUND(2546.080*(1+G2/100),2)</f>
        <v>0</v>
      </c>
      <c r="G98" s="27">
        <f ca="1">ROUND(E98*F98,2)</f>
        <v>0</v>
      </c>
    </row>
    <row r="99" spans="1:7" ht="141.48" thickBot="1" customHeight="1">
      <c r="A99" s="28"/>
      <c r="B99" s="28"/>
      <c r="C99" s="28"/>
      <c r="D99" s="25" t="s">
        <v>245</v>
      </c>
      <c r="E99" s="25"/>
      <c r="F99" s="25"/>
      <c r="G99" s="25"/>
    </row>
    <row r="100" spans="1:7" ht="67.56" thickBot="1" customHeight="1">
      <c r="A100" s="14" t="s">
        <v>246</v>
      </c>
      <c r="B100" s="8" t="s">
        <v>247</v>
      </c>
      <c r="C100" s="8" t="s">
        <v>248</v>
      </c>
      <c r="D100" s="25" t="s">
        <v>249</v>
      </c>
      <c r="E100" s="26">
        <v>1.000</v>
      </c>
      <c r="F100" s="27">
        <f ca="1">ROUND(3560.620*(1+G2/100),2)</f>
        <v>0</v>
      </c>
      <c r="G100" s="27">
        <f ca="1">ROUND(E100*F100,2)</f>
        <v>0</v>
      </c>
    </row>
    <row r="101" spans="1:7" ht="141.48" thickBot="1" customHeight="1">
      <c r="A101" s="28"/>
      <c r="B101" s="28"/>
      <c r="C101" s="28"/>
      <c r="D101" s="25" t="s">
        <v>250</v>
      </c>
      <c r="E101" s="25"/>
      <c r="F101" s="25"/>
      <c r="G101" s="25"/>
    </row>
    <row r="102" spans="1:7" ht="21.36" thickBot="1" customHeight="1">
      <c r="A102" s="14" t="s">
        <v>251</v>
      </c>
      <c r="B102" s="8" t="s">
        <v>252</v>
      </c>
      <c r="C102" s="8" t="s">
        <v>253</v>
      </c>
      <c r="D102" s="25" t="s">
        <v>254</v>
      </c>
      <c r="E102" s="26">
        <v>53.386</v>
      </c>
      <c r="F102" s="27">
        <f ca="1">ROUND(37.910*(1+G2/100),2)</f>
        <v>0</v>
      </c>
      <c r="G102" s="27">
        <f ca="1">ROUND(E102*F102,2)</f>
        <v>0</v>
      </c>
    </row>
    <row r="103" spans="1:7" ht="30.60" thickBot="1" customHeight="1">
      <c r="A103" s="28"/>
      <c r="B103" s="28"/>
      <c r="C103" s="28"/>
      <c r="D103" s="25" t="s">
        <v>255</v>
      </c>
      <c r="E103" s="25"/>
      <c r="F103" s="25"/>
      <c r="G103" s="25"/>
    </row>
    <row r="104" spans="1:7" ht="21.36" thickBot="1" customHeight="1">
      <c r="A104" s="14" t="s">
        <v>256</v>
      </c>
      <c r="B104" s="8" t="s">
        <v>257</v>
      </c>
      <c r="C104" s="8" t="s">
        <v>258</v>
      </c>
      <c r="D104" s="25" t="s">
        <v>259</v>
      </c>
      <c r="E104" s="26">
        <v>2.000</v>
      </c>
      <c r="F104" s="27">
        <f ca="1">ROUND(163.340*(1+G2/100),2)</f>
        <v>0</v>
      </c>
      <c r="G104" s="27">
        <f ca="1">ROUND(E104*F104,2)</f>
        <v>0</v>
      </c>
    </row>
    <row r="105" spans="1:7" ht="39.84" thickBot="1" customHeight="1">
      <c r="A105" s="28"/>
      <c r="B105" s="28"/>
      <c r="C105" s="28"/>
      <c r="D105" s="25" t="s">
        <v>260</v>
      </c>
      <c r="E105" s="25"/>
      <c r="F105" s="25"/>
      <c r="G105" s="25"/>
    </row>
    <row r="106" spans="1:7" ht="30.60" thickBot="1" customHeight="1">
      <c r="A106" s="14" t="s">
        <v>261</v>
      </c>
      <c r="B106" s="8" t="s">
        <v>262</v>
      </c>
      <c r="C106" s="8" t="s">
        <v>263</v>
      </c>
      <c r="D106" s="25" t="s">
        <v>264</v>
      </c>
      <c r="E106" s="26">
        <v>2.000</v>
      </c>
      <c r="F106" s="27">
        <f ca="1">ROUND(40.300*(1+G2/100),2)</f>
        <v>0</v>
      </c>
      <c r="G106" s="27">
        <f ca="1">ROUND(E106*F106,2)</f>
        <v>0</v>
      </c>
    </row>
    <row r="107" spans="1:7" ht="30.60" thickBot="1" customHeight="1">
      <c r="A107" s="28"/>
      <c r="B107" s="28"/>
      <c r="C107" s="28"/>
      <c r="D107" s="25" t="s">
        <v>265</v>
      </c>
      <c r="E107" s="25"/>
      <c r="F107" s="25"/>
      <c r="G107" s="25"/>
    </row>
    <row r="108" spans="1:7" ht="30.60" thickBot="1" customHeight="1">
      <c r="A108" s="14" t="s">
        <v>266</v>
      </c>
      <c r="B108" s="8" t="s">
        <v>267</v>
      </c>
      <c r="C108" s="8" t="s">
        <v>268</v>
      </c>
      <c r="D108" s="25" t="s">
        <v>269</v>
      </c>
      <c r="E108" s="26">
        <v>55.000</v>
      </c>
      <c r="F108" s="27">
        <f ca="1">ROUND(1.380*(1+G2/100),2)</f>
        <v>0</v>
      </c>
      <c r="G108" s="27">
        <f ca="1">ROUND(E108*F108,2)</f>
        <v>0</v>
      </c>
    </row>
    <row r="109" spans="1:7" ht="21.36" thickBot="1" customHeight="1">
      <c r="A109" s="28"/>
      <c r="B109" s="28"/>
      <c r="C109" s="28"/>
      <c r="D109" s="25" t="s">
        <v>270</v>
      </c>
      <c r="E109" s="25"/>
      <c r="F109" s="25"/>
      <c r="G109" s="25"/>
    </row>
    <row r="110" spans="1:7" ht="21.36" thickBot="1" customHeight="1">
      <c r="A110" s="14" t="s">
        <v>271</v>
      </c>
      <c r="B110" s="8" t="s">
        <v>272</v>
      </c>
      <c r="C110" s="8" t="s">
        <v>273</v>
      </c>
      <c r="D110" s="25" t="s">
        <v>274</v>
      </c>
      <c r="E110" s="26">
        <v>55.000</v>
      </c>
      <c r="F110" s="27">
        <f ca="1">ROUND(1.470*(1+G2/100),2)</f>
        <v>0</v>
      </c>
      <c r="G110" s="27">
        <f ca="1">ROUND(E110*F110,2)</f>
        <v>0</v>
      </c>
    </row>
    <row r="111" spans="1:7" ht="21.36" thickBot="1" customHeight="1">
      <c r="A111" s="28"/>
      <c r="B111" s="28"/>
      <c r="C111" s="28"/>
      <c r="D111" s="25" t="s">
        <v>275</v>
      </c>
      <c r="E111" s="25"/>
      <c r="F111" s="25"/>
      <c r="G111" s="25"/>
    </row>
    <row r="112" spans="1:7" ht="21.36" thickBot="1" customHeight="1">
      <c r="A112" s="14" t="s">
        <v>276</v>
      </c>
      <c r="B112" s="8" t="s">
        <v>277</v>
      </c>
      <c r="C112" s="8" t="s">
        <v>278</v>
      </c>
      <c r="D112" s="25" t="s">
        <v>279</v>
      </c>
      <c r="E112" s="26">
        <v>55.000</v>
      </c>
      <c r="F112" s="27">
        <f ca="1">ROUND(15.600*(1+G2/100),2)</f>
        <v>0</v>
      </c>
      <c r="G112" s="27">
        <f ca="1">ROUND(E112*F112,2)</f>
        <v>0</v>
      </c>
    </row>
    <row r="113" spans="1:7" ht="21.36" thickBot="1" customHeight="1">
      <c r="A113" s="28"/>
      <c r="B113" s="28"/>
      <c r="C113" s="28"/>
      <c r="D113" s="25" t="s">
        <v>280</v>
      </c>
      <c r="E113" s="25"/>
      <c r="F113" s="25"/>
      <c r="G113" s="25"/>
    </row>
    <row r="114" spans="1:7" ht="21.36" thickBot="1" customHeight="1">
      <c r="A114" s="14" t="s">
        <v>281</v>
      </c>
      <c r="B114" s="8" t="s">
        <v>282</v>
      </c>
      <c r="C114" s="8" t="s">
        <v>283</v>
      </c>
      <c r="D114" s="25" t="s">
        <v>284</v>
      </c>
      <c r="E114" s="26">
        <v>55.000</v>
      </c>
      <c r="F114" s="27">
        <f ca="1">ROUND(16.810*(1+G2/100),2)</f>
        <v>0</v>
      </c>
      <c r="G114" s="27">
        <f ca="1">ROUND(E114*F114,2)</f>
        <v>0</v>
      </c>
    </row>
    <row r="115" spans="1:7" ht="21.36" thickBot="1" customHeight="1">
      <c r="A115" s="28"/>
      <c r="B115" s="28"/>
      <c r="C115" s="28"/>
      <c r="D115" s="25" t="s">
        <v>285</v>
      </c>
      <c r="E115" s="25"/>
      <c r="F115" s="25"/>
      <c r="G115" s="25"/>
    </row>
    <row r="116" spans="1:7" ht="30.60" thickBot="1" customHeight="1">
      <c r="A116" s="14" t="s">
        <v>286</v>
      </c>
      <c r="B116" s="8" t="s">
        <v>287</v>
      </c>
      <c r="C116" s="8" t="s">
        <v>288</v>
      </c>
      <c r="D116" s="25" t="s">
        <v>289</v>
      </c>
      <c r="E116" s="26">
        <v>55.000</v>
      </c>
      <c r="F116" s="27">
        <f ca="1">ROUND(6.010*(1+G2/100),2)</f>
        <v>0</v>
      </c>
      <c r="G116" s="27">
        <f ca="1">ROUND(E116*F116,2)</f>
        <v>0</v>
      </c>
    </row>
    <row r="117" spans="1:7" ht="30.60" thickBot="1" customHeight="1">
      <c r="A117" s="28"/>
      <c r="B117" s="28"/>
      <c r="C117" s="28"/>
      <c r="D117" s="25" t="s">
        <v>290</v>
      </c>
      <c r="E117" s="25"/>
      <c r="F117" s="25"/>
      <c r="G117" s="25"/>
    </row>
    <row r="118" spans="1:7" ht="30.60" thickBot="1" customHeight="1">
      <c r="A118" s="14" t="s">
        <v>291</v>
      </c>
      <c r="B118" s="8" t="s">
        <v>292</v>
      </c>
      <c r="C118" s="8" t="s">
        <v>293</v>
      </c>
      <c r="D118" s="25" t="s">
        <v>294</v>
      </c>
      <c r="E118" s="26">
        <v>55.000</v>
      </c>
      <c r="F118" s="27">
        <f ca="1">ROUND(8.000*(1+G2/100),2)</f>
        <v>0</v>
      </c>
      <c r="G118" s="27">
        <f ca="1">ROUND(E118*F118,2)</f>
        <v>0</v>
      </c>
    </row>
    <row r="119" spans="1:7" ht="30.60" thickBot="1" customHeight="1">
      <c r="A119" s="28"/>
      <c r="B119" s="28"/>
      <c r="C119" s="28"/>
      <c r="D119" s="25" t="s">
        <v>295</v>
      </c>
      <c r="E119" s="25"/>
      <c r="F119" s="25"/>
      <c r="G119" s="25"/>
    </row>
    <row r="120" spans="1:7" ht="21.36" thickBot="1" customHeight="1">
      <c r="A120" s="14" t="s">
        <v>296</v>
      </c>
      <c r="B120" s="8" t="s">
        <v>297</v>
      </c>
      <c r="C120" s="8" t="s">
        <v>298</v>
      </c>
      <c r="D120" s="25" t="s">
        <v>299</v>
      </c>
      <c r="E120" s="26">
        <v>5.000</v>
      </c>
      <c r="F120" s="27">
        <f ca="1">ROUND(57.810*(1+G2/100),2)</f>
        <v>0</v>
      </c>
      <c r="G120" s="27">
        <f ca="1">ROUND(E120*F120,2)</f>
        <v>0</v>
      </c>
    </row>
    <row r="121" spans="1:7" ht="21.36" thickBot="1" customHeight="1">
      <c r="A121" s="28"/>
      <c r="B121" s="28"/>
      <c r="C121" s="28"/>
      <c r="D121" s="25" t="s">
        <v>300</v>
      </c>
      <c r="E121" s="25"/>
      <c r="F121" s="25"/>
      <c r="G121" s="25"/>
    </row>
    <row r="122" spans="1:7" ht="21.36" thickBot="1" customHeight="1">
      <c r="A122" s="14" t="s">
        <v>301</v>
      </c>
      <c r="B122" s="8" t="s">
        <v>302</v>
      </c>
      <c r="C122" s="8" t="s">
        <v>303</v>
      </c>
      <c r="D122" s="25" t="s">
        <v>304</v>
      </c>
      <c r="E122" s="26">
        <v>1.000</v>
      </c>
      <c r="F122" s="27">
        <f ca="1">ROUND(1748.280*(1+G2/100),2)</f>
        <v>0</v>
      </c>
      <c r="G122" s="27">
        <f ca="1">ROUND(E122*F122,2)</f>
        <v>0</v>
      </c>
    </row>
    <row r="123" spans="1:7" ht="86.04" thickBot="1" customHeight="1">
      <c r="A123" s="28"/>
      <c r="B123" s="28"/>
      <c r="C123" s="28"/>
      <c r="D123" s="25" t="s">
        <v>305</v>
      </c>
      <c r="E123" s="25"/>
      <c r="F123" s="25"/>
      <c r="G123" s="25"/>
    </row>
    <row r="124" spans="1:7" ht="21.36" thickBot="1" customHeight="1">
      <c r="A124" s="14" t="s">
        <v>306</v>
      </c>
      <c r="B124" s="8" t="s">
        <v>307</v>
      </c>
      <c r="C124" s="8" t="s">
        <v>308</v>
      </c>
      <c r="D124" s="25" t="s">
        <v>309</v>
      </c>
      <c r="E124" s="26">
        <v>8.000</v>
      </c>
      <c r="F124" s="27">
        <f ca="1">ROUND(18.320*(1+G2/100),2)</f>
        <v>0</v>
      </c>
      <c r="G124" s="27">
        <f ca="1">ROUND(E124*F124,2)</f>
        <v>0</v>
      </c>
    </row>
    <row r="125" spans="1:7" ht="21.36" thickBot="1" customHeight="1">
      <c r="A125" s="28"/>
      <c r="B125" s="28"/>
      <c r="C125" s="28"/>
      <c r="D125" s="25" t="s">
        <v>310</v>
      </c>
      <c r="E125" s="25"/>
      <c r="F125" s="25"/>
      <c r="G125" s="25"/>
    </row>
    <row r="126" spans="1:7" ht="21.36" thickBot="1" customHeight="1">
      <c r="A126" s="14" t="s">
        <v>311</v>
      </c>
      <c r="B126" s="8" t="s">
        <v>312</v>
      </c>
      <c r="C126" s="8" t="s">
        <v>313</v>
      </c>
      <c r="D126" s="25" t="s">
        <v>314</v>
      </c>
      <c r="E126" s="26">
        <v>1.000</v>
      </c>
      <c r="F126" s="27">
        <f ca="1">ROUND(85.500*(1+G2/100),2)</f>
        <v>0</v>
      </c>
      <c r="G126" s="27">
        <f ca="1">ROUND(E126*F126,2)</f>
        <v>0</v>
      </c>
    </row>
    <row r="127" spans="1:7" ht="21.36" thickBot="1" customHeight="1">
      <c r="A127" s="28"/>
      <c r="B127" s="28"/>
      <c r="C127" s="28"/>
      <c r="D127" s="25" t="s">
        <v>315</v>
      </c>
      <c r="E127" s="25"/>
      <c r="F127" s="25"/>
      <c r="G127" s="25"/>
    </row>
    <row r="128" spans="1:7" ht="15.48" thickBot="1" customHeight="1">
      <c r="A128" s="29"/>
      <c r="B128" s="29"/>
      <c r="C128" s="29"/>
      <c r="D128" s="45" t="s">
        <v>316</v>
      </c>
      <c r="E128" s="46"/>
      <c r="F128" s="47">
        <f ca="1">G98+G100+G102+G104+G106+G108+G110+G112+G114+G116+G118+G120+G122+G124+G126</f>
        <v>0</v>
      </c>
      <c r="G128" s="47">
        <f ca="1">ROUND(F128,2)</f>
        <v>0</v>
      </c>
    </row>
    <row r="129" spans="1:7" ht="15.48" thickBot="1" customHeight="1">
      <c r="A129" s="48" t="s">
        <v>317</v>
      </c>
      <c r="B129" s="48" t="s">
        <v>318</v>
      </c>
      <c r="C129" s="49"/>
      <c r="D129" s="50" t="s">
        <v>319</v>
      </c>
      <c r="E129" s="49"/>
      <c r="F129" s="51">
        <f ca="1">F134</f>
        <v>0</v>
      </c>
      <c r="G129" s="51">
        <f ca="1">ROUND(F129,2)</f>
        <v>0</v>
      </c>
    </row>
    <row r="130" spans="1:7" ht="30.60" thickBot="1" customHeight="1">
      <c r="A130" s="14" t="s">
        <v>320</v>
      </c>
      <c r="B130" s="8" t="s">
        <v>321</v>
      </c>
      <c r="C130" s="8" t="s">
        <v>322</v>
      </c>
      <c r="D130" s="25" t="s">
        <v>323</v>
      </c>
      <c r="E130" s="26">
        <v>1.000</v>
      </c>
      <c r="F130" s="27">
        <f ca="1">ROUND(360.580*(1+G2/100),2)</f>
        <v>0</v>
      </c>
      <c r="G130" s="27">
        <f ca="1">ROUND(E130*F130,2)</f>
        <v>0</v>
      </c>
    </row>
    <row r="131" spans="1:7" ht="30.60" thickBot="1" customHeight="1">
      <c r="A131" s="28"/>
      <c r="B131" s="28"/>
      <c r="C131" s="28"/>
      <c r="D131" s="25" t="s">
        <v>324</v>
      </c>
      <c r="E131" s="25"/>
      <c r="F131" s="25"/>
      <c r="G131" s="25"/>
    </row>
    <row r="132" spans="1:7" ht="15.48" thickBot="1" customHeight="1">
      <c r="A132" s="14" t="s">
        <v>325</v>
      </c>
      <c r="B132" s="8" t="s">
        <v>326</v>
      </c>
      <c r="C132" s="8" t="s">
        <v>327</v>
      </c>
      <c r="D132" s="25" t="s">
        <v>328</v>
      </c>
      <c r="E132" s="26">
        <v>3.000</v>
      </c>
      <c r="F132" s="27">
        <f ca="1">ROUND(30.430*(1+G2/100),2)</f>
        <v>0</v>
      </c>
      <c r="G132" s="27">
        <f ca="1">ROUND(E132*F132,2)</f>
        <v>0</v>
      </c>
    </row>
    <row r="133" spans="1:7" ht="12.12" thickBot="1" customHeight="1">
      <c r="A133" s="28"/>
      <c r="B133" s="28"/>
      <c r="C133" s="28"/>
      <c r="D133" s="25" t="s">
        <v>329</v>
      </c>
      <c r="E133" s="25"/>
      <c r="F133" s="25"/>
      <c r="G133" s="25"/>
    </row>
    <row r="134" spans="1:7" ht="15.48" thickBot="1" customHeight="1">
      <c r="A134" s="29"/>
      <c r="B134" s="29"/>
      <c r="C134" s="29"/>
      <c r="D134" s="45" t="s">
        <v>330</v>
      </c>
      <c r="E134" s="46"/>
      <c r="F134" s="47">
        <f ca="1">G130+G132</f>
        <v>0</v>
      </c>
      <c r="G134" s="47">
        <f ca="1">ROUND(F134,2)</f>
        <v>0</v>
      </c>
    </row>
    <row r="135" spans="1:7" ht="15.48" thickBot="1" customHeight="1">
      <c r="A135" s="52"/>
      <c r="B135" s="52"/>
      <c r="C135" s="52"/>
      <c r="D135" s="53" t="s">
        <v>331</v>
      </c>
      <c r="E135" s="54"/>
      <c r="F135" s="55">
        <f ca="1">G128+G134</f>
        <v>0</v>
      </c>
      <c r="G135" s="55">
        <f ca="1">ROUND(F135,2)</f>
        <v>0</v>
      </c>
    </row>
    <row r="136" spans="1:7" ht="15.48" thickBot="1" customHeight="1">
      <c r="A136" s="56" t="s">
        <v>332</v>
      </c>
      <c r="B136" s="56" t="s">
        <v>333</v>
      </c>
      <c r="C136" s="57"/>
      <c r="D136" s="58" t="s">
        <v>334</v>
      </c>
      <c r="E136" s="57"/>
      <c r="F136" s="59">
        <f ca="1">F153</f>
        <v>0</v>
      </c>
      <c r="G136" s="59">
        <f ca="1">ROUND(F136,2)</f>
        <v>0</v>
      </c>
    </row>
    <row r="137" spans="1:7" ht="15.48" thickBot="1" customHeight="1">
      <c r="A137" s="41" t="s">
        <v>335</v>
      </c>
      <c r="B137" s="41" t="s">
        <v>336</v>
      </c>
      <c r="C137" s="42"/>
      <c r="D137" s="43" t="s">
        <v>337</v>
      </c>
      <c r="E137" s="42"/>
      <c r="F137" s="44">
        <f ca="1">F148</f>
        <v>0</v>
      </c>
      <c r="G137" s="44">
        <f ca="1">ROUND(F137,2)</f>
        <v>0</v>
      </c>
    </row>
    <row r="138" spans="1:7" ht="21.36" thickBot="1" customHeight="1">
      <c r="A138" s="14" t="s">
        <v>338</v>
      </c>
      <c r="B138" s="8" t="s">
        <v>339</v>
      </c>
      <c r="C138" s="8" t="s">
        <v>340</v>
      </c>
      <c r="D138" s="25" t="s">
        <v>341</v>
      </c>
      <c r="E138" s="26">
        <v>38.502</v>
      </c>
      <c r="F138" s="27">
        <f ca="1">ROUND(37.910*(1+G2/100),2)</f>
        <v>0</v>
      </c>
      <c r="G138" s="27">
        <f ca="1">ROUND(E138*F138,2)</f>
        <v>0</v>
      </c>
    </row>
    <row r="139" spans="1:7" ht="30.60" thickBot="1" customHeight="1">
      <c r="A139" s="28"/>
      <c r="B139" s="28"/>
      <c r="C139" s="28"/>
      <c r="D139" s="25" t="s">
        <v>342</v>
      </c>
      <c r="E139" s="25"/>
      <c r="F139" s="25"/>
      <c r="G139" s="25"/>
    </row>
    <row r="140" spans="1:7" ht="49.08" thickBot="1" customHeight="1">
      <c r="A140" s="14" t="s">
        <v>343</v>
      </c>
      <c r="B140" s="8" t="s">
        <v>344</v>
      </c>
      <c r="C140" s="8" t="s">
        <v>345</v>
      </c>
      <c r="D140" s="25" t="s">
        <v>346</v>
      </c>
      <c r="E140" s="26">
        <v>1.000</v>
      </c>
      <c r="F140" s="27">
        <f ca="1">ROUND(148.320*(1+G2/100),2)</f>
        <v>0</v>
      </c>
      <c r="G140" s="27">
        <f ca="1">ROUND(E140*F140,2)</f>
        <v>0</v>
      </c>
    </row>
    <row r="141" spans="1:7" ht="21.36" thickBot="1" customHeight="1">
      <c r="A141" s="28"/>
      <c r="B141" s="28"/>
      <c r="C141" s="28"/>
      <c r="D141" s="25" t="s">
        <v>347</v>
      </c>
      <c r="E141" s="25"/>
      <c r="F141" s="25"/>
      <c r="G141" s="25"/>
    </row>
    <row r="142" spans="1:7" ht="21.36" thickBot="1" customHeight="1">
      <c r="A142" s="14" t="s">
        <v>348</v>
      </c>
      <c r="B142" s="8" t="s">
        <v>349</v>
      </c>
      <c r="C142" s="8" t="s">
        <v>350</v>
      </c>
      <c r="D142" s="25" t="s">
        <v>351</v>
      </c>
      <c r="E142" s="26">
        <v>1.000</v>
      </c>
      <c r="F142" s="27">
        <f ca="1">ROUND(364.840*(1+G2/100),2)</f>
        <v>0</v>
      </c>
      <c r="G142" s="27">
        <f ca="1">ROUND(E142*F142,2)</f>
        <v>0</v>
      </c>
    </row>
    <row r="143" spans="1:7" ht="67.56" thickBot="1" customHeight="1">
      <c r="A143" s="28"/>
      <c r="B143" s="28"/>
      <c r="C143" s="28"/>
      <c r="D143" s="25" t="s">
        <v>352</v>
      </c>
      <c r="E143" s="25"/>
      <c r="F143" s="25"/>
      <c r="G143" s="25"/>
    </row>
    <row r="144" spans="1:7" ht="30.60" thickBot="1" customHeight="1">
      <c r="A144" s="14" t="s">
        <v>353</v>
      </c>
      <c r="B144" s="8" t="s">
        <v>354</v>
      </c>
      <c r="C144" s="8" t="s">
        <v>355</v>
      </c>
      <c r="D144" s="25" t="s">
        <v>356</v>
      </c>
      <c r="E144" s="26">
        <v>1.000</v>
      </c>
      <c r="F144" s="27">
        <f ca="1">ROUND(100.890*(1+G2/100),2)</f>
        <v>0</v>
      </c>
      <c r="G144" s="27">
        <f ca="1">ROUND(E144*F144,2)</f>
        <v>0</v>
      </c>
    </row>
    <row r="145" spans="1:7" ht="21.36" thickBot="1" customHeight="1">
      <c r="A145" s="28"/>
      <c r="B145" s="28"/>
      <c r="C145" s="28"/>
      <c r="D145" s="25" t="s">
        <v>357</v>
      </c>
      <c r="E145" s="25"/>
      <c r="F145" s="25"/>
      <c r="G145" s="25"/>
    </row>
    <row r="146" spans="1:7" ht="49.08" thickBot="1" customHeight="1">
      <c r="A146" s="14" t="s">
        <v>358</v>
      </c>
      <c r="B146" s="8" t="s">
        <v>359</v>
      </c>
      <c r="C146" s="8" t="s">
        <v>360</v>
      </c>
      <c r="D146" s="25" t="s">
        <v>361</v>
      </c>
      <c r="E146" s="26">
        <v>1.000</v>
      </c>
      <c r="F146" s="27">
        <f ca="1">ROUND(123.480*(1+G2/100),2)</f>
        <v>0</v>
      </c>
      <c r="G146" s="27">
        <f ca="1">ROUND(E146*F146,2)</f>
        <v>0</v>
      </c>
    </row>
    <row r="147" spans="1:7" ht="30.60" thickBot="1" customHeight="1">
      <c r="A147" s="28"/>
      <c r="B147" s="28"/>
      <c r="C147" s="28"/>
      <c r="D147" s="25" t="s">
        <v>362</v>
      </c>
      <c r="E147" s="25"/>
      <c r="F147" s="25"/>
      <c r="G147" s="25"/>
    </row>
    <row r="148" spans="1:7" ht="15.48" thickBot="1" customHeight="1">
      <c r="A148" s="29"/>
      <c r="B148" s="29"/>
      <c r="C148" s="29"/>
      <c r="D148" s="45" t="s">
        <v>363</v>
      </c>
      <c r="E148" s="46"/>
      <c r="F148" s="47">
        <f ca="1">G138+G140+G142+G144+G146</f>
        <v>0</v>
      </c>
      <c r="G148" s="47">
        <f ca="1">ROUND(F148,2)</f>
        <v>0</v>
      </c>
    </row>
    <row r="149" spans="1:7" ht="15.48" thickBot="1" customHeight="1">
      <c r="A149" s="48" t="s">
        <v>364</v>
      </c>
      <c r="B149" s="48" t="s">
        <v>365</v>
      </c>
      <c r="C149" s="49"/>
      <c r="D149" s="50" t="s">
        <v>366</v>
      </c>
      <c r="E149" s="49"/>
      <c r="F149" s="51">
        <f ca="1">F152</f>
        <v>0</v>
      </c>
      <c r="G149" s="51">
        <f ca="1">ROUND(F149,2)</f>
        <v>0</v>
      </c>
    </row>
    <row r="150" spans="1:7" ht="21.36" thickBot="1" customHeight="1">
      <c r="A150" s="14" t="s">
        <v>367</v>
      </c>
      <c r="B150" s="8" t="s">
        <v>368</v>
      </c>
      <c r="C150" s="8" t="s">
        <v>369</v>
      </c>
      <c r="D150" s="25" t="s">
        <v>370</v>
      </c>
      <c r="E150" s="26">
        <v>1.000</v>
      </c>
      <c r="F150" s="27">
        <f ca="1">ROUND(637.340*(1+G2/100),2)</f>
        <v>0</v>
      </c>
      <c r="G150" s="27">
        <f ca="1">ROUND(E150*F150,2)</f>
        <v>0</v>
      </c>
    </row>
    <row r="151" spans="1:7" ht="67.56" thickBot="1" customHeight="1">
      <c r="A151" s="28"/>
      <c r="B151" s="28"/>
      <c r="C151" s="28"/>
      <c r="D151" s="25" t="s">
        <v>371</v>
      </c>
      <c r="E151" s="25"/>
      <c r="F151" s="25"/>
      <c r="G151" s="25"/>
    </row>
    <row r="152" spans="1:7" ht="15.48" thickBot="1" customHeight="1">
      <c r="A152" s="29"/>
      <c r="B152" s="29"/>
      <c r="C152" s="29"/>
      <c r="D152" s="45" t="s">
        <v>372</v>
      </c>
      <c r="E152" s="46"/>
      <c r="F152" s="47">
        <f ca="1">G150</f>
        <v>0</v>
      </c>
      <c r="G152" s="47">
        <f ca="1">ROUND(F152,2)</f>
        <v>0</v>
      </c>
    </row>
    <row r="153" spans="1:7" ht="15.48" thickBot="1" customHeight="1">
      <c r="A153" s="52"/>
      <c r="B153" s="52"/>
      <c r="C153" s="52"/>
      <c r="D153" s="53" t="s">
        <v>373</v>
      </c>
      <c r="E153" s="54"/>
      <c r="F153" s="55">
        <f ca="1">G148+G152</f>
        <v>0</v>
      </c>
      <c r="G153" s="55">
        <f ca="1">ROUND(F153,2)</f>
        <v>0</v>
      </c>
    </row>
    <row r="154" spans="1:7" ht="15.48" thickBot="1" customHeight="1">
      <c r="A154" s="56" t="s">
        <v>374</v>
      </c>
      <c r="B154" s="56" t="s">
        <v>375</v>
      </c>
      <c r="C154" s="57"/>
      <c r="D154" s="58" t="s">
        <v>376</v>
      </c>
      <c r="E154" s="57"/>
      <c r="F154" s="59">
        <f ca="1">F239</f>
        <v>0</v>
      </c>
      <c r="G154" s="59">
        <f ca="1">ROUND(F154,2)</f>
        <v>0</v>
      </c>
    </row>
    <row r="155" spans="1:7" ht="15.48" thickBot="1" customHeight="1">
      <c r="A155" s="41" t="s">
        <v>377</v>
      </c>
      <c r="B155" s="41" t="s">
        <v>378</v>
      </c>
      <c r="C155" s="42"/>
      <c r="D155" s="43" t="s">
        <v>379</v>
      </c>
      <c r="E155" s="42"/>
      <c r="F155" s="44">
        <f ca="1">F168</f>
        <v>0</v>
      </c>
      <c r="G155" s="44">
        <f ca="1">ROUND(F155,2)</f>
        <v>0</v>
      </c>
    </row>
    <row r="156" spans="1:7" ht="21.36" thickBot="1" customHeight="1">
      <c r="A156" s="14" t="s">
        <v>380</v>
      </c>
      <c r="B156" s="8" t="s">
        <v>381</v>
      </c>
      <c r="C156" s="8" t="s">
        <v>382</v>
      </c>
      <c r="D156" s="25" t="s">
        <v>383</v>
      </c>
      <c r="E156" s="26">
        <v>71.000</v>
      </c>
      <c r="F156" s="27">
        <f ca="1">ROUND(1.120*(1+G2/100),2)</f>
        <v>0</v>
      </c>
      <c r="G156" s="27">
        <f ca="1">ROUND(E156*F156,2)</f>
        <v>0</v>
      </c>
    </row>
    <row r="157" spans="1:7" ht="30.60" thickBot="1" customHeight="1">
      <c r="A157" s="28"/>
      <c r="B157" s="28"/>
      <c r="C157" s="28"/>
      <c r="D157" s="25" t="s">
        <v>384</v>
      </c>
      <c r="E157" s="25"/>
      <c r="F157" s="25"/>
      <c r="G157" s="25"/>
    </row>
    <row r="158" spans="1:7" ht="21.36" thickBot="1" customHeight="1">
      <c r="A158" s="14" t="s">
        <v>385</v>
      </c>
      <c r="B158" s="8" t="s">
        <v>386</v>
      </c>
      <c r="C158" s="8" t="s">
        <v>387</v>
      </c>
      <c r="D158" s="25" t="s">
        <v>388</v>
      </c>
      <c r="E158" s="26">
        <v>7.000</v>
      </c>
      <c r="F158" s="27">
        <f ca="1">ROUND(1.120*(1+G2/100),2)</f>
        <v>0</v>
      </c>
      <c r="G158" s="27">
        <f ca="1">ROUND(E158*F158,2)</f>
        <v>0</v>
      </c>
    </row>
    <row r="159" spans="1:7" ht="12.12" thickBot="1" customHeight="1">
      <c r="A159" s="28"/>
      <c r="B159" s="28"/>
      <c r="C159" s="28"/>
      <c r="D159" s="25" t="s">
        <v>389</v>
      </c>
      <c r="E159" s="25"/>
      <c r="F159" s="25"/>
      <c r="G159" s="25"/>
    </row>
    <row r="160" spans="1:7" ht="21.36" thickBot="1" customHeight="1">
      <c r="A160" s="14" t="s">
        <v>390</v>
      </c>
      <c r="B160" s="8" t="s">
        <v>391</v>
      </c>
      <c r="C160" s="8" t="s">
        <v>392</v>
      </c>
      <c r="D160" s="25" t="s">
        <v>393</v>
      </c>
      <c r="E160" s="26">
        <v>30.000</v>
      </c>
      <c r="F160" s="27">
        <f ca="1">ROUND(7.960*(1+G2/100),2)</f>
        <v>0</v>
      </c>
      <c r="G160" s="27">
        <f ca="1">ROUND(E160*F160,2)</f>
        <v>0</v>
      </c>
    </row>
    <row r="161" spans="1:7" ht="21.36" thickBot="1" customHeight="1">
      <c r="A161" s="28"/>
      <c r="B161" s="28"/>
      <c r="C161" s="28"/>
      <c r="D161" s="25" t="s">
        <v>394</v>
      </c>
      <c r="E161" s="25"/>
      <c r="F161" s="25"/>
      <c r="G161" s="25"/>
    </row>
    <row r="162" spans="1:7" ht="21.36" thickBot="1" customHeight="1">
      <c r="A162" s="14" t="s">
        <v>395</v>
      </c>
      <c r="B162" s="8" t="s">
        <v>396</v>
      </c>
      <c r="C162" s="8" t="s">
        <v>397</v>
      </c>
      <c r="D162" s="25" t="s">
        <v>398</v>
      </c>
      <c r="E162" s="26">
        <v>17.000</v>
      </c>
      <c r="F162" s="27">
        <f ca="1">ROUND(39.570*(1+G2/100),2)</f>
        <v>0</v>
      </c>
      <c r="G162" s="27">
        <f ca="1">ROUND(E162*F162,2)</f>
        <v>0</v>
      </c>
    </row>
    <row r="163" spans="1:7" ht="12.12" thickBot="1" customHeight="1">
      <c r="A163" s="28"/>
      <c r="B163" s="28"/>
      <c r="C163" s="28"/>
      <c r="D163" s="25" t="s">
        <v>399</v>
      </c>
      <c r="E163" s="25"/>
      <c r="F163" s="25"/>
      <c r="G163" s="25"/>
    </row>
    <row r="164" spans="1:7" ht="15.48" thickBot="1" customHeight="1">
      <c r="A164" s="14" t="s">
        <v>400</v>
      </c>
      <c r="B164" s="8" t="s">
        <v>401</v>
      </c>
      <c r="C164" s="8" t="s">
        <v>402</v>
      </c>
      <c r="D164" s="25" t="s">
        <v>403</v>
      </c>
      <c r="E164" s="26">
        <v>351.600</v>
      </c>
      <c r="F164" s="27">
        <f ca="1">ROUND(2.640*(1+G2/100),2)</f>
        <v>0</v>
      </c>
      <c r="G164" s="27">
        <f ca="1">ROUND(E164*F164,2)</f>
        <v>0</v>
      </c>
    </row>
    <row r="165" spans="1:7" ht="30.60" thickBot="1" customHeight="1">
      <c r="A165" s="28"/>
      <c r="B165" s="28"/>
      <c r="C165" s="28"/>
      <c r="D165" s="25" t="s">
        <v>404</v>
      </c>
      <c r="E165" s="25"/>
      <c r="F165" s="25"/>
      <c r="G165" s="25"/>
    </row>
    <row r="166" spans="1:7" ht="21.36" thickBot="1" customHeight="1">
      <c r="A166" s="14" t="s">
        <v>405</v>
      </c>
      <c r="B166" s="8" t="s">
        <v>406</v>
      </c>
      <c r="C166" s="8" t="s">
        <v>407</v>
      </c>
      <c r="D166" s="25" t="s">
        <v>408</v>
      </c>
      <c r="E166" s="26">
        <v>13.000</v>
      </c>
      <c r="F166" s="27">
        <f ca="1">ROUND(28.110*(1+G2/100),2)</f>
        <v>0</v>
      </c>
      <c r="G166" s="27">
        <f ca="1">ROUND(E166*F166,2)</f>
        <v>0</v>
      </c>
    </row>
    <row r="167" spans="1:7" ht="30.60" thickBot="1" customHeight="1">
      <c r="A167" s="28"/>
      <c r="B167" s="28"/>
      <c r="C167" s="28"/>
      <c r="D167" s="25" t="s">
        <v>409</v>
      </c>
      <c r="E167" s="25"/>
      <c r="F167" s="25"/>
      <c r="G167" s="25"/>
    </row>
    <row r="168" spans="1:7" ht="15.48" thickBot="1" customHeight="1">
      <c r="A168" s="29"/>
      <c r="B168" s="29"/>
      <c r="C168" s="29"/>
      <c r="D168" s="45" t="s">
        <v>410</v>
      </c>
      <c r="E168" s="46"/>
      <c r="F168" s="47">
        <f ca="1">G156+G158+G160+G162+G164+G166</f>
        <v>0</v>
      </c>
      <c r="G168" s="47">
        <f ca="1">ROUND(F168,2)</f>
        <v>0</v>
      </c>
    </row>
    <row r="169" spans="1:7" ht="15.48" thickBot="1" customHeight="1">
      <c r="A169" s="48" t="s">
        <v>411</v>
      </c>
      <c r="B169" s="48" t="s">
        <v>412</v>
      </c>
      <c r="C169" s="49"/>
      <c r="D169" s="50" t="s">
        <v>413</v>
      </c>
      <c r="E169" s="49"/>
      <c r="F169" s="51">
        <f ca="1">F224</f>
        <v>0</v>
      </c>
      <c r="G169" s="51">
        <f ca="1">ROUND(F169,2)</f>
        <v>0</v>
      </c>
    </row>
    <row r="170" spans="1:7" ht="30.60" thickBot="1" customHeight="1">
      <c r="A170" s="14" t="s">
        <v>414</v>
      </c>
      <c r="B170" s="8" t="s">
        <v>415</v>
      </c>
      <c r="C170" s="8" t="s">
        <v>416</v>
      </c>
      <c r="D170" s="25" t="s">
        <v>417</v>
      </c>
      <c r="E170" s="26">
        <v>1.000</v>
      </c>
      <c r="F170" s="27">
        <f ca="1">ROUND(458.700*(1+G2/100),2)</f>
        <v>0</v>
      </c>
      <c r="G170" s="27">
        <f ca="1">ROUND(E170*F170,2)</f>
        <v>0</v>
      </c>
    </row>
    <row r="171" spans="1:7" ht="39.84" thickBot="1" customHeight="1">
      <c r="A171" s="28"/>
      <c r="B171" s="28"/>
      <c r="C171" s="28"/>
      <c r="D171" s="25" t="s">
        <v>418</v>
      </c>
      <c r="E171" s="25"/>
      <c r="F171" s="25"/>
      <c r="G171" s="25"/>
    </row>
    <row r="172" spans="1:7" ht="15.48" thickBot="1" customHeight="1">
      <c r="A172" s="14" t="s">
        <v>419</v>
      </c>
      <c r="B172" s="8" t="s">
        <v>420</v>
      </c>
      <c r="C172" s="8" t="s">
        <v>421</v>
      </c>
      <c r="D172" s="25" t="s">
        <v>422</v>
      </c>
      <c r="E172" s="26">
        <v>1.000</v>
      </c>
      <c r="F172" s="27">
        <f ca="1">ROUND(1170.600*(1+G2/100),2)</f>
        <v>0</v>
      </c>
      <c r="G172" s="27">
        <f ca="1">ROUND(E172*F172,2)</f>
        <v>0</v>
      </c>
    </row>
    <row r="173" spans="1:7" ht="30.60" thickBot="1" customHeight="1">
      <c r="A173" s="28"/>
      <c r="B173" s="28"/>
      <c r="C173" s="28"/>
      <c r="D173" s="25" t="s">
        <v>423</v>
      </c>
      <c r="E173" s="25"/>
      <c r="F173" s="25"/>
      <c r="G173" s="25"/>
    </row>
    <row r="174" spans="1:7" ht="15.48" thickBot="1" customHeight="1">
      <c r="A174" s="14" t="s">
        <v>424</v>
      </c>
      <c r="B174" s="8" t="s">
        <v>425</v>
      </c>
      <c r="C174" s="8" t="s">
        <v>426</v>
      </c>
      <c r="D174" s="25" t="s">
        <v>427</v>
      </c>
      <c r="E174" s="26">
        <v>1.000</v>
      </c>
      <c r="F174" s="27">
        <f ca="1">ROUND(1060.030*(1+G2/100),2)</f>
        <v>0</v>
      </c>
      <c r="G174" s="27">
        <f ca="1">ROUND(E174*F174,2)</f>
        <v>0</v>
      </c>
    </row>
    <row r="175" spans="1:7" ht="30.60" thickBot="1" customHeight="1">
      <c r="A175" s="28"/>
      <c r="B175" s="28"/>
      <c r="C175" s="28"/>
      <c r="D175" s="25" t="s">
        <v>428</v>
      </c>
      <c r="E175" s="25"/>
      <c r="F175" s="25"/>
      <c r="G175" s="25"/>
    </row>
    <row r="176" spans="1:7" ht="15.48" thickBot="1" customHeight="1">
      <c r="A176" s="14" t="s">
        <v>429</v>
      </c>
      <c r="B176" s="8" t="s">
        <v>430</v>
      </c>
      <c r="C176" s="8" t="s">
        <v>431</v>
      </c>
      <c r="D176" s="25" t="s">
        <v>432</v>
      </c>
      <c r="E176" s="26">
        <v>1.000</v>
      </c>
      <c r="F176" s="27">
        <f ca="1">ROUND(749.610*(1+G2/100),2)</f>
        <v>0</v>
      </c>
      <c r="G176" s="27">
        <f ca="1">ROUND(E176*F176,2)</f>
        <v>0</v>
      </c>
    </row>
    <row r="177" spans="1:7" ht="21.36" thickBot="1" customHeight="1">
      <c r="A177" s="28"/>
      <c r="B177" s="28"/>
      <c r="C177" s="28"/>
      <c r="D177" s="25" t="s">
        <v>433</v>
      </c>
      <c r="E177" s="25"/>
      <c r="F177" s="25"/>
      <c r="G177" s="25"/>
    </row>
    <row r="178" spans="1:7" ht="21.36" thickBot="1" customHeight="1">
      <c r="A178" s="14" t="s">
        <v>434</v>
      </c>
      <c r="B178" s="8" t="s">
        <v>435</v>
      </c>
      <c r="C178" s="8" t="s">
        <v>436</v>
      </c>
      <c r="D178" s="25" t="s">
        <v>437</v>
      </c>
      <c r="E178" s="26">
        <v>1.000</v>
      </c>
      <c r="F178" s="27">
        <f ca="1">ROUND(558.210*(1+G2/100),2)</f>
        <v>0</v>
      </c>
      <c r="G178" s="27">
        <f ca="1">ROUND(E178*F178,2)</f>
        <v>0</v>
      </c>
    </row>
    <row r="179" spans="1:7" ht="39.84" thickBot="1" customHeight="1">
      <c r="A179" s="28"/>
      <c r="B179" s="28"/>
      <c r="C179" s="28"/>
      <c r="D179" s="25" t="s">
        <v>438</v>
      </c>
      <c r="E179" s="25"/>
      <c r="F179" s="25"/>
      <c r="G179" s="25"/>
    </row>
    <row r="180" spans="1:7" ht="21.36" thickBot="1" customHeight="1">
      <c r="A180" s="14" t="s">
        <v>439</v>
      </c>
      <c r="B180" s="8" t="s">
        <v>440</v>
      </c>
      <c r="C180" s="8" t="s">
        <v>441</v>
      </c>
      <c r="D180" s="25" t="s">
        <v>442</v>
      </c>
      <c r="E180" s="26">
        <v>1.000</v>
      </c>
      <c r="F180" s="27">
        <f ca="1">ROUND(171.700*(1+G2/100),2)</f>
        <v>0</v>
      </c>
      <c r="G180" s="27">
        <f ca="1">ROUND(E180*F180,2)</f>
        <v>0</v>
      </c>
    </row>
    <row r="181" spans="1:7" ht="12.12" thickBot="1" customHeight="1">
      <c r="A181" s="28"/>
      <c r="B181" s="28"/>
      <c r="C181" s="28"/>
      <c r="D181" s="25" t="s">
        <v>443</v>
      </c>
      <c r="E181" s="25"/>
      <c r="F181" s="25"/>
      <c r="G181" s="25"/>
    </row>
    <row r="182" spans="1:7" ht="21.36" thickBot="1" customHeight="1">
      <c r="A182" s="14" t="s">
        <v>444</v>
      </c>
      <c r="B182" s="8" t="s">
        <v>445</v>
      </c>
      <c r="C182" s="8" t="s">
        <v>446</v>
      </c>
      <c r="D182" s="25" t="s">
        <v>447</v>
      </c>
      <c r="E182" s="26">
        <v>56.000</v>
      </c>
      <c r="F182" s="27">
        <f ca="1">ROUND(30.720*(1+G2/100),2)</f>
        <v>0</v>
      </c>
      <c r="G182" s="27">
        <f ca="1">ROUND(E182*F182,2)</f>
        <v>0</v>
      </c>
    </row>
    <row r="183" spans="1:7" ht="21.36" thickBot="1" customHeight="1">
      <c r="A183" s="28"/>
      <c r="B183" s="28"/>
      <c r="C183" s="28"/>
      <c r="D183" s="25" t="s">
        <v>448</v>
      </c>
      <c r="E183" s="25"/>
      <c r="F183" s="25"/>
      <c r="G183" s="25"/>
    </row>
    <row r="184" spans="1:7" ht="15.48" thickBot="1" customHeight="1">
      <c r="A184" s="14" t="s">
        <v>449</v>
      </c>
      <c r="B184" s="8" t="s">
        <v>450</v>
      </c>
      <c r="C184" s="8" t="s">
        <v>451</v>
      </c>
      <c r="D184" s="25" t="s">
        <v>452</v>
      </c>
      <c r="E184" s="26">
        <v>50.000</v>
      </c>
      <c r="F184" s="27">
        <f ca="1">ROUND(8.170*(1+G2/100),2)</f>
        <v>0</v>
      </c>
      <c r="G184" s="27">
        <f ca="1">ROUND(E184*F184,2)</f>
        <v>0</v>
      </c>
    </row>
    <row r="185" spans="1:7" ht="30.60" thickBot="1" customHeight="1">
      <c r="A185" s="28"/>
      <c r="B185" s="28"/>
      <c r="C185" s="28"/>
      <c r="D185" s="25" t="s">
        <v>453</v>
      </c>
      <c r="E185" s="25"/>
      <c r="F185" s="25"/>
      <c r="G185" s="25"/>
    </row>
    <row r="186" spans="1:7" ht="15.48" thickBot="1" customHeight="1">
      <c r="A186" s="14" t="s">
        <v>454</v>
      </c>
      <c r="B186" s="8" t="s">
        <v>455</v>
      </c>
      <c r="C186" s="8" t="s">
        <v>456</v>
      </c>
      <c r="D186" s="25" t="s">
        <v>457</v>
      </c>
      <c r="E186" s="26">
        <v>25.000</v>
      </c>
      <c r="F186" s="27">
        <f ca="1">ROUND(6.360*(1+G2/100),2)</f>
        <v>0</v>
      </c>
      <c r="G186" s="27">
        <f ca="1">ROUND(E186*F186,2)</f>
        <v>0</v>
      </c>
    </row>
    <row r="187" spans="1:7" ht="30.60" thickBot="1" customHeight="1">
      <c r="A187" s="28"/>
      <c r="B187" s="28"/>
      <c r="C187" s="28"/>
      <c r="D187" s="25" t="s">
        <v>458</v>
      </c>
      <c r="E187" s="25"/>
      <c r="F187" s="25"/>
      <c r="G187" s="25"/>
    </row>
    <row r="188" spans="1:7" ht="15.48" thickBot="1" customHeight="1">
      <c r="A188" s="14" t="s">
        <v>459</v>
      </c>
      <c r="B188" s="8" t="s">
        <v>460</v>
      </c>
      <c r="C188" s="8" t="s">
        <v>461</v>
      </c>
      <c r="D188" s="25" t="s">
        <v>462</v>
      </c>
      <c r="E188" s="26">
        <v>25.000</v>
      </c>
      <c r="F188" s="27">
        <f ca="1">ROUND(3.210*(1+G2/100),2)</f>
        <v>0</v>
      </c>
      <c r="G188" s="27">
        <f ca="1">ROUND(E188*F188,2)</f>
        <v>0</v>
      </c>
    </row>
    <row r="189" spans="1:7" ht="30.60" thickBot="1" customHeight="1">
      <c r="A189" s="28"/>
      <c r="B189" s="28"/>
      <c r="C189" s="28"/>
      <c r="D189" s="25" t="s">
        <v>463</v>
      </c>
      <c r="E189" s="25"/>
      <c r="F189" s="25"/>
      <c r="G189" s="25"/>
    </row>
    <row r="190" spans="1:7" ht="15.48" thickBot="1" customHeight="1">
      <c r="A190" s="14" t="s">
        <v>464</v>
      </c>
      <c r="B190" s="8" t="s">
        <v>465</v>
      </c>
      <c r="C190" s="8" t="s">
        <v>466</v>
      </c>
      <c r="D190" s="25" t="s">
        <v>467</v>
      </c>
      <c r="E190" s="26">
        <v>180.000</v>
      </c>
      <c r="F190" s="27">
        <f ca="1">ROUND(2.830*(1+G2/100),2)</f>
        <v>0</v>
      </c>
      <c r="G190" s="27">
        <f ca="1">ROUND(E190*F190,2)</f>
        <v>0</v>
      </c>
    </row>
    <row r="191" spans="1:7" ht="30.60" thickBot="1" customHeight="1">
      <c r="A191" s="28"/>
      <c r="B191" s="28"/>
      <c r="C191" s="28"/>
      <c r="D191" s="25" t="s">
        <v>468</v>
      </c>
      <c r="E191" s="25"/>
      <c r="F191" s="25"/>
      <c r="G191" s="25"/>
    </row>
    <row r="192" spans="1:7" ht="15.48" thickBot="1" customHeight="1">
      <c r="A192" s="14" t="s">
        <v>469</v>
      </c>
      <c r="B192" s="8" t="s">
        <v>470</v>
      </c>
      <c r="C192" s="8" t="s">
        <v>471</v>
      </c>
      <c r="D192" s="25" t="s">
        <v>472</v>
      </c>
      <c r="E192" s="26">
        <v>35.000</v>
      </c>
      <c r="F192" s="27">
        <f ca="1">ROUND(2.140*(1+G2/100),2)</f>
        <v>0</v>
      </c>
      <c r="G192" s="27">
        <f ca="1">ROUND(E192*F192,2)</f>
        <v>0</v>
      </c>
    </row>
    <row r="193" spans="1:7" ht="30.60" thickBot="1" customHeight="1">
      <c r="A193" s="28"/>
      <c r="B193" s="28"/>
      <c r="C193" s="28"/>
      <c r="D193" s="25" t="s">
        <v>473</v>
      </c>
      <c r="E193" s="25"/>
      <c r="F193" s="25"/>
      <c r="G193" s="25"/>
    </row>
    <row r="194" spans="1:7" ht="30.60" thickBot="1" customHeight="1">
      <c r="A194" s="14" t="s">
        <v>474</v>
      </c>
      <c r="B194" s="8" t="s">
        <v>475</v>
      </c>
      <c r="C194" s="8" t="s">
        <v>476</v>
      </c>
      <c r="D194" s="25" t="s">
        <v>477</v>
      </c>
      <c r="E194" s="26">
        <v>6.000</v>
      </c>
      <c r="F194" s="27">
        <f ca="1">ROUND(4.630*(1+G2/100),2)</f>
        <v>0</v>
      </c>
      <c r="G194" s="27">
        <f ca="1">ROUND(E194*F194,2)</f>
        <v>0</v>
      </c>
    </row>
    <row r="195" spans="1:7" ht="21.36" thickBot="1" customHeight="1">
      <c r="A195" s="28"/>
      <c r="B195" s="28"/>
      <c r="C195" s="28"/>
      <c r="D195" s="25" t="s">
        <v>478</v>
      </c>
      <c r="E195" s="25"/>
      <c r="F195" s="25"/>
      <c r="G195" s="25"/>
    </row>
    <row r="196" spans="1:7" ht="21.36" thickBot="1" customHeight="1">
      <c r="A196" s="14" t="s">
        <v>479</v>
      </c>
      <c r="B196" s="8" t="s">
        <v>480</v>
      </c>
      <c r="C196" s="8" t="s">
        <v>481</v>
      </c>
      <c r="D196" s="25" t="s">
        <v>482</v>
      </c>
      <c r="E196" s="26">
        <v>50.000</v>
      </c>
      <c r="F196" s="27">
        <f ca="1">ROUND(1.560*(1+G2/100),2)</f>
        <v>0</v>
      </c>
      <c r="G196" s="27">
        <f ca="1">ROUND(E196*F196,2)</f>
        <v>0</v>
      </c>
    </row>
    <row r="197" spans="1:7" ht="21.36" thickBot="1" customHeight="1">
      <c r="A197" s="28"/>
      <c r="B197" s="28"/>
      <c r="C197" s="28"/>
      <c r="D197" s="25" t="s">
        <v>483</v>
      </c>
      <c r="E197" s="25"/>
      <c r="F197" s="25"/>
      <c r="G197" s="25"/>
    </row>
    <row r="198" spans="1:7" ht="21.36" thickBot="1" customHeight="1">
      <c r="A198" s="14" t="s">
        <v>484</v>
      </c>
      <c r="B198" s="8" t="s">
        <v>485</v>
      </c>
      <c r="C198" s="8" t="s">
        <v>486</v>
      </c>
      <c r="D198" s="25" t="s">
        <v>487</v>
      </c>
      <c r="E198" s="26">
        <v>136.000</v>
      </c>
      <c r="F198" s="27">
        <f ca="1">ROUND(4.980*(1+G2/100),2)</f>
        <v>0</v>
      </c>
      <c r="G198" s="27">
        <f ca="1">ROUND(E198*F198,2)</f>
        <v>0</v>
      </c>
    </row>
    <row r="199" spans="1:7" ht="21.36" thickBot="1" customHeight="1">
      <c r="A199" s="28"/>
      <c r="B199" s="28"/>
      <c r="C199" s="28"/>
      <c r="D199" s="25" t="s">
        <v>488</v>
      </c>
      <c r="E199" s="25"/>
      <c r="F199" s="25"/>
      <c r="G199" s="25"/>
    </row>
    <row r="200" spans="1:7" ht="39.84" thickBot="1" customHeight="1">
      <c r="A200" s="14" t="s">
        <v>489</v>
      </c>
      <c r="B200" s="8" t="s">
        <v>490</v>
      </c>
      <c r="C200" s="8" t="s">
        <v>491</v>
      </c>
      <c r="D200" s="25" t="s">
        <v>492</v>
      </c>
      <c r="E200" s="26">
        <v>36.000</v>
      </c>
      <c r="F200" s="27">
        <f ca="1">ROUND(10.220*(1+G2/100),2)</f>
        <v>0</v>
      </c>
      <c r="G200" s="27">
        <f ca="1">ROUND(E200*F200,2)</f>
        <v>0</v>
      </c>
    </row>
    <row r="201" spans="1:7" ht="30.60" thickBot="1" customHeight="1">
      <c r="A201" s="28"/>
      <c r="B201" s="28"/>
      <c r="C201" s="28"/>
      <c r="D201" s="25" t="s">
        <v>493</v>
      </c>
      <c r="E201" s="25"/>
      <c r="F201" s="25"/>
      <c r="G201" s="25"/>
    </row>
    <row r="202" spans="1:7" ht="15.48" thickBot="1" customHeight="1">
      <c r="A202" s="14" t="s">
        <v>494</v>
      </c>
      <c r="B202" s="8" t="s">
        <v>495</v>
      </c>
      <c r="C202" s="8" t="s">
        <v>496</v>
      </c>
      <c r="D202" s="25" t="s">
        <v>497</v>
      </c>
      <c r="E202" s="26">
        <v>2.000</v>
      </c>
      <c r="F202" s="27">
        <f ca="1">ROUND(10.320*(1+G2/100),2)</f>
        <v>0</v>
      </c>
      <c r="G202" s="27">
        <f ca="1">ROUND(E202*F202,2)</f>
        <v>0</v>
      </c>
    </row>
    <row r="203" spans="1:7" ht="12.12" thickBot="1" customHeight="1">
      <c r="A203" s="28"/>
      <c r="B203" s="28"/>
      <c r="C203" s="28"/>
      <c r="D203" s="25" t="s">
        <v>498</v>
      </c>
      <c r="E203" s="25"/>
      <c r="F203" s="25"/>
      <c r="G203" s="25"/>
    </row>
    <row r="204" spans="1:7" ht="21.36" thickBot="1" customHeight="1">
      <c r="A204" s="14" t="s">
        <v>499</v>
      </c>
      <c r="B204" s="8" t="s">
        <v>500</v>
      </c>
      <c r="C204" s="8" t="s">
        <v>501</v>
      </c>
      <c r="D204" s="25" t="s">
        <v>502</v>
      </c>
      <c r="E204" s="26">
        <v>11.000</v>
      </c>
      <c r="F204" s="27">
        <f ca="1">ROUND(125.240*(1+G2/100),2)</f>
        <v>0</v>
      </c>
      <c r="G204" s="27">
        <f ca="1">ROUND(E204*F204,2)</f>
        <v>0</v>
      </c>
    </row>
    <row r="205" spans="1:7" ht="30.60" thickBot="1" customHeight="1">
      <c r="A205" s="28"/>
      <c r="B205" s="28"/>
      <c r="C205" s="28"/>
      <c r="D205" s="25" t="s">
        <v>503</v>
      </c>
      <c r="E205" s="25"/>
      <c r="F205" s="25"/>
      <c r="G205" s="25"/>
    </row>
    <row r="206" spans="1:7" ht="21.36" thickBot="1" customHeight="1">
      <c r="A206" s="14" t="s">
        <v>504</v>
      </c>
      <c r="B206" s="8" t="s">
        <v>505</v>
      </c>
      <c r="C206" s="8" t="s">
        <v>506</v>
      </c>
      <c r="D206" s="25" t="s">
        <v>507</v>
      </c>
      <c r="E206" s="26">
        <v>7.000</v>
      </c>
      <c r="F206" s="27">
        <f ca="1">ROUND(142.100*(1+G2/100),2)</f>
        <v>0</v>
      </c>
      <c r="G206" s="27">
        <f ca="1">ROUND(E206*F206,2)</f>
        <v>0</v>
      </c>
    </row>
    <row r="207" spans="1:7" ht="39.84" thickBot="1" customHeight="1">
      <c r="A207" s="28"/>
      <c r="B207" s="28"/>
      <c r="C207" s="28"/>
      <c r="D207" s="25" t="s">
        <v>508</v>
      </c>
      <c r="E207" s="25"/>
      <c r="F207" s="25"/>
      <c r="G207" s="25"/>
    </row>
    <row r="208" spans="1:7" ht="21.36" thickBot="1" customHeight="1">
      <c r="A208" s="14" t="s">
        <v>509</v>
      </c>
      <c r="B208" s="8" t="s">
        <v>510</v>
      </c>
      <c r="C208" s="8" t="s">
        <v>511</v>
      </c>
      <c r="D208" s="25" t="s">
        <v>512</v>
      </c>
      <c r="E208" s="26">
        <v>3.000</v>
      </c>
      <c r="F208" s="27">
        <f ca="1">ROUND(90.650*(1+G2/100),2)</f>
        <v>0</v>
      </c>
      <c r="G208" s="27">
        <f ca="1">ROUND(E208*F208,2)</f>
        <v>0</v>
      </c>
    </row>
    <row r="209" spans="1:7" ht="30.60" thickBot="1" customHeight="1">
      <c r="A209" s="28"/>
      <c r="B209" s="28"/>
      <c r="C209" s="28"/>
      <c r="D209" s="25" t="s">
        <v>513</v>
      </c>
      <c r="E209" s="25"/>
      <c r="F209" s="25"/>
      <c r="G209" s="25"/>
    </row>
    <row r="210" spans="1:7" ht="21.36" thickBot="1" customHeight="1">
      <c r="A210" s="14" t="s">
        <v>514</v>
      </c>
      <c r="B210" s="8" t="s">
        <v>515</v>
      </c>
      <c r="C210" s="8" t="s">
        <v>516</v>
      </c>
      <c r="D210" s="25" t="s">
        <v>517</v>
      </c>
      <c r="E210" s="26">
        <v>1.000</v>
      </c>
      <c r="F210" s="27">
        <f ca="1">ROUND(52.340*(1+G2/100),2)</f>
        <v>0</v>
      </c>
      <c r="G210" s="27">
        <f ca="1">ROUND(E210*F210,2)</f>
        <v>0</v>
      </c>
    </row>
    <row r="211" spans="1:7" ht="30.60" thickBot="1" customHeight="1">
      <c r="A211" s="28"/>
      <c r="B211" s="28"/>
      <c r="C211" s="28"/>
      <c r="D211" s="25" t="s">
        <v>518</v>
      </c>
      <c r="E211" s="25"/>
      <c r="F211" s="25"/>
      <c r="G211" s="25"/>
    </row>
    <row r="212" spans="1:7" ht="21.36" thickBot="1" customHeight="1">
      <c r="A212" s="14" t="s">
        <v>519</v>
      </c>
      <c r="B212" s="8" t="s">
        <v>520</v>
      </c>
      <c r="C212" s="8" t="s">
        <v>521</v>
      </c>
      <c r="D212" s="25" t="s">
        <v>522</v>
      </c>
      <c r="E212" s="26">
        <v>1.000</v>
      </c>
      <c r="F212" s="27">
        <f ca="1">ROUND(63.930*(1+G2/100),2)</f>
        <v>0</v>
      </c>
      <c r="G212" s="27">
        <f ca="1">ROUND(E212*F212,2)</f>
        <v>0</v>
      </c>
    </row>
    <row r="213" spans="1:7" ht="30.60" thickBot="1" customHeight="1">
      <c r="A213" s="28"/>
      <c r="B213" s="28"/>
      <c r="C213" s="28"/>
      <c r="D213" s="25" t="s">
        <v>523</v>
      </c>
      <c r="E213" s="25"/>
      <c r="F213" s="25"/>
      <c r="G213" s="25"/>
    </row>
    <row r="214" spans="1:7" ht="15.48" thickBot="1" customHeight="1">
      <c r="A214" s="14" t="s">
        <v>524</v>
      </c>
      <c r="B214" s="8" t="s">
        <v>525</v>
      </c>
      <c r="C214" s="8" t="s">
        <v>526</v>
      </c>
      <c r="D214" s="25" t="s">
        <v>527</v>
      </c>
      <c r="E214" s="26">
        <v>8.000</v>
      </c>
      <c r="F214" s="27">
        <f ca="1">ROUND(3.070*(1+G2/100),2)</f>
        <v>0</v>
      </c>
      <c r="G214" s="27">
        <f ca="1">ROUND(E214*F214,2)</f>
        <v>0</v>
      </c>
    </row>
    <row r="215" spans="1:7" ht="12.12" thickBot="1" customHeight="1">
      <c r="A215" s="28"/>
      <c r="B215" s="28"/>
      <c r="C215" s="28"/>
      <c r="D215" s="25" t="s">
        <v>528</v>
      </c>
      <c r="E215" s="25"/>
      <c r="F215" s="25"/>
      <c r="G215" s="25"/>
    </row>
    <row r="216" spans="1:7" ht="15.48" thickBot="1" customHeight="1">
      <c r="A216" s="14" t="s">
        <v>529</v>
      </c>
      <c r="B216" s="8" t="s">
        <v>530</v>
      </c>
      <c r="C216" s="8" t="s">
        <v>531</v>
      </c>
      <c r="D216" s="25" t="s">
        <v>532</v>
      </c>
      <c r="E216" s="26">
        <v>8.000</v>
      </c>
      <c r="F216" s="27">
        <f ca="1">ROUND(4.120*(1+G2/100),2)</f>
        <v>0</v>
      </c>
      <c r="G216" s="27">
        <f ca="1">ROUND(E216*F216,2)</f>
        <v>0</v>
      </c>
    </row>
    <row r="217" spans="1:7" ht="12.12" thickBot="1" customHeight="1">
      <c r="A217" s="28"/>
      <c r="B217" s="28"/>
      <c r="C217" s="28"/>
      <c r="D217" s="25" t="s">
        <v>533</v>
      </c>
      <c r="E217" s="25"/>
      <c r="F217" s="25"/>
      <c r="G217" s="25"/>
    </row>
    <row r="218" spans="1:7" ht="21.36" thickBot="1" customHeight="1">
      <c r="A218" s="14" t="s">
        <v>534</v>
      </c>
      <c r="B218" s="8" t="s">
        <v>535</v>
      </c>
      <c r="C218" s="8" t="s">
        <v>536</v>
      </c>
      <c r="D218" s="25" t="s">
        <v>537</v>
      </c>
      <c r="E218" s="26">
        <v>6.000</v>
      </c>
      <c r="F218" s="27">
        <f ca="1">ROUND(14.810*(1+G2/100),2)</f>
        <v>0</v>
      </c>
      <c r="G218" s="27">
        <f ca="1">ROUND(E218*F218,2)</f>
        <v>0</v>
      </c>
    </row>
    <row r="219" spans="1:7" ht="12.12" thickBot="1" customHeight="1">
      <c r="A219" s="28"/>
      <c r="B219" s="28"/>
      <c r="C219" s="28"/>
      <c r="D219" s="25" t="s">
        <v>538</v>
      </c>
      <c r="E219" s="25"/>
      <c r="F219" s="25"/>
      <c r="G219" s="25"/>
    </row>
    <row r="220" spans="1:7" ht="21.36" thickBot="1" customHeight="1">
      <c r="A220" s="14" t="s">
        <v>539</v>
      </c>
      <c r="B220" s="8" t="s">
        <v>540</v>
      </c>
      <c r="C220" s="8" t="s">
        <v>541</v>
      </c>
      <c r="D220" s="25" t="s">
        <v>542</v>
      </c>
      <c r="E220" s="26">
        <v>2.000</v>
      </c>
      <c r="F220" s="27">
        <f ca="1">ROUND(15.470*(1+G2/100),2)</f>
        <v>0</v>
      </c>
      <c r="G220" s="27">
        <f ca="1">ROUND(E220*F220,2)</f>
        <v>0</v>
      </c>
    </row>
    <row r="221" spans="1:7" ht="12.12" thickBot="1" customHeight="1">
      <c r="A221" s="28"/>
      <c r="B221" s="28"/>
      <c r="C221" s="28"/>
      <c r="D221" s="25" t="s">
        <v>543</v>
      </c>
      <c r="E221" s="25"/>
      <c r="F221" s="25"/>
      <c r="G221" s="25"/>
    </row>
    <row r="222" spans="1:7" ht="30.60" thickBot="1" customHeight="1">
      <c r="A222" s="14" t="s">
        <v>544</v>
      </c>
      <c r="B222" s="8" t="s">
        <v>545</v>
      </c>
      <c r="C222" s="8" t="s">
        <v>546</v>
      </c>
      <c r="D222" s="25" t="s">
        <v>547</v>
      </c>
      <c r="E222" s="26">
        <v>1.000</v>
      </c>
      <c r="F222" s="27">
        <f ca="1">ROUND(55.200*(1+G2/100),2)</f>
        <v>0</v>
      </c>
      <c r="G222" s="27">
        <f ca="1">ROUND(E222*F222,2)</f>
        <v>0</v>
      </c>
    </row>
    <row r="223" spans="1:7" ht="21.36" thickBot="1" customHeight="1">
      <c r="A223" s="28"/>
      <c r="B223" s="28"/>
      <c r="C223" s="28"/>
      <c r="D223" s="25" t="s">
        <v>548</v>
      </c>
      <c r="E223" s="25"/>
      <c r="F223" s="25"/>
      <c r="G223" s="25"/>
    </row>
    <row r="224" spans="1:7" ht="15.48" thickBot="1" customHeight="1">
      <c r="A224" s="29"/>
      <c r="B224" s="29"/>
      <c r="C224" s="29"/>
      <c r="D224" s="45" t="s">
        <v>549</v>
      </c>
      <c r="E224" s="46"/>
      <c r="F224" s="47">
        <f ca="1">G170+G172+G174+G176+G178+G180+G182+G184+G186+G188+G190+G192+G194+G196+G198+G200+G202+G204+G206+G208+G210+G212+G214+G216+G218+G220+G222</f>
        <v>0</v>
      </c>
      <c r="G224" s="47">
        <f ca="1">ROUND(F224,2)</f>
        <v>0</v>
      </c>
    </row>
    <row r="225" spans="1:7" ht="15.48" thickBot="1" customHeight="1">
      <c r="A225" s="48" t="s">
        <v>550</v>
      </c>
      <c r="B225" s="48" t="s">
        <v>551</v>
      </c>
      <c r="C225" s="49"/>
      <c r="D225" s="50" t="s">
        <v>552</v>
      </c>
      <c r="E225" s="49"/>
      <c r="F225" s="51">
        <f ca="1">F238</f>
        <v>0</v>
      </c>
      <c r="G225" s="51">
        <f ca="1">ROUND(F225,2)</f>
        <v>0</v>
      </c>
    </row>
    <row r="226" spans="1:7" ht="21.36" thickBot="1" customHeight="1">
      <c r="A226" s="14" t="s">
        <v>553</v>
      </c>
      <c r="B226" s="8" t="s">
        <v>554</v>
      </c>
      <c r="C226" s="8" t="s">
        <v>555</v>
      </c>
      <c r="D226" s="25" t="s">
        <v>556</v>
      </c>
      <c r="E226" s="26">
        <v>1.000</v>
      </c>
      <c r="F226" s="27">
        <f ca="1">ROUND(120.000*(1+G2/100),2)</f>
        <v>0</v>
      </c>
      <c r="G226" s="27">
        <f ca="1">ROUND(E226*F226,2)</f>
        <v>0</v>
      </c>
    </row>
    <row r="227" spans="1:7" ht="21.36" thickBot="1" customHeight="1">
      <c r="A227" s="28"/>
      <c r="B227" s="28"/>
      <c r="C227" s="28"/>
      <c r="D227" s="25" t="s">
        <v>557</v>
      </c>
      <c r="E227" s="25"/>
      <c r="F227" s="25"/>
      <c r="G227" s="25"/>
    </row>
    <row r="228" spans="1:7" ht="21.36" thickBot="1" customHeight="1">
      <c r="A228" s="14" t="s">
        <v>558</v>
      </c>
      <c r="B228" s="8" t="s">
        <v>559</v>
      </c>
      <c r="C228" s="8" t="s">
        <v>560</v>
      </c>
      <c r="D228" s="25" t="s">
        <v>561</v>
      </c>
      <c r="E228" s="26">
        <v>3.000</v>
      </c>
      <c r="F228" s="27">
        <f ca="1">ROUND(69.220*(1+G2/100),2)</f>
        <v>0</v>
      </c>
      <c r="G228" s="27">
        <f ca="1">ROUND(E228*F228,2)</f>
        <v>0</v>
      </c>
    </row>
    <row r="229" spans="1:7" ht="39.84" thickBot="1" customHeight="1">
      <c r="A229" s="28"/>
      <c r="B229" s="28"/>
      <c r="C229" s="28"/>
      <c r="D229" s="25" t="s">
        <v>562</v>
      </c>
      <c r="E229" s="25"/>
      <c r="F229" s="25"/>
      <c r="G229" s="25"/>
    </row>
    <row r="230" spans="1:7" ht="21.36" thickBot="1" customHeight="1">
      <c r="A230" s="14" t="s">
        <v>563</v>
      </c>
      <c r="B230" s="8" t="s">
        <v>564</v>
      </c>
      <c r="C230" s="8" t="s">
        <v>565</v>
      </c>
      <c r="D230" s="25" t="s">
        <v>566</v>
      </c>
      <c r="E230" s="26">
        <v>3.000</v>
      </c>
      <c r="F230" s="27">
        <f ca="1">ROUND(48.470*(1+G2/100),2)</f>
        <v>0</v>
      </c>
      <c r="G230" s="27">
        <f ca="1">ROUND(E230*F230,2)</f>
        <v>0</v>
      </c>
    </row>
    <row r="231" spans="1:7" ht="49.08" thickBot="1" customHeight="1">
      <c r="A231" s="28"/>
      <c r="B231" s="28"/>
      <c r="C231" s="28"/>
      <c r="D231" s="25" t="s">
        <v>567</v>
      </c>
      <c r="E231" s="25"/>
      <c r="F231" s="25"/>
      <c r="G231" s="25"/>
    </row>
    <row r="232" spans="1:7" ht="15.48" thickBot="1" customHeight="1">
      <c r="A232" s="14" t="s">
        <v>568</v>
      </c>
      <c r="B232" s="8" t="s">
        <v>569</v>
      </c>
      <c r="C232" s="8" t="s">
        <v>570</v>
      </c>
      <c r="D232" s="25" t="s">
        <v>571</v>
      </c>
      <c r="E232" s="26">
        <v>3.000</v>
      </c>
      <c r="F232" s="27">
        <f ca="1">ROUND(19.550*(1+G2/100),2)</f>
        <v>0</v>
      </c>
      <c r="G232" s="27">
        <f ca="1">ROUND(E232*F232,2)</f>
        <v>0</v>
      </c>
    </row>
    <row r="233" spans="1:7" ht="12.12" thickBot="1" customHeight="1">
      <c r="A233" s="28"/>
      <c r="B233" s="28"/>
      <c r="C233" s="28"/>
      <c r="D233" s="25" t="s">
        <v>572</v>
      </c>
      <c r="E233" s="25"/>
      <c r="F233" s="25"/>
      <c r="G233" s="25"/>
    </row>
    <row r="234" spans="1:7" ht="15.48" thickBot="1" customHeight="1">
      <c r="A234" s="14" t="s">
        <v>573</v>
      </c>
      <c r="B234" s="8" t="s">
        <v>574</v>
      </c>
      <c r="C234" s="8" t="s">
        <v>575</v>
      </c>
      <c r="D234" s="25" t="s">
        <v>576</v>
      </c>
      <c r="E234" s="26">
        <v>3.000</v>
      </c>
      <c r="F234" s="27">
        <f ca="1">ROUND(3.070*(1+G2/100),2)</f>
        <v>0</v>
      </c>
      <c r="G234" s="27">
        <f ca="1">ROUND(E234*F234,2)</f>
        <v>0</v>
      </c>
    </row>
    <row r="235" spans="1:7" ht="12.12" thickBot="1" customHeight="1">
      <c r="A235" s="28"/>
      <c r="B235" s="28"/>
      <c r="C235" s="28"/>
      <c r="D235" s="25" t="s">
        <v>577</v>
      </c>
      <c r="E235" s="25"/>
      <c r="F235" s="25"/>
      <c r="G235" s="25"/>
    </row>
    <row r="236" spans="1:7" ht="15.48" thickBot="1" customHeight="1">
      <c r="A236" s="14" t="s">
        <v>578</v>
      </c>
      <c r="B236" s="8" t="s">
        <v>579</v>
      </c>
      <c r="C236" s="8" t="s">
        <v>580</v>
      </c>
      <c r="D236" s="25" t="s">
        <v>581</v>
      </c>
      <c r="E236" s="26">
        <v>3.000</v>
      </c>
      <c r="F236" s="27">
        <f ca="1">ROUND(4.120*(1+G2/100),2)</f>
        <v>0</v>
      </c>
      <c r="G236" s="27">
        <f ca="1">ROUND(E236*F236,2)</f>
        <v>0</v>
      </c>
    </row>
    <row r="237" spans="1:7" ht="12.12" thickBot="1" customHeight="1">
      <c r="A237" s="28"/>
      <c r="B237" s="28"/>
      <c r="C237" s="28"/>
      <c r="D237" s="25" t="s">
        <v>582</v>
      </c>
      <c r="E237" s="25"/>
      <c r="F237" s="25"/>
      <c r="G237" s="25"/>
    </row>
    <row r="238" spans="1:7" ht="15.48" thickBot="1" customHeight="1">
      <c r="A238" s="29"/>
      <c r="B238" s="29"/>
      <c r="C238" s="29"/>
      <c r="D238" s="45" t="s">
        <v>583</v>
      </c>
      <c r="E238" s="46"/>
      <c r="F238" s="47">
        <f ca="1">G226+G228+G230+G232+G234+G236</f>
        <v>0</v>
      </c>
      <c r="G238" s="47">
        <f ca="1">ROUND(F238,2)</f>
        <v>0</v>
      </c>
    </row>
    <row r="239" spans="1:7" ht="15.48" thickBot="1" customHeight="1">
      <c r="A239" s="52"/>
      <c r="B239" s="52"/>
      <c r="C239" s="52"/>
      <c r="D239" s="53" t="s">
        <v>584</v>
      </c>
      <c r="E239" s="54"/>
      <c r="F239" s="55">
        <f ca="1">G168+G224+G238</f>
        <v>0</v>
      </c>
      <c r="G239" s="55">
        <f ca="1">ROUND(F239,2)</f>
        <v>0</v>
      </c>
    </row>
    <row r="240" spans="1:7" ht="15.48" thickBot="1" customHeight="1">
      <c r="A240" s="56" t="s">
        <v>585</v>
      </c>
      <c r="B240" s="56" t="s">
        <v>586</v>
      </c>
      <c r="C240" s="57"/>
      <c r="D240" s="58" t="s">
        <v>587</v>
      </c>
      <c r="E240" s="57"/>
      <c r="F240" s="59">
        <f ca="1">F259</f>
        <v>0</v>
      </c>
      <c r="G240" s="59">
        <f ca="1">ROUND(F240,2)</f>
        <v>0</v>
      </c>
    </row>
    <row r="241" spans="1:7" ht="15.48" thickBot="1" customHeight="1">
      <c r="A241" s="41" t="s">
        <v>588</v>
      </c>
      <c r="B241" s="41" t="s">
        <v>589</v>
      </c>
      <c r="C241" s="42"/>
      <c r="D241" s="43" t="s">
        <v>590</v>
      </c>
      <c r="E241" s="42"/>
      <c r="F241" s="44">
        <f ca="1">F246</f>
        <v>0</v>
      </c>
      <c r="G241" s="44">
        <f ca="1">ROUND(F241,2)</f>
        <v>0</v>
      </c>
    </row>
    <row r="242" spans="1:7" ht="30.60" thickBot="1" customHeight="1">
      <c r="A242" s="14" t="s">
        <v>591</v>
      </c>
      <c r="B242" s="8" t="s">
        <v>592</v>
      </c>
      <c r="C242" s="8" t="s">
        <v>593</v>
      </c>
      <c r="D242" s="25" t="s">
        <v>594</v>
      </c>
      <c r="E242" s="26">
        <v>12.000</v>
      </c>
      <c r="F242" s="27">
        <f ca="1">ROUND(53.270*(1+G2/100),2)</f>
        <v>0</v>
      </c>
      <c r="G242" s="27">
        <f ca="1">ROUND(E242*F242,2)</f>
        <v>0</v>
      </c>
    </row>
    <row r="243" spans="1:7" ht="21.36" thickBot="1" customHeight="1">
      <c r="A243" s="28"/>
      <c r="B243" s="28"/>
      <c r="C243" s="28"/>
      <c r="D243" s="25" t="s">
        <v>595</v>
      </c>
      <c r="E243" s="25"/>
      <c r="F243" s="25"/>
      <c r="G243" s="25"/>
    </row>
    <row r="244" spans="1:7" ht="15.48" thickBot="1" customHeight="1">
      <c r="A244" s="14" t="s">
        <v>596</v>
      </c>
      <c r="B244" s="8" t="s">
        <v>597</v>
      </c>
      <c r="C244" s="8" t="s">
        <v>598</v>
      </c>
      <c r="D244" s="25" t="s">
        <v>599</v>
      </c>
      <c r="E244" s="26">
        <v>12.000</v>
      </c>
      <c r="F244" s="27">
        <f ca="1">ROUND(41.590*(1+G2/100),2)</f>
        <v>0</v>
      </c>
      <c r="G244" s="27">
        <f ca="1">ROUND(E244*F244,2)</f>
        <v>0</v>
      </c>
    </row>
    <row r="245" spans="1:7" ht="49.08" thickBot="1" customHeight="1">
      <c r="A245" s="28"/>
      <c r="B245" s="28"/>
      <c r="C245" s="28"/>
      <c r="D245" s="25" t="s">
        <v>600</v>
      </c>
      <c r="E245" s="25"/>
      <c r="F245" s="25"/>
      <c r="G245" s="25"/>
    </row>
    <row r="246" spans="1:7" ht="15.48" thickBot="1" customHeight="1">
      <c r="A246" s="29"/>
      <c r="B246" s="29"/>
      <c r="C246" s="29"/>
      <c r="D246" s="45" t="s">
        <v>601</v>
      </c>
      <c r="E246" s="46"/>
      <c r="F246" s="47">
        <f ca="1">G242+G244</f>
        <v>0</v>
      </c>
      <c r="G246" s="47">
        <f ca="1">ROUND(F246,2)</f>
        <v>0</v>
      </c>
    </row>
    <row r="247" spans="1:7" ht="15.48" thickBot="1" customHeight="1">
      <c r="A247" s="48" t="s">
        <v>602</v>
      </c>
      <c r="B247" s="48" t="s">
        <v>603</v>
      </c>
      <c r="C247" s="49"/>
      <c r="D247" s="50" t="s">
        <v>604</v>
      </c>
      <c r="E247" s="49"/>
      <c r="F247" s="51">
        <f ca="1">F252</f>
        <v>0</v>
      </c>
      <c r="G247" s="51">
        <f ca="1">ROUND(F247,2)</f>
        <v>0</v>
      </c>
    </row>
    <row r="248" spans="1:7" ht="30.60" thickBot="1" customHeight="1">
      <c r="A248" s="14" t="s">
        <v>605</v>
      </c>
      <c r="B248" s="8" t="s">
        <v>606</v>
      </c>
      <c r="C248" s="8" t="s">
        <v>607</v>
      </c>
      <c r="D248" s="25" t="s">
        <v>608</v>
      </c>
      <c r="E248" s="26">
        <v>16.000</v>
      </c>
      <c r="F248" s="27">
        <f ca="1">ROUND(66.800*(1+G2/100),2)</f>
        <v>0</v>
      </c>
      <c r="G248" s="27">
        <f ca="1">ROUND(E248*F248,2)</f>
        <v>0</v>
      </c>
    </row>
    <row r="249" spans="1:7" ht="49.08" thickBot="1" customHeight="1">
      <c r="A249" s="28"/>
      <c r="B249" s="28"/>
      <c r="C249" s="28"/>
      <c r="D249" s="25" t="s">
        <v>609</v>
      </c>
      <c r="E249" s="25"/>
      <c r="F249" s="25"/>
      <c r="G249" s="25"/>
    </row>
    <row r="250" spans="1:7" ht="15.48" thickBot="1" customHeight="1">
      <c r="A250" s="14" t="s">
        <v>610</v>
      </c>
      <c r="B250" s="8" t="s">
        <v>611</v>
      </c>
      <c r="C250" s="8" t="s">
        <v>612</v>
      </c>
      <c r="D250" s="25" t="s">
        <v>613</v>
      </c>
      <c r="E250" s="26">
        <v>16.000</v>
      </c>
      <c r="F250" s="27">
        <f ca="1">ROUND(28.600*(1+G2/100),2)</f>
        <v>0</v>
      </c>
      <c r="G250" s="27">
        <f ca="1">ROUND(E250*F250,2)</f>
        <v>0</v>
      </c>
    </row>
    <row r="251" spans="1:7" ht="39.84" thickBot="1" customHeight="1">
      <c r="A251" s="28"/>
      <c r="B251" s="28"/>
      <c r="C251" s="28"/>
      <c r="D251" s="25" t="s">
        <v>614</v>
      </c>
      <c r="E251" s="25"/>
      <c r="F251" s="25"/>
      <c r="G251" s="25"/>
    </row>
    <row r="252" spans="1:7" ht="15.48" thickBot="1" customHeight="1">
      <c r="A252" s="29"/>
      <c r="B252" s="29"/>
      <c r="C252" s="29"/>
      <c r="D252" s="45" t="s">
        <v>615</v>
      </c>
      <c r="E252" s="46"/>
      <c r="F252" s="47">
        <f ca="1">G248+G250</f>
        <v>0</v>
      </c>
      <c r="G252" s="47">
        <f ca="1">ROUND(F252,2)</f>
        <v>0</v>
      </c>
    </row>
    <row r="253" spans="1:7" ht="15.48" thickBot="1" customHeight="1">
      <c r="A253" s="48" t="s">
        <v>616</v>
      </c>
      <c r="B253" s="48" t="s">
        <v>617</v>
      </c>
      <c r="C253" s="49"/>
      <c r="D253" s="50" t="s">
        <v>618</v>
      </c>
      <c r="E253" s="49"/>
      <c r="F253" s="51">
        <f ca="1">F258</f>
        <v>0</v>
      </c>
      <c r="G253" s="51">
        <f ca="1">ROUND(F253,2)</f>
        <v>0</v>
      </c>
    </row>
    <row r="254" spans="1:7" ht="30.60" thickBot="1" customHeight="1">
      <c r="A254" s="14" t="s">
        <v>619</v>
      </c>
      <c r="B254" s="8" t="s">
        <v>620</v>
      </c>
      <c r="C254" s="8" t="s">
        <v>621</v>
      </c>
      <c r="D254" s="25" t="s">
        <v>622</v>
      </c>
      <c r="E254" s="26">
        <v>3.000</v>
      </c>
      <c r="F254" s="27">
        <f ca="1">ROUND(66.800*(1+G2/100),2)</f>
        <v>0</v>
      </c>
      <c r="G254" s="27">
        <f ca="1">ROUND(E254*F254,2)</f>
        <v>0</v>
      </c>
    </row>
    <row r="255" spans="1:7" ht="49.08" thickBot="1" customHeight="1">
      <c r="A255" s="28"/>
      <c r="B255" s="28"/>
      <c r="C255" s="28"/>
      <c r="D255" s="25" t="s">
        <v>623</v>
      </c>
      <c r="E255" s="25"/>
      <c r="F255" s="25"/>
      <c r="G255" s="25"/>
    </row>
    <row r="256" spans="1:7" ht="15.48" thickBot="1" customHeight="1">
      <c r="A256" s="14" t="s">
        <v>624</v>
      </c>
      <c r="B256" s="8" t="s">
        <v>625</v>
      </c>
      <c r="C256" s="8" t="s">
        <v>626</v>
      </c>
      <c r="D256" s="25" t="s">
        <v>627</v>
      </c>
      <c r="E256" s="26">
        <v>3.000</v>
      </c>
      <c r="F256" s="27">
        <f ca="1">ROUND(28.600*(1+G2/100),2)</f>
        <v>0</v>
      </c>
      <c r="G256" s="27">
        <f ca="1">ROUND(E256*F256,2)</f>
        <v>0</v>
      </c>
    </row>
    <row r="257" spans="1:7" ht="39.84" thickBot="1" customHeight="1">
      <c r="A257" s="28"/>
      <c r="B257" s="28"/>
      <c r="C257" s="28"/>
      <c r="D257" s="25" t="s">
        <v>628</v>
      </c>
      <c r="E257" s="25"/>
      <c r="F257" s="25"/>
      <c r="G257" s="25"/>
    </row>
    <row r="258" spans="1:7" ht="15.48" thickBot="1" customHeight="1">
      <c r="A258" s="29"/>
      <c r="B258" s="29"/>
      <c r="C258" s="29"/>
      <c r="D258" s="45" t="s">
        <v>629</v>
      </c>
      <c r="E258" s="46"/>
      <c r="F258" s="47">
        <f ca="1">G254+G256</f>
        <v>0</v>
      </c>
      <c r="G258" s="47">
        <f ca="1">ROUND(F258,2)</f>
        <v>0</v>
      </c>
    </row>
    <row r="259" spans="1:7" ht="15.48" thickBot="1" customHeight="1">
      <c r="A259" s="52"/>
      <c r="B259" s="52"/>
      <c r="C259" s="52"/>
      <c r="D259" s="53" t="s">
        <v>630</v>
      </c>
      <c r="E259" s="54"/>
      <c r="F259" s="55">
        <f ca="1">G246+G252+G258</f>
        <v>0</v>
      </c>
      <c r="G259" s="55">
        <f ca="1">ROUND(F259,2)</f>
        <v>0</v>
      </c>
    </row>
    <row r="260" spans="1:7" ht="15.48" thickBot="1" customHeight="1">
      <c r="A260" s="56" t="s">
        <v>631</v>
      </c>
      <c r="B260" s="56" t="s">
        <v>632</v>
      </c>
      <c r="C260" s="57"/>
      <c r="D260" s="58" t="s">
        <v>633</v>
      </c>
      <c r="E260" s="57"/>
      <c r="F260" s="59">
        <f ca="1">F279</f>
        <v>0</v>
      </c>
      <c r="G260" s="59">
        <f ca="1">ROUND(F260,2)</f>
        <v>0</v>
      </c>
    </row>
    <row r="261" spans="1:7" ht="15.48" thickBot="1" customHeight="1">
      <c r="A261" s="14" t="s">
        <v>634</v>
      </c>
      <c r="B261" s="8" t="s">
        <v>635</v>
      </c>
      <c r="C261" s="8" t="s">
        <v>636</v>
      </c>
      <c r="D261" s="25" t="s">
        <v>637</v>
      </c>
      <c r="E261" s="26">
        <v>7.000</v>
      </c>
      <c r="F261" s="27">
        <f ca="1">ROUND(34.930*(1+G2/100),2)</f>
        <v>0</v>
      </c>
      <c r="G261" s="27">
        <f ca="1">ROUND(E261*F261,2)</f>
        <v>0</v>
      </c>
    </row>
    <row r="262" spans="1:7" ht="39.84" thickBot="1" customHeight="1">
      <c r="A262" s="28"/>
      <c r="B262" s="28"/>
      <c r="C262" s="28"/>
      <c r="D262" s="25" t="s">
        <v>638</v>
      </c>
      <c r="E262" s="25"/>
      <c r="F262" s="25"/>
      <c r="G262" s="25"/>
    </row>
    <row r="263" spans="1:7" ht="15.48" thickBot="1" customHeight="1">
      <c r="A263" s="14" t="s">
        <v>639</v>
      </c>
      <c r="B263" s="8" t="s">
        <v>640</v>
      </c>
      <c r="C263" s="8" t="s">
        <v>641</v>
      </c>
      <c r="D263" s="25" t="s">
        <v>642</v>
      </c>
      <c r="E263" s="26">
        <v>3.000</v>
      </c>
      <c r="F263" s="27">
        <f ca="1">ROUND(26.950*(1+G2/100),2)</f>
        <v>0</v>
      </c>
      <c r="G263" s="27">
        <f ca="1">ROUND(E263*F263,2)</f>
        <v>0</v>
      </c>
    </row>
    <row r="264" spans="1:7" ht="12.12" thickBot="1" customHeight="1">
      <c r="A264" s="28"/>
      <c r="B264" s="28"/>
      <c r="C264" s="28"/>
      <c r="D264" s="25" t="s">
        <v>643</v>
      </c>
      <c r="E264" s="25"/>
      <c r="F264" s="25"/>
      <c r="G264" s="25"/>
    </row>
    <row r="265" spans="1:7" ht="30.60" thickBot="1" customHeight="1">
      <c r="A265" s="14" t="s">
        <v>644</v>
      </c>
      <c r="B265" s="8" t="s">
        <v>645</v>
      </c>
      <c r="C265" s="8" t="s">
        <v>646</v>
      </c>
      <c r="D265" s="25" t="s">
        <v>647</v>
      </c>
      <c r="E265" s="26">
        <v>7.000</v>
      </c>
      <c r="F265" s="27">
        <f ca="1">ROUND(140.130*(1+G2/100),2)</f>
        <v>0</v>
      </c>
      <c r="G265" s="27">
        <f ca="1">ROUND(E265*F265,2)</f>
        <v>0</v>
      </c>
    </row>
    <row r="266" spans="1:7" ht="21.36" thickBot="1" customHeight="1">
      <c r="A266" s="28"/>
      <c r="B266" s="28"/>
      <c r="C266" s="28"/>
      <c r="D266" s="25" t="s">
        <v>648</v>
      </c>
      <c r="E266" s="25"/>
      <c r="F266" s="25"/>
      <c r="G266" s="25"/>
    </row>
    <row r="267" spans="1:7" ht="21.36" thickBot="1" customHeight="1">
      <c r="A267" s="14" t="s">
        <v>649</v>
      </c>
      <c r="B267" s="8" t="s">
        <v>650</v>
      </c>
      <c r="C267" s="8" t="s">
        <v>651</v>
      </c>
      <c r="D267" s="25" t="s">
        <v>652</v>
      </c>
      <c r="E267" s="26">
        <v>2.000</v>
      </c>
      <c r="F267" s="27">
        <f ca="1">ROUND(58.600*(1+G2/100),2)</f>
        <v>0</v>
      </c>
      <c r="G267" s="27">
        <f ca="1">ROUND(E267*F267,2)</f>
        <v>0</v>
      </c>
    </row>
    <row r="268" spans="1:7" ht="12.12" thickBot="1" customHeight="1">
      <c r="A268" s="28"/>
      <c r="B268" s="28"/>
      <c r="C268" s="28"/>
      <c r="D268" s="25" t="s">
        <v>653</v>
      </c>
      <c r="E268" s="25"/>
      <c r="F268" s="25"/>
      <c r="G268" s="25"/>
    </row>
    <row r="269" spans="1:7" ht="15.48" thickBot="1" customHeight="1">
      <c r="A269" s="14" t="s">
        <v>654</v>
      </c>
      <c r="B269" s="8" t="s">
        <v>655</v>
      </c>
      <c r="C269" s="8" t="s">
        <v>656</v>
      </c>
      <c r="D269" s="25" t="s">
        <v>657</v>
      </c>
      <c r="E269" s="26">
        <v>2.000</v>
      </c>
      <c r="F269" s="27">
        <f ca="1">ROUND(93.850*(1+G2/100),2)</f>
        <v>0</v>
      </c>
      <c r="G269" s="27">
        <f ca="1">ROUND(E269*F269,2)</f>
        <v>0</v>
      </c>
    </row>
    <row r="270" spans="1:7" ht="12.12" thickBot="1" customHeight="1">
      <c r="A270" s="28"/>
      <c r="B270" s="28"/>
      <c r="C270" s="28"/>
      <c r="D270" s="25" t="s">
        <v>658</v>
      </c>
      <c r="E270" s="25"/>
      <c r="F270" s="25"/>
      <c r="G270" s="25"/>
    </row>
    <row r="271" spans="1:7" ht="21.36" thickBot="1" customHeight="1">
      <c r="A271" s="14" t="s">
        <v>659</v>
      </c>
      <c r="B271" s="8" t="s">
        <v>660</v>
      </c>
      <c r="C271" s="8" t="s">
        <v>661</v>
      </c>
      <c r="D271" s="25" t="s">
        <v>662</v>
      </c>
      <c r="E271" s="26">
        <v>2.000</v>
      </c>
      <c r="F271" s="27">
        <f ca="1">ROUND(9.920*(1+G2/100),2)</f>
        <v>0</v>
      </c>
      <c r="G271" s="27">
        <f ca="1">ROUND(E271*F271,2)</f>
        <v>0</v>
      </c>
    </row>
    <row r="272" spans="1:7" ht="21.36" thickBot="1" customHeight="1">
      <c r="A272" s="28"/>
      <c r="B272" s="28"/>
      <c r="C272" s="28"/>
      <c r="D272" s="25" t="s">
        <v>663</v>
      </c>
      <c r="E272" s="25"/>
      <c r="F272" s="25"/>
      <c r="G272" s="25"/>
    </row>
    <row r="273" spans="1:7" ht="21.36" thickBot="1" customHeight="1">
      <c r="A273" s="14" t="s">
        <v>664</v>
      </c>
      <c r="B273" s="8" t="s">
        <v>665</v>
      </c>
      <c r="C273" s="8" t="s">
        <v>666</v>
      </c>
      <c r="D273" s="25" t="s">
        <v>667</v>
      </c>
      <c r="E273" s="26">
        <v>2.000</v>
      </c>
      <c r="F273" s="27">
        <f ca="1">ROUND(9.330*(1+G2/100),2)</f>
        <v>0</v>
      </c>
      <c r="G273" s="27">
        <f ca="1">ROUND(E273*F273,2)</f>
        <v>0</v>
      </c>
    </row>
    <row r="274" spans="1:7" ht="21.36" thickBot="1" customHeight="1">
      <c r="A274" s="28"/>
      <c r="B274" s="28"/>
      <c r="C274" s="28"/>
      <c r="D274" s="25" t="s">
        <v>668</v>
      </c>
      <c r="E274" s="25"/>
      <c r="F274" s="25"/>
      <c r="G274" s="25"/>
    </row>
    <row r="275" spans="1:7" ht="21.36" thickBot="1" customHeight="1">
      <c r="A275" s="14" t="s">
        <v>669</v>
      </c>
      <c r="B275" s="8" t="s">
        <v>670</v>
      </c>
      <c r="C275" s="8" t="s">
        <v>671</v>
      </c>
      <c r="D275" s="25" t="s">
        <v>672</v>
      </c>
      <c r="E275" s="26">
        <v>1.000</v>
      </c>
      <c r="F275" s="27">
        <f ca="1">ROUND(76.010*(1+G2/100),2)</f>
        <v>0</v>
      </c>
      <c r="G275" s="27">
        <f ca="1">ROUND(E275*F275,2)</f>
        <v>0</v>
      </c>
    </row>
    <row r="276" spans="1:7" ht="12.12" thickBot="1" customHeight="1">
      <c r="A276" s="28"/>
      <c r="B276" s="28"/>
      <c r="C276" s="28"/>
      <c r="D276" s="25" t="s">
        <v>673</v>
      </c>
      <c r="E276" s="25"/>
      <c r="F276" s="25"/>
      <c r="G276" s="25"/>
    </row>
    <row r="277" spans="1:7" ht="21.36" thickBot="1" customHeight="1">
      <c r="A277" s="14" t="s">
        <v>674</v>
      </c>
      <c r="B277" s="8" t="s">
        <v>675</v>
      </c>
      <c r="C277" s="8" t="s">
        <v>676</v>
      </c>
      <c r="D277" s="25" t="s">
        <v>677</v>
      </c>
      <c r="E277" s="26">
        <v>1.000</v>
      </c>
      <c r="F277" s="27">
        <f ca="1">ROUND(29.580*(1+G2/100),2)</f>
        <v>0</v>
      </c>
      <c r="G277" s="27">
        <f ca="1">ROUND(E277*F277,2)</f>
        <v>0</v>
      </c>
    </row>
    <row r="278" spans="1:7" ht="30.60" thickBot="1" customHeight="1">
      <c r="A278" s="28"/>
      <c r="B278" s="28"/>
      <c r="C278" s="28"/>
      <c r="D278" s="25" t="s">
        <v>678</v>
      </c>
      <c r="E278" s="25"/>
      <c r="F278" s="25"/>
      <c r="G278" s="25"/>
    </row>
    <row r="279" spans="1:7" ht="15.48" thickBot="1" customHeight="1">
      <c r="A279" s="29"/>
      <c r="B279" s="29"/>
      <c r="C279" s="29"/>
      <c r="D279" s="60" t="s">
        <v>679</v>
      </c>
      <c r="E279" s="61"/>
      <c r="F279" s="62">
        <f ca="1">G261+G263+G265+G267+G269+G271+G273+G275+G277</f>
        <v>0</v>
      </c>
      <c r="G279" s="62">
        <f ca="1">ROUND(F279,2)</f>
        <v>0</v>
      </c>
    </row>
    <row r="280" spans="1:7" ht="15.48" thickBot="1" customHeight="1">
      <c r="A280" s="56" t="s">
        <v>680</v>
      </c>
      <c r="B280" s="56" t="s">
        <v>681</v>
      </c>
      <c r="C280" s="57"/>
      <c r="D280" s="58" t="s">
        <v>682</v>
      </c>
      <c r="E280" s="57"/>
      <c r="F280" s="59">
        <f ca="1">F295</f>
        <v>0</v>
      </c>
      <c r="G280" s="59">
        <f ca="1">ROUND(F280,2)</f>
        <v>0</v>
      </c>
    </row>
    <row r="281" spans="1:7" ht="15.48" thickBot="1" customHeight="1">
      <c r="A281" s="41" t="s">
        <v>683</v>
      </c>
      <c r="B281" s="41" t="s">
        <v>684</v>
      </c>
      <c r="C281" s="42"/>
      <c r="D281" s="43" t="s">
        <v>685</v>
      </c>
      <c r="E281" s="42"/>
      <c r="F281" s="44">
        <f ca="1">F294</f>
        <v>0</v>
      </c>
      <c r="G281" s="44">
        <f ca="1">ROUND(F281,2)</f>
        <v>0</v>
      </c>
    </row>
    <row r="282" spans="1:7" ht="21.36" thickBot="1" customHeight="1">
      <c r="A282" s="14" t="s">
        <v>686</v>
      </c>
      <c r="B282" s="8" t="s">
        <v>687</v>
      </c>
      <c r="C282" s="8" t="s">
        <v>688</v>
      </c>
      <c r="D282" s="25" t="s">
        <v>689</v>
      </c>
      <c r="E282" s="26">
        <v>2.000</v>
      </c>
      <c r="F282" s="27">
        <f ca="1">ROUND(316.000*(1+G2/100),2)</f>
        <v>0</v>
      </c>
      <c r="G282" s="27">
        <f ca="1">ROUND(E282*F282,2)</f>
        <v>0</v>
      </c>
    </row>
    <row r="283" spans="1:7" ht="39.84" thickBot="1" customHeight="1">
      <c r="A283" s="28"/>
      <c r="B283" s="28"/>
      <c r="C283" s="28"/>
      <c r="D283" s="25" t="s">
        <v>690</v>
      </c>
      <c r="E283" s="25"/>
      <c r="F283" s="25"/>
      <c r="G283" s="25"/>
    </row>
    <row r="284" spans="1:7" ht="21.36" thickBot="1" customHeight="1">
      <c r="A284" s="14" t="s">
        <v>691</v>
      </c>
      <c r="B284" s="8" t="s">
        <v>692</v>
      </c>
      <c r="C284" s="8" t="s">
        <v>693</v>
      </c>
      <c r="D284" s="25" t="s">
        <v>694</v>
      </c>
      <c r="E284" s="26">
        <v>70.000</v>
      </c>
      <c r="F284" s="27">
        <f ca="1">ROUND(1.370*(1+G2/100),2)</f>
        <v>0</v>
      </c>
      <c r="G284" s="27">
        <f ca="1">ROUND(E284*F284,2)</f>
        <v>0</v>
      </c>
    </row>
    <row r="285" spans="1:7" ht="21.36" thickBot="1" customHeight="1">
      <c r="A285" s="28"/>
      <c r="B285" s="28"/>
      <c r="C285" s="28"/>
      <c r="D285" s="25" t="s">
        <v>695</v>
      </c>
      <c r="E285" s="25"/>
      <c r="F285" s="25"/>
      <c r="G285" s="25"/>
    </row>
    <row r="286" spans="1:7" ht="21.36" thickBot="1" customHeight="1">
      <c r="A286" s="14" t="s">
        <v>696</v>
      </c>
      <c r="B286" s="8" t="s">
        <v>697</v>
      </c>
      <c r="C286" s="8" t="s">
        <v>698</v>
      </c>
      <c r="D286" s="25" t="s">
        <v>699</v>
      </c>
      <c r="E286" s="26">
        <v>1.000</v>
      </c>
      <c r="F286" s="27">
        <f ca="1">ROUND(1150.000*(1+G2/100),2)</f>
        <v>0</v>
      </c>
      <c r="G286" s="27">
        <f ca="1">ROUND(E286*F286,2)</f>
        <v>0</v>
      </c>
    </row>
    <row r="287" spans="1:7" ht="30.60" thickBot="1" customHeight="1">
      <c r="A287" s="28"/>
      <c r="B287" s="28"/>
      <c r="C287" s="28"/>
      <c r="D287" s="25" t="s">
        <v>700</v>
      </c>
      <c r="E287" s="25"/>
      <c r="F287" s="25"/>
      <c r="G287" s="25"/>
    </row>
    <row r="288" spans="1:7" ht="15.48" thickBot="1" customHeight="1">
      <c r="A288" s="14" t="s">
        <v>701</v>
      </c>
      <c r="B288" s="8" t="s">
        <v>702</v>
      </c>
      <c r="C288" s="8" t="s">
        <v>703</v>
      </c>
      <c r="D288" s="25" t="s">
        <v>704</v>
      </c>
      <c r="E288" s="26">
        <v>1.000</v>
      </c>
      <c r="F288" s="27">
        <f ca="1">ROUND(153.740*(1+G2/100),2)</f>
        <v>0</v>
      </c>
      <c r="G288" s="27">
        <f ca="1">ROUND(E288*F288,2)</f>
        <v>0</v>
      </c>
    </row>
    <row r="289" spans="1:7" ht="12.12" thickBot="1" customHeight="1">
      <c r="A289" s="28"/>
      <c r="B289" s="28"/>
      <c r="C289" s="28"/>
      <c r="D289" s="25" t="s">
        <v>705</v>
      </c>
      <c r="E289" s="25"/>
      <c r="F289" s="25"/>
      <c r="G289" s="25"/>
    </row>
    <row r="290" spans="1:7" ht="21.36" thickBot="1" customHeight="1">
      <c r="A290" s="14" t="s">
        <v>706</v>
      </c>
      <c r="B290" s="8" t="s">
        <v>707</v>
      </c>
      <c r="C290" s="8" t="s">
        <v>708</v>
      </c>
      <c r="D290" s="25" t="s">
        <v>709</v>
      </c>
      <c r="E290" s="26">
        <v>65.000</v>
      </c>
      <c r="F290" s="27">
        <f ca="1">ROUND(1.560*(1+G2/100),2)</f>
        <v>0</v>
      </c>
      <c r="G290" s="27">
        <f ca="1">ROUND(E290*F290,2)</f>
        <v>0</v>
      </c>
    </row>
    <row r="291" spans="1:7" ht="21.36" thickBot="1" customHeight="1">
      <c r="A291" s="28"/>
      <c r="B291" s="28"/>
      <c r="C291" s="28"/>
      <c r="D291" s="25" t="s">
        <v>710</v>
      </c>
      <c r="E291" s="25"/>
      <c r="F291" s="25"/>
      <c r="G291" s="25"/>
    </row>
    <row r="292" spans="1:7" ht="30.60" thickBot="1" customHeight="1">
      <c r="A292" s="14" t="s">
        <v>711</v>
      </c>
      <c r="B292" s="8" t="s">
        <v>712</v>
      </c>
      <c r="C292" s="8" t="s">
        <v>713</v>
      </c>
      <c r="D292" s="25" t="s">
        <v>714</v>
      </c>
      <c r="E292" s="26">
        <v>25.000</v>
      </c>
      <c r="F292" s="27">
        <f ca="1">ROUND(4.630*(1+G2/100),2)</f>
        <v>0</v>
      </c>
      <c r="G292" s="27">
        <f ca="1">ROUND(E292*F292,2)</f>
        <v>0</v>
      </c>
    </row>
    <row r="293" spans="1:7" ht="21.36" thickBot="1" customHeight="1">
      <c r="A293" s="28"/>
      <c r="B293" s="28"/>
      <c r="C293" s="28"/>
      <c r="D293" s="25" t="s">
        <v>715</v>
      </c>
      <c r="E293" s="25"/>
      <c r="F293" s="25"/>
      <c r="G293" s="25"/>
    </row>
    <row r="294" spans="1:7" ht="15.48" thickBot="1" customHeight="1">
      <c r="A294" s="29"/>
      <c r="B294" s="29"/>
      <c r="C294" s="29"/>
      <c r="D294" s="45" t="s">
        <v>716</v>
      </c>
      <c r="E294" s="46"/>
      <c r="F294" s="47">
        <f ca="1">G282+G284+G286+G288+G290+G292</f>
        <v>0</v>
      </c>
      <c r="G294" s="47">
        <f ca="1">ROUND(F294,2)</f>
        <v>0</v>
      </c>
    </row>
    <row r="295" spans="1:7" ht="15.48" thickBot="1" customHeight="1">
      <c r="A295" s="52"/>
      <c r="B295" s="52"/>
      <c r="C295" s="52"/>
      <c r="D295" s="53" t="s">
        <v>717</v>
      </c>
      <c r="E295" s="54"/>
      <c r="F295" s="55">
        <f ca="1">G294</f>
        <v>0</v>
      </c>
      <c r="G295" s="55">
        <f ca="1">ROUND(F295,2)</f>
        <v>0</v>
      </c>
    </row>
    <row r="296" spans="1:7" ht="15.48" thickBot="1" customHeight="1">
      <c r="A296" s="56" t="s">
        <v>718</v>
      </c>
      <c r="B296" s="56" t="s">
        <v>719</v>
      </c>
      <c r="C296" s="57"/>
      <c r="D296" s="58" t="s">
        <v>720</v>
      </c>
      <c r="E296" s="57"/>
      <c r="F296" s="59">
        <f ca="1">F303</f>
        <v>0</v>
      </c>
      <c r="G296" s="59">
        <f ca="1">ROUND(F296,2)</f>
        <v>0</v>
      </c>
    </row>
    <row r="297" spans="1:7" ht="21.36" thickBot="1" customHeight="1">
      <c r="A297" s="14" t="s">
        <v>721</v>
      </c>
      <c r="B297" s="8" t="s">
        <v>722</v>
      </c>
      <c r="C297" s="8" t="s">
        <v>723</v>
      </c>
      <c r="D297" s="25" t="s">
        <v>724</v>
      </c>
      <c r="E297" s="26">
        <v>26.339</v>
      </c>
      <c r="F297" s="27">
        <f ca="1">ROUND(13.770*(1+G2/100),2)</f>
        <v>0</v>
      </c>
      <c r="G297" s="27">
        <f ca="1">ROUND(E297*F297,2)</f>
        <v>0</v>
      </c>
    </row>
    <row r="298" spans="1:7" ht="21.36" thickBot="1" customHeight="1">
      <c r="A298" s="28"/>
      <c r="B298" s="28"/>
      <c r="C298" s="28"/>
      <c r="D298" s="25" t="s">
        <v>725</v>
      </c>
      <c r="E298" s="25"/>
      <c r="F298" s="25"/>
      <c r="G298" s="25"/>
    </row>
    <row r="299" spans="1:7" ht="39.84" thickBot="1" customHeight="1">
      <c r="A299" s="14" t="s">
        <v>726</v>
      </c>
      <c r="B299" s="8" t="s">
        <v>727</v>
      </c>
      <c r="C299" s="8" t="s">
        <v>728</v>
      </c>
      <c r="D299" s="25" t="s">
        <v>729</v>
      </c>
      <c r="E299" s="26">
        <v>26.339</v>
      </c>
      <c r="F299" s="27">
        <f ca="1">ROUND(25.850*(1+G2/100),2)</f>
        <v>0</v>
      </c>
      <c r="G299" s="27">
        <f ca="1">ROUND(E299*F299,2)</f>
        <v>0</v>
      </c>
    </row>
    <row r="300" spans="1:7" ht="21.36" thickBot="1" customHeight="1">
      <c r="A300" s="28"/>
      <c r="B300" s="28"/>
      <c r="C300" s="28"/>
      <c r="D300" s="25" t="s">
        <v>730</v>
      </c>
      <c r="E300" s="25"/>
      <c r="F300" s="25"/>
      <c r="G300" s="25"/>
    </row>
    <row r="301" spans="1:7" ht="39.84" thickBot="1" customHeight="1">
      <c r="A301" s="14" t="s">
        <v>731</v>
      </c>
      <c r="B301" s="8" t="s">
        <v>732</v>
      </c>
      <c r="C301" s="8" t="s">
        <v>733</v>
      </c>
      <c r="D301" s="25" t="s">
        <v>734</v>
      </c>
      <c r="E301" s="26">
        <v>3.328</v>
      </c>
      <c r="F301" s="27">
        <f ca="1">ROUND(17.920*(1+G2/100),2)</f>
        <v>0</v>
      </c>
      <c r="G301" s="27">
        <f ca="1">ROUND(E301*F301,2)</f>
        <v>0</v>
      </c>
    </row>
    <row r="302" spans="1:7" ht="30.60" thickBot="1" customHeight="1">
      <c r="A302" s="28"/>
      <c r="B302" s="28"/>
      <c r="C302" s="28"/>
      <c r="D302" s="25" t="s">
        <v>735</v>
      </c>
      <c r="E302" s="25"/>
      <c r="F302" s="25"/>
      <c r="G302" s="25"/>
    </row>
    <row r="303" spans="1:7" ht="15.48" thickBot="1" customHeight="1">
      <c r="A303" s="29"/>
      <c r="B303" s="29"/>
      <c r="C303" s="29"/>
      <c r="D303" s="60" t="s">
        <v>736</v>
      </c>
      <c r="E303" s="61"/>
      <c r="F303" s="62">
        <f ca="1">G297+G299+G301</f>
        <v>0</v>
      </c>
      <c r="G303" s="62">
        <f ca="1">ROUND(F303,2)</f>
        <v>0</v>
      </c>
    </row>
    <row r="304" spans="1:7" ht="15.48" thickBot="1" customHeight="1">
      <c r="A304" s="52"/>
      <c r="B304" s="52"/>
      <c r="C304" s="52"/>
      <c r="D304" s="63" t="s">
        <v>737</v>
      </c>
      <c r="E304" s="64"/>
      <c r="F304" s="65">
        <f ca="1">G135+G153+G239+G259+G279+G295+G303</f>
        <v>0</v>
      </c>
      <c r="G304" s="65">
        <f ca="1">ROUND(F304,2)</f>
        <v>0</v>
      </c>
    </row>
    <row r="305" spans="1:7" ht="15.48" thickBot="1" customHeight="1">
      <c r="A305" s="33" t="s">
        <v>738</v>
      </c>
      <c r="B305" s="33" t="s">
        <v>739</v>
      </c>
      <c r="C305" s="34"/>
      <c r="D305" s="35" t="s">
        <v>740</v>
      </c>
      <c r="E305" s="34"/>
      <c r="F305" s="36">
        <f ca="1">F310</f>
        <v>0</v>
      </c>
      <c r="G305" s="36">
        <f ca="1">ROUND(F305,2)</f>
        <v>0</v>
      </c>
    </row>
    <row r="306" spans="1:7" ht="21.36" thickBot="1" customHeight="1">
      <c r="A306" s="14" t="s">
        <v>741</v>
      </c>
      <c r="B306" s="8" t="s">
        <v>742</v>
      </c>
      <c r="C306" s="8" t="s">
        <v>743</v>
      </c>
      <c r="D306" s="25" t="s">
        <v>744</v>
      </c>
      <c r="E306" s="26">
        <v>1.000</v>
      </c>
      <c r="F306" s="27">
        <f ca="1">ROUND(540.000*(1+G2/100),2)</f>
        <v>0</v>
      </c>
      <c r="G306" s="27">
        <f ca="1">ROUND(E306*F306,2)</f>
        <v>0</v>
      </c>
    </row>
    <row r="307" spans="1:7" ht="39.84" thickBot="1" customHeight="1">
      <c r="A307" s="28"/>
      <c r="B307" s="28"/>
      <c r="C307" s="28"/>
      <c r="D307" s="25" t="s">
        <v>745</v>
      </c>
      <c r="E307" s="25"/>
      <c r="F307" s="25"/>
      <c r="G307" s="25"/>
    </row>
    <row r="308" spans="1:7" ht="21.36" thickBot="1" customHeight="1">
      <c r="A308" s="14" t="s">
        <v>746</v>
      </c>
      <c r="B308" s="8" t="s">
        <v>747</v>
      </c>
      <c r="C308" s="8" t="s">
        <v>748</v>
      </c>
      <c r="D308" s="25" t="s">
        <v>749</v>
      </c>
      <c r="E308" s="26">
        <v>1.000</v>
      </c>
      <c r="F308" s="27">
        <f ca="1">ROUND(540.000*(1+G2/100),2)</f>
        <v>0</v>
      </c>
      <c r="G308" s="27">
        <f ca="1">ROUND(E308*F308,2)</f>
        <v>0</v>
      </c>
    </row>
    <row r="309" spans="1:7" ht="30.60" thickBot="1" customHeight="1">
      <c r="A309" s="28"/>
      <c r="B309" s="28"/>
      <c r="C309" s="28"/>
      <c r="D309" s="25" t="s">
        <v>750</v>
      </c>
      <c r="E309" s="25"/>
      <c r="F309" s="25"/>
      <c r="G309" s="25"/>
    </row>
    <row r="310" spans="1:7" ht="15.48" thickBot="1" customHeight="1">
      <c r="A310" s="29"/>
      <c r="B310" s="29"/>
      <c r="C310" s="29"/>
      <c r="D310" s="30" t="s">
        <v>751</v>
      </c>
      <c r="E310" s="31"/>
      <c r="F310" s="32">
        <f ca="1">G306+G308</f>
        <v>0</v>
      </c>
      <c r="G310" s="32">
        <f ca="1">ROUND(F310,2)</f>
        <v>0</v>
      </c>
    </row>
    <row r="311" spans="1:7" ht="15.48" thickBot="1" customHeight="1">
      <c r="A311" s="33" t="s">
        <v>752</v>
      </c>
      <c r="B311" s="33" t="s">
        <v>753</v>
      </c>
      <c r="C311" s="34"/>
      <c r="D311" s="35" t="s">
        <v>754</v>
      </c>
      <c r="E311" s="34"/>
      <c r="F311" s="36">
        <f ca="1">F322</f>
        <v>0</v>
      </c>
      <c r="G311" s="36">
        <f ca="1">ROUND(F311,2)</f>
        <v>0</v>
      </c>
    </row>
    <row r="312" spans="1:7" ht="30.60" thickBot="1" customHeight="1">
      <c r="A312" s="14" t="s">
        <v>755</v>
      </c>
      <c r="B312" s="8" t="s">
        <v>756</v>
      </c>
      <c r="C312" s="8" t="s">
        <v>757</v>
      </c>
      <c r="D312" s="25" t="s">
        <v>758</v>
      </c>
      <c r="E312" s="26">
        <v>4.000</v>
      </c>
      <c r="F312" s="27">
        <f ca="1">ROUND(120.960*(1+G2/100),2)</f>
        <v>0</v>
      </c>
      <c r="G312" s="27">
        <f ca="1">ROUND(E312*F312,2)</f>
        <v>0</v>
      </c>
    </row>
    <row r="313" spans="1:7" ht="21.36" thickBot="1" customHeight="1">
      <c r="A313" s="28"/>
      <c r="B313" s="28"/>
      <c r="C313" s="28"/>
      <c r="D313" s="25" t="s">
        <v>759</v>
      </c>
      <c r="E313" s="25"/>
      <c r="F313" s="25"/>
      <c r="G313" s="25"/>
    </row>
    <row r="314" spans="1:7" ht="21.36" thickBot="1" customHeight="1">
      <c r="A314" s="14" t="s">
        <v>760</v>
      </c>
      <c r="B314" s="8" t="s">
        <v>761</v>
      </c>
      <c r="C314" s="8" t="s">
        <v>762</v>
      </c>
      <c r="D314" s="25" t="s">
        <v>763</v>
      </c>
      <c r="E314" s="26">
        <v>1.000</v>
      </c>
      <c r="F314" s="27">
        <f ca="1">ROUND(650.000*(1+G2/100),2)</f>
        <v>0</v>
      </c>
      <c r="G314" s="27">
        <f ca="1">ROUND(E314*F314,2)</f>
        <v>0</v>
      </c>
    </row>
    <row r="315" spans="1:7" ht="21.36" thickBot="1" customHeight="1">
      <c r="A315" s="28"/>
      <c r="B315" s="28"/>
      <c r="C315" s="28"/>
      <c r="D315" s="25" t="s">
        <v>764</v>
      </c>
      <c r="E315" s="25"/>
      <c r="F315" s="25"/>
      <c r="G315" s="25"/>
    </row>
    <row r="316" spans="1:7" ht="21.36" thickBot="1" customHeight="1">
      <c r="A316" s="14" t="s">
        <v>765</v>
      </c>
      <c r="B316" s="8" t="s">
        <v>766</v>
      </c>
      <c r="C316" s="8" t="s">
        <v>767</v>
      </c>
      <c r="D316" s="25" t="s">
        <v>768</v>
      </c>
      <c r="E316" s="26">
        <v>1.000</v>
      </c>
      <c r="F316" s="27">
        <f ca="1">ROUND(500.000*(1+G2/100),2)</f>
        <v>0</v>
      </c>
      <c r="G316" s="27">
        <f ca="1">ROUND(E316*F316,2)</f>
        <v>0</v>
      </c>
    </row>
    <row r="317" spans="1:7" ht="12.12" thickBot="1" customHeight="1">
      <c r="A317" s="28"/>
      <c r="B317" s="28"/>
      <c r="C317" s="28"/>
      <c r="D317" s="25" t="s">
        <v>769</v>
      </c>
      <c r="E317" s="25"/>
      <c r="F317" s="25"/>
      <c r="G317" s="25"/>
    </row>
    <row r="318" spans="1:7" ht="21.36" thickBot="1" customHeight="1">
      <c r="A318" s="14" t="s">
        <v>770</v>
      </c>
      <c r="B318" s="8" t="s">
        <v>771</v>
      </c>
      <c r="C318" s="8" t="s">
        <v>772</v>
      </c>
      <c r="D318" s="25" t="s">
        <v>773</v>
      </c>
      <c r="E318" s="26">
        <v>1.000</v>
      </c>
      <c r="F318" s="27">
        <f ca="1">ROUND(1500.000*(1+G2/100),2)</f>
        <v>0</v>
      </c>
      <c r="G318" s="27">
        <f ca="1">ROUND(E318*F318,2)</f>
        <v>0</v>
      </c>
    </row>
    <row r="319" spans="1:7" ht="12.12" thickBot="1" customHeight="1">
      <c r="A319" s="28"/>
      <c r="B319" s="28"/>
      <c r="C319" s="28"/>
      <c r="D319" s="25" t="s">
        <v>774</v>
      </c>
      <c r="E319" s="25"/>
      <c r="F319" s="25"/>
      <c r="G319" s="25"/>
    </row>
    <row r="320" spans="1:7" ht="21.36" thickBot="1" customHeight="1">
      <c r="A320" s="14" t="s">
        <v>775</v>
      </c>
      <c r="B320" s="8" t="s">
        <v>776</v>
      </c>
      <c r="C320" s="8" t="s">
        <v>777</v>
      </c>
      <c r="D320" s="25" t="s">
        <v>778</v>
      </c>
      <c r="E320" s="26">
        <v>1.000</v>
      </c>
      <c r="F320" s="27">
        <f ca="1">ROUND(500.000*(1+G2/100),2)</f>
        <v>0</v>
      </c>
      <c r="G320" s="27">
        <f ca="1">ROUND(E320*F320,2)</f>
        <v>0</v>
      </c>
    </row>
    <row r="321" spans="1:7" ht="12.12" thickBot="1" customHeight="1">
      <c r="A321" s="28"/>
      <c r="B321" s="28"/>
      <c r="C321" s="28"/>
      <c r="D321" s="25" t="s">
        <v>779</v>
      </c>
      <c r="E321" s="25"/>
      <c r="F321" s="25"/>
      <c r="G321" s="25"/>
    </row>
    <row r="322" spans="1:7" ht="15.48" thickBot="1" customHeight="1">
      <c r="A322" s="29"/>
      <c r="B322" s="29"/>
      <c r="C322" s="29"/>
      <c r="D322" s="30" t="s">
        <v>780</v>
      </c>
      <c r="E322" s="31"/>
      <c r="F322" s="32">
        <f ca="1">G312+G314+G316+G318+G320</f>
        <v>0</v>
      </c>
      <c r="G322" s="32">
        <f ca="1">ROUND(F322,2)</f>
        <v>0</v>
      </c>
    </row>
    <row r="323" spans="1:7" ht="15.48" thickBot="1" customHeight="1">
      <c r="A323" s="33" t="s">
        <v>781</v>
      </c>
      <c r="B323" s="33" t="s">
        <v>782</v>
      </c>
      <c r="C323" s="34"/>
      <c r="D323" s="35" t="s">
        <v>783</v>
      </c>
      <c r="E323" s="34"/>
      <c r="F323" s="36">
        <f ca="1">F326</f>
        <v>0</v>
      </c>
      <c r="G323" s="36">
        <f ca="1">ROUND(F323,2)</f>
        <v>0</v>
      </c>
    </row>
    <row r="324" spans="1:7" ht="21.36" thickBot="1" customHeight="1">
      <c r="A324" s="14" t="s">
        <v>784</v>
      </c>
      <c r="B324" s="8" t="s">
        <v>785</v>
      </c>
      <c r="C324" s="8" t="s">
        <v>786</v>
      </c>
      <c r="D324" s="25" t="s">
        <v>787</v>
      </c>
      <c r="E324" s="26">
        <v>1.000</v>
      </c>
      <c r="F324" s="27">
        <f ca="1">ROUND(1856.970*(1+G2/100),2)</f>
        <v>0</v>
      </c>
      <c r="G324" s="27">
        <f ca="1">ROUND(E324*F324,2)</f>
        <v>0</v>
      </c>
    </row>
    <row r="325" spans="1:7" ht="39.84" thickBot="1" customHeight="1">
      <c r="A325" s="28"/>
      <c r="B325" s="28"/>
      <c r="C325" s="28"/>
      <c r="D325" s="25" t="s">
        <v>788</v>
      </c>
      <c r="E325" s="25"/>
      <c r="F325" s="25"/>
      <c r="G325" s="25"/>
    </row>
    <row r="326" spans="1:7" ht="15.48" thickBot="1" customHeight="1">
      <c r="A326" s="29"/>
      <c r="B326" s="29"/>
      <c r="C326" s="29"/>
      <c r="D326" s="30" t="s">
        <v>789</v>
      </c>
      <c r="E326" s="31"/>
      <c r="F326" s="32">
        <f ca="1">G324</f>
        <v>0</v>
      </c>
      <c r="G326" s="32">
        <f ca="1">ROUND(F326,2)</f>
        <v>0</v>
      </c>
    </row>
    <row r="327" spans="1:7" ht="25.08" thickBot="1" customHeight="1">
      <c r="A327" s="52"/>
      <c r="B327" s="52"/>
      <c r="C327" s="52"/>
      <c r="D327" s="66" t="s">
        <v>790</v>
      </c>
      <c r="E327" s="67"/>
      <c r="F327" s="68">
        <f ca="1">G10+G28+G36+G52+G66+G84+G94+G304+G310+G322+G326</f>
        <v>0</v>
      </c>
      <c r="G327" s="68">
        <f ca="1">ROUND(F327,2)</f>
        <v>0</v>
      </c>
    </row>
  </sheetData>
  <mergeCells count="134">
    <mergeCell ref="B1:G1"/>
    <mergeCell ref="A2:C2"/>
    <mergeCell ref="D7:G7"/>
    <mergeCell ref="D9:G9"/>
    <mergeCell ref="D13:G13"/>
    <mergeCell ref="D15:G15"/>
    <mergeCell ref="D17:G17"/>
    <mergeCell ref="D19:G19"/>
    <mergeCell ref="D21:G21"/>
    <mergeCell ref="D23:G23"/>
    <mergeCell ref="D25:G25"/>
    <mergeCell ref="D27:G27"/>
    <mergeCell ref="D31:G31"/>
    <mergeCell ref="D33:G33"/>
    <mergeCell ref="D35:G35"/>
    <mergeCell ref="D39:G39"/>
    <mergeCell ref="D41:G41"/>
    <mergeCell ref="D43:G43"/>
    <mergeCell ref="D45:G45"/>
    <mergeCell ref="D47:G47"/>
    <mergeCell ref="D49:G49"/>
    <mergeCell ref="D51:G51"/>
    <mergeCell ref="D55:G55"/>
    <mergeCell ref="D57:G57"/>
    <mergeCell ref="D59:G59"/>
    <mergeCell ref="D61:G61"/>
    <mergeCell ref="D63:G63"/>
    <mergeCell ref="D65:G65"/>
    <mergeCell ref="D69:G69"/>
    <mergeCell ref="D71:G71"/>
    <mergeCell ref="D73:G73"/>
    <mergeCell ref="D75:G75"/>
    <mergeCell ref="D77:G77"/>
    <mergeCell ref="D79:G79"/>
    <mergeCell ref="D81:G81"/>
    <mergeCell ref="D83:G83"/>
    <mergeCell ref="D87:G87"/>
    <mergeCell ref="D89:G89"/>
    <mergeCell ref="D91:G91"/>
    <mergeCell ref="D93:G93"/>
    <mergeCell ref="D99:G99"/>
    <mergeCell ref="D101:G101"/>
    <mergeCell ref="D103:G103"/>
    <mergeCell ref="D105:G105"/>
    <mergeCell ref="D107:G107"/>
    <mergeCell ref="D109:G109"/>
    <mergeCell ref="D111:G111"/>
    <mergeCell ref="D113:G113"/>
    <mergeCell ref="D115:G115"/>
    <mergeCell ref="D117:G117"/>
    <mergeCell ref="D119:G119"/>
    <mergeCell ref="D121:G121"/>
    <mergeCell ref="D123:G123"/>
    <mergeCell ref="D125:G125"/>
    <mergeCell ref="D127:G127"/>
    <mergeCell ref="D131:G131"/>
    <mergeCell ref="D133:G133"/>
    <mergeCell ref="D139:G139"/>
    <mergeCell ref="D141:G141"/>
    <mergeCell ref="D143:G143"/>
    <mergeCell ref="D145:G145"/>
    <mergeCell ref="D147:G147"/>
    <mergeCell ref="D151:G151"/>
    <mergeCell ref="D157:G157"/>
    <mergeCell ref="D159:G159"/>
    <mergeCell ref="D161:G161"/>
    <mergeCell ref="D163:G163"/>
    <mergeCell ref="D165:G165"/>
    <mergeCell ref="D167:G167"/>
    <mergeCell ref="D171:G171"/>
    <mergeCell ref="D173:G173"/>
    <mergeCell ref="D175:G175"/>
    <mergeCell ref="D177:G177"/>
    <mergeCell ref="D179:G179"/>
    <mergeCell ref="D181:G181"/>
    <mergeCell ref="D183:G183"/>
    <mergeCell ref="D185:G185"/>
    <mergeCell ref="D187:G187"/>
    <mergeCell ref="D189:G189"/>
    <mergeCell ref="D191:G191"/>
    <mergeCell ref="D193:G193"/>
    <mergeCell ref="D195:G195"/>
    <mergeCell ref="D197:G197"/>
    <mergeCell ref="D199:G199"/>
    <mergeCell ref="D201:G201"/>
    <mergeCell ref="D203:G203"/>
    <mergeCell ref="D205:G205"/>
    <mergeCell ref="D207:G207"/>
    <mergeCell ref="D209:G209"/>
    <mergeCell ref="D211:G211"/>
    <mergeCell ref="D213:G213"/>
    <mergeCell ref="D215:G215"/>
    <mergeCell ref="D217:G217"/>
    <mergeCell ref="D219:G219"/>
    <mergeCell ref="D221:G221"/>
    <mergeCell ref="D223:G223"/>
    <mergeCell ref="D227:G227"/>
    <mergeCell ref="D229:G229"/>
    <mergeCell ref="D231:G231"/>
    <mergeCell ref="D233:G233"/>
    <mergeCell ref="D235:G235"/>
    <mergeCell ref="D237:G237"/>
    <mergeCell ref="D243:G243"/>
    <mergeCell ref="D245:G245"/>
    <mergeCell ref="D249:G249"/>
    <mergeCell ref="D251:G251"/>
    <mergeCell ref="D255:G255"/>
    <mergeCell ref="D257:G257"/>
    <mergeCell ref="D262:G262"/>
    <mergeCell ref="D264:G264"/>
    <mergeCell ref="D266:G266"/>
    <mergeCell ref="D268:G268"/>
    <mergeCell ref="D270:G270"/>
    <mergeCell ref="D272:G272"/>
    <mergeCell ref="D274:G274"/>
    <mergeCell ref="D276:G276"/>
    <mergeCell ref="D278:G278"/>
    <mergeCell ref="D283:G283"/>
    <mergeCell ref="D285:G285"/>
    <mergeCell ref="D287:G287"/>
    <mergeCell ref="D289:G289"/>
    <mergeCell ref="D291:G291"/>
    <mergeCell ref="D293:G293"/>
    <mergeCell ref="D298:G298"/>
    <mergeCell ref="D300:G300"/>
    <mergeCell ref="D302:G302"/>
    <mergeCell ref="D307:G307"/>
    <mergeCell ref="D309:G309"/>
    <mergeCell ref="D313:G313"/>
    <mergeCell ref="D315:G315"/>
    <mergeCell ref="D317:G317"/>
    <mergeCell ref="D319:G319"/>
    <mergeCell ref="D321:G321"/>
    <mergeCell ref="D325:G325"/>
  </mergeCells>
  <pageMargins left="0.620079" right="0.472441" top="0.472441" bottom="0.472441" header="0.0" footer="0.0"/>
  <pageSetup paperSize="9" orientation="landscape"/>
  <rowBreaks count="2" manualBreakCount="2">
    <brk id="0" max="16383" man="1"/>
    <brk id="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5DF671B6C40241BE905647FFFB84EC" ma:contentTypeVersion="18" ma:contentTypeDescription="Crea un document nou" ma:contentTypeScope="" ma:versionID="2046ab7608909131f1e736e0d8e6238d">
  <xsd:schema xmlns:xsd="http://www.w3.org/2001/XMLSchema" xmlns:xs="http://www.w3.org/2001/XMLSchema" xmlns:p="http://schemas.microsoft.com/office/2006/metadata/properties" xmlns:ns2="48bd9967-9f07-4965-b0a3-6b12db914af3" xmlns:ns3="3d05c850-7178-4795-a811-e1b5fefbfcba" targetNamespace="http://schemas.microsoft.com/office/2006/metadata/properties" ma:root="true" ma:fieldsID="d23b150f94028a9b40b6caac6d5cbc79" ns2:_="" ns3:_="">
    <xsd:import namespace="48bd9967-9f07-4965-b0a3-6b12db914af3"/>
    <xsd:import namespace="3d05c850-7178-4795-a811-e1b5fefbfcb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bd9967-9f07-4965-b0a3-6b12db914a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Etiquetes de la imatge" ma:readOnly="false" ma:fieldId="{5cf76f15-5ced-4ddc-b409-7134ff3c332f}" ma:taxonomyMulti="true" ma:sspId="34c01127-bdf0-454e-9077-a20ba63b60e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05c850-7178-4795-a811-e1b5fefbfcba"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54a304de-0cc7-4efb-8e73-915d11a8a248}" ma:internalName="TaxCatchAll" ma:showField="CatchAllData" ma:web="3d05c850-7178-4795-a811-e1b5fefbfcba">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d05c850-7178-4795-a811-e1b5fefbfcba" xsi:nil="true"/>
    <lcf76f155ced4ddcb4097134ff3c332f xmlns="48bd9967-9f07-4965-b0a3-6b12db914af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6FC6437-66FF-413F-BB52-5D740AB68DD5}"/>
</file>

<file path=customXml/itemProps2.xml><?xml version="1.0" encoding="utf-8"?>
<ds:datastoreItem xmlns:ds="http://schemas.openxmlformats.org/officeDocument/2006/customXml" ds:itemID="{A866DE1B-8BC3-4CFD-9652-35A7473C76AA}"/>
</file>

<file path=customXml/itemProps3.xml><?xml version="1.0" encoding="utf-8"?>
<ds:datastoreItem xmlns:ds="http://schemas.openxmlformats.org/officeDocument/2006/customXml" ds:itemID="{AAF37A76-8EA5-41A1-9363-512F24F20FCC}"/>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0x010100E75DF671B6C40241BE905647FFFB84EC</vt:lpwstr>
  </property>
  <property fmtid="{D5CDD505-2E9C-101B-9397-08002B2CF9AE}" pid="3" name="MediaServiceImageTags">
    <vt:lpwstr/>
  </property>
</Properties>
</file>