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9 - Servei de neteja i recollida de residus\2. PLECS\1. ADMINISTRATIUS\"/>
    </mc:Choice>
  </mc:AlternateContent>
  <xr:revisionPtr revIDLastSave="0" documentId="13_ncr:9_{65C5335A-3021-43F3-83B4-0225EF343E79}" xr6:coauthVersionLast="47" xr6:coauthVersionMax="47" xr10:uidLastSave="{00000000-0000-0000-0000-000000000000}"/>
  <bookViews>
    <workbookView xWindow="-120" yWindow="-120" windowWidth="29040" windowHeight="15840" xr2:uid="{FF002223-58BF-4B35-A419-AC107F37817C}"/>
  </bookViews>
  <sheets>
    <sheet name="ACO OFERTA " sheetId="15" r:id="rId1"/>
    <sheet name="DETALL IMPORT HORA" sheetId="16" r:id="rId2"/>
  </sheets>
  <definedNames>
    <definedName name="_xlnm.Print_Area" localSheetId="0">'ACO OFERTA '!$B$12:$Q$30</definedName>
    <definedName name="_xlnm.Print_Area" localSheetId="1">'DETALL IMPORT HORA'!$A$5:$H$21</definedName>
    <definedName name="_xlnm.Print_Titles" localSheetId="0">'ACO OFERTA 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5" l="1"/>
  <c r="H30" i="15"/>
  <c r="D21" i="15"/>
  <c r="G21" i="15"/>
  <c r="S21" i="15"/>
  <c r="T21" i="15"/>
  <c r="J21" i="15"/>
  <c r="W21" i="15"/>
  <c r="H27" i="15"/>
  <c r="K27" i="15"/>
  <c r="L27" i="15"/>
  <c r="H18" i="15"/>
  <c r="I18" i="15"/>
  <c r="H23" i="15"/>
  <c r="I23" i="15"/>
  <c r="H24" i="15"/>
  <c r="I24" i="15"/>
  <c r="H25" i="15"/>
  <c r="I25" i="15"/>
  <c r="E28" i="15"/>
  <c r="H28" i="15"/>
  <c r="E22" i="15"/>
  <c r="F22" i="15"/>
  <c r="E21" i="15"/>
  <c r="H21" i="15"/>
  <c r="K21" i="15"/>
  <c r="E20" i="15"/>
  <c r="H20" i="15"/>
  <c r="E19" i="15"/>
  <c r="F19" i="15"/>
  <c r="E17" i="15"/>
  <c r="H17" i="15"/>
  <c r="K17" i="15"/>
  <c r="E16" i="15"/>
  <c r="F16" i="15"/>
  <c r="E15" i="15"/>
  <c r="F15" i="15"/>
  <c r="O15" i="15"/>
  <c r="P15" i="15" s="1"/>
  <c r="Q15" i="15" s="1"/>
  <c r="W16" i="15"/>
  <c r="X16" i="15"/>
  <c r="Y16" i="15"/>
  <c r="W18" i="15"/>
  <c r="X18" i="15"/>
  <c r="Y18" i="15"/>
  <c r="W19" i="15"/>
  <c r="W20" i="15"/>
  <c r="X20" i="15"/>
  <c r="Y20" i="15"/>
  <c r="W22" i="15"/>
  <c r="W23" i="15"/>
  <c r="X23" i="15"/>
  <c r="W24" i="15"/>
  <c r="X24" i="15"/>
  <c r="Y24" i="15"/>
  <c r="W25" i="15"/>
  <c r="X25" i="15"/>
  <c r="W27" i="15"/>
  <c r="X27" i="15"/>
  <c r="Y27" i="15"/>
  <c r="W28" i="15"/>
  <c r="W30" i="15"/>
  <c r="W29" i="15"/>
  <c r="W15" i="15"/>
  <c r="S16" i="15"/>
  <c r="S18" i="15"/>
  <c r="T18" i="15"/>
  <c r="U18" i="15"/>
  <c r="S19" i="15"/>
  <c r="T19" i="15"/>
  <c r="S20" i="15"/>
  <c r="T20" i="15"/>
  <c r="S22" i="15"/>
  <c r="T22" i="15"/>
  <c r="S23" i="15"/>
  <c r="T23" i="15"/>
  <c r="S24" i="15"/>
  <c r="T24" i="15"/>
  <c r="S25" i="15"/>
  <c r="T25" i="15"/>
  <c r="U25" i="15"/>
  <c r="S27" i="15"/>
  <c r="T27" i="15"/>
  <c r="U27" i="15"/>
  <c r="S28" i="15"/>
  <c r="T28" i="15"/>
  <c r="U28" i="15"/>
  <c r="S30" i="15"/>
  <c r="T30" i="15"/>
  <c r="U30" i="15"/>
  <c r="S15" i="15"/>
  <c r="O23" i="15"/>
  <c r="P23" i="15"/>
  <c r="Q23" i="15" s="1"/>
  <c r="O16" i="15"/>
  <c r="P16" i="15" s="1"/>
  <c r="O18" i="15"/>
  <c r="P18" i="15" s="1"/>
  <c r="O19" i="15"/>
  <c r="O20" i="15"/>
  <c r="P20" i="15" s="1"/>
  <c r="Q20" i="15" s="1"/>
  <c r="O22" i="15"/>
  <c r="P22" i="15" s="1"/>
  <c r="Q22" i="15" s="1"/>
  <c r="O24" i="15"/>
  <c r="P24" i="15" s="1"/>
  <c r="Q24" i="15" s="1"/>
  <c r="O25" i="15"/>
  <c r="P25" i="15"/>
  <c r="Q25" i="15"/>
  <c r="O27" i="15"/>
  <c r="P27" i="15" s="1"/>
  <c r="O28" i="15"/>
  <c r="P28" i="15" s="1"/>
  <c r="O30" i="15"/>
  <c r="D14" i="16"/>
  <c r="E14" i="16"/>
  <c r="F14" i="16"/>
  <c r="C15" i="16"/>
  <c r="D15" i="16"/>
  <c r="E15" i="16"/>
  <c r="F15" i="16"/>
  <c r="D16" i="16"/>
  <c r="E16" i="16"/>
  <c r="F16" i="16"/>
  <c r="C17" i="16"/>
  <c r="D17" i="16"/>
  <c r="E17" i="16"/>
  <c r="F17" i="16"/>
  <c r="D13" i="16"/>
  <c r="E13" i="16"/>
  <c r="F13" i="16"/>
  <c r="D12" i="16"/>
  <c r="E12" i="16"/>
  <c r="F12" i="16"/>
  <c r="J17" i="15"/>
  <c r="W17" i="15"/>
  <c r="G17" i="15"/>
  <c r="S17" i="15"/>
  <c r="T17" i="15"/>
  <c r="D17" i="15"/>
  <c r="O17" i="15"/>
  <c r="F18" i="15"/>
  <c r="F27" i="15"/>
  <c r="F23" i="15"/>
  <c r="F24" i="15"/>
  <c r="F25" i="15"/>
  <c r="H19" i="15"/>
  <c r="I19" i="15"/>
  <c r="K23" i="15"/>
  <c r="L23" i="15"/>
  <c r="X19" i="15"/>
  <c r="Y19" i="15"/>
  <c r="X15" i="15"/>
  <c r="Y15" i="15"/>
  <c r="T15" i="15"/>
  <c r="U15" i="15"/>
  <c r="F20" i="15"/>
  <c r="F30" i="15"/>
  <c r="F29" i="15"/>
  <c r="L24" i="15"/>
  <c r="K18" i="15"/>
  <c r="L18" i="15"/>
  <c r="K25" i="15"/>
  <c r="L25" i="15"/>
  <c r="AA24" i="15"/>
  <c r="AB24" i="15"/>
  <c r="H15" i="15"/>
  <c r="I27" i="15"/>
  <c r="W26" i="15"/>
  <c r="K30" i="15"/>
  <c r="L30" i="15"/>
  <c r="L29" i="15"/>
  <c r="I30" i="15"/>
  <c r="I29" i="15"/>
  <c r="K19" i="15"/>
  <c r="L19" i="15"/>
  <c r="AA19" i="15"/>
  <c r="AB19" i="15"/>
  <c r="AA18" i="15"/>
  <c r="AB18" i="15"/>
  <c r="U22" i="15"/>
  <c r="F17" i="15"/>
  <c r="U20" i="15"/>
  <c r="AA25" i="15"/>
  <c r="AB25" i="15"/>
  <c r="S29" i="15"/>
  <c r="T29" i="15"/>
  <c r="U29" i="15"/>
  <c r="I21" i="15"/>
  <c r="AA27" i="15"/>
  <c r="AB27" i="15"/>
  <c r="F21" i="15"/>
  <c r="U23" i="15"/>
  <c r="S14" i="15"/>
  <c r="S26" i="15"/>
  <c r="T26" i="15"/>
  <c r="U26" i="15"/>
  <c r="L17" i="15"/>
  <c r="X22" i="15"/>
  <c r="Y22" i="15"/>
  <c r="I28" i="15"/>
  <c r="I26" i="15"/>
  <c r="K28" i="15"/>
  <c r="L28" i="15"/>
  <c r="L26" i="15"/>
  <c r="P17" i="15"/>
  <c r="Q17" i="15" s="1"/>
  <c r="W14" i="15"/>
  <c r="W31" i="15" s="1"/>
  <c r="X17" i="15"/>
  <c r="Y17" i="15"/>
  <c r="X21" i="15"/>
  <c r="Y21" i="15"/>
  <c r="AA23" i="15"/>
  <c r="AB23" i="15"/>
  <c r="I20" i="15"/>
  <c r="K20" i="15"/>
  <c r="L20" i="15"/>
  <c r="AA20" i="15"/>
  <c r="AB20" i="15"/>
  <c r="U21" i="15"/>
  <c r="X28" i="15"/>
  <c r="Y28" i="15"/>
  <c r="Y26" i="15"/>
  <c r="F28" i="15"/>
  <c r="U24" i="15"/>
  <c r="O29" i="15"/>
  <c r="L21" i="15"/>
  <c r="AA21" i="15"/>
  <c r="AB21" i="15"/>
  <c r="I17" i="15"/>
  <c r="AA17" i="15"/>
  <c r="AB17" i="15"/>
  <c r="T16" i="15"/>
  <c r="T14" i="15"/>
  <c r="H16" i="15"/>
  <c r="O21" i="15"/>
  <c r="P21" i="15" s="1"/>
  <c r="Y23" i="15"/>
  <c r="Y25" i="15"/>
  <c r="H22" i="15"/>
  <c r="U17" i="15"/>
  <c r="U19" i="15"/>
  <c r="X26" i="15"/>
  <c r="AA29" i="15"/>
  <c r="AB29" i="15"/>
  <c r="F14" i="15"/>
  <c r="K15" i="15"/>
  <c r="L15" i="15"/>
  <c r="I15" i="15"/>
  <c r="AA15" i="15"/>
  <c r="AA30" i="15"/>
  <c r="AB30" i="15"/>
  <c r="Y14" i="15"/>
  <c r="I16" i="15"/>
  <c r="K16" i="15"/>
  <c r="L16" i="15"/>
  <c r="X14" i="15"/>
  <c r="AA28" i="15"/>
  <c r="AB28" i="15"/>
  <c r="F26" i="15"/>
  <c r="AA26" i="15"/>
  <c r="AB26" i="15"/>
  <c r="K22" i="15"/>
  <c r="L22" i="15"/>
  <c r="I22" i="15"/>
  <c r="U16" i="15"/>
  <c r="U14" i="15"/>
  <c r="U31" i="15" s="1"/>
  <c r="AB15" i="15"/>
  <c r="L14" i="15"/>
  <c r="L31" i="15"/>
  <c r="L32" i="15"/>
  <c r="I14" i="15"/>
  <c r="I31" i="15"/>
  <c r="AA16" i="15"/>
  <c r="AA22" i="15"/>
  <c r="AB22" i="15"/>
  <c r="F31" i="15"/>
  <c r="F32" i="15"/>
  <c r="AB16" i="15"/>
  <c r="AB34" i="15"/>
  <c r="AA34" i="15"/>
  <c r="S31" i="15" l="1"/>
  <c r="X30" i="15"/>
  <c r="X29" i="15" s="1"/>
  <c r="Y30" i="15"/>
  <c r="Y29" i="15" s="1"/>
  <c r="Y31" i="15" s="1"/>
  <c r="P19" i="15"/>
  <c r="Q19" i="15" s="1"/>
  <c r="P29" i="15"/>
  <c r="Q29" i="15" s="1"/>
  <c r="P30" i="15"/>
  <c r="Q30" i="15" s="1"/>
  <c r="Q27" i="15"/>
  <c r="O26" i="15"/>
  <c r="Q28" i="15"/>
  <c r="P14" i="15"/>
  <c r="Q16" i="15"/>
  <c r="Q21" i="15"/>
  <c r="O14" i="15"/>
  <c r="O31" i="15" s="1"/>
  <c r="Q18" i="15"/>
  <c r="Q14" i="15" l="1"/>
  <c r="P26" i="15"/>
  <c r="Q26" i="15"/>
  <c r="Q31" i="15" s="1"/>
</calcChain>
</file>

<file path=xl/sharedStrings.xml><?xml version="1.0" encoding="utf-8"?>
<sst xmlns="http://schemas.openxmlformats.org/spreadsheetml/2006/main" count="96" uniqueCount="74">
  <si>
    <t>TITOL DE L'EXPEDIENT:</t>
  </si>
  <si>
    <t>NÚMERO D'EXPEDIENT:</t>
  </si>
  <si>
    <t>DENOMINACIÓ OFERTA (BASE o VARIANT)</t>
  </si>
  <si>
    <t>LICITADOR:</t>
  </si>
  <si>
    <t>DADES DEL SIGNANT:</t>
  </si>
  <si>
    <t>EMPRESA: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</si>
  <si>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</si>
  <si>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</si>
  <si>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</si>
  <si>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</si>
  <si>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</si>
  <si>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</si>
  <si>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</si>
  <si>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</si>
  <si>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</si>
  <si>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</si>
  <si>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</si>
  <si>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 xml:space="preserve"> 1ers 7 mesos del contracte</t>
  </si>
  <si>
    <t>12 mesos següents</t>
  </si>
  <si>
    <t>5 mesos finals del contracte</t>
  </si>
  <si>
    <t>Lots</t>
  </si>
  <si>
    <t>Espais objecte Licitació</t>
  </si>
  <si>
    <t>UND</t>
  </si>
  <si>
    <t>Preu  unitari maxim licitació (base impos.)</t>
  </si>
  <si>
    <t>Import màxim de licitació (Base Impos.)</t>
  </si>
  <si>
    <t xml:space="preserve"> % IVA</t>
  </si>
  <si>
    <t>Preu Unitari ofertat IVA inclòs</t>
  </si>
  <si>
    <t>Import Ofertat (Base Impos.)</t>
  </si>
  <si>
    <t>IMPORT IVA</t>
  </si>
  <si>
    <t>IMPORT TOTAL  IVA INCL.</t>
  </si>
  <si>
    <t>Servei de neteja a l'HCB</t>
  </si>
  <si>
    <t>TOTAL</t>
  </si>
  <si>
    <t>TOTAL AMB iva</t>
  </si>
  <si>
    <t>1.1</t>
  </si>
  <si>
    <t>Servei de neteja general i i neteja vertical</t>
  </si>
  <si>
    <t>1.2</t>
  </si>
  <si>
    <t>Servei de Neteja a l'DIBAPS</t>
  </si>
  <si>
    <t>1.3</t>
  </si>
  <si>
    <t xml:space="preserve">Servei de Neteja a l'DIBAPS - a demanda </t>
  </si>
  <si>
    <t>1.4</t>
  </si>
  <si>
    <t>Hores de servei de neteja a fons altres espais HCB</t>
  </si>
  <si>
    <t>1.5</t>
  </si>
  <si>
    <t>Hores servei de neteja a quiròfan de l’IMELEC per activitat del Donor Center</t>
  </si>
  <si>
    <t>1.6</t>
  </si>
  <si>
    <t xml:space="preserve">Servei neteja cambres mortuòries </t>
  </si>
  <si>
    <t>1.7</t>
  </si>
  <si>
    <t>Servei neteja sala blanca d’Inmunoterapia del CDB</t>
  </si>
  <si>
    <t>1.8</t>
  </si>
  <si>
    <t xml:space="preserve">Servei de neteja Granollers </t>
  </si>
  <si>
    <t>1.9</t>
  </si>
  <si>
    <t>Reforç aïllaments (a demanda)</t>
  </si>
  <si>
    <t>1.10</t>
  </si>
  <si>
    <t xml:space="preserve">Neteges exteriors de vidres </t>
  </si>
  <si>
    <t xml:space="preserve">Servei de neteja al CAPSBE </t>
  </si>
  <si>
    <t>Servei de neteja a BARNACLÍNIC</t>
  </si>
  <si>
    <t xml:space="preserve">3.1 </t>
  </si>
  <si>
    <t>Servei de neteja general i i neteja vertical- hospitalització</t>
  </si>
  <si>
    <t>3.2</t>
  </si>
  <si>
    <t>Servei de neteja general i i neteja vertical- altres espais</t>
  </si>
  <si>
    <t xml:space="preserve">Servei de neteja al  CGCS </t>
  </si>
  <si>
    <t>4.1</t>
  </si>
  <si>
    <t>HCPB</t>
  </si>
  <si>
    <t>***NOMES OMPLIR LES CEL·LES EN GROC</t>
  </si>
  <si>
    <t>MODIFICACIONS DE SERVEI</t>
  </si>
  <si>
    <t>Qualsevol modificació incremental de servei es basarà en el preu hora que es detalla a la següent taula:</t>
  </si>
  <si>
    <t>ANY</t>
  </si>
  <si>
    <t xml:space="preserve">Espai </t>
  </si>
  <si>
    <t>Modificació necessitats de servei espais previstos o increments de servei</t>
  </si>
  <si>
    <t>Edifici Villarroel 170 (HCB)</t>
  </si>
  <si>
    <t>Preu servei de Dilluns a Dissabte</t>
  </si>
  <si>
    <t xml:space="preserve">Preu servei Diumenge i festiu </t>
  </si>
  <si>
    <t>Edifici Sabino Arana s/n (CGCS)</t>
  </si>
  <si>
    <t>Resta d'edificis/espais</t>
  </si>
  <si>
    <t>Per altra banda, també s’ha previst la necessitat de que hi hagi serveis puntuals d’espais no inclosos en licitació, en aquests casos es demanarà pressupost específic i a banda que es valorarà en cada cas. Es farà una relació d’aquests serveis per tenir-los controlats.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</si>
</sst>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\ &quot;€&quot;"/>
    <numFmt numFmtId="168" formatCode="#,##0.00\ &quot;€&quot;"/>
  </numFmts>
  <fonts count="2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0"/>
      <name val="Calibri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FF0000"/>
      <name val="Arial"/>
      <family val="2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1" applyNumberFormat="1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6" fillId="0" borderId="0" xfId="1" applyNumberFormat="1" applyFont="1"/>
    <xf numFmtId="0" fontId="6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9" fillId="0" borderId="8" xfId="0" applyFont="1" applyBorder="1"/>
    <xf numFmtId="0" fontId="9" fillId="0" borderId="6" xfId="0" applyFont="1" applyBorder="1"/>
    <xf numFmtId="0" fontId="3" fillId="0" borderId="0" xfId="0" applyFont="1"/>
    <xf numFmtId="0" fontId="11" fillId="2" borderId="9" xfId="0" applyFont="1" applyFill="1" applyBorder="1" applyAlignment="1">
      <alignment horizontal="center" wrapText="1"/>
    </xf>
    <xf numFmtId="3" fontId="11" fillId="2" borderId="10" xfId="0" applyNumberFormat="1" applyFont="1" applyFill="1" applyBorder="1" applyAlignment="1">
      <alignment horizontal="center" wrapText="1"/>
    </xf>
    <xf numFmtId="0" fontId="12" fillId="0" borderId="0" xfId="0" applyFont="1"/>
    <xf numFmtId="167" fontId="11" fillId="0" borderId="0" xfId="0" applyNumberFormat="1" applyFont="1"/>
    <xf numFmtId="0" fontId="10" fillId="3" borderId="11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12" xfId="0" applyFont="1" applyBorder="1" applyAlignment="1">
      <alignment horizontal="center" wrapText="1"/>
    </xf>
    <xf numFmtId="0" fontId="13" fillId="0" borderId="0" xfId="0" applyFont="1" applyAlignment="1">
      <alignment horizontal="justify"/>
    </xf>
    <xf numFmtId="168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vertical="center"/>
    </xf>
    <xf numFmtId="9" fontId="9" fillId="0" borderId="0" xfId="6" applyFont="1"/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68" fontId="9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wrapText="1"/>
    </xf>
    <xf numFmtId="166" fontId="6" fillId="0" borderId="0" xfId="1" applyNumberFormat="1" applyFont="1" applyAlignment="1">
      <alignment horizontal="centerContinuous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6" fontId="12" fillId="0" borderId="0" xfId="1" applyNumberFormat="1" applyFont="1"/>
    <xf numFmtId="0" fontId="12" fillId="0" borderId="0" xfId="0" applyFont="1" applyAlignment="1">
      <alignment horizontal="center"/>
    </xf>
    <xf numFmtId="168" fontId="11" fillId="0" borderId="0" xfId="0" applyNumberFormat="1" applyFont="1"/>
    <xf numFmtId="1" fontId="3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9" fontId="9" fillId="0" borderId="0" xfId="0" applyNumberFormat="1" applyFont="1" applyAlignment="1">
      <alignment horizontal="center"/>
    </xf>
    <xf numFmtId="2" fontId="9" fillId="0" borderId="0" xfId="4" applyNumberFormat="1" applyFont="1" applyAlignment="1">
      <alignment horizontal="center" vertical="center"/>
    </xf>
    <xf numFmtId="0" fontId="11" fillId="2" borderId="14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3" fontId="11" fillId="2" borderId="16" xfId="0" applyNumberFormat="1" applyFont="1" applyFill="1" applyBorder="1" applyAlignment="1">
      <alignment horizontal="center" wrapText="1"/>
    </xf>
    <xf numFmtId="4" fontId="11" fillId="6" borderId="17" xfId="0" applyNumberFormat="1" applyFont="1" applyFill="1" applyBorder="1" applyAlignment="1" applyProtection="1">
      <alignment horizontal="right" vertical="center"/>
      <protection locked="0"/>
    </xf>
    <xf numFmtId="3" fontId="11" fillId="0" borderId="18" xfId="0" applyNumberFormat="1" applyFont="1" applyBorder="1" applyAlignment="1">
      <alignment horizont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vertical="center" wrapText="1"/>
    </xf>
    <xf numFmtId="3" fontId="11" fillId="2" borderId="12" xfId="0" applyNumberFormat="1" applyFont="1" applyFill="1" applyBorder="1" applyAlignment="1">
      <alignment horizontal="center" wrapText="1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19" xfId="0" applyNumberFormat="1" applyFont="1" applyFill="1" applyBorder="1" applyAlignment="1">
      <alignment horizontal="center" wrapText="1"/>
    </xf>
    <xf numFmtId="4" fontId="10" fillId="6" borderId="17" xfId="0" applyNumberFormat="1" applyFont="1" applyFill="1" applyBorder="1" applyAlignment="1" applyProtection="1">
      <alignment horizontal="right" vertical="center"/>
      <protection locked="0"/>
    </xf>
    <xf numFmtId="4" fontId="10" fillId="3" borderId="11" xfId="0" applyNumberFormat="1" applyFont="1" applyFill="1" applyBorder="1" applyAlignment="1" applyProtection="1">
      <alignment horizontal="right" vertical="center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/>
    <xf numFmtId="4" fontId="19" fillId="5" borderId="17" xfId="2" applyNumberFormat="1" applyFont="1" applyFill="1" applyBorder="1" applyAlignment="1">
      <alignment vertical="center"/>
    </xf>
    <xf numFmtId="4" fontId="10" fillId="5" borderId="11" xfId="2" applyNumberFormat="1" applyFont="1" applyFill="1" applyBorder="1" applyAlignment="1">
      <alignment vertical="center"/>
    </xf>
    <xf numFmtId="4" fontId="10" fillId="5" borderId="20" xfId="2" applyNumberFormat="1" applyFont="1" applyFill="1" applyBorder="1" applyAlignment="1">
      <alignment vertical="center"/>
    </xf>
    <xf numFmtId="9" fontId="10" fillId="5" borderId="21" xfId="7" applyFont="1" applyFill="1" applyBorder="1" applyAlignment="1">
      <alignment horizontal="center" vertical="center"/>
    </xf>
    <xf numFmtId="4" fontId="10" fillId="3" borderId="17" xfId="2" applyNumberFormat="1" applyFont="1" applyFill="1" applyBorder="1" applyAlignment="1">
      <alignment vertical="center"/>
    </xf>
    <xf numFmtId="4" fontId="10" fillId="3" borderId="11" xfId="2" applyNumberFormat="1" applyFont="1" applyFill="1" applyBorder="1" applyAlignment="1">
      <alignment vertical="center"/>
    </xf>
    <xf numFmtId="4" fontId="10" fillId="3" borderId="20" xfId="2" applyNumberFormat="1" applyFont="1" applyFill="1" applyBorder="1" applyAlignment="1">
      <alignment vertical="center"/>
    </xf>
    <xf numFmtId="9" fontId="10" fillId="3" borderId="21" xfId="7" applyFont="1" applyFill="1" applyBorder="1" applyAlignment="1">
      <alignment horizontal="center" vertical="center"/>
    </xf>
    <xf numFmtId="4" fontId="10" fillId="5" borderId="17" xfId="2" applyNumberFormat="1" applyFont="1" applyFill="1" applyBorder="1" applyAlignment="1">
      <alignment vertical="center"/>
    </xf>
    <xf numFmtId="166" fontId="2" fillId="0" borderId="0" xfId="2" applyNumberFormat="1" applyFont="1"/>
    <xf numFmtId="4" fontId="10" fillId="3" borderId="11" xfId="2" applyNumberFormat="1" applyFont="1" applyFill="1" applyBorder="1" applyAlignment="1">
      <alignment horizontal="right" vertical="center"/>
    </xf>
    <xf numFmtId="9" fontId="9" fillId="0" borderId="0" xfId="6" applyFont="1" applyAlignment="1">
      <alignment horizontal="center" vertical="center"/>
    </xf>
    <xf numFmtId="0" fontId="18" fillId="0" borderId="0" xfId="0" applyFont="1"/>
    <xf numFmtId="4" fontId="18" fillId="0" borderId="0" xfId="0" applyNumberFormat="1" applyFont="1"/>
    <xf numFmtId="4" fontId="11" fillId="5" borderId="11" xfId="1" applyNumberFormat="1" applyFont="1" applyFill="1" applyBorder="1" applyAlignment="1">
      <alignment vertical="center"/>
    </xf>
    <xf numFmtId="4" fontId="11" fillId="5" borderId="20" xfId="1" applyNumberFormat="1" applyFont="1" applyFill="1" applyBorder="1" applyAlignment="1">
      <alignment vertical="center"/>
    </xf>
    <xf numFmtId="4" fontId="10" fillId="5" borderId="11" xfId="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3" fontId="11" fillId="2" borderId="28" xfId="0" applyNumberFormat="1" applyFont="1" applyFill="1" applyBorder="1" applyAlignment="1">
      <alignment horizontal="center" wrapText="1"/>
    </xf>
    <xf numFmtId="3" fontId="11" fillId="2" borderId="29" xfId="0" applyNumberFormat="1" applyFont="1" applyFill="1" applyBorder="1" applyAlignment="1">
      <alignment horizontal="center" wrapText="1"/>
    </xf>
    <xf numFmtId="3" fontId="11" fillId="2" borderId="30" xfId="0" applyNumberFormat="1" applyFont="1" applyFill="1" applyBorder="1" applyAlignment="1">
      <alignment horizontal="center" wrapText="1"/>
    </xf>
    <xf numFmtId="9" fontId="17" fillId="0" borderId="6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7" borderId="22" xfId="0" applyFont="1" applyFill="1" applyBorder="1" applyAlignment="1">
      <alignment horizontal="center" wrapText="1"/>
    </xf>
    <xf numFmtId="0" fontId="4" fillId="7" borderId="23" xfId="0" applyFont="1" applyFill="1" applyBorder="1" applyAlignment="1">
      <alignment horizontal="center" wrapText="1"/>
    </xf>
    <xf numFmtId="0" fontId="4" fillId="7" borderId="24" xfId="0" applyFont="1" applyFill="1" applyBorder="1" applyAlignment="1">
      <alignment horizontal="center" wrapText="1"/>
    </xf>
    <xf numFmtId="0" fontId="4" fillId="7" borderId="25" xfId="0" applyFont="1" applyFill="1" applyBorder="1" applyAlignment="1">
      <alignment horizontal="center" wrapText="1"/>
    </xf>
    <xf numFmtId="0" fontId="4" fillId="7" borderId="16" xfId="0" applyFont="1" applyFill="1" applyBorder="1" applyAlignment="1">
      <alignment horizontal="center" wrapText="1"/>
    </xf>
    <xf numFmtId="0" fontId="4" fillId="7" borderId="19" xfId="0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8">
    <cellStyle name="Millares" xfId="1" builtinId="3"/>
    <cellStyle name="Millares 2" xfId="2" xr:uid="{BD67B541-896D-4E6D-9D9A-6CA2E343E745}"/>
    <cellStyle name="Millares 3" xfId="3" xr:uid="{CB228B10-5659-4DAF-95AD-8E1078BB193F}"/>
    <cellStyle name="Moneda" xfId="4" builtinId="4"/>
    <cellStyle name="Normal" xfId="0" builtinId="0"/>
    <cellStyle name="Normal 2" xfId="5" xr:uid="{5B99574A-280F-478D-BEB4-77DB5E04A172}"/>
    <cellStyle name="Porcentaje" xfId="6" builtinId="5"/>
    <cellStyle name="Porcentual 2 2" xfId="7" xr:uid="{F9CDC020-503C-4722-9D5E-A596F408E3DF}"/>
  </cellStyles>
  <dxfs count="1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38100</xdr:rowOff>
    </xdr:from>
    <xdr:to>
      <xdr:col>2</xdr:col>
      <xdr:colOff>387350</xdr:colOff>
      <xdr:row>1</xdr:row>
      <xdr:rowOff>209550</xdr:rowOff>
    </xdr:to>
    <xdr:pic>
      <xdr:nvPicPr>
        <xdr:cNvPr id="23731" name="Imagen 1" descr="Logotipo&#10;&#10;Descripción generada automáticamente">
          <a:extLst>
            <a:ext uri="{FF2B5EF4-FFF2-40B4-BE49-F238E27FC236}">
              <a16:creationId xmlns:a16="http://schemas.microsoft.com/office/drawing/2014/main" id="{F4965BEA-FB96-38AB-6229-4B0846EE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100"/>
          <a:ext cx="10668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133350</xdr:colOff>
      <xdr:row>3</xdr:row>
      <xdr:rowOff>88900</xdr:rowOff>
    </xdr:to>
    <xdr:pic>
      <xdr:nvPicPr>
        <xdr:cNvPr id="24598" name="Imagen 1" descr="Logotipo&#10;&#10;Descripción generada automáticamente">
          <a:extLst>
            <a:ext uri="{FF2B5EF4-FFF2-40B4-BE49-F238E27FC236}">
              <a16:creationId xmlns:a16="http://schemas.microsoft.com/office/drawing/2014/main" id="{A196A7ED-BA19-F1DB-2BBB-E20183BD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1193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B508-4F25-4133-97F7-26C7651D669A}">
  <dimension ref="A1:AC37"/>
  <sheetViews>
    <sheetView tabSelected="1" topLeftCell="C4" zoomScale="80" zoomScaleNormal="80" zoomScaleSheetLayoutView="80" workbookViewId="0">
      <selection activeCell="D12" sqref="D12:F12"/>
    </sheetView>
  </sheetViews>
  <sheetFormatPr defaultColWidth="11.42578125" defaultRowHeight="10.5"/>
  <cols>
    <col min="1" max="1" width="2.140625" style="1" customWidth="1"/>
    <col min="2" max="2" width="9.85546875" style="2" customWidth="1"/>
    <col min="3" max="3" width="59.28515625" style="2" customWidth="1"/>
    <col min="4" max="4" width="11.5703125" style="3" customWidth="1"/>
    <col min="5" max="5" width="14.7109375" style="2" customWidth="1"/>
    <col min="6" max="6" width="21.85546875" style="1" bestFit="1" customWidth="1"/>
    <col min="7" max="7" width="10.5703125" style="3" bestFit="1" customWidth="1"/>
    <col min="8" max="8" width="14.7109375" style="2" customWidth="1"/>
    <col min="9" max="9" width="21.85546875" style="1" bestFit="1" customWidth="1"/>
    <col min="10" max="10" width="12.7109375" style="3" customWidth="1"/>
    <col min="11" max="11" width="15.28515625" style="2" customWidth="1"/>
    <col min="12" max="12" width="21.85546875" style="1" bestFit="1" customWidth="1"/>
    <col min="13" max="13" width="13.140625" style="1" customWidth="1"/>
    <col min="14" max="14" width="15.5703125" style="3" customWidth="1"/>
    <col min="15" max="15" width="18.28515625" style="3" customWidth="1"/>
    <col min="16" max="16" width="15.5703125" style="3" customWidth="1"/>
    <col min="17" max="17" width="18.85546875" style="3" customWidth="1"/>
    <col min="18" max="18" width="15.5703125" style="3" customWidth="1"/>
    <col min="19" max="19" width="19" style="3" customWidth="1"/>
    <col min="20" max="20" width="16.85546875" style="3" customWidth="1"/>
    <col min="21" max="21" width="18.5703125" style="3" customWidth="1"/>
    <col min="22" max="22" width="15.5703125" style="3" customWidth="1"/>
    <col min="23" max="23" width="17.85546875" style="3" customWidth="1"/>
    <col min="24" max="24" width="15.5703125" style="3" customWidth="1"/>
    <col min="25" max="25" width="17.85546875" style="3" customWidth="1"/>
    <col min="26" max="26" width="15.5703125" style="1" hidden="1" customWidth="1"/>
    <col min="27" max="27" width="17.28515625" style="1" hidden="1" customWidth="1"/>
    <col min="28" max="28" width="16.5703125" style="1" hidden="1" customWidth="1"/>
    <col min="29" max="16384" width="11.42578125" style="1"/>
  </cols>
  <sheetData>
    <row r="1" spans="1:28" ht="15.6">
      <c r="A1" s="14"/>
      <c r="B1" s="15"/>
      <c r="C1" s="17" t="s">
        <v>0</v>
      </c>
      <c r="D1" s="44"/>
      <c r="E1" s="45"/>
      <c r="F1" s="45"/>
      <c r="G1" s="46"/>
      <c r="H1" s="46"/>
      <c r="I1" s="45"/>
      <c r="J1" s="45"/>
      <c r="K1" s="45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2.25" customHeight="1" thickBot="1">
      <c r="A2" s="14"/>
      <c r="B2" s="15"/>
      <c r="C2" s="17" t="s">
        <v>1</v>
      </c>
      <c r="D2" s="17"/>
      <c r="E2" s="14"/>
      <c r="F2" s="14"/>
      <c r="G2" s="18"/>
      <c r="H2" s="18"/>
      <c r="I2" s="14"/>
      <c r="J2" s="14"/>
      <c r="K2" s="14"/>
      <c r="L2" s="1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ht="35.25" customHeight="1" thickBot="1">
      <c r="A3" s="14"/>
      <c r="B3" s="15"/>
      <c r="C3" s="47" t="s">
        <v>2</v>
      </c>
      <c r="D3" s="48"/>
      <c r="E3" s="15"/>
      <c r="F3" s="15"/>
      <c r="G3" s="15"/>
      <c r="H3" s="15"/>
      <c r="I3" s="15"/>
      <c r="J3" s="15"/>
      <c r="K3" s="15"/>
      <c r="L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s="4" customFormat="1" ht="18">
      <c r="A4" s="9" t="s">
        <v>3</v>
      </c>
      <c r="B4" s="19"/>
      <c r="C4" s="19"/>
      <c r="D4" s="19"/>
      <c r="E4" s="10"/>
      <c r="F4" s="7"/>
      <c r="G4" s="9" t="s">
        <v>4</v>
      </c>
      <c r="H4" s="10"/>
      <c r="I4" s="10"/>
      <c r="J4" s="10"/>
      <c r="K4" s="10"/>
      <c r="L4" s="7"/>
    </row>
    <row r="5" spans="1:28" s="4" customFormat="1" ht="12.75" customHeight="1">
      <c r="A5" s="20" t="s">
        <v>5</v>
      </c>
      <c r="B5" s="21"/>
      <c r="E5" s="21" t="s">
        <v>6</v>
      </c>
      <c r="F5" s="8"/>
      <c r="G5" s="20" t="s">
        <v>7</v>
      </c>
      <c r="L5" s="8"/>
    </row>
    <row r="6" spans="1:28" s="4" customFormat="1" ht="12.75" customHeight="1">
      <c r="A6" s="20" t="s">
        <v>8</v>
      </c>
      <c r="B6" s="21"/>
      <c r="E6" s="21"/>
      <c r="F6" s="8"/>
      <c r="G6" s="20" t="s">
        <v>9</v>
      </c>
      <c r="L6" s="8"/>
    </row>
    <row r="7" spans="1:28" s="4" customFormat="1" ht="12.75" customHeight="1">
      <c r="A7" s="20" t="s">
        <v>10</v>
      </c>
      <c r="B7" s="21"/>
      <c r="E7" s="21"/>
      <c r="F7" s="8"/>
      <c r="G7" s="20" t="s">
        <v>11</v>
      </c>
      <c r="L7" s="8"/>
    </row>
    <row r="8" spans="1:28" s="4" customFormat="1" ht="12.75" customHeight="1">
      <c r="A8" s="20" t="s">
        <v>12</v>
      </c>
      <c r="B8" s="21"/>
      <c r="E8" s="21" t="s">
        <v>13</v>
      </c>
      <c r="F8" s="8"/>
      <c r="G8" s="12" t="s">
        <v>14</v>
      </c>
      <c r="L8" s="8"/>
    </row>
    <row r="9" spans="1:28" s="4" customFormat="1" ht="17.25" customHeight="1" thickBot="1">
      <c r="A9" s="22" t="s">
        <v>15</v>
      </c>
      <c r="B9" s="23"/>
      <c r="C9" s="23"/>
      <c r="D9" s="23"/>
      <c r="E9" s="11"/>
      <c r="F9" s="5"/>
      <c r="G9" s="13" t="s">
        <v>16</v>
      </c>
      <c r="H9" s="11"/>
      <c r="I9" s="11"/>
      <c r="J9" s="11"/>
      <c r="K9" s="11"/>
      <c r="L9" s="5"/>
    </row>
    <row r="10" spans="1:28" ht="15.6">
      <c r="A10" s="14"/>
      <c r="B10" s="15"/>
      <c r="C10" s="1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ht="20.45" thickBot="1">
      <c r="A11" s="14"/>
      <c r="B11" s="15"/>
      <c r="C11" s="17"/>
      <c r="D11" s="14"/>
      <c r="E11" s="14"/>
      <c r="F11" s="14"/>
      <c r="G11" s="95"/>
      <c r="H11" s="96"/>
      <c r="I11" s="96"/>
      <c r="J11" s="95"/>
      <c r="K11" s="96"/>
      <c r="L11" s="96"/>
      <c r="M11" s="18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8" s="4" customFormat="1" ht="17.25" customHeight="1" thickBot="1">
      <c r="A12" s="30"/>
      <c r="B12" s="21"/>
      <c r="C12" s="21"/>
      <c r="D12" s="97" t="s">
        <v>17</v>
      </c>
      <c r="E12" s="98"/>
      <c r="F12" s="99"/>
      <c r="G12" s="97" t="s">
        <v>18</v>
      </c>
      <c r="H12" s="98"/>
      <c r="I12" s="99"/>
      <c r="J12" s="97" t="s">
        <v>19</v>
      </c>
      <c r="K12" s="98"/>
      <c r="L12" s="99"/>
      <c r="N12" s="100" t="s">
        <v>17</v>
      </c>
      <c r="O12" s="101"/>
      <c r="P12" s="101"/>
      <c r="Q12" s="102"/>
      <c r="R12" s="97" t="s">
        <v>18</v>
      </c>
      <c r="S12" s="98"/>
      <c r="T12" s="98"/>
      <c r="U12" s="99"/>
      <c r="V12" s="97" t="s">
        <v>19</v>
      </c>
      <c r="W12" s="98"/>
      <c r="X12" s="98"/>
      <c r="Y12" s="99"/>
    </row>
    <row r="13" spans="1:28" s="6" customFormat="1" ht="94.5" customHeight="1">
      <c r="A13" s="31"/>
      <c r="B13" s="25" t="s">
        <v>20</v>
      </c>
      <c r="C13" s="56" t="s">
        <v>21</v>
      </c>
      <c r="D13" s="57" t="s">
        <v>22</v>
      </c>
      <c r="E13" s="25" t="s">
        <v>23</v>
      </c>
      <c r="F13" s="58" t="s">
        <v>24</v>
      </c>
      <c r="G13" s="57" t="s">
        <v>22</v>
      </c>
      <c r="H13" s="25" t="s">
        <v>23</v>
      </c>
      <c r="I13" s="58" t="s">
        <v>24</v>
      </c>
      <c r="J13" s="57" t="s">
        <v>22</v>
      </c>
      <c r="K13" s="25" t="s">
        <v>23</v>
      </c>
      <c r="L13" s="58" t="s">
        <v>24</v>
      </c>
      <c r="M13" s="64" t="s">
        <v>25</v>
      </c>
      <c r="N13" s="67" t="s">
        <v>26</v>
      </c>
      <c r="O13" s="68" t="s">
        <v>27</v>
      </c>
      <c r="P13" s="68" t="s">
        <v>28</v>
      </c>
      <c r="Q13" s="26" t="s">
        <v>29</v>
      </c>
      <c r="R13" s="67" t="s">
        <v>26</v>
      </c>
      <c r="S13" s="68" t="s">
        <v>27</v>
      </c>
      <c r="T13" s="62" t="s">
        <v>28</v>
      </c>
      <c r="U13" s="69" t="s">
        <v>29</v>
      </c>
      <c r="V13" s="92" t="s">
        <v>26</v>
      </c>
      <c r="W13" s="68" t="s">
        <v>27</v>
      </c>
      <c r="X13" s="93" t="s">
        <v>28</v>
      </c>
      <c r="Y13" s="94" t="s">
        <v>29</v>
      </c>
    </row>
    <row r="14" spans="1:28" s="27" customFormat="1" ht="21" customHeight="1">
      <c r="A14" s="103"/>
      <c r="B14" s="65">
        <v>1</v>
      </c>
      <c r="C14" s="59" t="s">
        <v>30</v>
      </c>
      <c r="D14" s="74"/>
      <c r="E14" s="75"/>
      <c r="F14" s="75">
        <f>SUM(F15:F24)</f>
        <v>2982871.55</v>
      </c>
      <c r="G14" s="74"/>
      <c r="H14" s="75"/>
      <c r="I14" s="75">
        <f>SUM(I15:I24)</f>
        <v>5240413.68</v>
      </c>
      <c r="J14" s="74"/>
      <c r="K14" s="75"/>
      <c r="L14" s="76">
        <f>SUM(L15:L24)</f>
        <v>2254315.2050000001</v>
      </c>
      <c r="M14" s="77">
        <v>0.21</v>
      </c>
      <c r="N14" s="63"/>
      <c r="O14" s="88">
        <f>SUM(O15:O24)</f>
        <v>0</v>
      </c>
      <c r="P14" s="88">
        <f t="shared" ref="P14:Y14" si="0">SUM(P15:P24)</f>
        <v>0</v>
      </c>
      <c r="Q14" s="89">
        <f t="shared" si="0"/>
        <v>0</v>
      </c>
      <c r="R14" s="63"/>
      <c r="S14" s="88">
        <f t="shared" si="0"/>
        <v>0</v>
      </c>
      <c r="T14" s="88">
        <f t="shared" si="0"/>
        <v>0</v>
      </c>
      <c r="U14" s="89">
        <f t="shared" si="0"/>
        <v>0</v>
      </c>
      <c r="V14" s="63"/>
      <c r="W14" s="88">
        <f t="shared" si="0"/>
        <v>0</v>
      </c>
      <c r="X14" s="88">
        <f t="shared" si="0"/>
        <v>0</v>
      </c>
      <c r="Y14" s="88">
        <f t="shared" si="0"/>
        <v>0</v>
      </c>
      <c r="AA14" s="27" t="s">
        <v>31</v>
      </c>
      <c r="AB14" s="27" t="s">
        <v>32</v>
      </c>
    </row>
    <row r="15" spans="1:28" s="27" customFormat="1" ht="21" customHeight="1">
      <c r="A15" s="103"/>
      <c r="B15" s="29" t="s">
        <v>33</v>
      </c>
      <c r="C15" s="60" t="s">
        <v>34</v>
      </c>
      <c r="D15" s="78">
        <v>7</v>
      </c>
      <c r="E15" s="79">
        <f>ROUND(((9186.64+7966.41+1926.17+359170)*1.0651)-(20000/12),2)</f>
        <v>401206.58</v>
      </c>
      <c r="F15" s="80">
        <f t="shared" ref="F15:F24" si="1">+D15*E15</f>
        <v>2808446.06</v>
      </c>
      <c r="G15" s="78">
        <v>12</v>
      </c>
      <c r="H15" s="79">
        <f t="shared" ref="H15:H25" si="2">ROUND(E15*1.03,2)</f>
        <v>413242.78</v>
      </c>
      <c r="I15" s="80">
        <f t="shared" ref="I15:I22" si="3">+G15*H15</f>
        <v>4958913.3600000003</v>
      </c>
      <c r="J15" s="78">
        <v>5</v>
      </c>
      <c r="K15" s="84">
        <f>ROUND(H15*1.03,2)</f>
        <v>425640.06</v>
      </c>
      <c r="L15" s="80">
        <f>+J15*K15</f>
        <v>2128200.2999999998</v>
      </c>
      <c r="M15" s="81">
        <v>0.21</v>
      </c>
      <c r="N15" s="63"/>
      <c r="O15" s="71">
        <f t="shared" ref="O15:O25" si="4">+N15*D15</f>
        <v>0</v>
      </c>
      <c r="P15" s="71">
        <f>+O15*21%</f>
        <v>0</v>
      </c>
      <c r="Q15" s="72">
        <f>+O15+P15</f>
        <v>0</v>
      </c>
      <c r="R15" s="63"/>
      <c r="S15" s="71">
        <f>+R15*G15</f>
        <v>0</v>
      </c>
      <c r="T15" s="71">
        <f>+S15*21%</f>
        <v>0</v>
      </c>
      <c r="U15" s="72">
        <f>+S15+T15</f>
        <v>0</v>
      </c>
      <c r="V15" s="70"/>
      <c r="W15" s="71">
        <f>V15*J15</f>
        <v>0</v>
      </c>
      <c r="X15" s="71">
        <f>+W15*21%</f>
        <v>0</v>
      </c>
      <c r="Y15" s="72">
        <f>+W15+X15</f>
        <v>0</v>
      </c>
      <c r="AA15" s="73">
        <f t="shared" ref="AA15:AA30" si="5">F15+I15+L15</f>
        <v>9895559.7199999988</v>
      </c>
      <c r="AB15" s="27">
        <f>AA15*1.21</f>
        <v>11973627.261199998</v>
      </c>
    </row>
    <row r="16" spans="1:28" s="27" customFormat="1" ht="21" customHeight="1">
      <c r="A16" s="103"/>
      <c r="B16" s="29" t="s">
        <v>35</v>
      </c>
      <c r="C16" s="60" t="s">
        <v>36</v>
      </c>
      <c r="D16" s="78">
        <v>7</v>
      </c>
      <c r="E16" s="79">
        <f>ROUND(4710.87*1.0651,2)</f>
        <v>5017.55</v>
      </c>
      <c r="F16" s="80">
        <f t="shared" si="1"/>
        <v>35122.85</v>
      </c>
      <c r="G16" s="78">
        <v>12</v>
      </c>
      <c r="H16" s="79">
        <f t="shared" si="2"/>
        <v>5168.08</v>
      </c>
      <c r="I16" s="80">
        <f t="shared" si="3"/>
        <v>62016.959999999999</v>
      </c>
      <c r="J16" s="78">
        <v>5</v>
      </c>
      <c r="K16" s="84">
        <f t="shared" ref="K16:K28" si="6">ROUND(H16*1.03,2)</f>
        <v>5323.12</v>
      </c>
      <c r="L16" s="80">
        <f t="shared" ref="L16:L22" si="7">+J16*K16</f>
        <v>26615.599999999999</v>
      </c>
      <c r="M16" s="81">
        <v>0.21</v>
      </c>
      <c r="N16" s="63"/>
      <c r="O16" s="71">
        <f t="shared" si="4"/>
        <v>0</v>
      </c>
      <c r="P16" s="71">
        <f t="shared" ref="P16:P30" si="8">+O16*21%</f>
        <v>0</v>
      </c>
      <c r="Q16" s="72">
        <f t="shared" ref="Q16:Q30" si="9">+O16+P16</f>
        <v>0</v>
      </c>
      <c r="R16" s="63"/>
      <c r="S16" s="71">
        <f t="shared" ref="S16:S30" si="10">+R16*G16</f>
        <v>0</v>
      </c>
      <c r="T16" s="71">
        <f t="shared" ref="T16:T30" si="11">+S16*21%</f>
        <v>0</v>
      </c>
      <c r="U16" s="72">
        <f t="shared" ref="U16:U30" si="12">+S16+T16</f>
        <v>0</v>
      </c>
      <c r="V16" s="70"/>
      <c r="W16" s="71">
        <f t="shared" ref="W16:W30" si="13">V16*J16</f>
        <v>0</v>
      </c>
      <c r="X16" s="71">
        <f t="shared" ref="X16:X30" si="14">+W16*21%</f>
        <v>0</v>
      </c>
      <c r="Y16" s="72">
        <f t="shared" ref="Y16:Y30" si="15">+W16+X16</f>
        <v>0</v>
      </c>
      <c r="AA16" s="73">
        <f t="shared" si="5"/>
        <v>123755.41</v>
      </c>
      <c r="AB16" s="27">
        <f t="shared" ref="AB16:AB30" si="16">AA16*1.21</f>
        <v>149744.04610000001</v>
      </c>
    </row>
    <row r="17" spans="1:28" s="27" customFormat="1" ht="21" customHeight="1">
      <c r="A17" s="103"/>
      <c r="B17" s="29" t="s">
        <v>37</v>
      </c>
      <c r="C17" s="60" t="s">
        <v>38</v>
      </c>
      <c r="D17" s="78">
        <f>20*7</f>
        <v>140</v>
      </c>
      <c r="E17" s="79">
        <f>ROUND(20.32*1.0651,2)</f>
        <v>21.64</v>
      </c>
      <c r="F17" s="80">
        <f t="shared" si="1"/>
        <v>3029.6</v>
      </c>
      <c r="G17" s="78">
        <f>20*12</f>
        <v>240</v>
      </c>
      <c r="H17" s="79">
        <f t="shared" si="2"/>
        <v>22.29</v>
      </c>
      <c r="I17" s="80">
        <f t="shared" si="3"/>
        <v>5349.5999999999995</v>
      </c>
      <c r="J17" s="78">
        <f>20*5</f>
        <v>100</v>
      </c>
      <c r="K17" s="84">
        <f t="shared" si="6"/>
        <v>22.96</v>
      </c>
      <c r="L17" s="80">
        <f t="shared" si="7"/>
        <v>2296</v>
      </c>
      <c r="M17" s="81">
        <v>0.21</v>
      </c>
      <c r="N17" s="63"/>
      <c r="O17" s="71">
        <f t="shared" si="4"/>
        <v>0</v>
      </c>
      <c r="P17" s="71">
        <f t="shared" si="8"/>
        <v>0</v>
      </c>
      <c r="Q17" s="72">
        <f t="shared" si="9"/>
        <v>0</v>
      </c>
      <c r="R17" s="63"/>
      <c r="S17" s="71">
        <f t="shared" si="10"/>
        <v>0</v>
      </c>
      <c r="T17" s="71">
        <f t="shared" si="11"/>
        <v>0</v>
      </c>
      <c r="U17" s="72">
        <f t="shared" si="12"/>
        <v>0</v>
      </c>
      <c r="V17" s="70"/>
      <c r="W17" s="71">
        <f t="shared" si="13"/>
        <v>0</v>
      </c>
      <c r="X17" s="71">
        <f t="shared" si="14"/>
        <v>0</v>
      </c>
      <c r="Y17" s="72">
        <f t="shared" si="15"/>
        <v>0</v>
      </c>
      <c r="AA17" s="73">
        <f t="shared" si="5"/>
        <v>10675.199999999999</v>
      </c>
      <c r="AB17" s="27">
        <f t="shared" si="16"/>
        <v>12916.991999999998</v>
      </c>
    </row>
    <row r="18" spans="1:28" s="27" customFormat="1" ht="21" customHeight="1">
      <c r="A18" s="103"/>
      <c r="B18" s="29" t="s">
        <v>39</v>
      </c>
      <c r="C18" s="61" t="s">
        <v>40</v>
      </c>
      <c r="D18" s="78">
        <v>1500</v>
      </c>
      <c r="E18" s="79">
        <v>20</v>
      </c>
      <c r="F18" s="80">
        <f>+D18*E18</f>
        <v>30000</v>
      </c>
      <c r="G18" s="78">
        <v>2000</v>
      </c>
      <c r="H18" s="79">
        <f t="shared" si="2"/>
        <v>20.6</v>
      </c>
      <c r="I18" s="80">
        <f>+G18*H18</f>
        <v>41200</v>
      </c>
      <c r="J18" s="78">
        <v>500</v>
      </c>
      <c r="K18" s="84">
        <f t="shared" si="6"/>
        <v>21.22</v>
      </c>
      <c r="L18" s="80">
        <f>+J18*K18</f>
        <v>10610</v>
      </c>
      <c r="M18" s="81">
        <v>0.21</v>
      </c>
      <c r="N18" s="63"/>
      <c r="O18" s="71">
        <f>+N18*D18</f>
        <v>0</v>
      </c>
      <c r="P18" s="71">
        <f t="shared" si="8"/>
        <v>0</v>
      </c>
      <c r="Q18" s="72">
        <f t="shared" si="9"/>
        <v>0</v>
      </c>
      <c r="R18" s="63"/>
      <c r="S18" s="71">
        <f t="shared" si="10"/>
        <v>0</v>
      </c>
      <c r="T18" s="71">
        <f t="shared" si="11"/>
        <v>0</v>
      </c>
      <c r="U18" s="72">
        <f t="shared" si="12"/>
        <v>0</v>
      </c>
      <c r="V18" s="70"/>
      <c r="W18" s="71">
        <f t="shared" si="13"/>
        <v>0</v>
      </c>
      <c r="X18" s="71">
        <f t="shared" si="14"/>
        <v>0</v>
      </c>
      <c r="Y18" s="72">
        <f t="shared" si="15"/>
        <v>0</v>
      </c>
      <c r="AA18" s="73">
        <f t="shared" si="5"/>
        <v>81810</v>
      </c>
      <c r="AB18" s="27">
        <f t="shared" si="16"/>
        <v>98990.099999999991</v>
      </c>
    </row>
    <row r="19" spans="1:28" s="27" customFormat="1" ht="29.25" customHeight="1">
      <c r="A19" s="103"/>
      <c r="B19" s="29" t="s">
        <v>41</v>
      </c>
      <c r="C19" s="61" t="s">
        <v>42</v>
      </c>
      <c r="D19" s="78">
        <v>70</v>
      </c>
      <c r="E19" s="79">
        <f>ROUND(228.05*1.0651,2)</f>
        <v>242.9</v>
      </c>
      <c r="F19" s="80">
        <f t="shared" si="1"/>
        <v>17003</v>
      </c>
      <c r="G19" s="78">
        <v>120</v>
      </c>
      <c r="H19" s="79">
        <f t="shared" si="2"/>
        <v>250.19</v>
      </c>
      <c r="I19" s="80">
        <f t="shared" si="3"/>
        <v>30022.799999999999</v>
      </c>
      <c r="J19" s="78">
        <v>50</v>
      </c>
      <c r="K19" s="84">
        <f t="shared" si="6"/>
        <v>257.7</v>
      </c>
      <c r="L19" s="80">
        <f t="shared" si="7"/>
        <v>12885</v>
      </c>
      <c r="M19" s="81">
        <v>0.21</v>
      </c>
      <c r="N19" s="63"/>
      <c r="O19" s="71">
        <f>+N19*D19</f>
        <v>0</v>
      </c>
      <c r="P19" s="71">
        <f t="shared" si="8"/>
        <v>0</v>
      </c>
      <c r="Q19" s="72">
        <f t="shared" si="9"/>
        <v>0</v>
      </c>
      <c r="R19" s="63"/>
      <c r="S19" s="71">
        <f t="shared" si="10"/>
        <v>0</v>
      </c>
      <c r="T19" s="71">
        <f t="shared" si="11"/>
        <v>0</v>
      </c>
      <c r="U19" s="72">
        <f t="shared" si="12"/>
        <v>0</v>
      </c>
      <c r="V19" s="70"/>
      <c r="W19" s="71">
        <f t="shared" si="13"/>
        <v>0</v>
      </c>
      <c r="X19" s="71">
        <f t="shared" si="14"/>
        <v>0</v>
      </c>
      <c r="Y19" s="72">
        <f t="shared" si="15"/>
        <v>0</v>
      </c>
      <c r="AA19" s="73">
        <f t="shared" si="5"/>
        <v>59910.8</v>
      </c>
      <c r="AB19" s="27">
        <f t="shared" si="16"/>
        <v>72492.067999999999</v>
      </c>
    </row>
    <row r="20" spans="1:28" s="27" customFormat="1" ht="21" customHeight="1">
      <c r="A20" s="103"/>
      <c r="B20" s="29" t="s">
        <v>43</v>
      </c>
      <c r="C20" s="60" t="s">
        <v>44</v>
      </c>
      <c r="D20" s="78">
        <v>7</v>
      </c>
      <c r="E20" s="79">
        <f>ROUND(104.92*1.0651,2)</f>
        <v>111.75</v>
      </c>
      <c r="F20" s="80">
        <f t="shared" si="1"/>
        <v>782.25</v>
      </c>
      <c r="G20" s="78">
        <v>12</v>
      </c>
      <c r="H20" s="79">
        <f t="shared" si="2"/>
        <v>115.1</v>
      </c>
      <c r="I20" s="80">
        <f t="shared" si="3"/>
        <v>1381.1999999999998</v>
      </c>
      <c r="J20" s="78">
        <v>5</v>
      </c>
      <c r="K20" s="84">
        <f t="shared" si="6"/>
        <v>118.55</v>
      </c>
      <c r="L20" s="80">
        <f t="shared" si="7"/>
        <v>592.75</v>
      </c>
      <c r="M20" s="81">
        <v>0.21</v>
      </c>
      <c r="N20" s="63"/>
      <c r="O20" s="71">
        <f t="shared" si="4"/>
        <v>0</v>
      </c>
      <c r="P20" s="71">
        <f t="shared" si="8"/>
        <v>0</v>
      </c>
      <c r="Q20" s="72">
        <f t="shared" si="9"/>
        <v>0</v>
      </c>
      <c r="R20" s="63"/>
      <c r="S20" s="71">
        <f t="shared" si="10"/>
        <v>0</v>
      </c>
      <c r="T20" s="71">
        <f t="shared" si="11"/>
        <v>0</v>
      </c>
      <c r="U20" s="72">
        <f t="shared" si="12"/>
        <v>0</v>
      </c>
      <c r="V20" s="70"/>
      <c r="W20" s="71">
        <f t="shared" si="13"/>
        <v>0</v>
      </c>
      <c r="X20" s="71">
        <f t="shared" si="14"/>
        <v>0</v>
      </c>
      <c r="Y20" s="72">
        <f t="shared" si="15"/>
        <v>0</v>
      </c>
      <c r="AA20" s="73">
        <f t="shared" si="5"/>
        <v>2756.2</v>
      </c>
      <c r="AB20" s="27">
        <f t="shared" si="16"/>
        <v>3335.0019999999995</v>
      </c>
    </row>
    <row r="21" spans="1:28" s="27" customFormat="1" ht="30" customHeight="1">
      <c r="A21" s="103"/>
      <c r="B21" s="29" t="s">
        <v>45</v>
      </c>
      <c r="C21" s="60" t="s">
        <v>46</v>
      </c>
      <c r="D21" s="78">
        <f>2.16666666666667*7</f>
        <v>15.166666666666691</v>
      </c>
      <c r="E21" s="79">
        <f>ROUND(154.13*1.0651,2)</f>
        <v>164.16</v>
      </c>
      <c r="F21" s="80">
        <f t="shared" si="1"/>
        <v>2489.7600000000039</v>
      </c>
      <c r="G21" s="78">
        <f>2.16666666666667*12</f>
        <v>26.000000000000043</v>
      </c>
      <c r="H21" s="79">
        <f t="shared" si="2"/>
        <v>169.08</v>
      </c>
      <c r="I21" s="80">
        <f t="shared" si="3"/>
        <v>4396.0800000000072</v>
      </c>
      <c r="J21" s="78">
        <f>2.16666666666667*5</f>
        <v>10.83333333333335</v>
      </c>
      <c r="K21" s="84">
        <f t="shared" si="6"/>
        <v>174.15</v>
      </c>
      <c r="L21" s="80">
        <f t="shared" si="7"/>
        <v>1886.625000000003</v>
      </c>
      <c r="M21" s="81">
        <v>0.21</v>
      </c>
      <c r="N21" s="63"/>
      <c r="O21" s="71">
        <f t="shared" si="4"/>
        <v>0</v>
      </c>
      <c r="P21" s="71">
        <f t="shared" si="8"/>
        <v>0</v>
      </c>
      <c r="Q21" s="72">
        <f t="shared" si="9"/>
        <v>0</v>
      </c>
      <c r="R21" s="63"/>
      <c r="S21" s="71">
        <f t="shared" si="10"/>
        <v>0</v>
      </c>
      <c r="T21" s="71">
        <f t="shared" si="11"/>
        <v>0</v>
      </c>
      <c r="U21" s="72">
        <f t="shared" si="12"/>
        <v>0</v>
      </c>
      <c r="V21" s="70"/>
      <c r="W21" s="71">
        <f t="shared" si="13"/>
        <v>0</v>
      </c>
      <c r="X21" s="71">
        <f t="shared" si="14"/>
        <v>0</v>
      </c>
      <c r="Y21" s="72">
        <f t="shared" si="15"/>
        <v>0</v>
      </c>
      <c r="AA21" s="73">
        <f t="shared" si="5"/>
        <v>8772.4650000000147</v>
      </c>
      <c r="AB21" s="27">
        <f t="shared" si="16"/>
        <v>10614.682650000017</v>
      </c>
    </row>
    <row r="22" spans="1:28" s="27" customFormat="1" ht="30" customHeight="1">
      <c r="A22" s="103"/>
      <c r="B22" s="29" t="s">
        <v>47</v>
      </c>
      <c r="C22" s="60" t="s">
        <v>48</v>
      </c>
      <c r="D22" s="78">
        <v>7</v>
      </c>
      <c r="E22" s="79">
        <f>ROUND(3218.75*1.0651,2)</f>
        <v>3428.29</v>
      </c>
      <c r="F22" s="80">
        <f t="shared" si="1"/>
        <v>23998.03</v>
      </c>
      <c r="G22" s="78">
        <v>12</v>
      </c>
      <c r="H22" s="79">
        <f t="shared" si="2"/>
        <v>3531.14</v>
      </c>
      <c r="I22" s="80">
        <f t="shared" si="3"/>
        <v>42373.68</v>
      </c>
      <c r="J22" s="78">
        <v>5</v>
      </c>
      <c r="K22" s="84">
        <f t="shared" si="6"/>
        <v>3637.07</v>
      </c>
      <c r="L22" s="80">
        <f t="shared" si="7"/>
        <v>18185.350000000002</v>
      </c>
      <c r="M22" s="81">
        <v>0.21</v>
      </c>
      <c r="N22" s="63"/>
      <c r="O22" s="71">
        <f>+N22*D22</f>
        <v>0</v>
      </c>
      <c r="P22" s="71">
        <f t="shared" si="8"/>
        <v>0</v>
      </c>
      <c r="Q22" s="72">
        <f t="shared" si="9"/>
        <v>0</v>
      </c>
      <c r="R22" s="63"/>
      <c r="S22" s="71">
        <f t="shared" si="10"/>
        <v>0</v>
      </c>
      <c r="T22" s="71">
        <f t="shared" si="11"/>
        <v>0</v>
      </c>
      <c r="U22" s="72">
        <f t="shared" si="12"/>
        <v>0</v>
      </c>
      <c r="V22" s="70"/>
      <c r="W22" s="71">
        <f t="shared" si="13"/>
        <v>0</v>
      </c>
      <c r="X22" s="71">
        <f t="shared" si="14"/>
        <v>0</v>
      </c>
      <c r="Y22" s="72">
        <f t="shared" si="15"/>
        <v>0</v>
      </c>
      <c r="AA22" s="73">
        <f t="shared" si="5"/>
        <v>84557.06</v>
      </c>
      <c r="AB22" s="27">
        <f t="shared" si="16"/>
        <v>102314.0426</v>
      </c>
    </row>
    <row r="23" spans="1:28" s="27" customFormat="1" ht="21" customHeight="1">
      <c r="A23" s="103"/>
      <c r="B23" s="29" t="s">
        <v>49</v>
      </c>
      <c r="C23" s="60" t="s">
        <v>50</v>
      </c>
      <c r="D23" s="78">
        <v>7</v>
      </c>
      <c r="E23" s="79">
        <v>6000</v>
      </c>
      <c r="F23" s="80">
        <f>+D23*E23</f>
        <v>42000</v>
      </c>
      <c r="G23" s="78">
        <v>12</v>
      </c>
      <c r="H23" s="79">
        <f t="shared" si="2"/>
        <v>6180</v>
      </c>
      <c r="I23" s="80">
        <f>+G23*H23</f>
        <v>74160</v>
      </c>
      <c r="J23" s="78">
        <v>5</v>
      </c>
      <c r="K23" s="84">
        <f t="shared" si="6"/>
        <v>6365.4</v>
      </c>
      <c r="L23" s="80">
        <f>+J23*K23</f>
        <v>31827</v>
      </c>
      <c r="M23" s="81">
        <v>0.21</v>
      </c>
      <c r="N23" s="63"/>
      <c r="O23" s="71">
        <f>+N23*D23</f>
        <v>0</v>
      </c>
      <c r="P23" s="71">
        <f t="shared" si="8"/>
        <v>0</v>
      </c>
      <c r="Q23" s="72">
        <f t="shared" si="9"/>
        <v>0</v>
      </c>
      <c r="R23" s="63"/>
      <c r="S23" s="71">
        <f t="shared" si="10"/>
        <v>0</v>
      </c>
      <c r="T23" s="71">
        <f t="shared" si="11"/>
        <v>0</v>
      </c>
      <c r="U23" s="72">
        <f t="shared" si="12"/>
        <v>0</v>
      </c>
      <c r="V23" s="70"/>
      <c r="W23" s="71">
        <f t="shared" si="13"/>
        <v>0</v>
      </c>
      <c r="X23" s="71">
        <f t="shared" si="14"/>
        <v>0</v>
      </c>
      <c r="Y23" s="72">
        <f t="shared" si="15"/>
        <v>0</v>
      </c>
      <c r="AA23" s="73">
        <f t="shared" si="5"/>
        <v>147987</v>
      </c>
      <c r="AB23" s="27">
        <f t="shared" si="16"/>
        <v>179064.27</v>
      </c>
    </row>
    <row r="24" spans="1:28" s="27" customFormat="1" ht="21" customHeight="1">
      <c r="A24" s="103"/>
      <c r="B24" s="29" t="s">
        <v>51</v>
      </c>
      <c r="C24" s="60" t="s">
        <v>52</v>
      </c>
      <c r="D24" s="78">
        <v>1</v>
      </c>
      <c r="E24" s="79">
        <v>20000</v>
      </c>
      <c r="F24" s="80">
        <f t="shared" si="1"/>
        <v>20000</v>
      </c>
      <c r="G24" s="78">
        <v>1</v>
      </c>
      <c r="H24" s="79">
        <f t="shared" si="2"/>
        <v>20600</v>
      </c>
      <c r="I24" s="80">
        <f>+G24*H24</f>
        <v>20600</v>
      </c>
      <c r="J24" s="78">
        <v>1</v>
      </c>
      <c r="K24" s="84">
        <v>21216.58</v>
      </c>
      <c r="L24" s="80">
        <f>+J24*K24</f>
        <v>21216.58</v>
      </c>
      <c r="M24" s="81">
        <v>0.21</v>
      </c>
      <c r="N24" s="63"/>
      <c r="O24" s="71">
        <f t="shared" si="4"/>
        <v>0</v>
      </c>
      <c r="P24" s="71">
        <f t="shared" si="8"/>
        <v>0</v>
      </c>
      <c r="Q24" s="72">
        <f t="shared" si="9"/>
        <v>0</v>
      </c>
      <c r="R24" s="63"/>
      <c r="S24" s="71">
        <f t="shared" si="10"/>
        <v>0</v>
      </c>
      <c r="T24" s="71">
        <f t="shared" si="11"/>
        <v>0</v>
      </c>
      <c r="U24" s="72">
        <f t="shared" si="12"/>
        <v>0</v>
      </c>
      <c r="V24" s="70"/>
      <c r="W24" s="71">
        <f t="shared" si="13"/>
        <v>0</v>
      </c>
      <c r="X24" s="71">
        <f t="shared" si="14"/>
        <v>0</v>
      </c>
      <c r="Y24" s="72">
        <f t="shared" si="15"/>
        <v>0</v>
      </c>
      <c r="AA24" s="73">
        <f t="shared" si="5"/>
        <v>61816.58</v>
      </c>
      <c r="AB24" s="27">
        <f t="shared" si="16"/>
        <v>74798.061799999996</v>
      </c>
    </row>
    <row r="25" spans="1:28" s="27" customFormat="1" ht="21" customHeight="1">
      <c r="A25" s="103"/>
      <c r="B25" s="65">
        <v>2</v>
      </c>
      <c r="C25" s="66" t="s">
        <v>53</v>
      </c>
      <c r="D25" s="82">
        <v>7</v>
      </c>
      <c r="E25" s="75">
        <v>20562</v>
      </c>
      <c r="F25" s="76">
        <f>+D25*E25</f>
        <v>143934</v>
      </c>
      <c r="G25" s="82">
        <v>12</v>
      </c>
      <c r="H25" s="75">
        <f t="shared" si="2"/>
        <v>21178.86</v>
      </c>
      <c r="I25" s="76">
        <f>+G25*H25</f>
        <v>254146.32</v>
      </c>
      <c r="J25" s="82">
        <v>5</v>
      </c>
      <c r="K25" s="90">
        <f t="shared" si="6"/>
        <v>21814.23</v>
      </c>
      <c r="L25" s="76">
        <f>+J25*K25</f>
        <v>109071.15</v>
      </c>
      <c r="M25" s="77">
        <v>0.21</v>
      </c>
      <c r="N25" s="63"/>
      <c r="O25" s="71">
        <f t="shared" si="4"/>
        <v>0</v>
      </c>
      <c r="P25" s="71">
        <f t="shared" si="8"/>
        <v>0</v>
      </c>
      <c r="Q25" s="72">
        <f t="shared" si="9"/>
        <v>0</v>
      </c>
      <c r="R25" s="63"/>
      <c r="S25" s="71">
        <f t="shared" si="10"/>
        <v>0</v>
      </c>
      <c r="T25" s="71">
        <f t="shared" si="11"/>
        <v>0</v>
      </c>
      <c r="U25" s="72">
        <f t="shared" si="12"/>
        <v>0</v>
      </c>
      <c r="V25" s="70"/>
      <c r="W25" s="71">
        <f t="shared" si="13"/>
        <v>0</v>
      </c>
      <c r="X25" s="71">
        <f t="shared" si="14"/>
        <v>0</v>
      </c>
      <c r="Y25" s="72">
        <f t="shared" si="15"/>
        <v>0</v>
      </c>
      <c r="AA25" s="73">
        <f t="shared" si="5"/>
        <v>507151.47</v>
      </c>
      <c r="AB25" s="27">
        <f t="shared" si="16"/>
        <v>613653.27869999991</v>
      </c>
    </row>
    <row r="26" spans="1:28" s="37" customFormat="1" ht="21" customHeight="1">
      <c r="A26" s="103"/>
      <c r="B26" s="65">
        <v>3</v>
      </c>
      <c r="C26" s="66" t="s">
        <v>54</v>
      </c>
      <c r="D26" s="82"/>
      <c r="E26" s="75"/>
      <c r="F26" s="75">
        <f>SUM(F27:F28)</f>
        <v>61137.509999999995</v>
      </c>
      <c r="G26" s="82"/>
      <c r="H26" s="75"/>
      <c r="I26" s="75">
        <f>SUM(I27:I28)</f>
        <v>107951.40000000001</v>
      </c>
      <c r="J26" s="82"/>
      <c r="K26" s="75"/>
      <c r="L26" s="75">
        <f>SUM(L27:L28)</f>
        <v>46329.15</v>
      </c>
      <c r="M26" s="77">
        <v>0.21</v>
      </c>
      <c r="N26" s="63"/>
      <c r="O26" s="88">
        <f>SUM(O27:O28)</f>
        <v>0</v>
      </c>
      <c r="P26" s="88">
        <f t="shared" si="8"/>
        <v>0</v>
      </c>
      <c r="Q26" s="89">
        <f t="shared" si="9"/>
        <v>0</v>
      </c>
      <c r="R26" s="63"/>
      <c r="S26" s="88">
        <f>SUM(S27:S28)</f>
        <v>0</v>
      </c>
      <c r="T26" s="88">
        <f t="shared" si="11"/>
        <v>0</v>
      </c>
      <c r="U26" s="89">
        <f t="shared" si="12"/>
        <v>0</v>
      </c>
      <c r="V26" s="63"/>
      <c r="W26" s="88">
        <f>SUM(W27:W28)</f>
        <v>0</v>
      </c>
      <c r="X26" s="88">
        <f>SUM(X27:X28)</f>
        <v>0</v>
      </c>
      <c r="Y26" s="89">
        <f>SUM(Y27:Y28)</f>
        <v>0</v>
      </c>
      <c r="AA26" s="73">
        <f t="shared" si="5"/>
        <v>215418.06</v>
      </c>
      <c r="AB26" s="27">
        <f t="shared" si="16"/>
        <v>260655.85259999998</v>
      </c>
    </row>
    <row r="27" spans="1:28" s="37" customFormat="1" ht="21" customHeight="1">
      <c r="A27" s="103"/>
      <c r="B27" s="65" t="s">
        <v>55</v>
      </c>
      <c r="C27" s="66" t="s">
        <v>56</v>
      </c>
      <c r="D27" s="78">
        <v>7</v>
      </c>
      <c r="E27" s="79">
        <v>6639</v>
      </c>
      <c r="F27" s="80">
        <f>+D27*E27</f>
        <v>46473</v>
      </c>
      <c r="G27" s="78">
        <v>12</v>
      </c>
      <c r="H27" s="79">
        <f>ROUND(E27*1.03,2)</f>
        <v>6838.17</v>
      </c>
      <c r="I27" s="80">
        <f>+G27*H27</f>
        <v>82058.040000000008</v>
      </c>
      <c r="J27" s="78">
        <v>5</v>
      </c>
      <c r="K27" s="84">
        <f t="shared" si="6"/>
        <v>7043.32</v>
      </c>
      <c r="L27" s="80">
        <f>+J27*K27</f>
        <v>35216.6</v>
      </c>
      <c r="M27" s="81">
        <v>0.21</v>
      </c>
      <c r="N27" s="63"/>
      <c r="O27" s="71">
        <f>+N27*D27</f>
        <v>0</v>
      </c>
      <c r="P27" s="71">
        <f t="shared" si="8"/>
        <v>0</v>
      </c>
      <c r="Q27" s="72">
        <f t="shared" si="9"/>
        <v>0</v>
      </c>
      <c r="R27" s="63"/>
      <c r="S27" s="71">
        <f t="shared" si="10"/>
        <v>0</v>
      </c>
      <c r="T27" s="71">
        <f t="shared" si="11"/>
        <v>0</v>
      </c>
      <c r="U27" s="72">
        <f t="shared" si="12"/>
        <v>0</v>
      </c>
      <c r="V27" s="70"/>
      <c r="W27" s="71">
        <f t="shared" si="13"/>
        <v>0</v>
      </c>
      <c r="X27" s="71">
        <f t="shared" si="14"/>
        <v>0</v>
      </c>
      <c r="Y27" s="72">
        <f t="shared" si="15"/>
        <v>0</v>
      </c>
      <c r="AA27" s="73">
        <f t="shared" si="5"/>
        <v>163747.64000000001</v>
      </c>
      <c r="AB27" s="27">
        <f t="shared" si="16"/>
        <v>198134.64440000002</v>
      </c>
    </row>
    <row r="28" spans="1:28" s="37" customFormat="1" ht="21" customHeight="1">
      <c r="A28" s="103"/>
      <c r="B28" s="65" t="s">
        <v>57</v>
      </c>
      <c r="C28" s="66" t="s">
        <v>58</v>
      </c>
      <c r="D28" s="78">
        <v>7</v>
      </c>
      <c r="E28" s="79">
        <f>ROUND(800.78+1294.15,2)</f>
        <v>2094.9299999999998</v>
      </c>
      <c r="F28" s="80">
        <f>+D28*E28</f>
        <v>14664.509999999998</v>
      </c>
      <c r="G28" s="78">
        <v>12</v>
      </c>
      <c r="H28" s="79">
        <f>ROUND(E28*1.03,2)</f>
        <v>2157.7800000000002</v>
      </c>
      <c r="I28" s="80">
        <f>+G28*H28</f>
        <v>25893.360000000001</v>
      </c>
      <c r="J28" s="78">
        <v>5</v>
      </c>
      <c r="K28" s="84">
        <f t="shared" si="6"/>
        <v>2222.5100000000002</v>
      </c>
      <c r="L28" s="80">
        <f>+J28*K28</f>
        <v>11112.550000000001</v>
      </c>
      <c r="M28" s="81">
        <v>0.21</v>
      </c>
      <c r="N28" s="63"/>
      <c r="O28" s="71">
        <f>+N28*D28</f>
        <v>0</v>
      </c>
      <c r="P28" s="71">
        <f t="shared" si="8"/>
        <v>0</v>
      </c>
      <c r="Q28" s="72">
        <f t="shared" si="9"/>
        <v>0</v>
      </c>
      <c r="R28" s="63"/>
      <c r="S28" s="71">
        <f t="shared" si="10"/>
        <v>0</v>
      </c>
      <c r="T28" s="71">
        <f t="shared" si="11"/>
        <v>0</v>
      </c>
      <c r="U28" s="72">
        <f t="shared" si="12"/>
        <v>0</v>
      </c>
      <c r="V28" s="70"/>
      <c r="W28" s="71">
        <f t="shared" si="13"/>
        <v>0</v>
      </c>
      <c r="X28" s="71">
        <f t="shared" si="14"/>
        <v>0</v>
      </c>
      <c r="Y28" s="72">
        <f t="shared" si="15"/>
        <v>0</v>
      </c>
      <c r="AA28" s="73">
        <f t="shared" si="5"/>
        <v>51670.42</v>
      </c>
      <c r="AB28" s="27">
        <f t="shared" si="16"/>
        <v>62521.208199999994</v>
      </c>
    </row>
    <row r="29" spans="1:28" s="27" customFormat="1" ht="18.75" customHeight="1">
      <c r="A29" s="103"/>
      <c r="B29" s="65">
        <v>4</v>
      </c>
      <c r="C29" s="59" t="s">
        <v>59</v>
      </c>
      <c r="D29" s="82"/>
      <c r="E29" s="75"/>
      <c r="F29" s="76">
        <f>SUM(F30:F30)</f>
        <v>415293.74459999998</v>
      </c>
      <c r="G29" s="82"/>
      <c r="H29" s="75"/>
      <c r="I29" s="76">
        <f>SUM(I30:I30)</f>
        <v>733290.09360000002</v>
      </c>
      <c r="J29" s="82"/>
      <c r="K29" s="75"/>
      <c r="L29" s="76">
        <f>SUM(L30:L30)</f>
        <v>314703.63900000002</v>
      </c>
      <c r="M29" s="77">
        <v>0.21</v>
      </c>
      <c r="N29" s="63"/>
      <c r="O29" s="88">
        <f t="shared" ref="O29:Y29" si="17">SUM(O30:O30)</f>
        <v>0</v>
      </c>
      <c r="P29" s="88">
        <f t="shared" si="8"/>
        <v>0</v>
      </c>
      <c r="Q29" s="89">
        <f t="shared" si="9"/>
        <v>0</v>
      </c>
      <c r="R29" s="63"/>
      <c r="S29" s="88">
        <f t="shared" si="17"/>
        <v>0</v>
      </c>
      <c r="T29" s="88">
        <f t="shared" si="11"/>
        <v>0</v>
      </c>
      <c r="U29" s="89">
        <f t="shared" si="12"/>
        <v>0</v>
      </c>
      <c r="V29" s="63"/>
      <c r="W29" s="88">
        <f t="shared" si="17"/>
        <v>0</v>
      </c>
      <c r="X29" s="88">
        <f t="shared" si="17"/>
        <v>0</v>
      </c>
      <c r="Y29" s="89">
        <f t="shared" si="17"/>
        <v>0</v>
      </c>
      <c r="AA29" s="73">
        <f t="shared" si="5"/>
        <v>1463287.4772000001</v>
      </c>
      <c r="AB29" s="27">
        <f t="shared" si="16"/>
        <v>1770577.8474119999</v>
      </c>
    </row>
    <row r="30" spans="1:28" s="27" customFormat="1" ht="21" customHeight="1">
      <c r="A30" s="103"/>
      <c r="B30" s="29" t="s">
        <v>60</v>
      </c>
      <c r="C30" s="60" t="s">
        <v>34</v>
      </c>
      <c r="D30" s="78">
        <v>7</v>
      </c>
      <c r="E30" s="79">
        <f>ROUND((18284.19+1396.74+32913.64+1666.6+((10289.06+3523+3472)/12))*1.0651,2)-0.0022</f>
        <v>59327.677799999998</v>
      </c>
      <c r="F30" s="80">
        <f>+E30*D30</f>
        <v>415293.74459999998</v>
      </c>
      <c r="G30" s="78">
        <v>12</v>
      </c>
      <c r="H30" s="79">
        <f>ROUND(E30*1.03,2)-0.0022</f>
        <v>61107.507799999999</v>
      </c>
      <c r="I30" s="80">
        <f>+H30*G30</f>
        <v>733290.09360000002</v>
      </c>
      <c r="J30" s="78">
        <v>5</v>
      </c>
      <c r="K30" s="84">
        <f>ROUND(H30*1.03,2)-0.0022</f>
        <v>62940.727800000001</v>
      </c>
      <c r="L30" s="80">
        <f>+K30*J30</f>
        <v>314703.63900000002</v>
      </c>
      <c r="M30" s="81">
        <v>0.21</v>
      </c>
      <c r="N30" s="63"/>
      <c r="O30" s="71">
        <f>+N30*D30</f>
        <v>0</v>
      </c>
      <c r="P30" s="71">
        <f t="shared" si="8"/>
        <v>0</v>
      </c>
      <c r="Q30" s="72">
        <f t="shared" si="9"/>
        <v>0</v>
      </c>
      <c r="R30" s="63"/>
      <c r="S30" s="71">
        <f t="shared" si="10"/>
        <v>0</v>
      </c>
      <c r="T30" s="71">
        <f t="shared" si="11"/>
        <v>0</v>
      </c>
      <c r="U30" s="72">
        <f t="shared" si="12"/>
        <v>0</v>
      </c>
      <c r="V30" s="70"/>
      <c r="W30" s="71">
        <f t="shared" si="13"/>
        <v>0</v>
      </c>
      <c r="X30" s="71">
        <f t="shared" si="14"/>
        <v>0</v>
      </c>
      <c r="Y30" s="72">
        <f t="shared" si="15"/>
        <v>0</v>
      </c>
      <c r="AA30" s="73">
        <f t="shared" si="5"/>
        <v>1463287.4772000001</v>
      </c>
      <c r="AB30" s="27">
        <f t="shared" si="16"/>
        <v>1770577.8474119999</v>
      </c>
    </row>
    <row r="31" spans="1:28" ht="24.95" customHeight="1">
      <c r="C31" s="34"/>
      <c r="D31" s="83"/>
      <c r="E31" s="1"/>
      <c r="F31" s="33">
        <f>+F14+F25+F26+F29</f>
        <v>3603236.8045999995</v>
      </c>
      <c r="G31" s="83"/>
      <c r="H31" s="1"/>
      <c r="I31" s="33">
        <f>+I14+I25+I26+I29</f>
        <v>6335801.4936000006</v>
      </c>
      <c r="J31" s="83"/>
      <c r="K31" s="1"/>
      <c r="L31" s="33">
        <f>+L14+L25+L26+L29</f>
        <v>2724419.1439999999</v>
      </c>
      <c r="M31" s="28"/>
      <c r="N31" s="28"/>
      <c r="O31" s="33">
        <f>+O14+O25+O26+O29</f>
        <v>0</v>
      </c>
      <c r="P31" s="33"/>
      <c r="Q31" s="33">
        <f>+Q14+Q25+Q26+Q29</f>
        <v>0</v>
      </c>
      <c r="R31" s="28"/>
      <c r="S31" s="33">
        <f>+S14+S25+S26+S29</f>
        <v>0</v>
      </c>
      <c r="T31" s="33"/>
      <c r="U31" s="33">
        <f>+U14+U25+U26+U29</f>
        <v>0</v>
      </c>
      <c r="V31" s="33"/>
      <c r="W31" s="33">
        <f>+W14+W25+W26+W29</f>
        <v>0</v>
      </c>
      <c r="X31" s="33"/>
      <c r="Y31" s="33">
        <f>+Y14+Y25+Y26+Y29</f>
        <v>0</v>
      </c>
    </row>
    <row r="32" spans="1:28" ht="24.95" customHeight="1">
      <c r="C32" s="34"/>
      <c r="D32" s="33"/>
      <c r="E32" s="1"/>
      <c r="F32" s="33">
        <f>F31/7*12</f>
        <v>6176977.3793142848</v>
      </c>
      <c r="G32" s="33"/>
      <c r="H32" s="1"/>
      <c r="I32" s="33"/>
      <c r="J32" s="33"/>
      <c r="K32" s="1"/>
      <c r="L32" s="33">
        <f>L31/5*12</f>
        <v>6538605.9456000002</v>
      </c>
      <c r="M32" s="51"/>
      <c r="N32" s="28"/>
      <c r="O32" s="33"/>
      <c r="P32" s="33"/>
      <c r="Q32" s="33"/>
      <c r="R32" s="28"/>
      <c r="S32" s="33"/>
      <c r="T32" s="33"/>
      <c r="U32" s="33"/>
      <c r="V32" s="33"/>
      <c r="W32" s="33"/>
      <c r="X32" s="33"/>
      <c r="Y32" s="33"/>
    </row>
    <row r="33" spans="3:29" ht="14.1">
      <c r="C33" s="50"/>
      <c r="D33" s="50"/>
      <c r="E33" s="49"/>
      <c r="F33" s="34"/>
      <c r="G33" s="27"/>
      <c r="H33" s="49"/>
      <c r="I33" s="50"/>
      <c r="J33" s="27"/>
      <c r="K33" s="49"/>
      <c r="L33" s="50"/>
      <c r="M33" s="27"/>
      <c r="N33" s="27"/>
      <c r="O33" s="49"/>
      <c r="P33" s="49"/>
      <c r="Q33" s="49"/>
      <c r="R33" s="27"/>
      <c r="S33" s="49"/>
      <c r="T33" s="49"/>
      <c r="U33" s="49"/>
      <c r="V33" s="49"/>
      <c r="W33" s="49"/>
      <c r="X33" s="49"/>
      <c r="Y33" s="49"/>
    </row>
    <row r="34" spans="3:29" ht="14.1">
      <c r="C34" s="50"/>
      <c r="D34" s="49"/>
      <c r="E34" s="50"/>
      <c r="F34" s="73"/>
      <c r="G34" s="49"/>
      <c r="H34" s="50"/>
      <c r="I34" s="27"/>
      <c r="J34" s="49"/>
      <c r="K34" s="50"/>
      <c r="L34" s="27"/>
      <c r="M34" s="27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86" t="s">
        <v>61</v>
      </c>
      <c r="AA34" s="87">
        <f>SUM(AA15:AA24)</f>
        <v>10477600.434999999</v>
      </c>
      <c r="AB34" s="87">
        <f>SUM(AB15:AB24)</f>
        <v>12677896.526349997</v>
      </c>
      <c r="AC34" s="86"/>
    </row>
    <row r="37" spans="3:29" ht="26.1">
      <c r="C37" s="91" t="s">
        <v>62</v>
      </c>
    </row>
  </sheetData>
  <mergeCells count="9">
    <mergeCell ref="A14:A30"/>
    <mergeCell ref="D12:F12"/>
    <mergeCell ref="G12:I12"/>
    <mergeCell ref="J12:L12"/>
    <mergeCell ref="G11:I11"/>
    <mergeCell ref="J11:L11"/>
    <mergeCell ref="V12:Y12"/>
    <mergeCell ref="N12:Q12"/>
    <mergeCell ref="R12:U12"/>
  </mergeCells>
  <phoneticPr fontId="6" type="noConversion"/>
  <conditionalFormatting sqref="D32 D14:D30 G14:G30 J14:J30 F31:L32 S31:Y32 O31:Q32 N14:Y30">
    <cfRule type="cellIs" dxfId="18" priority="46" stopIfTrue="1" operator="equal">
      <formula>0</formula>
    </cfRule>
  </conditionalFormatting>
  <conditionalFormatting sqref="O26:Q26">
    <cfRule type="cellIs" dxfId="17" priority="23" stopIfTrue="1" operator="equal">
      <formula>0</formula>
    </cfRule>
  </conditionalFormatting>
  <conditionalFormatting sqref="S26:U26">
    <cfRule type="cellIs" dxfId="16" priority="21" stopIfTrue="1" operator="equal">
      <formula>0</formula>
    </cfRule>
  </conditionalFormatting>
  <conditionalFormatting sqref="W26:Y26">
    <cfRule type="cellIs" dxfId="15" priority="19" stopIfTrue="1" operator="equal">
      <formula>0</formula>
    </cfRule>
  </conditionalFormatting>
  <conditionalFormatting sqref="N26">
    <cfRule type="cellIs" dxfId="14" priority="18" stopIfTrue="1" operator="equal">
      <formula>0</formula>
    </cfRule>
  </conditionalFormatting>
  <conditionalFormatting sqref="R26">
    <cfRule type="cellIs" dxfId="13" priority="17" stopIfTrue="1" operator="equal">
      <formula>0</formula>
    </cfRule>
  </conditionalFormatting>
  <conditionalFormatting sqref="V26">
    <cfRule type="cellIs" dxfId="12" priority="16" stopIfTrue="1" operator="equal">
      <formula>0</formula>
    </cfRule>
  </conditionalFormatting>
  <conditionalFormatting sqref="N29">
    <cfRule type="cellIs" dxfId="11" priority="12" stopIfTrue="1" operator="equal">
      <formula>0</formula>
    </cfRule>
  </conditionalFormatting>
  <conditionalFormatting sqref="O29:Q29">
    <cfRule type="cellIs" dxfId="10" priority="11" stopIfTrue="1" operator="equal">
      <formula>0</formula>
    </cfRule>
  </conditionalFormatting>
  <conditionalFormatting sqref="S29:U29">
    <cfRule type="cellIs" dxfId="9" priority="10" stopIfTrue="1" operator="equal">
      <formula>0</formula>
    </cfRule>
  </conditionalFormatting>
  <conditionalFormatting sqref="W29:Y29">
    <cfRule type="cellIs" dxfId="8" priority="9" stopIfTrue="1" operator="equal">
      <formula>0</formula>
    </cfRule>
  </conditionalFormatting>
  <conditionalFormatting sqref="R29">
    <cfRule type="cellIs" dxfId="7" priority="8" stopIfTrue="1" operator="equal">
      <formula>0</formula>
    </cfRule>
  </conditionalFormatting>
  <conditionalFormatting sqref="V29">
    <cfRule type="cellIs" dxfId="6" priority="7" stopIfTrue="1" operator="equal">
      <formula>0</formula>
    </cfRule>
  </conditionalFormatting>
  <conditionalFormatting sqref="O14:Q14">
    <cfRule type="cellIs" dxfId="5" priority="6" stopIfTrue="1" operator="equal">
      <formula>0</formula>
    </cfRule>
  </conditionalFormatting>
  <conditionalFormatting sqref="S14:U14">
    <cfRule type="cellIs" dxfId="4" priority="5" stopIfTrue="1" operator="equal">
      <formula>0</formula>
    </cfRule>
  </conditionalFormatting>
  <conditionalFormatting sqref="W14:Y14">
    <cfRule type="cellIs" dxfId="3" priority="4" stopIfTrue="1" operator="equal">
      <formula>0</formula>
    </cfRule>
  </conditionalFormatting>
  <conditionalFormatting sqref="N14">
    <cfRule type="cellIs" dxfId="2" priority="3" stopIfTrue="1" operator="equal">
      <formula>0</formula>
    </cfRule>
  </conditionalFormatting>
  <conditionalFormatting sqref="R14">
    <cfRule type="cellIs" dxfId="1" priority="2" stopIfTrue="1" operator="equal">
      <formula>0</formula>
    </cfRule>
  </conditionalFormatting>
  <conditionalFormatting sqref="V14">
    <cfRule type="cellIs" dxfId="0" priority="1" stopIfTrue="1" operator="equal">
      <formula>0</formula>
    </cfRule>
  </conditionalFormatting>
  <printOptions horizontalCentered="1" verticalCentered="1"/>
  <pageMargins left="0" right="0" top="0" bottom="0.15748031496062992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78-A928-49E8-A92F-FEE6AA323729}">
  <dimension ref="A5:J21"/>
  <sheetViews>
    <sheetView zoomScale="110" zoomScaleNormal="110" workbookViewId="0">
      <selection activeCell="C22" sqref="C22"/>
    </sheetView>
  </sheetViews>
  <sheetFormatPr defaultColWidth="11.42578125" defaultRowHeight="12.6"/>
  <cols>
    <col min="1" max="1" width="15.140625" style="21" customWidth="1"/>
    <col min="2" max="2" width="42.42578125" style="21" customWidth="1"/>
    <col min="3" max="3" width="12" style="21" customWidth="1"/>
    <col min="4" max="16384" width="11.42578125" style="21"/>
  </cols>
  <sheetData>
    <row r="5" spans="1:10" ht="18">
      <c r="A5" s="35" t="s">
        <v>63</v>
      </c>
      <c r="B5" s="36"/>
    </row>
    <row r="6" spans="1:10" ht="12.95">
      <c r="A6" s="24"/>
      <c r="G6" s="38"/>
      <c r="H6" s="38"/>
      <c r="I6" s="38"/>
    </row>
    <row r="7" spans="1:10">
      <c r="A7" s="21" t="s">
        <v>64</v>
      </c>
    </row>
    <row r="8" spans="1:10" ht="12.95">
      <c r="A8" s="24"/>
      <c r="D8" s="53"/>
    </row>
    <row r="9" spans="1:10" ht="12.95">
      <c r="A9" s="24"/>
      <c r="D9" s="54"/>
    </row>
    <row r="10" spans="1:10" s="40" customFormat="1" ht="12.95">
      <c r="B10" s="43" t="s">
        <v>65</v>
      </c>
      <c r="C10" s="52">
        <v>2025</v>
      </c>
      <c r="D10" s="52">
        <v>2026</v>
      </c>
      <c r="E10" s="52">
        <v>2027</v>
      </c>
      <c r="F10" s="52">
        <v>2028</v>
      </c>
    </row>
    <row r="11" spans="1:10" s="40" customFormat="1" ht="20.25" customHeight="1">
      <c r="A11" s="39" t="s">
        <v>66</v>
      </c>
      <c r="B11" s="106" t="s">
        <v>67</v>
      </c>
      <c r="C11" s="107"/>
      <c r="D11" s="107"/>
      <c r="E11" s="107"/>
      <c r="F11" s="108"/>
    </row>
    <row r="12" spans="1:10" s="40" customFormat="1" ht="14.25" customHeight="1">
      <c r="A12" s="104" t="s">
        <v>68</v>
      </c>
      <c r="B12" s="41" t="s">
        <v>69</v>
      </c>
      <c r="C12" s="42">
        <v>21.02</v>
      </c>
      <c r="D12" s="42">
        <f t="shared" ref="D12:F17" si="0">C12*1.03</f>
        <v>21.650600000000001</v>
      </c>
      <c r="E12" s="42">
        <f t="shared" si="0"/>
        <v>22.300118000000001</v>
      </c>
      <c r="F12" s="42">
        <f t="shared" si="0"/>
        <v>22.969121540000003</v>
      </c>
      <c r="G12" s="85"/>
      <c r="H12" s="55"/>
      <c r="I12" s="55"/>
      <c r="J12" s="55"/>
    </row>
    <row r="13" spans="1:10" s="40" customFormat="1" ht="14.25" customHeight="1">
      <c r="A13" s="104"/>
      <c r="B13" s="41" t="s">
        <v>70</v>
      </c>
      <c r="C13" s="42">
        <v>24.61</v>
      </c>
      <c r="D13" s="42">
        <f t="shared" si="0"/>
        <v>25.348300000000002</v>
      </c>
      <c r="E13" s="42">
        <f t="shared" si="0"/>
        <v>26.108749000000003</v>
      </c>
      <c r="F13" s="42">
        <f t="shared" si="0"/>
        <v>26.892011470000003</v>
      </c>
      <c r="G13" s="55"/>
      <c r="H13" s="55"/>
      <c r="I13" s="55"/>
      <c r="J13" s="55"/>
    </row>
    <row r="14" spans="1:10" s="40" customFormat="1" ht="14.25" customHeight="1">
      <c r="A14" s="104" t="s">
        <v>71</v>
      </c>
      <c r="B14" s="41" t="s">
        <v>69</v>
      </c>
      <c r="C14" s="42">
        <v>20</v>
      </c>
      <c r="D14" s="42">
        <f t="shared" si="0"/>
        <v>20.6</v>
      </c>
      <c r="E14" s="42">
        <f t="shared" si="0"/>
        <v>21.218000000000004</v>
      </c>
      <c r="F14" s="42">
        <f t="shared" si="0"/>
        <v>21.854540000000004</v>
      </c>
      <c r="G14" s="55"/>
      <c r="H14" s="55"/>
      <c r="I14" s="55"/>
      <c r="J14" s="55"/>
    </row>
    <row r="15" spans="1:10" s="40" customFormat="1" ht="25.5" customHeight="1">
      <c r="A15" s="104"/>
      <c r="B15" s="41" t="s">
        <v>70</v>
      </c>
      <c r="C15" s="42">
        <f>C14*1.17</f>
        <v>23.4</v>
      </c>
      <c r="D15" s="42">
        <f t="shared" si="0"/>
        <v>24.102</v>
      </c>
      <c r="E15" s="42">
        <f t="shared" si="0"/>
        <v>24.825060000000001</v>
      </c>
      <c r="F15" s="42">
        <f t="shared" si="0"/>
        <v>25.5698118</v>
      </c>
      <c r="G15" s="55"/>
      <c r="H15" s="55"/>
      <c r="I15" s="55"/>
      <c r="J15" s="55"/>
    </row>
    <row r="16" spans="1:10" s="40" customFormat="1" ht="14.25" customHeight="1">
      <c r="A16" s="104" t="s">
        <v>72</v>
      </c>
      <c r="B16" s="41" t="s">
        <v>69</v>
      </c>
      <c r="C16" s="42">
        <v>18.36</v>
      </c>
      <c r="D16" s="42">
        <f t="shared" si="0"/>
        <v>18.910799999999998</v>
      </c>
      <c r="E16" s="42">
        <f t="shared" si="0"/>
        <v>19.478123999999998</v>
      </c>
      <c r="F16" s="42">
        <f t="shared" si="0"/>
        <v>20.062467719999997</v>
      </c>
      <c r="G16" s="55"/>
      <c r="H16" s="55"/>
      <c r="I16" s="55"/>
      <c r="J16" s="55"/>
    </row>
    <row r="17" spans="1:10" s="40" customFormat="1" ht="14.25" customHeight="1">
      <c r="A17" s="104"/>
      <c r="B17" s="41" t="s">
        <v>70</v>
      </c>
      <c r="C17" s="42">
        <f>C16*1.17</f>
        <v>21.481199999999998</v>
      </c>
      <c r="D17" s="42">
        <f t="shared" si="0"/>
        <v>22.125635999999997</v>
      </c>
      <c r="E17" s="42">
        <f t="shared" si="0"/>
        <v>22.789405079999998</v>
      </c>
      <c r="F17" s="42">
        <f t="shared" si="0"/>
        <v>23.473087232399998</v>
      </c>
      <c r="G17" s="55"/>
      <c r="H17" s="55"/>
      <c r="I17" s="55"/>
      <c r="J17" s="55"/>
    </row>
    <row r="20" spans="1:10" ht="25.5" customHeight="1">
      <c r="A20" s="105" t="s">
        <v>73</v>
      </c>
      <c r="B20" s="105"/>
      <c r="C20" s="105"/>
      <c r="D20" s="105"/>
      <c r="E20" s="105"/>
      <c r="F20" s="105"/>
      <c r="G20" s="105"/>
      <c r="H20" s="105"/>
    </row>
    <row r="21" spans="1:10" ht="12.95">
      <c r="A21" s="32"/>
    </row>
  </sheetData>
  <mergeCells count="5">
    <mergeCell ref="A12:A13"/>
    <mergeCell ref="A14:A15"/>
    <mergeCell ref="A16:A17"/>
    <mergeCell ref="A20:H20"/>
    <mergeCell ref="B11:F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F7242030C1A54F8823FEBC42E84AA9" ma:contentTypeVersion="12" ma:contentTypeDescription="Crear nuevo documento." ma:contentTypeScope="" ma:versionID="91bea2e6553763fb2ba5a7bbc5602e45">
  <xsd:schema xmlns:xsd="http://www.w3.org/2001/XMLSchema" xmlns:xs="http://www.w3.org/2001/XMLSchema" xmlns:p="http://schemas.microsoft.com/office/2006/metadata/properties" xmlns:ns3="8b87a7d4-f4fb-4f66-90af-823d73db0ff2" xmlns:ns4="09ec21ed-8811-4df1-b745-4e9ab5ee9241" targetNamespace="http://schemas.microsoft.com/office/2006/metadata/properties" ma:root="true" ma:fieldsID="2c2d8e762f879ca8de1b420ddd491b15" ns3:_="" ns4:_="">
    <xsd:import namespace="8b87a7d4-f4fb-4f66-90af-823d73db0ff2"/>
    <xsd:import namespace="09ec21ed-8811-4df1-b745-4e9ab5ee92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7a7d4-f4fb-4f66-90af-823d73db0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c21ed-8811-4df1-b745-4e9ab5ee9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1F09A-110D-4010-BDAE-91BE755434D5}"/>
</file>

<file path=customXml/itemProps2.xml><?xml version="1.0" encoding="utf-8"?>
<ds:datastoreItem xmlns:ds="http://schemas.openxmlformats.org/officeDocument/2006/customXml" ds:itemID="{C007C3B7-20BD-4B38-88AD-90C62A3F0E8A}"/>
</file>

<file path=customXml/itemProps3.xml><?xml version="1.0" encoding="utf-8"?>
<ds:datastoreItem xmlns:ds="http://schemas.openxmlformats.org/officeDocument/2006/customXml" ds:itemID="{27D37807-C83E-465C-B5E6-5B71A1F07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FERNANDEZ, DAVID (UC-DIR.ECON)</cp:lastModifiedBy>
  <cp:revision/>
  <dcterms:created xsi:type="dcterms:W3CDTF">2005-12-15T16:43:39Z</dcterms:created>
  <dcterms:modified xsi:type="dcterms:W3CDTF">2025-04-09T12:52:32Z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0x01010031F7242030C1A54F8823FEBC42E84AA9</vt:lpwstr>
  </property>
</Properties>
</file>