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D:\ENGICO2EN Dropbox\ENGICO2EN Team Folder\executius\_EXECUTIUS TANCATS\p547 - TEATRE JARDÍ\EXECUTIU\5 PRESSUPOST\00 intern\"/>
    </mc:Choice>
  </mc:AlternateContent>
  <xr:revisionPtr revIDLastSave="0" documentId="8_{2ED90933-4756-405A-BC08-5926EBE920BB}" xr6:coauthVersionLast="47" xr6:coauthVersionMax="47" xr10:uidLastSave="{00000000-0000-0000-0000-000000000000}"/>
  <bookViews>
    <workbookView xWindow="-120" yWindow="-120" windowWidth="29040" windowHeight="15840" xr2:uid="{00000000-000D-0000-FFFF-FFFF00000000}"/>
  </bookViews>
  <sheets>
    <sheet name="Full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8" i="1" l="1"/>
  <c r="M188" i="1" s="1"/>
  <c r="L187" i="1"/>
  <c r="M187" i="1" s="1"/>
  <c r="L186" i="1"/>
  <c r="M186" i="1" s="1"/>
  <c r="K184" i="1"/>
  <c r="L182" i="1"/>
  <c r="M182" i="1" s="1"/>
  <c r="M181" i="1"/>
  <c r="L181" i="1"/>
  <c r="L180" i="1"/>
  <c r="M180" i="1" s="1"/>
  <c r="L179" i="1"/>
  <c r="M179" i="1" s="1"/>
  <c r="K177" i="1"/>
  <c r="L175" i="1"/>
  <c r="M175" i="1" s="1"/>
  <c r="L174" i="1"/>
  <c r="M174" i="1" s="1"/>
  <c r="L173" i="1"/>
  <c r="M173" i="1" s="1"/>
  <c r="L172" i="1"/>
  <c r="M172" i="1" s="1"/>
  <c r="K170" i="1"/>
  <c r="M168" i="1"/>
  <c r="L168" i="1"/>
  <c r="L167" i="1"/>
  <c r="M167" i="1" s="1"/>
  <c r="M166" i="1"/>
  <c r="L169" i="1" s="1"/>
  <c r="L166" i="1"/>
  <c r="K164" i="1"/>
  <c r="L162" i="1"/>
  <c r="K162" i="1"/>
  <c r="M162" i="1" s="1"/>
  <c r="L157" i="1"/>
  <c r="K157" i="1"/>
  <c r="L152" i="1"/>
  <c r="M152" i="1" s="1"/>
  <c r="L151" i="1"/>
  <c r="M151" i="1" s="1"/>
  <c r="L150" i="1"/>
  <c r="M150" i="1" s="1"/>
  <c r="L149" i="1"/>
  <c r="M149" i="1" s="1"/>
  <c r="K147" i="1"/>
  <c r="M143" i="1"/>
  <c r="L143" i="1"/>
  <c r="L142" i="1"/>
  <c r="M142" i="1" s="1"/>
  <c r="M141" i="1"/>
  <c r="L141" i="1"/>
  <c r="L140" i="1"/>
  <c r="M140" i="1" s="1"/>
  <c r="L144" i="1" s="1"/>
  <c r="K138" i="1"/>
  <c r="L136" i="1"/>
  <c r="M136" i="1" s="1"/>
  <c r="L135" i="1"/>
  <c r="M135" i="1" s="1"/>
  <c r="L134" i="1"/>
  <c r="M134" i="1" s="1"/>
  <c r="L133" i="1"/>
  <c r="M133" i="1" s="1"/>
  <c r="K131" i="1"/>
  <c r="L129" i="1"/>
  <c r="M129" i="1" s="1"/>
  <c r="M128" i="1"/>
  <c r="L128" i="1"/>
  <c r="L127" i="1"/>
  <c r="M127" i="1" s="1"/>
  <c r="M126" i="1"/>
  <c r="L126" i="1"/>
  <c r="L125" i="1"/>
  <c r="M125" i="1" s="1"/>
  <c r="K123" i="1"/>
  <c r="L121" i="1"/>
  <c r="M121" i="1" s="1"/>
  <c r="L120" i="1"/>
  <c r="M120" i="1" s="1"/>
  <c r="L119" i="1"/>
  <c r="M119" i="1" s="1"/>
  <c r="L118" i="1"/>
  <c r="M118" i="1" s="1"/>
  <c r="K116" i="1"/>
  <c r="L112" i="1"/>
  <c r="M112" i="1" s="1"/>
  <c r="M111" i="1"/>
  <c r="L111" i="1"/>
  <c r="L110" i="1"/>
  <c r="M110" i="1" s="1"/>
  <c r="M109" i="1"/>
  <c r="L109" i="1"/>
  <c r="K107" i="1"/>
  <c r="L105" i="1"/>
  <c r="M105" i="1" s="1"/>
  <c r="L104" i="1"/>
  <c r="M104" i="1" s="1"/>
  <c r="L103" i="1"/>
  <c r="M103" i="1" s="1"/>
  <c r="L102" i="1"/>
  <c r="M102" i="1" s="1"/>
  <c r="K100" i="1"/>
  <c r="M98" i="1"/>
  <c r="L98" i="1"/>
  <c r="L97" i="1"/>
  <c r="M97" i="1" s="1"/>
  <c r="M96" i="1"/>
  <c r="L96" i="1"/>
  <c r="L95" i="1"/>
  <c r="M95" i="1" s="1"/>
  <c r="L99" i="1" s="1"/>
  <c r="K93" i="1"/>
  <c r="L91" i="1"/>
  <c r="M91" i="1" s="1"/>
  <c r="L90" i="1"/>
  <c r="M90" i="1" s="1"/>
  <c r="L89" i="1"/>
  <c r="M89" i="1" s="1"/>
  <c r="L88" i="1"/>
  <c r="M88" i="1" s="1"/>
  <c r="K86" i="1"/>
  <c r="L82" i="1"/>
  <c r="M82" i="1" s="1"/>
  <c r="M81" i="1"/>
  <c r="L81" i="1"/>
  <c r="L80" i="1"/>
  <c r="M80" i="1" s="1"/>
  <c r="K78" i="1"/>
  <c r="L76" i="1"/>
  <c r="M76" i="1" s="1"/>
  <c r="L75" i="1"/>
  <c r="M75" i="1" s="1"/>
  <c r="L74" i="1"/>
  <c r="M74" i="1" s="1"/>
  <c r="K72" i="1"/>
  <c r="L70" i="1"/>
  <c r="M70" i="1" s="1"/>
  <c r="L69" i="1"/>
  <c r="M69" i="1" s="1"/>
  <c r="L68" i="1"/>
  <c r="M68" i="1" s="1"/>
  <c r="L71" i="1" s="1"/>
  <c r="K66" i="1"/>
  <c r="L64" i="1"/>
  <c r="M64" i="1" s="1"/>
  <c r="L63" i="1"/>
  <c r="M63" i="1" s="1"/>
  <c r="L62" i="1"/>
  <c r="M62" i="1" s="1"/>
  <c r="L61" i="1"/>
  <c r="M61" i="1" s="1"/>
  <c r="K59" i="1"/>
  <c r="L55" i="1"/>
  <c r="M55" i="1" s="1"/>
  <c r="L54" i="1"/>
  <c r="M54" i="1" s="1"/>
  <c r="L53" i="1"/>
  <c r="M53" i="1" s="1"/>
  <c r="L52" i="1"/>
  <c r="M52" i="1" s="1"/>
  <c r="L51" i="1"/>
  <c r="M51" i="1" s="1"/>
  <c r="K49" i="1"/>
  <c r="L47" i="1"/>
  <c r="M47" i="1" s="1"/>
  <c r="L46" i="1"/>
  <c r="M46" i="1" s="1"/>
  <c r="L45" i="1"/>
  <c r="M45" i="1" s="1"/>
  <c r="L44" i="1"/>
  <c r="M44" i="1" s="1"/>
  <c r="K42" i="1"/>
  <c r="L40" i="1"/>
  <c r="M40" i="1" s="1"/>
  <c r="L39" i="1"/>
  <c r="M39" i="1" s="1"/>
  <c r="L38" i="1"/>
  <c r="M38" i="1" s="1"/>
  <c r="L37" i="1"/>
  <c r="M37" i="1" s="1"/>
  <c r="L41" i="1" s="1"/>
  <c r="K35" i="1"/>
  <c r="L33" i="1"/>
  <c r="M33" i="1" s="1"/>
  <c r="L32" i="1"/>
  <c r="M32" i="1" s="1"/>
  <c r="L31" i="1"/>
  <c r="M31" i="1" s="1"/>
  <c r="L30" i="1"/>
  <c r="M30" i="1" s="1"/>
  <c r="K28" i="1"/>
  <c r="L26" i="1"/>
  <c r="K26" i="1"/>
  <c r="M26" i="1" s="1"/>
  <c r="L24" i="1"/>
  <c r="M24" i="1" s="1"/>
  <c r="L23" i="1"/>
  <c r="M23" i="1" s="1"/>
  <c r="L22" i="1"/>
  <c r="M22" i="1" s="1"/>
  <c r="L21" i="1"/>
  <c r="M21" i="1" s="1"/>
  <c r="K19" i="1"/>
  <c r="L11" i="1"/>
  <c r="M11" i="1" s="1"/>
  <c r="M10" i="1"/>
  <c r="L10" i="1"/>
  <c r="K8" i="1"/>
  <c r="L83" i="1" l="1"/>
  <c r="L56" i="1"/>
  <c r="L130" i="1"/>
  <c r="M130" i="1" s="1"/>
  <c r="L106" i="1"/>
  <c r="L100" i="1" s="1"/>
  <c r="M100" i="1" s="1"/>
  <c r="L153" i="1"/>
  <c r="M157" i="1"/>
  <c r="L159" i="1" s="1"/>
  <c r="L12" i="1"/>
  <c r="L113" i="1"/>
  <c r="L107" i="1" s="1"/>
  <c r="M107" i="1" s="1"/>
  <c r="L189" i="1"/>
  <c r="M83" i="1"/>
  <c r="L78" i="1"/>
  <c r="L93" i="1"/>
  <c r="M93" i="1" s="1"/>
  <c r="M99" i="1"/>
  <c r="L156" i="1"/>
  <c r="M156" i="1" s="1"/>
  <c r="M159" i="1"/>
  <c r="L176" i="1"/>
  <c r="L49" i="1"/>
  <c r="M49" i="1" s="1"/>
  <c r="M56" i="1"/>
  <c r="L66" i="1"/>
  <c r="M66" i="1" s="1"/>
  <c r="M71" i="1"/>
  <c r="M189" i="1"/>
  <c r="L184" i="1"/>
  <c r="M184" i="1" s="1"/>
  <c r="L123" i="1"/>
  <c r="L138" i="1"/>
  <c r="M144" i="1"/>
  <c r="L34" i="1"/>
  <c r="L8" i="1"/>
  <c r="M8" i="1" s="1"/>
  <c r="L13" i="1" s="1"/>
  <c r="M12" i="1"/>
  <c r="M78" i="1"/>
  <c r="L122" i="1"/>
  <c r="M123" i="1"/>
  <c r="L137" i="1"/>
  <c r="M138" i="1"/>
  <c r="M169" i="1"/>
  <c r="L164" i="1"/>
  <c r="M164" i="1" s="1"/>
  <c r="L147" i="1"/>
  <c r="M147" i="1" s="1"/>
  <c r="L154" i="1" s="1"/>
  <c r="M153" i="1"/>
  <c r="L25" i="1"/>
  <c r="L92" i="1"/>
  <c r="L35" i="1"/>
  <c r="M35" i="1" s="1"/>
  <c r="M41" i="1"/>
  <c r="L48" i="1"/>
  <c r="L65" i="1"/>
  <c r="L77" i="1"/>
  <c r="L183" i="1"/>
  <c r="M106" i="1" l="1"/>
  <c r="M113" i="1"/>
  <c r="M122" i="1"/>
  <c r="L116" i="1"/>
  <c r="M116" i="1" s="1"/>
  <c r="M77" i="1"/>
  <c r="L72" i="1"/>
  <c r="M72" i="1" s="1"/>
  <c r="M25" i="1"/>
  <c r="L19" i="1"/>
  <c r="M19" i="1" s="1"/>
  <c r="L177" i="1"/>
  <c r="M177" i="1" s="1"/>
  <c r="M183" i="1"/>
  <c r="L59" i="1"/>
  <c r="M59" i="1" s="1"/>
  <c r="M65" i="1"/>
  <c r="M92" i="1"/>
  <c r="L86" i="1"/>
  <c r="M86" i="1" s="1"/>
  <c r="L114" i="1" s="1"/>
  <c r="M137" i="1"/>
  <c r="L131" i="1"/>
  <c r="M131" i="1" s="1"/>
  <c r="M34" i="1"/>
  <c r="L28" i="1"/>
  <c r="M28" i="1" s="1"/>
  <c r="M154" i="1"/>
  <c r="L146" i="1"/>
  <c r="M146" i="1" s="1"/>
  <c r="L42" i="1"/>
  <c r="M42" i="1" s="1"/>
  <c r="M48" i="1"/>
  <c r="L7" i="1"/>
  <c r="M7" i="1" s="1"/>
  <c r="M13" i="1"/>
  <c r="L14" i="1" s="1"/>
  <c r="M176" i="1"/>
  <c r="L170" i="1"/>
  <c r="M170" i="1" s="1"/>
  <c r="L190" i="1" s="1"/>
  <c r="L161" i="1" l="1"/>
  <c r="M161" i="1" s="1"/>
  <c r="M190" i="1"/>
  <c r="L85" i="1"/>
  <c r="M85" i="1" s="1"/>
  <c r="M114" i="1"/>
  <c r="L57" i="1"/>
  <c r="L145" i="1"/>
  <c r="M14" i="1"/>
  <c r="L15" i="1" s="1"/>
  <c r="L6" i="1"/>
  <c r="M6" i="1" s="1"/>
  <c r="L84" i="1"/>
  <c r="M145" i="1" l="1"/>
  <c r="L115" i="1"/>
  <c r="M115" i="1" s="1"/>
  <c r="M15" i="1"/>
  <c r="L5" i="1"/>
  <c r="M5" i="1" s="1"/>
  <c r="L58" i="1"/>
  <c r="M58" i="1" s="1"/>
  <c r="M84" i="1"/>
  <c r="M57" i="1"/>
  <c r="L155" i="1" s="1"/>
  <c r="L18" i="1"/>
  <c r="M18" i="1" s="1"/>
  <c r="L17" i="1" l="1"/>
  <c r="M17" i="1" s="1"/>
  <c r="M155" i="1"/>
  <c r="L160" i="1" s="1"/>
  <c r="M160" i="1" l="1"/>
  <c r="L191" i="1" s="1"/>
  <c r="L16" i="1"/>
  <c r="M16" i="1" s="1"/>
  <c r="M191" i="1" l="1"/>
  <c r="L4" i="1"/>
  <c r="M4" i="1" s="1"/>
</calcChain>
</file>

<file path=xl/sharedStrings.xml><?xml version="1.0" encoding="utf-8"?>
<sst xmlns="http://schemas.openxmlformats.org/spreadsheetml/2006/main" count="539" uniqueCount="539">
  <si>
    <t>Obra:</t>
  </si>
  <si>
    <t>Suministre i instal·lació d'una instal·lació solar fotovoltaica en autoconsum per al Teatre Jardí de Figueres</t>
  </si>
  <si>
    <t>Pressupost</t>
  </si>
  <si>
    <t>% C.I.</t>
  </si>
  <si>
    <t>Codi</t>
  </si>
  <si>
    <t>Tipus</t>
  </si>
  <si>
    <t>U</t>
  </si>
  <si>
    <t>Resum</t>
  </si>
  <si>
    <t>Quantitat</t>
  </si>
  <si>
    <t>Preu (€)</t>
  </si>
  <si>
    <t>Import (€)</t>
  </si>
  <si>
    <t>Capítol</t>
  </si>
  <si>
    <t>Suministre i instal·lació d'una instal·lació solar fotovoltaica en autoconsum per al Teatre Jardí de Figueres</t>
  </si>
  <si>
    <t>0</t>
  </si>
  <si>
    <t>Capítol</t>
  </si>
  <si>
    <t>Actuacions prèvies</t>
  </si>
  <si>
    <t>0X</t>
  </si>
  <si>
    <t>Capítol</t>
  </si>
  <si>
    <t>Bastides i maquinària d'elevació</t>
  </si>
  <si>
    <t>0XP</t>
  </si>
  <si>
    <t>Capítol</t>
  </si>
  <si>
    <t>Plataformes elevadores i Maquinària</t>
  </si>
  <si>
    <t>0XP010</t>
  </si>
  <si>
    <t>Partida</t>
  </si>
  <si>
    <t>U</t>
  </si>
  <si>
    <t>Lloguer diari de camió cistella elevadora amb braç articulat, motor dièsel, de 18 m d'altura màxima de treball.</t>
  </si>
  <si>
    <t>Lloguer diari de camió cistella elevadora amb braç articulat, motor dièsel, de 18 m d'altura màxima de treball.</t>
  </si>
  <si>
    <t>mq07ple010cg</t>
  </si>
  <si>
    <t>Maquinària</t>
  </si>
  <si>
    <t>U</t>
  </si>
  <si>
    <t>Lloguer diari de camió grua elevadora amb braç articulat, motor dièsel, 80tn  inclús manteniment i assegurança de responsabilitat civil.</t>
  </si>
  <si>
    <t>%</t>
  </si>
  <si>
    <t>%</t>
  </si>
  <si>
    <t>Costos directes complementaris</t>
  </si>
  <si>
    <t>0XP010</t>
  </si>
  <si>
    <t>0XP</t>
  </si>
  <si>
    <t>0X</t>
  </si>
  <si>
    <t>0</t>
  </si>
  <si>
    <t>I_01</t>
  </si>
  <si>
    <t>Capítol</t>
  </si>
  <si>
    <t>Instal·lacions de generació d'energia, elements mecànics, elèctrics, control i tramitació associada</t>
  </si>
  <si>
    <t>IEI_01</t>
  </si>
  <si>
    <t>Capítol</t>
  </si>
  <si>
    <t>Instal·lacions Elèctriques i estructures de fixació</t>
  </si>
  <si>
    <t>IEF01</t>
  </si>
  <si>
    <t>Capítol</t>
  </si>
  <si>
    <t>Instal·lació Generadora Solar fotovoltaica</t>
  </si>
  <si>
    <t>FV_EST_CSWeo</t>
  </si>
  <si>
    <t>Partida</t>
  </si>
  <si>
    <t>Subministrament i instal·lació d'estructura autoportant inclinada a 10º, tipus Est-Oest, amb contrapesos de formigó del fabricant C-Solar model CSWind-EO, o equivalent</t>
  </si>
  <si>
    <t>Subministrament i instal·lació d'estructura autoportant inclinada a 10º, tipus Est-Oest, amb contrapesos de formigó del fabricant C-Solar model CSWind-EO, o equivalent</t>
  </si>
  <si>
    <t>CS-Weo</t>
  </si>
  <si>
    <t>Material</t>
  </si>
  <si>
    <t>U</t>
  </si>
  <si>
    <t>Subministrament i instal·lació d'estructura autoportant inclinada a 10º, tipus Est-Oest, amb contrapesos de formigó del fabricant C-Solar model CSWind-EO, o equivalent</t>
  </si>
  <si>
    <t>mo009</t>
  </si>
  <si>
    <t>Mà d'obra</t>
  </si>
  <si>
    <t>h</t>
  </si>
  <si>
    <t>Oficial 1ª instal·lador de captadors solars.</t>
  </si>
  <si>
    <t>mo108</t>
  </si>
  <si>
    <t>Mà d'obra</t>
  </si>
  <si>
    <t>h</t>
  </si>
  <si>
    <t>Ajudant instal·lador de captadors solars.</t>
  </si>
  <si>
    <t>%</t>
  </si>
  <si>
    <t>%</t>
  </si>
  <si>
    <t>Costos directes complementaris</t>
  </si>
  <si>
    <t>FV_EST_CSWeo</t>
  </si>
  <si>
    <t>IEF059</t>
  </si>
  <si>
    <t>Partida</t>
  </si>
  <si>
    <t>U</t>
  </si>
  <si>
    <t>Partida alçada d'accessoris metàl·lics i mecànics per el correcte muntatge de les estructures fotovoltaiques</t>
  </si>
  <si>
    <t>Partida alçada de material vari per el correcte submininistre i instal·lació de les estructures fotovoltaiques, tals com resines, cargols, tacs, etc</t>
  </si>
  <si>
    <t>FV_MOD_JINK435</t>
  </si>
  <si>
    <t>Partida</t>
  </si>
  <si>
    <t>U</t>
  </si>
  <si>
    <t>Subministre i instal·lació de mòdul solar fotovoltaic de cèl·lules de silici monocristal·lí Jinko JKM435-54HL4R o equivalent, potència màxima (Wp) 435, tensió a màxima potència (Vmp) 32,59 V, intensitat a màxima potència (Imp) 13,35 A, tensió en circuit obert (Voc) 39,16 V, intensitat de curtcircuit (Isc) 13,80 A, eficiència 21,77%. Dimensions (en mil·límetres) 1.762 x 1.134 x 30 mm</t>
  </si>
  <si>
    <t>Subministre i instal·lació de mòdul solar fotovoltaic de cèl·lules de silici monocristal·lí Jinko JKM435-54HL4R o equivalent, potència màxima (Wp) 435, tensió a màxima potència (Vmp) 32,59 V, intensitat a màxima potència (Imp) 13,35 A, tensió en circuit obert (Voc) 39,16 V, intensitat de curtcircuit (Isc) 13,80 A, eficiència 21,77%. Dimensions (en mil·límetres) 1.762 x 1.134 x 30 mm</t>
  </si>
  <si>
    <t>JINK435</t>
  </si>
  <si>
    <t>Material</t>
  </si>
  <si>
    <t>U</t>
  </si>
  <si>
    <t>Subministre i instal·lació de mòdul solar fotovoltaic de cèl·lules de silici monocristal·lí Jinko JKM435-54HL4R o equivalent, potència màxima (Wp) 435, tensió a màxima potència (Vmp) 32,59 V, intensitat a màxima potència (Imp) 13,35 A, tensió en circuit obert (Voc) 39,16 V, intensitat de curtcircuit (Isc) 13,80 A, eficiència 21,77%. Dimensions (en mil·límetres) 1.762 x 1.134 x 30 mm</t>
  </si>
  <si>
    <t>mo009</t>
  </si>
  <si>
    <t>Mà d'obra</t>
  </si>
  <si>
    <t>h</t>
  </si>
  <si>
    <t>Oficial 1ª instal·lador de captadors solars.</t>
  </si>
  <si>
    <t>mo108</t>
  </si>
  <si>
    <t>Mà d'obra</t>
  </si>
  <si>
    <t>h</t>
  </si>
  <si>
    <t>Ajudant instal·lador de captadors solars.</t>
  </si>
  <si>
    <t>%</t>
  </si>
  <si>
    <t>%</t>
  </si>
  <si>
    <t>Costos directes complementaris</t>
  </si>
  <si>
    <t>FV_MOD_JINK435</t>
  </si>
  <si>
    <t>FV_INV_SE16k</t>
  </si>
  <si>
    <t>Partida</t>
  </si>
  <si>
    <t>U</t>
  </si>
  <si>
    <t>Subministre i instal·lació d'inversor trifàsic per a connexió a xarxa, SE16K SET APP, del fabricant Solaredge Technologies o equivalent, potència nominal de 16kW, voltatge d'entrada màxim 900 Vcc,eficiència màxima 98%. Inclou antena wifi</t>
  </si>
  <si>
    <t>Subministre i instal·lació d'inversor trifàsic per a connexió a xarxa, SE9K SET APP, del fabricant Solaredge Technologies o equivalent, potència nominal de 16kW, voltatge d'entrada màxim 900 Vcc,eficiència màxima 98%. Inclou antena wifi. Principals Característiques
Garantia: 12 anys(ampliable a 20 anys)
Injecció trifàsica
Sense injecció
Control de la potencia reactiva
Comunicació: RS485, Ethernet, Zigbee (opcional), Wifi (opcional), GMS integrat (opcional)
Grau d'estanquitat: IP-65
Inversor compacte sinusoidal PWM, processador de senyals digitals DSP, pantalla gràfica LCD, ports RS-485, supervisió de l'inversor i avaluació de dades de rendiment. Pes: 33,2kg, Protecció IP65 per instal·lació exteiror i interior. Monitorització a nivell de mòdul.</t>
  </si>
  <si>
    <t>mt35azi025b</t>
  </si>
  <si>
    <t>Material</t>
  </si>
  <si>
    <t>U</t>
  </si>
  <si>
    <t>Subministre i instal·lació d'inversor trifàsic per a connexió a xarxa, Fronius symo 15.0 k, o equivalent, potència nominal de 15kW, voltatge d'entrada màxim 900 Vcc,eficiència màxima 98%. Inclou antena wifi</t>
  </si>
  <si>
    <t>mo003</t>
  </si>
  <si>
    <t>Mà d'obra</t>
  </si>
  <si>
    <t>h</t>
  </si>
  <si>
    <t>Oficial 1ª electricista.</t>
  </si>
  <si>
    <t>mo102</t>
  </si>
  <si>
    <t>Mà d'obra</t>
  </si>
  <si>
    <t>h</t>
  </si>
  <si>
    <t>Ajudant electricista.</t>
  </si>
  <si>
    <t>%</t>
  </si>
  <si>
    <t>%</t>
  </si>
  <si>
    <t>Costos directes complementaris</t>
  </si>
  <si>
    <t>FV_INV_SE16k</t>
  </si>
  <si>
    <t>FV_OPT_S440</t>
  </si>
  <si>
    <t>Partida</t>
  </si>
  <si>
    <t>U</t>
  </si>
  <si>
    <t>Subministre i instal·lació de optimtizador fotovoltaic model S440 del fabricant Solaredge Technologies o equivalent</t>
  </si>
  <si>
    <t>Subministre i instal·lació de optimtizador fotovoltaic model S440 del fabricant Solaredge Technologies o equivalent, Potència màxima d'entrada 440 Watts, Tensió máxima absoluta d'entrada (60V), Rendiment màxim 99,5%, corrent màxima de sortida 15A, dimensions 129 x 155 x 30 (en mm) i 0,655 kg de pes</t>
  </si>
  <si>
    <t>OPT_S440</t>
  </si>
  <si>
    <t>Material</t>
  </si>
  <si>
    <t>U</t>
  </si>
  <si>
    <t>Subministre i instal·lació de optimtizador fotovoltaic model S440 del fabricant Solaredge Technologies o equivalent</t>
  </si>
  <si>
    <t>mo009</t>
  </si>
  <si>
    <t>Mà d'obra</t>
  </si>
  <si>
    <t>h</t>
  </si>
  <si>
    <t>Oficial 1ª instal·lador de captadors solars.</t>
  </si>
  <si>
    <t>mo108</t>
  </si>
  <si>
    <t>Mà d'obra</t>
  </si>
  <si>
    <t>h</t>
  </si>
  <si>
    <t>Ajudant instal·lador de captadors solars.</t>
  </si>
  <si>
    <t>%</t>
  </si>
  <si>
    <t>%</t>
  </si>
  <si>
    <t>Costos directes complementaris</t>
  </si>
  <si>
    <t>FV_OPT_S440</t>
  </si>
  <si>
    <t>IEF032</t>
  </si>
  <si>
    <t>Partida</t>
  </si>
  <si>
    <t>U</t>
  </si>
  <si>
    <t>Subministre i instal·lació d'Energy Meter Solaredge SE-MTR-3Y-400V-A DIN-Rail o similar. Apte per monofàsic i trifàsic. Correctament instal·lat i operatiu.</t>
  </si>
  <si>
    <t>1 ut - Energy Meter Solaredge SE-MTR-3Y-400V-A o similar. Disposa de comptador 1PH/3PH 230/400V RS485. Dimensions: 85x153x38 mm. Pes: 0,225 kg.
Comptador per sistemes SolarEdge:
Alta precisió (/fins 1%) per mesures de subministrament / consum
Proporciona lectures del Meter a l'inversor per la limitació de potència
Petit i fàcil d'instal·lar
Admet sistemes a coberta, instal·lacions comercials i sistemes fotovoltaics a gran escala
1 ut - Transformador d'intensitat tipus pinça amb toroidal SolarEdge de 50 A SolarEdge SE-ACT-0750-50 o similar. Un sensor de corrent.</t>
  </si>
  <si>
    <t>mt35aziINVMeter</t>
  </si>
  <si>
    <t>Material</t>
  </si>
  <si>
    <t>U</t>
  </si>
  <si>
    <t>Subministre i instal·lació d'Energy Meter Solaredge SE-MTR-3Y-400V-A DIN-Rail o similar. Correctament instal·lat i operatiu. Inclou accessoris i adaptació a quadre elèctric. Inclou protecció elèctrica dedicada</t>
  </si>
  <si>
    <t>mt35aziINVtrafo</t>
  </si>
  <si>
    <t>Material</t>
  </si>
  <si>
    <t>U</t>
  </si>
  <si>
    <t>SOLAREDGE Transformador de corriente de núcleo partido 250A, para 50Hz (SECT-SPL-250A-A ) - un sensor per fase</t>
  </si>
  <si>
    <t>mo003</t>
  </si>
  <si>
    <t>Mà d'obra</t>
  </si>
  <si>
    <t>h</t>
  </si>
  <si>
    <t>Oficial 1ª electricista.</t>
  </si>
  <si>
    <t>mo102</t>
  </si>
  <si>
    <t>Mà d'obra</t>
  </si>
  <si>
    <t>h</t>
  </si>
  <si>
    <t>Ajudant electricista.</t>
  </si>
  <si>
    <t>%</t>
  </si>
  <si>
    <t>%</t>
  </si>
  <si>
    <t>Costos directes complementaris</t>
  </si>
  <si>
    <t>IEF032</t>
  </si>
  <si>
    <t>IEF01</t>
  </si>
  <si>
    <t>IEI01</t>
  </si>
  <si>
    <t>Capítol</t>
  </si>
  <si>
    <t>Proteccions elèctriques</t>
  </si>
  <si>
    <t>FV_PROT_2STR</t>
  </si>
  <si>
    <t>Partida</t>
  </si>
  <si>
    <t>U</t>
  </si>
  <si>
    <t>Protecció en CC: Subministre i instal·lació de Caixa modular de superfície per protecció elèctrica composta per fusibles, i protector de sobretensions per la instal·lació de corrent contínua, per un total de 2 strings. Referència STC2IP del fabricant SÖLVER  similar. Inclou accessoris per el correcte muntatge i operació</t>
  </si>
  <si>
    <t>Subministre i instal·lació de Caixa modular de superfície per protecció elèctrica composta per fusibles, i protector de sobretensions per la instal·lació de corrent contínua, per un total de 2 strings. Referència STC2IP del fabricant SÖLVER  similar. Inclou accessoris per el correcte muntatge i operació</t>
  </si>
  <si>
    <t>PROT_2STR</t>
  </si>
  <si>
    <t>Material</t>
  </si>
  <si>
    <t>U</t>
  </si>
  <si>
    <t>Subministre i instal·lació de Caixa modular de superfície per protecció elèctrica composta per fusibles, i protector de sobretensions per la instal·lació de corrent contínua, per un total de 2 strings. Referència STC2IP del fabricant SÖLVER  similar. Inclou accessoris per el correcte muntatge i operació, fusibles i protector de sobretensions</t>
  </si>
  <si>
    <t>mo003</t>
  </si>
  <si>
    <t>Mà d'obra</t>
  </si>
  <si>
    <t>h</t>
  </si>
  <si>
    <t>Oficial 1ª electricista.</t>
  </si>
  <si>
    <t>mo102</t>
  </si>
  <si>
    <t>Mà d'obra</t>
  </si>
  <si>
    <t>h</t>
  </si>
  <si>
    <t>Ajudant electricista.</t>
  </si>
  <si>
    <t>%</t>
  </si>
  <si>
    <t>%</t>
  </si>
  <si>
    <t>Costos directes complementaris</t>
  </si>
  <si>
    <t>FV_PROT_2STR</t>
  </si>
  <si>
    <t>IEX050b</t>
  </si>
  <si>
    <t>Partida</t>
  </si>
  <si>
    <t>U</t>
  </si>
  <si>
    <t>Interruptor automàtic magnetotèrmic, modular. 32A</t>
  </si>
  <si>
    <t>Interruptor automàtic magnetotèrmic, de 4 mòduls, tetrapolar (4P), intensitat nominal 32 A, poder de tall 6 kA, corba C, de 72x80x77,8 mm, grau de protecció IP20, muntatge sobre carril DIN (35 mm) i fixació a carril mitjançant grapes. Totalment muntat, connexionat i provat.</t>
  </si>
  <si>
    <t>mt35amc023ff</t>
  </si>
  <si>
    <t>Material</t>
  </si>
  <si>
    <t>U</t>
  </si>
  <si>
    <t>Interruptor automàtic magnetotèrmic, de 4 mòduls, tetrapolar (4P), intensitat nominal 32 A, poder de tall 6 kA, corba C, de 72x80x77,8 mm, grau de protecció IP20, muntatge sobre carril DIN (35 mm) i fixació a carril mitjançant grapes, segons UNE-EN 60898-1.</t>
  </si>
  <si>
    <t>mo003</t>
  </si>
  <si>
    <t>Mà d'obra</t>
  </si>
  <si>
    <t>h</t>
  </si>
  <si>
    <t>Oficial 1ª electricista.</t>
  </si>
  <si>
    <t>%</t>
  </si>
  <si>
    <t>%</t>
  </si>
  <si>
    <t>Costos directes complementaris</t>
  </si>
  <si>
    <t>IEX050b</t>
  </si>
  <si>
    <t>IEX060</t>
  </si>
  <si>
    <t>Partida</t>
  </si>
  <si>
    <t>U</t>
  </si>
  <si>
    <t>Interruptor diferencial modular. 40A</t>
  </si>
  <si>
    <t>Interruptor diferencial instantani, de 4 mòduls, tetrapolar (4P), intensitat nominal 40 A, sensibilitat 30 mA, poder de tall 6 kA, classe A, de 72x80x77,8 mm, grau de protecció IP20, muntatge sobre carril DIN (35 mm) i fixació a carril mitjançant grapes. Totalment muntat, connexionat i provat.</t>
  </si>
  <si>
    <t>mt35amc101hh</t>
  </si>
  <si>
    <t>Material</t>
  </si>
  <si>
    <t>U</t>
  </si>
  <si>
    <t>Interruptor diferencial instantani, de 4 mòduls, tetrapolar (4P), intensitat nominal 40 A, sensibilitat 30 mA, poder de tall 6 kA, classe A, de 72x80x77,8 mm, grau de protecció IP20, muntatge sobre carril DIN (35 mm) i fixació a carril mitjançant grapes, segons UNE-EN 61008-1.</t>
  </si>
  <si>
    <t>mo003</t>
  </si>
  <si>
    <t>Mà d'obra</t>
  </si>
  <si>
    <t>h</t>
  </si>
  <si>
    <t>Oficial 1ª electricista.</t>
  </si>
  <si>
    <t>%</t>
  </si>
  <si>
    <t>%</t>
  </si>
  <si>
    <t>Costos directes complementaris</t>
  </si>
  <si>
    <t>IEX060</t>
  </si>
  <si>
    <t>IEX400</t>
  </si>
  <si>
    <t>Partida</t>
  </si>
  <si>
    <t>U</t>
  </si>
  <si>
    <t>Caixa de distribució de plàstic, de superfície, amb porta transparent, amb graus de protecció IP40 i IK07, aïllament classe II, tensió nominal 400 V, per a 24 mòduls, en 2 files.</t>
  </si>
  <si>
    <t>Caixa de distribució de plàstic, de superfície, amb porta transparent, amb graus de protecció IP40 i IK07, aïllament classe II, tensió nominal 400 V, per a 24 mòduls, en 2 files.</t>
  </si>
  <si>
    <t>mt35amc910ngd</t>
  </si>
  <si>
    <t>Material</t>
  </si>
  <si>
    <t>U</t>
  </si>
  <si>
    <t>Caixa de distribució de plàstic, de superfície, amb porta transparent, amb graus de protecció IP40 i IK07, aïllament classe II, tensió nominal 400 V, per a 24 mòduls, en 2 files, de 287x361x112 mm, amb carril DIN, terminals de neutre i de terra, tirador d'obertura i tapes cobremòduls, inclús accessoris de muntatge segons UNE-EN 60670-1.</t>
  </si>
  <si>
    <t>mo003</t>
  </si>
  <si>
    <t>Mà d'obra</t>
  </si>
  <si>
    <t>h</t>
  </si>
  <si>
    <t>Oficial 1ª electricista.</t>
  </si>
  <si>
    <t>%</t>
  </si>
  <si>
    <t>%</t>
  </si>
  <si>
    <t>Costos directes complementaris</t>
  </si>
  <si>
    <t>IEX400</t>
  </si>
  <si>
    <t>IEI01</t>
  </si>
  <si>
    <t>IEH01</t>
  </si>
  <si>
    <t>Capítol</t>
  </si>
  <si>
    <t>Cables i accessoris</t>
  </si>
  <si>
    <t>IEH012FVn</t>
  </si>
  <si>
    <t>Partida</t>
  </si>
  <si>
    <t>m</t>
  </si>
  <si>
    <t>Interconnexió strings a inversor: Cable unipolar RZ1-K (AS), Especial per aplicacions fotovoltaiques,denominació comercial EXHZ SOLAR, color vermell, sent la seva tensió assignada de 0,6/1 kV, reacció al foc classe Cca-s1b,d1,a1, amb conductor de coure classe 5 (-K) de 10 mm² de secció, amb aïllament de polietilè reticulat (R) i coberta de compost termoplàstic a força de poliolefina lliure de halògens amb baixa emissió de fums i gasos corrosius (Z1). Inclús accessoris i elements de subjecció.</t>
  </si>
  <si>
    <t>Cable unipolar RZ1-K (AS), Especial per aplicacions fotovoltaiques,denominació comercial EXHZ SOLAR , color vermell,, sent la seva tensió assignada de 0,6/1 kV, reacció al foc classe Cca-s1b,d1,a1, amb conductor de coure classe 5 (-K) de 10 mm² de secció, amb aïllament de polietilè reticulat (R) i coberta de compost termoplàstic a força de poliolefina lliure de halògens amb baixa emissió de fums i gasos corrosius (Z1). Inclús accessoris i elements de subjecció.</t>
  </si>
  <si>
    <t>mt35cun010f1</t>
  </si>
  <si>
    <t>Material</t>
  </si>
  <si>
    <t>m</t>
  </si>
  <si>
    <t>Cable unipolar RZ1-K (AS), Especial per aplicacions fotovoltaiques,denominació comercial EXHZ SOLAR , color negre, sent la seva tensió assignada de 0,6/1 kV, reacció al foc classe Cca-s1b,d1,a1 segons UNE-EN 50575, amb conductor de coure classe 5 (-K) de 10 mm² de secció, amb aïllament de polietilè reticulat (R) i coberta de compost termoplàstic a força de poliolefina lliure de halògens amb baixa emissió de fums i gasos corrosius (Z1). Segons UNE 21123-4.</t>
  </si>
  <si>
    <t>mo003</t>
  </si>
  <si>
    <t>Mà d'obra</t>
  </si>
  <si>
    <t>h</t>
  </si>
  <si>
    <t>Oficial 1ª electricista.</t>
  </si>
  <si>
    <t>mo102</t>
  </si>
  <si>
    <t>Mà d'obra</t>
  </si>
  <si>
    <t>h</t>
  </si>
  <si>
    <t>Ajudant electricista.</t>
  </si>
  <si>
    <t>%</t>
  </si>
  <si>
    <t>%</t>
  </si>
  <si>
    <t>Costos directes complementaris</t>
  </si>
  <si>
    <t>IEH012FVn</t>
  </si>
  <si>
    <t>IEH012FVv</t>
  </si>
  <si>
    <t>Partida</t>
  </si>
  <si>
    <t>m</t>
  </si>
  <si>
    <t>Interconnexió strings a inversor: Cable unipolar RZ1-K (AS), Especial per aplicacions fotovoltaiques,denominació comercial EXHZ SOLAR, color negre, sent la seva tensió assignada de 0,6/1 kV, reacció al foc classe Cca-s1b,d1,a1, amb conductor de coure classe 5 (-K) de 10 mm² de secció, amb aïllament de polietilè reticulat (R) i coberta de compost termoplàstic a força de poliolefina lliure de halògens amb baixa emissió de fums i gasos corrosius (Z1). Inclús accessoris i elements de subjecció.</t>
  </si>
  <si>
    <t>Cable unipolar RZ1-K (AS), Especial per aplicacions fotovoltaiques,denominació comercial EXHZ SOLAR , color negre, sent la seva tensió assignada de 0,6/1 kV, reacció al foc classe Cca-s1b,d1,a1, amb conductor de coure classe 5 (-K) de 10 mm² de secció, amb aïllament de polietilè reticulat (R) i coberta de compost termoplàstic a força de poliolefina lliure de halògens amb baixa emissió de fums i gasos corrosius (Z1). Inclús accessoris i elements de subjecció.</t>
  </si>
  <si>
    <t>mt35cun010f1b</t>
  </si>
  <si>
    <t>Material</t>
  </si>
  <si>
    <t>m</t>
  </si>
  <si>
    <t>Cable unipolar RZ1-K (AS), Especial per aplicacions fotovoltaiques,denominació comercial EXHZ SOLAR , color vermell, sent la seva tensió assignada de 0,6/1 kV, reacció al foc classe Cca-s1b,d1,a1 segons UNE-EN 50575, amb conductor de coure classe 5 (-K) de 10 mm² de secció, amb aïllament de polietilè reticulat (R) i coberta de compost termoplàstic a força de poliolefina lliure de halògens amb baixa emissió de fums i gasos corrosius (Z1). Segons UNE 21123-4.</t>
  </si>
  <si>
    <t>mo003</t>
  </si>
  <si>
    <t>Mà d'obra</t>
  </si>
  <si>
    <t>h</t>
  </si>
  <si>
    <t>Oficial 1ª electricista.</t>
  </si>
  <si>
    <t>mo102</t>
  </si>
  <si>
    <t>Mà d'obra</t>
  </si>
  <si>
    <t>h</t>
  </si>
  <si>
    <t>Ajudant electricista.</t>
  </si>
  <si>
    <t>%</t>
  </si>
  <si>
    <t>%</t>
  </si>
  <si>
    <t>Costos directes complementaris</t>
  </si>
  <si>
    <t>IEH012FVv</t>
  </si>
  <si>
    <t>IEH012b</t>
  </si>
  <si>
    <t>Partida</t>
  </si>
  <si>
    <t>m</t>
  </si>
  <si>
    <t>Cable elèctric de 0,6/1 kV de tensió nominal. 5G10</t>
  </si>
  <si>
    <t>Cable multipolar RZ1-K (AS), sent la seva tensió assignada de 0,6/1 kV, reacció al foc classe Cca-s1b,d1,a1, amb conductor de coure classe 5 (-K) de 5G10 mm² de secció, amb aïllament de polietilè reticulat (R) i coberta de compost termoplàstic a força de poliolefina lliure de halògens amb baixa emissió de fums i gasos corrosius (Z1). Inclús accessoris i elements de subjecció.</t>
  </si>
  <si>
    <t>mt35cun010g2</t>
  </si>
  <si>
    <t>Material</t>
  </si>
  <si>
    <t>m</t>
  </si>
  <si>
    <t>Cable multipolar RZ1-K (AS), sent la seva tensió assignada de 0,6/1 kV, reacció al foc classe Cca-s1b,d1,a1 segons UNE-EN 50575, amb conductor de coure classe 5 (-K) de 5G10 mm² de secció, amb aïllament de polietilè reticulat (R) i coberta de compost termoplàstic a força de poliolefina lliure de halògens amb baixa emissió de fums i gasos corrosius (Z1). Segons UNE 21123-4.</t>
  </si>
  <si>
    <t>mo003</t>
  </si>
  <si>
    <t>Mà d'obra</t>
  </si>
  <si>
    <t>h</t>
  </si>
  <si>
    <t>Oficial 1ª electricista.</t>
  </si>
  <si>
    <t>mo102</t>
  </si>
  <si>
    <t>Mà d'obra</t>
  </si>
  <si>
    <t>h</t>
  </si>
  <si>
    <t>Ajudant electricista.</t>
  </si>
  <si>
    <t>%</t>
  </si>
  <si>
    <t>%</t>
  </si>
  <si>
    <t>Costos directes complementaris</t>
  </si>
  <si>
    <t>IEH012b</t>
  </si>
  <si>
    <t>IAF070</t>
  </si>
  <si>
    <t>Partida</t>
  </si>
  <si>
    <t>m</t>
  </si>
  <si>
    <t>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Inclús accessoris i elements de subjecció.</t>
  </si>
  <si>
    <t>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Inclús accessoris i elements de subjecció.</t>
  </si>
  <si>
    <t>mt40cpt010c</t>
  </si>
  <si>
    <t>Material</t>
  </si>
  <si>
    <t>m</t>
  </si>
  <si>
    <t>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segons EN 50288-6-1.</t>
  </si>
  <si>
    <t>mo001</t>
  </si>
  <si>
    <t>Mà d'obra</t>
  </si>
  <si>
    <t>h</t>
  </si>
  <si>
    <t>Oficial 1ª instal·lador de telecomunicacions.</t>
  </si>
  <si>
    <t>mo056</t>
  </si>
  <si>
    <t>Mà d'obra</t>
  </si>
  <si>
    <t>h</t>
  </si>
  <si>
    <t>Ajudant instal·lador de telecomunicacions.</t>
  </si>
  <si>
    <t>%</t>
  </si>
  <si>
    <t>%</t>
  </si>
  <si>
    <t>Costos directes complementaris</t>
  </si>
  <si>
    <t>IAF070</t>
  </si>
  <si>
    <t>IEH01</t>
  </si>
  <si>
    <t>IEO01</t>
  </si>
  <si>
    <t>Capítol</t>
  </si>
  <si>
    <t>Canalitzacions</t>
  </si>
  <si>
    <t>IEO010b</t>
  </si>
  <si>
    <t>Partida</t>
  </si>
  <si>
    <t>m</t>
  </si>
  <si>
    <t>Canalització CC coberta: Canalització de tub corbable de PVC, corrugat, de color negre, de 40 mm de diàmetre nominal, amb grau de protecció IP545. Instal·lació encastada en element de construcció d'obra de fàbrica.</t>
  </si>
  <si>
    <t>Canalització de tub corbable de PVC, corrugat, de color negre, de 40 mm de diàmetre nominal, amb grau de protecció IP545. Instal·lació encastada en element de construcció d'obra de fàbrica.</t>
  </si>
  <si>
    <t>mt35aia010e</t>
  </si>
  <si>
    <t>Material</t>
  </si>
  <si>
    <t>m</t>
  </si>
  <si>
    <t>Tub corbable de PVC, corrugat, de color negre, de 40 mm de diàmetre nominal, per a canalització encastada en obra de fàbrica (parets i sostres). Resistència a la compressió 320 N, resistència a l'impacte 1 joule, temperatura de treball -5°C fins 60°C, amb grau de protecció IP545 segons UNE 20324, no propagador de la flama. Segons UNE-EN 61386-1 i UNE-EN 61386-22.</t>
  </si>
  <si>
    <t>mo003</t>
  </si>
  <si>
    <t>Mà d'obra</t>
  </si>
  <si>
    <t>h</t>
  </si>
  <si>
    <t>Oficial 1ª electricista.</t>
  </si>
  <si>
    <t>mo102</t>
  </si>
  <si>
    <t>Mà d'obra</t>
  </si>
  <si>
    <t>h</t>
  </si>
  <si>
    <t>Ajudant electricista.</t>
  </si>
  <si>
    <t>%</t>
  </si>
  <si>
    <t>%</t>
  </si>
  <si>
    <t>Costos directes complementaris</t>
  </si>
  <si>
    <t>IEO010b</t>
  </si>
  <si>
    <t>IVN040</t>
  </si>
  <si>
    <t>Partida</t>
  </si>
  <si>
    <t>U</t>
  </si>
  <si>
    <t>Obertura de pas a la coberta per a cablejat de corrent contínua</t>
  </si>
  <si>
    <t>Barret contra la pluja de xapa galvanitzada, per a conducte de sortida de 200 mm de diàmetre exterior en coberta inclinada amb cobertura de pissarra, acabat llis, amb malla de protecció contra l'entrada de fulles i ocells, valona de plom i coll de connexió a conducte.
Inclús forat a la xapa metàl·lica, retens de goma i impermeabilització.</t>
  </si>
  <si>
    <t>PROT-T</t>
  </si>
  <si>
    <t>Material</t>
  </si>
  <si>
    <t>U</t>
  </si>
  <si>
    <t>Protector flexible d'EPM per tubs 254x254 mm MF3</t>
  </si>
  <si>
    <t>mt36tie010fk</t>
  </si>
  <si>
    <t>Material</t>
  </si>
  <si>
    <t>m</t>
  </si>
  <si>
    <t>Tub de PVC, sèrie B, de 110 mm de diàmetre i 3,2 mm de gruix, amb extrem atrompetat, segons UNE-EN 1329-1, amb el preu incrementat el 50% en concepte d'accessoris i peces especials.</t>
  </si>
  <si>
    <t>mo020</t>
  </si>
  <si>
    <t>Mà d'obra</t>
  </si>
  <si>
    <t>h</t>
  </si>
  <si>
    <t>Oficial 1ª construcció.</t>
  </si>
  <si>
    <t>mo112</t>
  </si>
  <si>
    <t>Mà d'obra</t>
  </si>
  <si>
    <t>h</t>
  </si>
  <si>
    <t>Peó especialitzat construcció.</t>
  </si>
  <si>
    <t>%</t>
  </si>
  <si>
    <t>%</t>
  </si>
  <si>
    <t>Costos directes complementaris</t>
  </si>
  <si>
    <t>IVN040</t>
  </si>
  <si>
    <t>IEO030</t>
  </si>
  <si>
    <t>Partida</t>
  </si>
  <si>
    <t>m</t>
  </si>
  <si>
    <t>Canalització CC interior: Canal protectora per a allotjament de cables elèctrics i de telecomunicació.</t>
  </si>
  <si>
    <t>Canal protectora d'U43X lliure de halògens, color blanc RAL 9010, codi de comanda 73071-42, sèrie 73 "UNEX", de 40x60 mm, propietats elèctriques: aïllant, no propagador de la flama, amb graus de protecció IP4X i IK08, estable davant els raigs UV i amb bon comportament a la intempèrie i enfront de l'acció dels agents químics, amb 1 compartiment.</t>
  </si>
  <si>
    <t>mt35une151e</t>
  </si>
  <si>
    <t>Material</t>
  </si>
  <si>
    <t>m</t>
  </si>
  <si>
    <t>Canal protectora d'U43X lliure de halògens, color blanc RAL 9010, codi de comanda 73071-42, sèrie 73 "UNEX", de 40x60 mm, propietats elèctriques: aïllant, no propagador de la flama, amb graus de protecció IP4X i IK08, estable davant els raigs UV i amb bon comportament a la intempèrie i enfront de l'acció dels agents químics, segons UNE-EN 50085-1, subministrada en trams de 3 m de longitud, amb film de protecció, per a allotjament de cables elèctrics i de telecomunicació, amb ponts, peces d'unió, tacs i cargols.</t>
  </si>
  <si>
    <t>mo003</t>
  </si>
  <si>
    <t>Mà d'obra</t>
  </si>
  <si>
    <t>h</t>
  </si>
  <si>
    <t>Oficial 1ª electricista.</t>
  </si>
  <si>
    <t>mo102</t>
  </si>
  <si>
    <t>Mà d'obra</t>
  </si>
  <si>
    <t>h</t>
  </si>
  <si>
    <t>Ajudant electricista.</t>
  </si>
  <si>
    <t>%</t>
  </si>
  <si>
    <t>%</t>
  </si>
  <si>
    <t>Costos directes complementaris</t>
  </si>
  <si>
    <t>IEO030</t>
  </si>
  <si>
    <t>IEO030c</t>
  </si>
  <si>
    <t>Partida</t>
  </si>
  <si>
    <t>m</t>
  </si>
  <si>
    <t>Canalització CA interior: Canal protectora per a allotjament de cables elèctrics i de telecomunicació.</t>
  </si>
  <si>
    <t>Canal protectora d'U23X, color blanc RAL 9010, codi de comanda 73083-2, sèrie 73 "UNEX", de 60x110 mm, propietats elèctriques: aïllant, no propagador de la flama, amb graus de protecció IP4X i IK08, estable davant els raigs UV i amb bon comportament a la intempèrie i enfront de l'acció dels agents químics, amb 1 compartiment.</t>
  </si>
  <si>
    <t>mt35une101dk</t>
  </si>
  <si>
    <t>Material</t>
  </si>
  <si>
    <t>m</t>
  </si>
  <si>
    <t>Canal protectora d'U23X, color blanc RAL 9010, codi de comanda 73083-2, sèrie 73 "UNEX", de 60x110 mm, propietats elèctriques: aïllant, no propagador de la flama, amb graus de protecció IP4X i IK08, estable davant els raigs UV i amb bon comportament a la intempèrie i enfront de l'acció dels agents químics, segons UNE-EN 50085-1, subministrada en trams de 3 m de longitud, amb film de protecció, per a allotjament de cables elèctrics i de telecomunicació, amb ponts, peces d'unió, tacs i cargols.</t>
  </si>
  <si>
    <t>mo003</t>
  </si>
  <si>
    <t>Mà d'obra</t>
  </si>
  <si>
    <t>h</t>
  </si>
  <si>
    <t>Oficial 1ª electricista.</t>
  </si>
  <si>
    <t>mo102</t>
  </si>
  <si>
    <t>Mà d'obra</t>
  </si>
  <si>
    <t>h</t>
  </si>
  <si>
    <t>Ajudant electricista.</t>
  </si>
  <si>
    <t>%</t>
  </si>
  <si>
    <t>%</t>
  </si>
  <si>
    <t>Costos directes complementaris</t>
  </si>
  <si>
    <t>IEO030c</t>
  </si>
  <si>
    <t>IEO01</t>
  </si>
  <si>
    <t>IEP01</t>
  </si>
  <si>
    <t>Capítol</t>
  </si>
  <si>
    <t>Connexió a terra per la instal·lació fotovoltaica</t>
  </si>
  <si>
    <t>IEH010e</t>
  </si>
  <si>
    <t>Partida</t>
  </si>
  <si>
    <t>m</t>
  </si>
  <si>
    <t>Cable unipolar H07V-K, bicolor, sent la seva tensió assignada de 450/750 V, reacció al foc classe Eca, amb conductor multifilar de coure classe 5 (-K) de 10 mm² de secció, amb aïllament de PVC (V).</t>
  </si>
  <si>
    <t>Cable unipolar H07V-K, sent la seva tensió assignada de 450/750 V, reacció al foc classe Eca, amb conductor multifilar de coure classe 5 (-K) de 10 mm² de secció, amb aïllament de PVC (V).</t>
  </si>
  <si>
    <t>mt35cun040ae</t>
  </si>
  <si>
    <t>Material</t>
  </si>
  <si>
    <t>m</t>
  </si>
  <si>
    <t>Cable unipolar H07V-K, sent la seva tensió assignada de 450/750 V, reacció al foc classe Eca segons UNE-EN 50575, amb conductor multifilar de coure classe 5 (-K) de 10 mm² de secció, amb aïllament de PVC (V). Segons UNE 21031-3.</t>
  </si>
  <si>
    <t>mo003</t>
  </si>
  <si>
    <t>Mà d'obra</t>
  </si>
  <si>
    <t>h</t>
  </si>
  <si>
    <t>Oficial 1ª electricista.</t>
  </si>
  <si>
    <t>mo102</t>
  </si>
  <si>
    <t>Mà d'obra</t>
  </si>
  <si>
    <t>h</t>
  </si>
  <si>
    <t>Ajudant electricista.</t>
  </si>
  <si>
    <t>%</t>
  </si>
  <si>
    <t>%</t>
  </si>
  <si>
    <t>Costos directes complementaris</t>
  </si>
  <si>
    <t>IEH010e</t>
  </si>
  <si>
    <t>IEP01</t>
  </si>
  <si>
    <t>IEI_01</t>
  </si>
  <si>
    <t>IET01</t>
  </si>
  <si>
    <t>Capítol</t>
  </si>
  <si>
    <t>Legalització i inscripció de la instal·lació</t>
  </si>
  <si>
    <t>FV_LEG_PRO</t>
  </si>
  <si>
    <t>Partida</t>
  </si>
  <si>
    <t>U</t>
  </si>
  <si>
    <t>Legalització elèctrica, com a instal·laicó generadora de P&gt;10kW i compensació d'excedents amb P&gt;15Kw. Inclou: Incripció de la instal·lació (RITSIC i registre autoconsum), tramitació Contracte Tècnic d'Accés i les taxes de distribuïdora, Justificant i pagament de taxes  (RITSIC i inscripció Autoconsum), Projecte Tècnic i visat. S'inclou també el cost de la inspecció per part d'una entitat col·laboradora de l'administració</t>
  </si>
  <si>
    <t>Legalització elèctrica, com a instal·laicó generadora de P&gt;10kW i compensació d'excedents amb P&gt;15Kw. Inclou: Incripció de la instal·lació (RITSIC i registre autoconsum), tramitació Contracte Tècnic d'Accés, Justificant i pagament de taxes  (RITSIC i inscripció Autoconsum), Projecte Tècnic i visat. S'inclou també el cost de la inspecció per part d'una entitat col·laboradora de l'administració.</t>
  </si>
  <si>
    <t>IET01</t>
  </si>
  <si>
    <t>I_01</t>
  </si>
  <si>
    <t>Y_01</t>
  </si>
  <si>
    <t>Capítol</t>
  </si>
  <si>
    <t>Seguretat</t>
  </si>
  <si>
    <t>YCX010</t>
  </si>
  <si>
    <t>Partida</t>
  </si>
  <si>
    <t>U</t>
  </si>
  <si>
    <t>Conjunt de sistemes de protecció col·lectiva temporals, necessaris per al compliment de la normativa vigent en matèria de Seguretat i Salut en el Treball. Inclús manteniment en condicions segures durant tot el període de temps que es requereixi, reparació o reposició i transport fins al lloc d'emmagatzematge o retirada a contenidor.</t>
  </si>
  <si>
    <t>Conjunt de sistemes de protecció col·lectiva, necessaris per al compliment de la normativa vigent en matèria de Seguretat i Salut en el Treball. Inclús manteniment en condicions segures durant tot el període de temps que es requereixi, reparació o reposició i transport fins al lloc d'emmagatzematge o retirada a contenidor.</t>
  </si>
  <si>
    <t>EB71UC10</t>
  </si>
  <si>
    <t>Partida</t>
  </si>
  <si>
    <t>Ml</t>
  </si>
  <si>
    <t>Cable acer inoxidable</t>
  </si>
  <si>
    <t>Subministre i col.locació de cable d'acer inoxidable 316, de 10 mm de diàmetre i composició 7x19+0, homologat per a línia de vida horitzontal segons UNE_EN 795/A1, fixat als terminals i als elements de suport intermig (separació &lt; 15 m). Inclou tesat, placa de senyalització, mitjans auxiliars i demés elements per una completa instal.lació.</t>
  </si>
  <si>
    <t>A012M000</t>
  </si>
  <si>
    <t>Mà d'obra</t>
  </si>
  <si>
    <t>h</t>
  </si>
  <si>
    <t>Oficial 1a montador</t>
  </si>
  <si>
    <t>B147UC10</t>
  </si>
  <si>
    <t>Material</t>
  </si>
  <si>
    <t>Ml</t>
  </si>
  <si>
    <t>Cable d'acer inoxidable 316, de 10 mm de diàmetre i composició 7x19+0, homologat per a línia de vida</t>
  </si>
  <si>
    <t>%ZZ</t>
  </si>
  <si>
    <t>%</t>
  </si>
  <si>
    <t>Costos directes complementaris</t>
  </si>
  <si>
    <t>EB71UC10</t>
  </si>
  <si>
    <t>EB71UE30</t>
  </si>
  <si>
    <t>Partida</t>
  </si>
  <si>
    <t>Ut</t>
  </si>
  <si>
    <t>Element extrem línia vida</t>
  </si>
  <si>
    <t>Subministre i col.locació de conjunt d'elements per als dos extrems d'una línia de vida horitzontal fixa, formats per dos terminals d'acer inoxidable, un d'ells amb element amortidor de caigudes, fixats amb cargols d'acer inoxidable, un tensor de forqueta per a regulació del cable i dos terminals de cable amb elements protectors, segons UNE_EN 795/A1. Inclós mitjans auxiliars i demés elements per una completa instal.lació.</t>
  </si>
  <si>
    <t>A012M000</t>
  </si>
  <si>
    <t>Mà d'obra</t>
  </si>
  <si>
    <t>h</t>
  </si>
  <si>
    <t>Oficial 1a montador</t>
  </si>
  <si>
    <t>B147UE30</t>
  </si>
  <si>
    <t>Material</t>
  </si>
  <si>
    <t>Ut</t>
  </si>
  <si>
    <t>Conjunt d'elements per als dos extrems d'una línia de vida horitzontal fixa</t>
  </si>
  <si>
    <t>B06A63H00</t>
  </si>
  <si>
    <t>Material</t>
  </si>
  <si>
    <t>Ut</t>
  </si>
  <si>
    <t>Tac químic de diàmetre 12mm, amb cargol, volandera i femella</t>
  </si>
  <si>
    <t>%ZZ</t>
  </si>
  <si>
    <t>%</t>
  </si>
  <si>
    <t>Costos directes complementaris</t>
  </si>
  <si>
    <t>EB71UE30</t>
  </si>
  <si>
    <t>EB71UH20</t>
  </si>
  <si>
    <t>Partida</t>
  </si>
  <si>
    <t>Ut</t>
  </si>
  <si>
    <t>Element suport intermedi</t>
  </si>
  <si>
    <t>Subministre i col.locació d'element de suport intermedi per a línia de vida horitzontal fixa, d'acer inoxidable, fixat amb cargols d'acer inoxidable, segons UNE_EN 795/A1. Inclós mitjans auxiliars i demés elements per una completa instal.lació.</t>
  </si>
  <si>
    <t>A0137000</t>
  </si>
  <si>
    <t>Mà d'obra</t>
  </si>
  <si>
    <t>Ut</t>
  </si>
  <si>
    <t>Ajudant col.locador</t>
  </si>
  <si>
    <t>B147UH20</t>
  </si>
  <si>
    <t>Material</t>
  </si>
  <si>
    <t>Ut</t>
  </si>
  <si>
    <t>Element de suport intermedi per a línia de vida horitzontal fixa, d'acer inoxidable</t>
  </si>
  <si>
    <t>B0A63H00</t>
  </si>
  <si>
    <t>Material</t>
  </si>
  <si>
    <t>Ut</t>
  </si>
  <si>
    <t>Tac químic de diàmetre 12mm, amb cargol, volandera i femella</t>
  </si>
  <si>
    <t>%ZZ</t>
  </si>
  <si>
    <t>%</t>
  </si>
  <si>
    <t>Costos directes complementaris</t>
  </si>
  <si>
    <t>EB71UH20</t>
  </si>
  <si>
    <t>YCB030</t>
  </si>
  <si>
    <t>Partida</t>
  </si>
  <si>
    <t>m</t>
  </si>
  <si>
    <t>Tancat perimetral temporal.</t>
  </si>
  <si>
    <t>Delimitació de la zona d'obra mitjançant tancat perimetral format per tanques de vianants de ferro, de 1,10x2,50 m, color groc, amb barrots verticals muntats sobre bastidor de tub, amb dos peus metàl·lics, amortitzables en 20 usos. Temporal.</t>
  </si>
  <si>
    <t>mt50vbe010dbk</t>
  </si>
  <si>
    <t>Material</t>
  </si>
  <si>
    <t>U</t>
  </si>
  <si>
    <t>Tanca de vianants de ferro, de 1,10x2,50 m, color groc, amb barrots verticals muntats sobre bastidor de tub, amb dos peus metàl·lics, inclús placa per a publicitat.</t>
  </si>
  <si>
    <t>mo120</t>
  </si>
  <si>
    <t>Mà d'obra</t>
  </si>
  <si>
    <t>h</t>
  </si>
  <si>
    <t>Peó Seguretat i Salut.</t>
  </si>
  <si>
    <t>%</t>
  </si>
  <si>
    <t>%</t>
  </si>
  <si>
    <t>Costos directes complementaris</t>
  </si>
  <si>
    <t>YCB030</t>
  </si>
  <si>
    <t>Y_01</t>
  </si>
  <si>
    <t>P547-TEATRE JARDI REV02AJC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</si>
</sst>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s>
  <fills count="7">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
      <patternFill patternType="solid">
        <fgColor rgb="FF71E44B"/>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
    <xf numFmtId="0" fontId="0" fillId="0" borderId="0"/>
  </cellStyleXfs>
  <cellXfs count="69">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4" fontId="4" fillId="5" borderId="0" xfId="0" applyNumberFormat="1" applyFont="1" applyFill="1" applyAlignment="1">
      <alignment horizontal="right" vertical="top" wrapText="1"/>
    </xf>
    <xf numFmtId="0" fontId="4" fillId="6" borderId="0" xfId="0" applyFont="1" applyFill="1" applyAlignment="1">
      <alignment horizontal="left" vertical="top" wrapText="1"/>
    </xf>
    <xf numFmtId="0" fontId="0" fillId="6" borderId="0" xfId="0" applyFill="1" applyAlignment="1">
      <alignment horizontal="left" vertical="top" wrapText="1"/>
    </xf>
    <xf numFmtId="4" fontId="4" fillId="6"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vertical="top" wrapText="1"/>
    </xf>
    <xf numFmtId="164" fontId="4" fillId="0" borderId="1" xfId="0" applyNumberFormat="1" applyFont="1" applyBorder="1" applyAlignment="1">
      <alignment horizontal="right" vertical="top" wrapText="1"/>
    </xf>
    <xf numFmtId="4" fontId="4" fillId="0" borderId="1" xfId="0" applyNumberFormat="1" applyFont="1" applyBorder="1" applyAlignment="1">
      <alignment horizontal="right" vertical="top" wrapText="1"/>
    </xf>
    <xf numFmtId="0" fontId="0" fillId="0" borderId="3" xfId="0" applyBorder="1" applyAlignment="1">
      <alignment horizontal="center" vertical="center" wrapText="1"/>
    </xf>
    <xf numFmtId="0" fontId="4" fillId="6" borderId="3" xfId="0" applyFont="1" applyFill="1" applyBorder="1" applyAlignment="1">
      <alignment horizontal="left" vertical="top" wrapText="1"/>
    </xf>
    <xf numFmtId="0" fontId="0" fillId="6" borderId="3" xfId="0" applyFill="1" applyBorder="1" applyAlignment="1">
      <alignment horizontal="left" vertical="top" wrapText="1"/>
    </xf>
    <xf numFmtId="4" fontId="4" fillId="6" borderId="3" xfId="0" applyNumberFormat="1" applyFont="1" applyFill="1" applyBorder="1" applyAlignment="1">
      <alignment horizontal="right" vertical="top" wrapText="1"/>
    </xf>
    <xf numFmtId="0" fontId="4" fillId="5" borderId="3" xfId="0" applyFont="1" applyFill="1" applyBorder="1" applyAlignment="1">
      <alignment horizontal="left" vertical="top" wrapText="1"/>
    </xf>
    <xf numFmtId="0" fontId="0" fillId="5" borderId="3" xfId="0" applyFill="1" applyBorder="1" applyAlignment="1">
      <alignment horizontal="left" vertical="top" wrapText="1"/>
    </xf>
    <xf numFmtId="4" fontId="4" fillId="5" borderId="3" xfId="0" applyNumberFormat="1" applyFont="1" applyFill="1" applyBorder="1" applyAlignment="1">
      <alignment horizontal="right" vertical="top" wrapText="1"/>
    </xf>
    <xf numFmtId="0" fontId="4" fillId="4" borderId="3" xfId="0" applyFont="1" applyFill="1" applyBorder="1" applyAlignment="1">
      <alignment horizontal="left" vertical="top" wrapText="1"/>
    </xf>
    <xf numFmtId="0" fontId="0" fillId="4" borderId="3" xfId="0" applyFill="1" applyBorder="1" applyAlignment="1">
      <alignment horizontal="left" vertical="top" wrapText="1"/>
    </xf>
    <xf numFmtId="4" fontId="4" fillId="4" borderId="3"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4" fillId="0" borderId="2" xfId="0" applyFont="1" applyBorder="1" applyAlignment="1">
      <alignment horizontal="left" vertical="top" wrapText="1"/>
    </xf>
    <xf numFmtId="0" fontId="2" fillId="0" borderId="2" xfId="0" applyFont="1" applyBorder="1" applyAlignment="1">
      <alignment horizontal="left" vertical="top" wrapText="1"/>
    </xf>
    <xf numFmtId="164" fontId="2" fillId="0" borderId="2" xfId="0" applyNumberFormat="1" applyFont="1" applyBorder="1" applyAlignment="1">
      <alignment horizontal="right" vertical="top" wrapText="1"/>
    </xf>
    <xf numFmtId="4" fontId="2" fillId="0" borderId="2" xfId="0" applyNumberFormat="1" applyFont="1" applyBorder="1" applyAlignment="1">
      <alignment horizontal="right" vertical="top" wrapText="1"/>
    </xf>
    <xf numFmtId="0" fontId="4" fillId="6" borderId="2" xfId="0" applyFont="1" applyFill="1" applyBorder="1" applyAlignment="1">
      <alignment horizontal="left" vertical="top" wrapText="1"/>
    </xf>
    <xf numFmtId="0" fontId="0" fillId="6" borderId="2" xfId="0" applyFill="1" applyBorder="1" applyAlignment="1">
      <alignment horizontal="left" vertical="top" wrapText="1"/>
    </xf>
    <xf numFmtId="4" fontId="4" fillId="6" borderId="2"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4" fontId="4" fillId="5" borderId="2" xfId="0" applyNumberFormat="1" applyFont="1" applyFill="1" applyBorder="1" applyAlignment="1">
      <alignment horizontal="right" vertical="top" wrapText="1"/>
    </xf>
    <xf numFmtId="0" fontId="4" fillId="5" borderId="1" xfId="0" applyFont="1" applyFill="1" applyBorder="1" applyAlignment="1">
      <alignment horizontal="left" vertical="top" wrapText="1"/>
    </xf>
    <xf numFmtId="0" fontId="0" fillId="5" borderId="1" xfId="0" applyFill="1" applyBorder="1" applyAlignment="1">
      <alignment horizontal="left" vertical="top" wrapText="1"/>
    </xf>
    <xf numFmtId="4" fontId="4" fillId="5" borderId="1"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0" fontId="0" fillId="3" borderId="3" xfId="0" applyFill="1" applyBorder="1" applyAlignment="1">
      <alignment horizontal="left" vertical="top" wrapText="1"/>
    </xf>
    <xf numFmtId="4" fontId="4" fillId="3" borderId="3" xfId="0" applyNumberFormat="1" applyFont="1" applyFill="1" applyBorder="1" applyAlignment="1">
      <alignment horizontal="right" vertical="top" wrapText="1"/>
    </xf>
    <xf numFmtId="0" fontId="1" fillId="2" borderId="0" xfId="0" applyFont="1" applyFill="1" applyAlignment="1">
      <alignment vertical="top" wrapText="1"/>
    </xf>
    <xf numFmtId="0" fontId="4" fillId="3" borderId="2" xfId="0" applyFont="1" applyFill="1" applyBorder="1" applyAlignment="1">
      <alignment vertical="top" wrapText="1"/>
    </xf>
    <xf numFmtId="0" fontId="4" fillId="4" borderId="0" xfId="0" applyFont="1" applyFill="1" applyAlignment="1">
      <alignment vertical="top" wrapText="1"/>
    </xf>
    <xf numFmtId="0" fontId="4" fillId="5" borderId="0" xfId="0" applyFont="1" applyFill="1" applyAlignment="1">
      <alignment vertical="top" wrapText="1"/>
    </xf>
    <xf numFmtId="0" fontId="4" fillId="6" borderId="0" xfId="0" applyFont="1" applyFill="1" applyAlignment="1">
      <alignment vertical="top" wrapText="1"/>
    </xf>
    <xf numFmtId="0" fontId="2" fillId="0" borderId="0" xfId="0" applyFont="1" applyAlignment="1">
      <alignment vertical="top" wrapText="1"/>
    </xf>
    <xf numFmtId="0" fontId="4" fillId="4" borderId="2" xfId="0" applyFont="1" applyFill="1" applyBorder="1" applyAlignment="1">
      <alignment vertical="top" wrapText="1"/>
    </xf>
    <xf numFmtId="0" fontId="2" fillId="0" borderId="2" xfId="0" applyFont="1" applyBorder="1" applyAlignment="1">
      <alignment vertical="top" wrapText="1"/>
    </xf>
    <xf numFmtId="0" fontId="4" fillId="6" borderId="2" xfId="0" applyFont="1" applyFill="1" applyBorder="1" applyAlignment="1">
      <alignment vertical="top" wrapText="1"/>
    </xf>
    <xf numFmtId="0" fontId="4" fillId="5" borderId="2" xfId="0" applyFont="1" applyFill="1" applyBorder="1" applyAlignment="1">
      <alignment vertical="top" wrapText="1"/>
    </xf>
    <xf numFmtId="0" fontId="1" fillId="2" borderId="0" xfId="0" applyFont="1" applyFill="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1"/>
  <sheetViews>
    <sheetView tabSelected="1" view="pageLayout" topLeftCell="A28" workbookViewId="0">
      <selection activeCell="K12" sqref="K12"/>
    </sheetView>
  </sheetViews>
  <sheetFormatPr baseColWidth="10" defaultRowHeight="15" x14ac:dyDescent="0.2"/>
  <cols>
    <col min="1" max="1" width="7.5" bestFit="1" customWidth="1"/>
    <col min="2" max="2" width="6" bestFit="1" customWidth="1"/>
    <col min="3" max="3" width="1.796875" bestFit="1" customWidth="1"/>
    <col min="4" max="4" width="33.8984375" customWidth="1"/>
    <col min="5" max="5" width="10.296875" hidden="1" customWidth="1"/>
    <col min="6" max="7" width="5.59765625" hidden="1" customWidth="1"/>
    <col min="8" max="8" width="5.69921875" hidden="1" customWidth="1"/>
    <col min="9" max="9" width="4.8984375" hidden="1" customWidth="1"/>
    <col min="10" max="10" width="6.19921875" hidden="1" customWidth="1"/>
    <col min="11" max="11" width="6" bestFit="1" customWidth="1"/>
    <col min="12" max="12" width="5.59765625" bestFit="1" customWidth="1"/>
    <col min="13" max="13" width="6.296875" bestFit="1" customWidth="1"/>
  </cols>
  <sheetData>
    <row r="1" spans="1:13" ht="27.75" customHeight="1" x14ac:dyDescent="0.2">
      <c r="A1" s="1" t="s">
        <v>0</v>
      </c>
      <c r="B1" s="68" t="s">
        <v>1</v>
      </c>
      <c r="C1" s="68"/>
      <c r="D1" s="68"/>
      <c r="E1" s="68"/>
      <c r="F1" s="68"/>
      <c r="G1" s="68"/>
      <c r="H1" s="68"/>
      <c r="I1" s="68"/>
      <c r="J1" s="68"/>
      <c r="K1" s="68"/>
      <c r="L1" s="68"/>
      <c r="M1" s="68"/>
    </row>
    <row r="2" spans="1:13" ht="18.75" customHeight="1" x14ac:dyDescent="0.2">
      <c r="A2" s="58" t="s">
        <v>2</v>
      </c>
      <c r="B2" s="58"/>
      <c r="C2" s="58"/>
      <c r="D2" s="2"/>
      <c r="E2" s="2"/>
      <c r="F2" s="2"/>
      <c r="G2" s="2"/>
      <c r="H2" s="2"/>
      <c r="I2" s="2"/>
      <c r="J2" s="2"/>
      <c r="K2" s="2"/>
      <c r="L2" s="3" t="s">
        <v>3</v>
      </c>
      <c r="M2" s="5">
        <v>3</v>
      </c>
    </row>
    <row r="3" spans="1:13" x14ac:dyDescent="0.2">
      <c r="A3" s="6" t="s">
        <v>4</v>
      </c>
      <c r="B3" s="6" t="s">
        <v>5</v>
      </c>
      <c r="C3" s="6" t="s">
        <v>6</v>
      </c>
      <c r="D3" s="6" t="s">
        <v>7</v>
      </c>
      <c r="E3" s="7"/>
      <c r="F3" s="7"/>
      <c r="G3" s="7"/>
      <c r="H3" s="7"/>
      <c r="I3" s="7"/>
      <c r="J3" s="7"/>
      <c r="K3" s="8" t="s">
        <v>8</v>
      </c>
      <c r="L3" s="8" t="s">
        <v>9</v>
      </c>
      <c r="M3" s="8" t="s">
        <v>10</v>
      </c>
    </row>
    <row r="4" spans="1:13" ht="22.5" x14ac:dyDescent="0.2">
      <c r="A4" s="10"/>
      <c r="B4" s="10" t="s">
        <v>11</v>
      </c>
      <c r="C4" s="11"/>
      <c r="D4" s="59" t="s">
        <v>12</v>
      </c>
      <c r="E4" s="59"/>
      <c r="F4" s="59"/>
      <c r="G4" s="59"/>
      <c r="H4" s="59"/>
      <c r="I4" s="59"/>
      <c r="J4" s="59"/>
      <c r="K4" s="11"/>
      <c r="L4" s="12">
        <f>L191</f>
        <v>26574.94</v>
      </c>
      <c r="M4" s="12">
        <f>ROUND(L4,2)</f>
        <v>26574.94</v>
      </c>
    </row>
    <row r="5" spans="1:13" x14ac:dyDescent="0.2">
      <c r="A5" s="13" t="s">
        <v>13</v>
      </c>
      <c r="B5" s="13" t="s">
        <v>14</v>
      </c>
      <c r="C5" s="14"/>
      <c r="D5" s="60" t="s">
        <v>15</v>
      </c>
      <c r="E5" s="60"/>
      <c r="F5" s="60"/>
      <c r="G5" s="60"/>
      <c r="H5" s="60"/>
      <c r="I5" s="60"/>
      <c r="J5" s="60"/>
      <c r="K5" s="14"/>
      <c r="L5" s="15">
        <f>L15</f>
        <v>756.43</v>
      </c>
      <c r="M5" s="15">
        <f>ROUND(L5,2)</f>
        <v>756.43</v>
      </c>
    </row>
    <row r="6" spans="1:13" x14ac:dyDescent="0.2">
      <c r="A6" s="16" t="s">
        <v>16</v>
      </c>
      <c r="B6" s="16" t="s">
        <v>17</v>
      </c>
      <c r="C6" s="17"/>
      <c r="D6" s="61" t="s">
        <v>18</v>
      </c>
      <c r="E6" s="61"/>
      <c r="F6" s="61"/>
      <c r="G6" s="61"/>
      <c r="H6" s="61"/>
      <c r="I6" s="61"/>
      <c r="J6" s="61"/>
      <c r="K6" s="17"/>
      <c r="L6" s="18">
        <f>L14</f>
        <v>756.43</v>
      </c>
      <c r="M6" s="18">
        <f>ROUND(L6,2)</f>
        <v>756.43</v>
      </c>
    </row>
    <row r="7" spans="1:13" x14ac:dyDescent="0.2">
      <c r="A7" s="19" t="s">
        <v>19</v>
      </c>
      <c r="B7" s="19" t="s">
        <v>20</v>
      </c>
      <c r="C7" s="20"/>
      <c r="D7" s="62" t="s">
        <v>21</v>
      </c>
      <c r="E7" s="62"/>
      <c r="F7" s="62"/>
      <c r="G7" s="62"/>
      <c r="H7" s="62"/>
      <c r="I7" s="62"/>
      <c r="J7" s="62"/>
      <c r="K7" s="20"/>
      <c r="L7" s="21">
        <f>L13</f>
        <v>756.43</v>
      </c>
      <c r="M7" s="21">
        <f>ROUND(L7,2)</f>
        <v>756.43</v>
      </c>
    </row>
    <row r="8" spans="1:13" ht="22.5" x14ac:dyDescent="0.2">
      <c r="A8" s="9" t="s">
        <v>22</v>
      </c>
      <c r="B8" s="4" t="s">
        <v>23</v>
      </c>
      <c r="C8" s="4" t="s">
        <v>24</v>
      </c>
      <c r="D8" s="63" t="s">
        <v>25</v>
      </c>
      <c r="E8" s="63"/>
      <c r="F8" s="63"/>
      <c r="G8" s="63"/>
      <c r="H8" s="63"/>
      <c r="I8" s="63"/>
      <c r="J8" s="63"/>
      <c r="K8" s="22">
        <f>ROUND(1,2)</f>
        <v>1</v>
      </c>
      <c r="L8" s="23">
        <f>L12</f>
        <v>756.43</v>
      </c>
      <c r="M8" s="23">
        <f>ROUND(K8*L8,2)</f>
        <v>756.43</v>
      </c>
    </row>
    <row r="9" spans="1:13" ht="22.5" x14ac:dyDescent="0.2">
      <c r="A9" s="24"/>
      <c r="B9" s="24"/>
      <c r="C9" s="24"/>
      <c r="D9" s="63" t="s">
        <v>26</v>
      </c>
      <c r="E9" s="63"/>
      <c r="F9" s="63"/>
      <c r="G9" s="63"/>
      <c r="H9" s="63"/>
      <c r="I9" s="63"/>
      <c r="J9" s="63"/>
      <c r="K9" s="63"/>
      <c r="L9" s="63"/>
      <c r="M9" s="63"/>
    </row>
    <row r="10" spans="1:13" ht="33.75" x14ac:dyDescent="0.2">
      <c r="A10" s="4" t="s">
        <v>27</v>
      </c>
      <c r="B10" s="4" t="s">
        <v>28</v>
      </c>
      <c r="C10" s="4" t="s">
        <v>29</v>
      </c>
      <c r="D10" s="63" t="s">
        <v>30</v>
      </c>
      <c r="E10" s="63"/>
      <c r="F10" s="63"/>
      <c r="G10" s="63"/>
      <c r="H10" s="63"/>
      <c r="I10" s="63"/>
      <c r="J10" s="63"/>
      <c r="K10" s="22">
        <v>8</v>
      </c>
      <c r="L10" s="22">
        <f>ROUND(90,3)</f>
        <v>90</v>
      </c>
      <c r="M10" s="23">
        <f>ROUND(K10*L10,2)</f>
        <v>720</v>
      </c>
    </row>
    <row r="11" spans="1:13" x14ac:dyDescent="0.2">
      <c r="A11" s="4" t="s">
        <v>31</v>
      </c>
      <c r="B11" s="4"/>
      <c r="C11" s="4" t="s">
        <v>32</v>
      </c>
      <c r="D11" s="63" t="s">
        <v>33</v>
      </c>
      <c r="E11" s="63"/>
      <c r="F11" s="63"/>
      <c r="G11" s="63"/>
      <c r="H11" s="63"/>
      <c r="I11" s="63"/>
      <c r="J11" s="63"/>
      <c r="K11" s="22">
        <v>2</v>
      </c>
      <c r="L11" s="22">
        <f>ROUND(720,3)</f>
        <v>720</v>
      </c>
      <c r="M11" s="23">
        <f>ROUND((K11*L11)/100,2)</f>
        <v>14.4</v>
      </c>
    </row>
    <row r="12" spans="1:13" x14ac:dyDescent="0.2">
      <c r="A12" s="25"/>
      <c r="B12" s="25"/>
      <c r="C12" s="25"/>
      <c r="D12" s="26" t="s">
        <v>34</v>
      </c>
      <c r="E12" s="25"/>
      <c r="F12" s="25"/>
      <c r="G12" s="25"/>
      <c r="H12" s="25"/>
      <c r="I12" s="25"/>
      <c r="J12" s="25"/>
      <c r="K12" s="27">
        <v>1</v>
      </c>
      <c r="L12" s="28">
        <f>ROUND((M10+M11)*(1+M2/100),2)</f>
        <v>756.43</v>
      </c>
      <c r="M12" s="28">
        <f>ROUND(K12*L12,2)</f>
        <v>756.43</v>
      </c>
    </row>
    <row r="13" spans="1:13" x14ac:dyDescent="0.2">
      <c r="A13" s="29"/>
      <c r="B13" s="29"/>
      <c r="C13" s="29"/>
      <c r="D13" s="30" t="s">
        <v>35</v>
      </c>
      <c r="E13" s="31"/>
      <c r="F13" s="31"/>
      <c r="G13" s="31"/>
      <c r="H13" s="31"/>
      <c r="I13" s="31"/>
      <c r="J13" s="31"/>
      <c r="K13" s="31"/>
      <c r="L13" s="32">
        <f>M8</f>
        <v>756.43</v>
      </c>
      <c r="M13" s="32">
        <f t="shared" ref="M13:M18" si="0">ROUND(L13,2)</f>
        <v>756.43</v>
      </c>
    </row>
    <row r="14" spans="1:13" x14ac:dyDescent="0.2">
      <c r="A14" s="29"/>
      <c r="B14" s="29"/>
      <c r="C14" s="29"/>
      <c r="D14" s="33" t="s">
        <v>36</v>
      </c>
      <c r="E14" s="34"/>
      <c r="F14" s="34"/>
      <c r="G14" s="34"/>
      <c r="H14" s="34"/>
      <c r="I14" s="34"/>
      <c r="J14" s="34"/>
      <c r="K14" s="34"/>
      <c r="L14" s="35">
        <f>M13</f>
        <v>756.43</v>
      </c>
      <c r="M14" s="35">
        <f t="shared" si="0"/>
        <v>756.43</v>
      </c>
    </row>
    <row r="15" spans="1:13" x14ac:dyDescent="0.2">
      <c r="A15" s="29"/>
      <c r="B15" s="29"/>
      <c r="C15" s="29"/>
      <c r="D15" s="36" t="s">
        <v>37</v>
      </c>
      <c r="E15" s="37"/>
      <c r="F15" s="37"/>
      <c r="G15" s="37"/>
      <c r="H15" s="37"/>
      <c r="I15" s="37"/>
      <c r="J15" s="37"/>
      <c r="K15" s="37"/>
      <c r="L15" s="38">
        <f>M14</f>
        <v>756.43</v>
      </c>
      <c r="M15" s="38">
        <f t="shared" si="0"/>
        <v>756.43</v>
      </c>
    </row>
    <row r="16" spans="1:13" ht="22.5" x14ac:dyDescent="0.2">
      <c r="A16" s="39" t="s">
        <v>38</v>
      </c>
      <c r="B16" s="39" t="s">
        <v>39</v>
      </c>
      <c r="C16" s="40"/>
      <c r="D16" s="64" t="s">
        <v>40</v>
      </c>
      <c r="E16" s="64"/>
      <c r="F16" s="64"/>
      <c r="G16" s="64"/>
      <c r="H16" s="64"/>
      <c r="I16" s="64"/>
      <c r="J16" s="64"/>
      <c r="K16" s="40"/>
      <c r="L16" s="41">
        <f>L160</f>
        <v>24110.23</v>
      </c>
      <c r="M16" s="41">
        <f t="shared" si="0"/>
        <v>24110.23</v>
      </c>
    </row>
    <row r="17" spans="1:13" x14ac:dyDescent="0.2">
      <c r="A17" s="16" t="s">
        <v>41</v>
      </c>
      <c r="B17" s="16" t="s">
        <v>42</v>
      </c>
      <c r="C17" s="17"/>
      <c r="D17" s="61" t="s">
        <v>43</v>
      </c>
      <c r="E17" s="61"/>
      <c r="F17" s="61"/>
      <c r="G17" s="61"/>
      <c r="H17" s="61"/>
      <c r="I17" s="61"/>
      <c r="J17" s="61"/>
      <c r="K17" s="17"/>
      <c r="L17" s="18">
        <f>L155</f>
        <v>22160.23</v>
      </c>
      <c r="M17" s="18">
        <f t="shared" si="0"/>
        <v>22160.23</v>
      </c>
    </row>
    <row r="18" spans="1:13" x14ac:dyDescent="0.2">
      <c r="A18" s="19" t="s">
        <v>44</v>
      </c>
      <c r="B18" s="19" t="s">
        <v>45</v>
      </c>
      <c r="C18" s="20"/>
      <c r="D18" s="62" t="s">
        <v>46</v>
      </c>
      <c r="E18" s="62"/>
      <c r="F18" s="62"/>
      <c r="G18" s="62"/>
      <c r="H18" s="62"/>
      <c r="I18" s="62"/>
      <c r="J18" s="62"/>
      <c r="K18" s="20"/>
      <c r="L18" s="21">
        <f>L57</f>
        <v>15338.530000000002</v>
      </c>
      <c r="M18" s="21">
        <f t="shared" si="0"/>
        <v>15338.53</v>
      </c>
    </row>
    <row r="19" spans="1:13" ht="33.75" x14ac:dyDescent="0.2">
      <c r="A19" s="9" t="s">
        <v>47</v>
      </c>
      <c r="B19" s="4" t="s">
        <v>48</v>
      </c>
      <c r="C19" s="4"/>
      <c r="D19" s="63" t="s">
        <v>49</v>
      </c>
      <c r="E19" s="63"/>
      <c r="F19" s="63"/>
      <c r="G19" s="63"/>
      <c r="H19" s="63"/>
      <c r="I19" s="63"/>
      <c r="J19" s="63"/>
      <c r="K19" s="22">
        <f>ROUND(1,2)</f>
        <v>1</v>
      </c>
      <c r="L19" s="23">
        <f>L25</f>
        <v>3883.38</v>
      </c>
      <c r="M19" s="23">
        <f>ROUND(K19*L19,2)</f>
        <v>3883.38</v>
      </c>
    </row>
    <row r="20" spans="1:13" ht="33.75" x14ac:dyDescent="0.2">
      <c r="A20" s="24"/>
      <c r="B20" s="24"/>
      <c r="C20" s="24"/>
      <c r="D20" s="63" t="s">
        <v>50</v>
      </c>
      <c r="E20" s="63"/>
      <c r="F20" s="63"/>
      <c r="G20" s="63"/>
      <c r="H20" s="63"/>
      <c r="I20" s="63"/>
      <c r="J20" s="63"/>
      <c r="K20" s="63"/>
      <c r="L20" s="63"/>
      <c r="M20" s="63"/>
    </row>
    <row r="21" spans="1:13" ht="33.75" x14ac:dyDescent="0.2">
      <c r="A21" s="4" t="s">
        <v>51</v>
      </c>
      <c r="B21" s="4" t="s">
        <v>52</v>
      </c>
      <c r="C21" s="4" t="s">
        <v>53</v>
      </c>
      <c r="D21" s="63" t="s">
        <v>54</v>
      </c>
      <c r="E21" s="63"/>
      <c r="F21" s="63"/>
      <c r="G21" s="63"/>
      <c r="H21" s="63"/>
      <c r="I21" s="63"/>
      <c r="J21" s="63"/>
      <c r="K21" s="22">
        <v>1</v>
      </c>
      <c r="L21" s="22">
        <f>ROUND(2850,3)</f>
        <v>2850</v>
      </c>
      <c r="M21" s="23">
        <f>ROUND(K21*L21,2)</f>
        <v>2850</v>
      </c>
    </row>
    <row r="22" spans="1:13" x14ac:dyDescent="0.2">
      <c r="A22" s="4" t="s">
        <v>55</v>
      </c>
      <c r="B22" s="4" t="s">
        <v>56</v>
      </c>
      <c r="C22" s="4" t="s">
        <v>57</v>
      </c>
      <c r="D22" s="63" t="s">
        <v>58</v>
      </c>
      <c r="E22" s="63"/>
      <c r="F22" s="63"/>
      <c r="G22" s="63"/>
      <c r="H22" s="63"/>
      <c r="I22" s="63"/>
      <c r="J22" s="63"/>
      <c r="K22" s="22">
        <v>22</v>
      </c>
      <c r="L22" s="22">
        <f>ROUND(20.76,3)</f>
        <v>20.76</v>
      </c>
      <c r="M22" s="23">
        <f>ROUND(K22*L22,2)</f>
        <v>456.72</v>
      </c>
    </row>
    <row r="23" spans="1:13" x14ac:dyDescent="0.2">
      <c r="A23" s="4" t="s">
        <v>59</v>
      </c>
      <c r="B23" s="4" t="s">
        <v>60</v>
      </c>
      <c r="C23" s="4" t="s">
        <v>61</v>
      </c>
      <c r="D23" s="63" t="s">
        <v>62</v>
      </c>
      <c r="E23" s="63"/>
      <c r="F23" s="63"/>
      <c r="G23" s="63"/>
      <c r="H23" s="63"/>
      <c r="I23" s="63"/>
      <c r="J23" s="63"/>
      <c r="K23" s="22">
        <v>22</v>
      </c>
      <c r="L23" s="22">
        <f>ROUND(17.71,3)</f>
        <v>17.71</v>
      </c>
      <c r="M23" s="23">
        <f>ROUND(K23*L23,2)</f>
        <v>389.62</v>
      </c>
    </row>
    <row r="24" spans="1:13" x14ac:dyDescent="0.2">
      <c r="A24" s="4" t="s">
        <v>63</v>
      </c>
      <c r="B24" s="4"/>
      <c r="C24" s="4" t="s">
        <v>64</v>
      </c>
      <c r="D24" s="63" t="s">
        <v>65</v>
      </c>
      <c r="E24" s="63"/>
      <c r="F24" s="63"/>
      <c r="G24" s="63"/>
      <c r="H24" s="63"/>
      <c r="I24" s="63"/>
      <c r="J24" s="63"/>
      <c r="K24" s="22">
        <v>2</v>
      </c>
      <c r="L24" s="22">
        <f>ROUND(3696.34,3)</f>
        <v>3696.34</v>
      </c>
      <c r="M24" s="23">
        <f>ROUND((K24*L24)/100,2)</f>
        <v>73.930000000000007</v>
      </c>
    </row>
    <row r="25" spans="1:13" x14ac:dyDescent="0.2">
      <c r="A25" s="25"/>
      <c r="B25" s="25"/>
      <c r="C25" s="25"/>
      <c r="D25" s="26" t="s">
        <v>66</v>
      </c>
      <c r="E25" s="25"/>
      <c r="F25" s="25"/>
      <c r="G25" s="25"/>
      <c r="H25" s="25"/>
      <c r="I25" s="25"/>
      <c r="J25" s="25"/>
      <c r="K25" s="27">
        <v>1</v>
      </c>
      <c r="L25" s="28">
        <f>ROUND((M21+M22+M23+M24)*(1+M2/100),2)</f>
        <v>3883.38</v>
      </c>
      <c r="M25" s="28">
        <f>ROUND(K25*L25,2)</f>
        <v>3883.38</v>
      </c>
    </row>
    <row r="26" spans="1:13" ht="22.5" x14ac:dyDescent="0.2">
      <c r="A26" s="42" t="s">
        <v>67</v>
      </c>
      <c r="B26" s="43" t="s">
        <v>68</v>
      </c>
      <c r="C26" s="43" t="s">
        <v>69</v>
      </c>
      <c r="D26" s="65" t="s">
        <v>70</v>
      </c>
      <c r="E26" s="65"/>
      <c r="F26" s="65"/>
      <c r="G26" s="65"/>
      <c r="H26" s="65"/>
      <c r="I26" s="65"/>
      <c r="J26" s="65"/>
      <c r="K26" s="44">
        <f>ROUND(1,2)</f>
        <v>1</v>
      </c>
      <c r="L26" s="45">
        <f>ROUND(126.214*(1+M2/100),2)</f>
        <v>130</v>
      </c>
      <c r="M26" s="45">
        <f>ROUND(K26*L26,2)</f>
        <v>130</v>
      </c>
    </row>
    <row r="27" spans="1:13" ht="33.75" x14ac:dyDescent="0.2">
      <c r="A27" s="24"/>
      <c r="B27" s="24"/>
      <c r="C27" s="24"/>
      <c r="D27" s="63" t="s">
        <v>71</v>
      </c>
      <c r="E27" s="63"/>
      <c r="F27" s="63"/>
      <c r="G27" s="63"/>
      <c r="H27" s="63"/>
      <c r="I27" s="63"/>
      <c r="J27" s="63"/>
      <c r="K27" s="63"/>
      <c r="L27" s="63"/>
      <c r="M27" s="63"/>
    </row>
    <row r="28" spans="1:13" ht="78.75" x14ac:dyDescent="0.2">
      <c r="A28" s="9" t="s">
        <v>72</v>
      </c>
      <c r="B28" s="4" t="s">
        <v>73</v>
      </c>
      <c r="C28" s="4" t="s">
        <v>74</v>
      </c>
      <c r="D28" s="63" t="s">
        <v>75</v>
      </c>
      <c r="E28" s="63"/>
      <c r="F28" s="63"/>
      <c r="G28" s="63"/>
      <c r="H28" s="63"/>
      <c r="I28" s="63"/>
      <c r="J28" s="63"/>
      <c r="K28" s="22">
        <f>ROUND(48,2)</f>
        <v>48</v>
      </c>
      <c r="L28" s="23">
        <f>L34</f>
        <v>103.99</v>
      </c>
      <c r="M28" s="23">
        <f>ROUND(K28*L28,2)</f>
        <v>4991.5200000000004</v>
      </c>
    </row>
    <row r="29" spans="1:13" ht="78.75" x14ac:dyDescent="0.2">
      <c r="A29" s="24"/>
      <c r="B29" s="24"/>
      <c r="C29" s="24"/>
      <c r="D29" s="63" t="s">
        <v>76</v>
      </c>
      <c r="E29" s="63"/>
      <c r="F29" s="63"/>
      <c r="G29" s="63"/>
      <c r="H29" s="63"/>
      <c r="I29" s="63"/>
      <c r="J29" s="63"/>
      <c r="K29" s="63"/>
      <c r="L29" s="63"/>
      <c r="M29" s="63"/>
    </row>
    <row r="30" spans="1:13" ht="78.75" x14ac:dyDescent="0.2">
      <c r="A30" s="4" t="s">
        <v>77</v>
      </c>
      <c r="B30" s="4" t="s">
        <v>78</v>
      </c>
      <c r="C30" s="4" t="s">
        <v>79</v>
      </c>
      <c r="D30" s="63" t="s">
        <v>80</v>
      </c>
      <c r="E30" s="63"/>
      <c r="F30" s="63"/>
      <c r="G30" s="63"/>
      <c r="H30" s="63"/>
      <c r="I30" s="63"/>
      <c r="J30" s="63"/>
      <c r="K30" s="22">
        <v>1</v>
      </c>
      <c r="L30" s="22">
        <f>ROUND(79.74,3)</f>
        <v>79.739999999999995</v>
      </c>
      <c r="M30" s="23">
        <f>ROUND(K30*L30,2)</f>
        <v>79.739999999999995</v>
      </c>
    </row>
    <row r="31" spans="1:13" x14ac:dyDescent="0.2">
      <c r="A31" s="4" t="s">
        <v>81</v>
      </c>
      <c r="B31" s="4" t="s">
        <v>82</v>
      </c>
      <c r="C31" s="4" t="s">
        <v>83</v>
      </c>
      <c r="D31" s="63" t="s">
        <v>84</v>
      </c>
      <c r="E31" s="63"/>
      <c r="F31" s="63"/>
      <c r="G31" s="63"/>
      <c r="H31" s="63"/>
      <c r="I31" s="63"/>
      <c r="J31" s="63"/>
      <c r="K31" s="22">
        <v>0.5</v>
      </c>
      <c r="L31" s="22">
        <f>ROUND(20.76,3)</f>
        <v>20.76</v>
      </c>
      <c r="M31" s="23">
        <f>ROUND(K31*L31,2)</f>
        <v>10.38</v>
      </c>
    </row>
    <row r="32" spans="1:13" x14ac:dyDescent="0.2">
      <c r="A32" s="4" t="s">
        <v>85</v>
      </c>
      <c r="B32" s="4" t="s">
        <v>86</v>
      </c>
      <c r="C32" s="4" t="s">
        <v>87</v>
      </c>
      <c r="D32" s="63" t="s">
        <v>88</v>
      </c>
      <c r="E32" s="63"/>
      <c r="F32" s="63"/>
      <c r="G32" s="63"/>
      <c r="H32" s="63"/>
      <c r="I32" s="63"/>
      <c r="J32" s="63"/>
      <c r="K32" s="22">
        <v>0.5</v>
      </c>
      <c r="L32" s="22">
        <f>ROUND(17.71,3)</f>
        <v>17.71</v>
      </c>
      <c r="M32" s="23">
        <f>ROUND(K32*L32,2)</f>
        <v>8.86</v>
      </c>
    </row>
    <row r="33" spans="1:13" x14ac:dyDescent="0.2">
      <c r="A33" s="4" t="s">
        <v>89</v>
      </c>
      <c r="B33" s="4"/>
      <c r="C33" s="4" t="s">
        <v>90</v>
      </c>
      <c r="D33" s="63" t="s">
        <v>91</v>
      </c>
      <c r="E33" s="63"/>
      <c r="F33" s="63"/>
      <c r="G33" s="63"/>
      <c r="H33" s="63"/>
      <c r="I33" s="63"/>
      <c r="J33" s="63"/>
      <c r="K33" s="22">
        <v>2</v>
      </c>
      <c r="L33" s="22">
        <f>ROUND(98.98,3)</f>
        <v>98.98</v>
      </c>
      <c r="M33" s="23">
        <f>ROUND((K33*L33)/100,2)</f>
        <v>1.98</v>
      </c>
    </row>
    <row r="34" spans="1:13" x14ac:dyDescent="0.2">
      <c r="A34" s="25"/>
      <c r="B34" s="25"/>
      <c r="C34" s="25"/>
      <c r="D34" s="26" t="s">
        <v>92</v>
      </c>
      <c r="E34" s="25"/>
      <c r="F34" s="25"/>
      <c r="G34" s="25"/>
      <c r="H34" s="25"/>
      <c r="I34" s="25"/>
      <c r="J34" s="25"/>
      <c r="K34" s="27">
        <v>48</v>
      </c>
      <c r="L34" s="28">
        <f>ROUND((M30+M31+M32+M33)*(1+M2/100),2)</f>
        <v>103.99</v>
      </c>
      <c r="M34" s="28">
        <f>ROUND(K34*L34,2)</f>
        <v>4991.5200000000004</v>
      </c>
    </row>
    <row r="35" spans="1:13" ht="45" x14ac:dyDescent="0.2">
      <c r="A35" s="42" t="s">
        <v>93</v>
      </c>
      <c r="B35" s="43" t="s">
        <v>94</v>
      </c>
      <c r="C35" s="43" t="s">
        <v>95</v>
      </c>
      <c r="D35" s="65" t="s">
        <v>96</v>
      </c>
      <c r="E35" s="65"/>
      <c r="F35" s="65"/>
      <c r="G35" s="65"/>
      <c r="H35" s="65"/>
      <c r="I35" s="65"/>
      <c r="J35" s="65"/>
      <c r="K35" s="44">
        <f>ROUND(1,2)</f>
        <v>1</v>
      </c>
      <c r="L35" s="45">
        <f>L41</f>
        <v>2819</v>
      </c>
      <c r="M35" s="45">
        <f>ROUND(K35*L35,2)</f>
        <v>2819</v>
      </c>
    </row>
    <row r="36" spans="1:13" ht="191.25" x14ac:dyDescent="0.2">
      <c r="A36" s="24"/>
      <c r="B36" s="24"/>
      <c r="C36" s="24"/>
      <c r="D36" s="63" t="s">
        <v>97</v>
      </c>
      <c r="E36" s="63"/>
      <c r="F36" s="63"/>
      <c r="G36" s="63"/>
      <c r="H36" s="63"/>
      <c r="I36" s="63"/>
      <c r="J36" s="63"/>
      <c r="K36" s="63"/>
      <c r="L36" s="63"/>
      <c r="M36" s="63"/>
    </row>
    <row r="37" spans="1:13" ht="45" x14ac:dyDescent="0.2">
      <c r="A37" s="4" t="s">
        <v>98</v>
      </c>
      <c r="B37" s="4" t="s">
        <v>99</v>
      </c>
      <c r="C37" s="4" t="s">
        <v>100</v>
      </c>
      <c r="D37" s="63" t="s">
        <v>101</v>
      </c>
      <c r="E37" s="63"/>
      <c r="F37" s="63"/>
      <c r="G37" s="63"/>
      <c r="H37" s="63"/>
      <c r="I37" s="63"/>
      <c r="J37" s="63"/>
      <c r="K37" s="22">
        <v>1</v>
      </c>
      <c r="L37" s="22">
        <f>ROUND(2337,3)</f>
        <v>2337</v>
      </c>
      <c r="M37" s="23">
        <f>ROUND(K37*L37,2)</f>
        <v>2337</v>
      </c>
    </row>
    <row r="38" spans="1:13" x14ac:dyDescent="0.2">
      <c r="A38" s="4" t="s">
        <v>102</v>
      </c>
      <c r="B38" s="4" t="s">
        <v>103</v>
      </c>
      <c r="C38" s="4" t="s">
        <v>104</v>
      </c>
      <c r="D38" s="63" t="s">
        <v>105</v>
      </c>
      <c r="E38" s="63"/>
      <c r="F38" s="63"/>
      <c r="G38" s="63"/>
      <c r="H38" s="63"/>
      <c r="I38" s="63"/>
      <c r="J38" s="63"/>
      <c r="K38" s="22">
        <v>9</v>
      </c>
      <c r="L38" s="22">
        <f>ROUND(20.76,3)</f>
        <v>20.76</v>
      </c>
      <c r="M38" s="23">
        <f>ROUND(K38*L38,2)</f>
        <v>186.84</v>
      </c>
    </row>
    <row r="39" spans="1:13" x14ac:dyDescent="0.2">
      <c r="A39" s="4" t="s">
        <v>106</v>
      </c>
      <c r="B39" s="4" t="s">
        <v>107</v>
      </c>
      <c r="C39" s="4" t="s">
        <v>108</v>
      </c>
      <c r="D39" s="63" t="s">
        <v>109</v>
      </c>
      <c r="E39" s="63"/>
      <c r="F39" s="63"/>
      <c r="G39" s="63"/>
      <c r="H39" s="63"/>
      <c r="I39" s="63"/>
      <c r="J39" s="63"/>
      <c r="K39" s="22">
        <v>9</v>
      </c>
      <c r="L39" s="22">
        <f>ROUND(17.71,3)</f>
        <v>17.71</v>
      </c>
      <c r="M39" s="23">
        <f>ROUND(K39*L39,2)</f>
        <v>159.38999999999999</v>
      </c>
    </row>
    <row r="40" spans="1:13" x14ac:dyDescent="0.2">
      <c r="A40" s="4" t="s">
        <v>110</v>
      </c>
      <c r="B40" s="4"/>
      <c r="C40" s="4" t="s">
        <v>111</v>
      </c>
      <c r="D40" s="63" t="s">
        <v>112</v>
      </c>
      <c r="E40" s="63"/>
      <c r="F40" s="63"/>
      <c r="G40" s="63"/>
      <c r="H40" s="63"/>
      <c r="I40" s="63"/>
      <c r="J40" s="63"/>
      <c r="K40" s="22">
        <v>2</v>
      </c>
      <c r="L40" s="22">
        <f>ROUND(2683.23,3)</f>
        <v>2683.23</v>
      </c>
      <c r="M40" s="23">
        <f>ROUND((K40*L40)/100,2)</f>
        <v>53.66</v>
      </c>
    </row>
    <row r="41" spans="1:13" x14ac:dyDescent="0.2">
      <c r="A41" s="25"/>
      <c r="B41" s="25"/>
      <c r="C41" s="25"/>
      <c r="D41" s="26" t="s">
        <v>113</v>
      </c>
      <c r="E41" s="25"/>
      <c r="F41" s="25"/>
      <c r="G41" s="25"/>
      <c r="H41" s="25"/>
      <c r="I41" s="25"/>
      <c r="J41" s="25"/>
      <c r="K41" s="27">
        <v>1</v>
      </c>
      <c r="L41" s="28">
        <f>ROUND((M37+M38+M39+M40)*(1+M2/100),2)</f>
        <v>2819</v>
      </c>
      <c r="M41" s="28">
        <f>ROUND(K41*L41,2)</f>
        <v>2819</v>
      </c>
    </row>
    <row r="42" spans="1:13" ht="22.5" x14ac:dyDescent="0.2">
      <c r="A42" s="42" t="s">
        <v>114</v>
      </c>
      <c r="B42" s="43" t="s">
        <v>115</v>
      </c>
      <c r="C42" s="43" t="s">
        <v>116</v>
      </c>
      <c r="D42" s="65" t="s">
        <v>117</v>
      </c>
      <c r="E42" s="65"/>
      <c r="F42" s="65"/>
      <c r="G42" s="65"/>
      <c r="H42" s="65"/>
      <c r="I42" s="65"/>
      <c r="J42" s="65"/>
      <c r="K42" s="44">
        <f>ROUND(48,2)</f>
        <v>48</v>
      </c>
      <c r="L42" s="45">
        <f>L48</f>
        <v>60.08</v>
      </c>
      <c r="M42" s="45">
        <f>ROUND(K42*L42,2)</f>
        <v>2883.84</v>
      </c>
    </row>
    <row r="43" spans="1:13" ht="56.25" x14ac:dyDescent="0.2">
      <c r="A43" s="24"/>
      <c r="B43" s="24"/>
      <c r="C43" s="24"/>
      <c r="D43" s="63" t="s">
        <v>118</v>
      </c>
      <c r="E43" s="63"/>
      <c r="F43" s="63"/>
      <c r="G43" s="63"/>
      <c r="H43" s="63"/>
      <c r="I43" s="63"/>
      <c r="J43" s="63"/>
      <c r="K43" s="63"/>
      <c r="L43" s="63"/>
      <c r="M43" s="63"/>
    </row>
    <row r="44" spans="1:13" ht="22.5" x14ac:dyDescent="0.2">
      <c r="A44" s="4" t="s">
        <v>119</v>
      </c>
      <c r="B44" s="4" t="s">
        <v>120</v>
      </c>
      <c r="C44" s="4" t="s">
        <v>121</v>
      </c>
      <c r="D44" s="63" t="s">
        <v>122</v>
      </c>
      <c r="E44" s="63"/>
      <c r="F44" s="63"/>
      <c r="G44" s="63"/>
      <c r="H44" s="63"/>
      <c r="I44" s="63"/>
      <c r="J44" s="63"/>
      <c r="K44" s="22">
        <v>1</v>
      </c>
      <c r="L44" s="22">
        <f>ROUND(49.5,3)</f>
        <v>49.5</v>
      </c>
      <c r="M44" s="23">
        <f>ROUND(K44*L44,2)</f>
        <v>49.5</v>
      </c>
    </row>
    <row r="45" spans="1:13" x14ac:dyDescent="0.2">
      <c r="A45" s="4" t="s">
        <v>123</v>
      </c>
      <c r="B45" s="4" t="s">
        <v>124</v>
      </c>
      <c r="C45" s="4" t="s">
        <v>125</v>
      </c>
      <c r="D45" s="63" t="s">
        <v>126</v>
      </c>
      <c r="E45" s="63"/>
      <c r="F45" s="63"/>
      <c r="G45" s="63"/>
      <c r="H45" s="63"/>
      <c r="I45" s="63"/>
      <c r="J45" s="63"/>
      <c r="K45" s="22">
        <v>0.2</v>
      </c>
      <c r="L45" s="22">
        <f>ROUND(20.76,3)</f>
        <v>20.76</v>
      </c>
      <c r="M45" s="23">
        <f>ROUND(K45*L45,2)</f>
        <v>4.1500000000000004</v>
      </c>
    </row>
    <row r="46" spans="1:13" x14ac:dyDescent="0.2">
      <c r="A46" s="4" t="s">
        <v>127</v>
      </c>
      <c r="B46" s="4" t="s">
        <v>128</v>
      </c>
      <c r="C46" s="4" t="s">
        <v>129</v>
      </c>
      <c r="D46" s="63" t="s">
        <v>130</v>
      </c>
      <c r="E46" s="63"/>
      <c r="F46" s="63"/>
      <c r="G46" s="63"/>
      <c r="H46" s="63"/>
      <c r="I46" s="63"/>
      <c r="J46" s="63"/>
      <c r="K46" s="22">
        <v>0.2</v>
      </c>
      <c r="L46" s="22">
        <f>ROUND(17.71,3)</f>
        <v>17.71</v>
      </c>
      <c r="M46" s="23">
        <f>ROUND(K46*L46,2)</f>
        <v>3.54</v>
      </c>
    </row>
    <row r="47" spans="1:13" x14ac:dyDescent="0.2">
      <c r="A47" s="4" t="s">
        <v>131</v>
      </c>
      <c r="B47" s="4"/>
      <c r="C47" s="4" t="s">
        <v>132</v>
      </c>
      <c r="D47" s="63" t="s">
        <v>133</v>
      </c>
      <c r="E47" s="63"/>
      <c r="F47" s="63"/>
      <c r="G47" s="63"/>
      <c r="H47" s="63"/>
      <c r="I47" s="63"/>
      <c r="J47" s="63"/>
      <c r="K47" s="22">
        <v>2</v>
      </c>
      <c r="L47" s="22">
        <f>ROUND(57.19,3)</f>
        <v>57.19</v>
      </c>
      <c r="M47" s="23">
        <f>ROUND((K47*L47)/100,2)</f>
        <v>1.1399999999999999</v>
      </c>
    </row>
    <row r="48" spans="1:13" x14ac:dyDescent="0.2">
      <c r="A48" s="25"/>
      <c r="B48" s="25"/>
      <c r="C48" s="25"/>
      <c r="D48" s="26" t="s">
        <v>134</v>
      </c>
      <c r="E48" s="25"/>
      <c r="F48" s="25"/>
      <c r="G48" s="25"/>
      <c r="H48" s="25"/>
      <c r="I48" s="25"/>
      <c r="J48" s="25"/>
      <c r="K48" s="27">
        <v>48</v>
      </c>
      <c r="L48" s="28">
        <f>ROUND((M44+M45+M46+M47)*(1+M2/100),2)</f>
        <v>60.08</v>
      </c>
      <c r="M48" s="28">
        <f>ROUND(K48*L48,2)</f>
        <v>2883.84</v>
      </c>
    </row>
    <row r="49" spans="1:13" ht="33.75" x14ac:dyDescent="0.2">
      <c r="A49" s="42" t="s">
        <v>135</v>
      </c>
      <c r="B49" s="43" t="s">
        <v>136</v>
      </c>
      <c r="C49" s="43" t="s">
        <v>137</v>
      </c>
      <c r="D49" s="65" t="s">
        <v>138</v>
      </c>
      <c r="E49" s="65"/>
      <c r="F49" s="65"/>
      <c r="G49" s="65"/>
      <c r="H49" s="65"/>
      <c r="I49" s="65"/>
      <c r="J49" s="65"/>
      <c r="K49" s="44">
        <f>ROUND(1,2)</f>
        <v>1</v>
      </c>
      <c r="L49" s="45">
        <f>L56</f>
        <v>630.79</v>
      </c>
      <c r="M49" s="45">
        <f>ROUND(K49*L49,2)</f>
        <v>630.79</v>
      </c>
    </row>
    <row r="50" spans="1:13" ht="180" x14ac:dyDescent="0.2">
      <c r="A50" s="24"/>
      <c r="B50" s="24"/>
      <c r="C50" s="24"/>
      <c r="D50" s="63" t="s">
        <v>139</v>
      </c>
      <c r="E50" s="63"/>
      <c r="F50" s="63"/>
      <c r="G50" s="63"/>
      <c r="H50" s="63"/>
      <c r="I50" s="63"/>
      <c r="J50" s="63"/>
      <c r="K50" s="63"/>
      <c r="L50" s="63"/>
      <c r="M50" s="63"/>
    </row>
    <row r="51" spans="1:13" ht="45" x14ac:dyDescent="0.2">
      <c r="A51" s="4" t="s">
        <v>140</v>
      </c>
      <c r="B51" s="4" t="s">
        <v>141</v>
      </c>
      <c r="C51" s="4" t="s">
        <v>142</v>
      </c>
      <c r="D51" s="63" t="s">
        <v>143</v>
      </c>
      <c r="E51" s="63"/>
      <c r="F51" s="63"/>
      <c r="G51" s="63"/>
      <c r="H51" s="63"/>
      <c r="I51" s="63"/>
      <c r="J51" s="63"/>
      <c r="K51" s="22">
        <v>1</v>
      </c>
      <c r="L51" s="22">
        <f>ROUND(347,3)</f>
        <v>347</v>
      </c>
      <c r="M51" s="23">
        <f>ROUND(K51*L51,2)</f>
        <v>347</v>
      </c>
    </row>
    <row r="52" spans="1:13" ht="22.5" x14ac:dyDescent="0.2">
      <c r="A52" s="4" t="s">
        <v>144</v>
      </c>
      <c r="B52" s="4" t="s">
        <v>145</v>
      </c>
      <c r="C52" s="4" t="s">
        <v>146</v>
      </c>
      <c r="D52" s="63" t="s">
        <v>147</v>
      </c>
      <c r="E52" s="63"/>
      <c r="F52" s="63"/>
      <c r="G52" s="63"/>
      <c r="H52" s="63"/>
      <c r="I52" s="63"/>
      <c r="J52" s="63"/>
      <c r="K52" s="22">
        <v>3</v>
      </c>
      <c r="L52" s="22">
        <f>ROUND(46,3)</f>
        <v>46</v>
      </c>
      <c r="M52" s="23">
        <f>ROUND(K52*L52,2)</f>
        <v>138</v>
      </c>
    </row>
    <row r="53" spans="1:13" x14ac:dyDescent="0.2">
      <c r="A53" s="4" t="s">
        <v>148</v>
      </c>
      <c r="B53" s="4" t="s">
        <v>149</v>
      </c>
      <c r="C53" s="4" t="s">
        <v>150</v>
      </c>
      <c r="D53" s="63" t="s">
        <v>151</v>
      </c>
      <c r="E53" s="63"/>
      <c r="F53" s="63"/>
      <c r="G53" s="63"/>
      <c r="H53" s="63"/>
      <c r="I53" s="63"/>
      <c r="J53" s="63"/>
      <c r="K53" s="22">
        <v>3</v>
      </c>
      <c r="L53" s="22">
        <f>ROUND(20.76,3)</f>
        <v>20.76</v>
      </c>
      <c r="M53" s="23">
        <f>ROUND(K53*L53,2)</f>
        <v>62.28</v>
      </c>
    </row>
    <row r="54" spans="1:13" x14ac:dyDescent="0.2">
      <c r="A54" s="4" t="s">
        <v>152</v>
      </c>
      <c r="B54" s="4" t="s">
        <v>153</v>
      </c>
      <c r="C54" s="4" t="s">
        <v>154</v>
      </c>
      <c r="D54" s="63" t="s">
        <v>155</v>
      </c>
      <c r="E54" s="63"/>
      <c r="F54" s="63"/>
      <c r="G54" s="63"/>
      <c r="H54" s="63"/>
      <c r="I54" s="63"/>
      <c r="J54" s="63"/>
      <c r="K54" s="22">
        <v>3</v>
      </c>
      <c r="L54" s="22">
        <f>ROUND(17.71,3)</f>
        <v>17.71</v>
      </c>
      <c r="M54" s="23">
        <f>ROUND(K54*L54,2)</f>
        <v>53.13</v>
      </c>
    </row>
    <row r="55" spans="1:13" x14ac:dyDescent="0.2">
      <c r="A55" s="4" t="s">
        <v>156</v>
      </c>
      <c r="B55" s="4"/>
      <c r="C55" s="4" t="s">
        <v>157</v>
      </c>
      <c r="D55" s="63" t="s">
        <v>158</v>
      </c>
      <c r="E55" s="63"/>
      <c r="F55" s="63"/>
      <c r="G55" s="63"/>
      <c r="H55" s="63"/>
      <c r="I55" s="63"/>
      <c r="J55" s="63"/>
      <c r="K55" s="22">
        <v>2</v>
      </c>
      <c r="L55" s="22">
        <f>ROUND(600.41,3)</f>
        <v>600.41</v>
      </c>
      <c r="M55" s="23">
        <f>ROUND((K55*L55)/100,2)</f>
        <v>12.01</v>
      </c>
    </row>
    <row r="56" spans="1:13" x14ac:dyDescent="0.2">
      <c r="A56" s="25"/>
      <c r="B56" s="25"/>
      <c r="C56" s="25"/>
      <c r="D56" s="26" t="s">
        <v>159</v>
      </c>
      <c r="E56" s="25"/>
      <c r="F56" s="25"/>
      <c r="G56" s="25"/>
      <c r="H56" s="25"/>
      <c r="I56" s="25"/>
      <c r="J56" s="25"/>
      <c r="K56" s="27">
        <v>1</v>
      </c>
      <c r="L56" s="28">
        <f>ROUND((M51+M52+M53+M54+M55)*(1+M2/100),2)</f>
        <v>630.79</v>
      </c>
      <c r="M56" s="28">
        <f>ROUND(K56*L56,2)</f>
        <v>630.79</v>
      </c>
    </row>
    <row r="57" spans="1:13" x14ac:dyDescent="0.2">
      <c r="A57" s="29"/>
      <c r="B57" s="29"/>
      <c r="C57" s="29"/>
      <c r="D57" s="30" t="s">
        <v>160</v>
      </c>
      <c r="E57" s="31"/>
      <c r="F57" s="31"/>
      <c r="G57" s="31"/>
      <c r="H57" s="31"/>
      <c r="I57" s="31"/>
      <c r="J57" s="31"/>
      <c r="K57" s="31"/>
      <c r="L57" s="32">
        <f>M19+M26+M28+M35+M42+M49</f>
        <v>15338.530000000002</v>
      </c>
      <c r="M57" s="32">
        <f>ROUND(L57,2)</f>
        <v>15338.53</v>
      </c>
    </row>
    <row r="58" spans="1:13" x14ac:dyDescent="0.2">
      <c r="A58" s="46" t="s">
        <v>161</v>
      </c>
      <c r="B58" s="46" t="s">
        <v>162</v>
      </c>
      <c r="C58" s="47"/>
      <c r="D58" s="66" t="s">
        <v>163</v>
      </c>
      <c r="E58" s="66"/>
      <c r="F58" s="66"/>
      <c r="G58" s="66"/>
      <c r="H58" s="66"/>
      <c r="I58" s="66"/>
      <c r="J58" s="66"/>
      <c r="K58" s="47"/>
      <c r="L58" s="48">
        <f>L84</f>
        <v>944.07</v>
      </c>
      <c r="M58" s="48">
        <f>ROUND(L58,2)</f>
        <v>944.07</v>
      </c>
    </row>
    <row r="59" spans="1:13" ht="67.5" x14ac:dyDescent="0.2">
      <c r="A59" s="9" t="s">
        <v>164</v>
      </c>
      <c r="B59" s="4" t="s">
        <v>165</v>
      </c>
      <c r="C59" s="4" t="s">
        <v>166</v>
      </c>
      <c r="D59" s="63" t="s">
        <v>167</v>
      </c>
      <c r="E59" s="63"/>
      <c r="F59" s="63"/>
      <c r="G59" s="63"/>
      <c r="H59" s="63"/>
      <c r="I59" s="63"/>
      <c r="J59" s="63"/>
      <c r="K59" s="22">
        <f>ROUND(1,2)</f>
        <v>1</v>
      </c>
      <c r="L59" s="23">
        <f>L65</f>
        <v>406.29</v>
      </c>
      <c r="M59" s="23">
        <f>ROUND(K59*L59,2)</f>
        <v>406.29</v>
      </c>
    </row>
    <row r="60" spans="1:13" ht="56.25" x14ac:dyDescent="0.2">
      <c r="A60" s="24"/>
      <c r="B60" s="24"/>
      <c r="C60" s="24"/>
      <c r="D60" s="63" t="s">
        <v>168</v>
      </c>
      <c r="E60" s="63"/>
      <c r="F60" s="63"/>
      <c r="G60" s="63"/>
      <c r="H60" s="63"/>
      <c r="I60" s="63"/>
      <c r="J60" s="63"/>
      <c r="K60" s="63"/>
      <c r="L60" s="63"/>
      <c r="M60" s="63"/>
    </row>
    <row r="61" spans="1:13" ht="67.5" x14ac:dyDescent="0.2">
      <c r="A61" s="4" t="s">
        <v>169</v>
      </c>
      <c r="B61" s="4" t="s">
        <v>170</v>
      </c>
      <c r="C61" s="4" t="s">
        <v>171</v>
      </c>
      <c r="D61" s="63" t="s">
        <v>172</v>
      </c>
      <c r="E61" s="63"/>
      <c r="F61" s="63"/>
      <c r="G61" s="63"/>
      <c r="H61" s="63"/>
      <c r="I61" s="63"/>
      <c r="J61" s="63"/>
      <c r="K61" s="22">
        <v>1</v>
      </c>
      <c r="L61" s="22">
        <f>ROUND(271.324,3)</f>
        <v>271.32400000000001</v>
      </c>
      <c r="M61" s="23">
        <f>ROUND(K61*L61,2)</f>
        <v>271.32</v>
      </c>
    </row>
    <row r="62" spans="1:13" x14ac:dyDescent="0.2">
      <c r="A62" s="4" t="s">
        <v>173</v>
      </c>
      <c r="B62" s="4" t="s">
        <v>174</v>
      </c>
      <c r="C62" s="4" t="s">
        <v>175</v>
      </c>
      <c r="D62" s="63" t="s">
        <v>176</v>
      </c>
      <c r="E62" s="63"/>
      <c r="F62" s="63"/>
      <c r="G62" s="63"/>
      <c r="H62" s="63"/>
      <c r="I62" s="63"/>
      <c r="J62" s="63"/>
      <c r="K62" s="22">
        <v>3</v>
      </c>
      <c r="L62" s="22">
        <f>ROUND(20.76,3)</f>
        <v>20.76</v>
      </c>
      <c r="M62" s="23">
        <f>ROUND(K62*L62,2)</f>
        <v>62.28</v>
      </c>
    </row>
    <row r="63" spans="1:13" x14ac:dyDescent="0.2">
      <c r="A63" s="4" t="s">
        <v>177</v>
      </c>
      <c r="B63" s="4" t="s">
        <v>178</v>
      </c>
      <c r="C63" s="4" t="s">
        <v>179</v>
      </c>
      <c r="D63" s="63" t="s">
        <v>180</v>
      </c>
      <c r="E63" s="63"/>
      <c r="F63" s="63"/>
      <c r="G63" s="63"/>
      <c r="H63" s="63"/>
      <c r="I63" s="63"/>
      <c r="J63" s="63"/>
      <c r="K63" s="22">
        <v>3</v>
      </c>
      <c r="L63" s="22">
        <f>ROUND(17.71,3)</f>
        <v>17.71</v>
      </c>
      <c r="M63" s="23">
        <f>ROUND(K63*L63,2)</f>
        <v>53.13</v>
      </c>
    </row>
    <row r="64" spans="1:13" x14ac:dyDescent="0.2">
      <c r="A64" s="4" t="s">
        <v>181</v>
      </c>
      <c r="B64" s="4"/>
      <c r="C64" s="4" t="s">
        <v>182</v>
      </c>
      <c r="D64" s="63" t="s">
        <v>183</v>
      </c>
      <c r="E64" s="63"/>
      <c r="F64" s="63"/>
      <c r="G64" s="63"/>
      <c r="H64" s="63"/>
      <c r="I64" s="63"/>
      <c r="J64" s="63"/>
      <c r="K64" s="22">
        <v>2</v>
      </c>
      <c r="L64" s="22">
        <f>ROUND(386.73,3)</f>
        <v>386.73</v>
      </c>
      <c r="M64" s="23">
        <f>ROUND((K64*L64)/100,2)</f>
        <v>7.73</v>
      </c>
    </row>
    <row r="65" spans="1:13" x14ac:dyDescent="0.2">
      <c r="A65" s="25"/>
      <c r="B65" s="25"/>
      <c r="C65" s="25"/>
      <c r="D65" s="26" t="s">
        <v>184</v>
      </c>
      <c r="E65" s="25"/>
      <c r="F65" s="25"/>
      <c r="G65" s="25"/>
      <c r="H65" s="25"/>
      <c r="I65" s="25"/>
      <c r="J65" s="25"/>
      <c r="K65" s="27">
        <v>1</v>
      </c>
      <c r="L65" s="28">
        <f>ROUND((M61+M62+M63+M64)*(1+M2/100),2)</f>
        <v>406.29</v>
      </c>
      <c r="M65" s="28">
        <f>ROUND(K65*L65,2)</f>
        <v>406.29</v>
      </c>
    </row>
    <row r="66" spans="1:13" x14ac:dyDescent="0.2">
      <c r="A66" s="42" t="s">
        <v>185</v>
      </c>
      <c r="B66" s="43" t="s">
        <v>186</v>
      </c>
      <c r="C66" s="43" t="s">
        <v>187</v>
      </c>
      <c r="D66" s="65" t="s">
        <v>188</v>
      </c>
      <c r="E66" s="65"/>
      <c r="F66" s="65"/>
      <c r="G66" s="65"/>
      <c r="H66" s="65"/>
      <c r="I66" s="65"/>
      <c r="J66" s="65"/>
      <c r="K66" s="44">
        <f>ROUND(1,2)</f>
        <v>1</v>
      </c>
      <c r="L66" s="45">
        <f>L71</f>
        <v>104.34</v>
      </c>
      <c r="M66" s="45">
        <f>ROUND(K66*L66,2)</f>
        <v>104.34</v>
      </c>
    </row>
    <row r="67" spans="1:13" ht="56.25" x14ac:dyDescent="0.2">
      <c r="A67" s="24"/>
      <c r="B67" s="24"/>
      <c r="C67" s="24"/>
      <c r="D67" s="63" t="s">
        <v>189</v>
      </c>
      <c r="E67" s="63"/>
      <c r="F67" s="63"/>
      <c r="G67" s="63"/>
      <c r="H67" s="63"/>
      <c r="I67" s="63"/>
      <c r="J67" s="63"/>
      <c r="K67" s="63"/>
      <c r="L67" s="63"/>
      <c r="M67" s="63"/>
    </row>
    <row r="68" spans="1:13" ht="56.25" x14ac:dyDescent="0.2">
      <c r="A68" s="4" t="s">
        <v>190</v>
      </c>
      <c r="B68" s="4" t="s">
        <v>191</v>
      </c>
      <c r="C68" s="4" t="s">
        <v>192</v>
      </c>
      <c r="D68" s="63" t="s">
        <v>193</v>
      </c>
      <c r="E68" s="63"/>
      <c r="F68" s="63"/>
      <c r="G68" s="63"/>
      <c r="H68" s="63"/>
      <c r="I68" s="63"/>
      <c r="J68" s="63"/>
      <c r="K68" s="22">
        <v>1</v>
      </c>
      <c r="L68" s="22">
        <f>ROUND(91.4,3)</f>
        <v>91.4</v>
      </c>
      <c r="M68" s="23">
        <f>ROUND(K68*L68,2)</f>
        <v>91.4</v>
      </c>
    </row>
    <row r="69" spans="1:13" x14ac:dyDescent="0.2">
      <c r="A69" s="4" t="s">
        <v>194</v>
      </c>
      <c r="B69" s="4" t="s">
        <v>195</v>
      </c>
      <c r="C69" s="4" t="s">
        <v>196</v>
      </c>
      <c r="D69" s="63" t="s">
        <v>197</v>
      </c>
      <c r="E69" s="63"/>
      <c r="F69" s="63"/>
      <c r="G69" s="63"/>
      <c r="H69" s="63"/>
      <c r="I69" s="63"/>
      <c r="J69" s="63"/>
      <c r="K69" s="22">
        <v>0.38100000000000001</v>
      </c>
      <c r="L69" s="22">
        <f>ROUND(20.76,3)</f>
        <v>20.76</v>
      </c>
      <c r="M69" s="23">
        <f>ROUND(K69*L69,2)</f>
        <v>7.91</v>
      </c>
    </row>
    <row r="70" spans="1:13" x14ac:dyDescent="0.2">
      <c r="A70" s="4" t="s">
        <v>198</v>
      </c>
      <c r="B70" s="4"/>
      <c r="C70" s="4" t="s">
        <v>199</v>
      </c>
      <c r="D70" s="63" t="s">
        <v>200</v>
      </c>
      <c r="E70" s="63"/>
      <c r="F70" s="63"/>
      <c r="G70" s="63"/>
      <c r="H70" s="63"/>
      <c r="I70" s="63"/>
      <c r="J70" s="63"/>
      <c r="K70" s="22">
        <v>2</v>
      </c>
      <c r="L70" s="22">
        <f>ROUND(99.31,3)</f>
        <v>99.31</v>
      </c>
      <c r="M70" s="23">
        <f>ROUND((K70*L70)/100,2)</f>
        <v>1.99</v>
      </c>
    </row>
    <row r="71" spans="1:13" x14ac:dyDescent="0.2">
      <c r="A71" s="25"/>
      <c r="B71" s="25"/>
      <c r="C71" s="25"/>
      <c r="D71" s="26" t="s">
        <v>201</v>
      </c>
      <c r="E71" s="25"/>
      <c r="F71" s="25"/>
      <c r="G71" s="25"/>
      <c r="H71" s="25"/>
      <c r="I71" s="25"/>
      <c r="J71" s="25"/>
      <c r="K71" s="27">
        <v>1</v>
      </c>
      <c r="L71" s="28">
        <f>ROUND((M68+M69+M70)*(1+M2/100),2)</f>
        <v>104.34</v>
      </c>
      <c r="M71" s="28">
        <f>ROUND(K71*L71,2)</f>
        <v>104.34</v>
      </c>
    </row>
    <row r="72" spans="1:13" x14ac:dyDescent="0.2">
      <c r="A72" s="42" t="s">
        <v>202</v>
      </c>
      <c r="B72" s="43" t="s">
        <v>203</v>
      </c>
      <c r="C72" s="43" t="s">
        <v>204</v>
      </c>
      <c r="D72" s="65" t="s">
        <v>205</v>
      </c>
      <c r="E72" s="65"/>
      <c r="F72" s="65"/>
      <c r="G72" s="65"/>
      <c r="H72" s="65"/>
      <c r="I72" s="65"/>
      <c r="J72" s="65"/>
      <c r="K72" s="44">
        <f>ROUND(1,2)</f>
        <v>1</v>
      </c>
      <c r="L72" s="45">
        <f>L77</f>
        <v>384.57</v>
      </c>
      <c r="M72" s="45">
        <f>ROUND(K72*L72,2)</f>
        <v>384.57</v>
      </c>
    </row>
    <row r="73" spans="1:13" ht="56.25" x14ac:dyDescent="0.2">
      <c r="A73" s="24"/>
      <c r="B73" s="24"/>
      <c r="C73" s="24"/>
      <c r="D73" s="63" t="s">
        <v>206</v>
      </c>
      <c r="E73" s="63"/>
      <c r="F73" s="63"/>
      <c r="G73" s="63"/>
      <c r="H73" s="63"/>
      <c r="I73" s="63"/>
      <c r="J73" s="63"/>
      <c r="K73" s="63"/>
      <c r="L73" s="63"/>
      <c r="M73" s="63"/>
    </row>
    <row r="74" spans="1:13" ht="56.25" x14ac:dyDescent="0.2">
      <c r="A74" s="4" t="s">
        <v>207</v>
      </c>
      <c r="B74" s="4" t="s">
        <v>208</v>
      </c>
      <c r="C74" s="4" t="s">
        <v>209</v>
      </c>
      <c r="D74" s="63" t="s">
        <v>210</v>
      </c>
      <c r="E74" s="63"/>
      <c r="F74" s="63"/>
      <c r="G74" s="63"/>
      <c r="H74" s="63"/>
      <c r="I74" s="63"/>
      <c r="J74" s="63"/>
      <c r="K74" s="22">
        <v>1</v>
      </c>
      <c r="L74" s="22">
        <f>ROUND(358.14,3)</f>
        <v>358.14</v>
      </c>
      <c r="M74" s="23">
        <f>ROUND(K74*L74,2)</f>
        <v>358.14</v>
      </c>
    </row>
    <row r="75" spans="1:13" x14ac:dyDescent="0.2">
      <c r="A75" s="4" t="s">
        <v>211</v>
      </c>
      <c r="B75" s="4" t="s">
        <v>212</v>
      </c>
      <c r="C75" s="4" t="s">
        <v>213</v>
      </c>
      <c r="D75" s="63" t="s">
        <v>214</v>
      </c>
      <c r="E75" s="63"/>
      <c r="F75" s="63"/>
      <c r="G75" s="63"/>
      <c r="H75" s="63"/>
      <c r="I75" s="63"/>
      <c r="J75" s="63"/>
      <c r="K75" s="22">
        <v>0.38100000000000001</v>
      </c>
      <c r="L75" s="22">
        <f>ROUND(20.76,3)</f>
        <v>20.76</v>
      </c>
      <c r="M75" s="23">
        <f>ROUND(K75*L75,2)</f>
        <v>7.91</v>
      </c>
    </row>
    <row r="76" spans="1:13" x14ac:dyDescent="0.2">
      <c r="A76" s="4" t="s">
        <v>215</v>
      </c>
      <c r="B76" s="4"/>
      <c r="C76" s="4" t="s">
        <v>216</v>
      </c>
      <c r="D76" s="63" t="s">
        <v>217</v>
      </c>
      <c r="E76" s="63"/>
      <c r="F76" s="63"/>
      <c r="G76" s="63"/>
      <c r="H76" s="63"/>
      <c r="I76" s="63"/>
      <c r="J76" s="63"/>
      <c r="K76" s="22">
        <v>2</v>
      </c>
      <c r="L76" s="22">
        <f>ROUND(366.05,3)</f>
        <v>366.05</v>
      </c>
      <c r="M76" s="23">
        <f>ROUND((K76*L76)/100,2)</f>
        <v>7.32</v>
      </c>
    </row>
    <row r="77" spans="1:13" x14ac:dyDescent="0.2">
      <c r="A77" s="25"/>
      <c r="B77" s="25"/>
      <c r="C77" s="25"/>
      <c r="D77" s="26" t="s">
        <v>218</v>
      </c>
      <c r="E77" s="25"/>
      <c r="F77" s="25"/>
      <c r="G77" s="25"/>
      <c r="H77" s="25"/>
      <c r="I77" s="25"/>
      <c r="J77" s="25"/>
      <c r="K77" s="27">
        <v>1</v>
      </c>
      <c r="L77" s="28">
        <f>ROUND((M74+M75+M76)*(1+M2/100),2)</f>
        <v>384.57</v>
      </c>
      <c r="M77" s="28">
        <f>ROUND(K77*L77,2)</f>
        <v>384.57</v>
      </c>
    </row>
    <row r="78" spans="1:13" ht="33.75" x14ac:dyDescent="0.2">
      <c r="A78" s="42" t="s">
        <v>219</v>
      </c>
      <c r="B78" s="43" t="s">
        <v>220</v>
      </c>
      <c r="C78" s="43" t="s">
        <v>221</v>
      </c>
      <c r="D78" s="65" t="s">
        <v>222</v>
      </c>
      <c r="E78" s="65"/>
      <c r="F78" s="65"/>
      <c r="G78" s="65"/>
      <c r="H78" s="65"/>
      <c r="I78" s="65"/>
      <c r="J78" s="65"/>
      <c r="K78" s="44">
        <f>ROUND(1,2)</f>
        <v>1</v>
      </c>
      <c r="L78" s="45">
        <f>L83</f>
        <v>48.87</v>
      </c>
      <c r="M78" s="45">
        <f>ROUND(K78*L78,2)</f>
        <v>48.87</v>
      </c>
    </row>
    <row r="79" spans="1:13" ht="33.75" x14ac:dyDescent="0.2">
      <c r="A79" s="24"/>
      <c r="B79" s="24"/>
      <c r="C79" s="24"/>
      <c r="D79" s="63" t="s">
        <v>223</v>
      </c>
      <c r="E79" s="63"/>
      <c r="F79" s="63"/>
      <c r="G79" s="63"/>
      <c r="H79" s="63"/>
      <c r="I79" s="63"/>
      <c r="J79" s="63"/>
      <c r="K79" s="63"/>
      <c r="L79" s="63"/>
      <c r="M79" s="63"/>
    </row>
    <row r="80" spans="1:13" ht="67.5" x14ac:dyDescent="0.2">
      <c r="A80" s="4" t="s">
        <v>224</v>
      </c>
      <c r="B80" s="4" t="s">
        <v>225</v>
      </c>
      <c r="C80" s="4" t="s">
        <v>226</v>
      </c>
      <c r="D80" s="63" t="s">
        <v>227</v>
      </c>
      <c r="E80" s="63"/>
      <c r="F80" s="63"/>
      <c r="G80" s="63"/>
      <c r="H80" s="63"/>
      <c r="I80" s="63"/>
      <c r="J80" s="63"/>
      <c r="K80" s="22">
        <v>1</v>
      </c>
      <c r="L80" s="22">
        <f>ROUND(41.56,3)</f>
        <v>41.56</v>
      </c>
      <c r="M80" s="23">
        <f>ROUND(K80*L80,2)</f>
        <v>41.56</v>
      </c>
    </row>
    <row r="81" spans="1:13" x14ac:dyDescent="0.2">
      <c r="A81" s="4" t="s">
        <v>228</v>
      </c>
      <c r="B81" s="4" t="s">
        <v>229</v>
      </c>
      <c r="C81" s="4" t="s">
        <v>230</v>
      </c>
      <c r="D81" s="63" t="s">
        <v>231</v>
      </c>
      <c r="E81" s="63"/>
      <c r="F81" s="63"/>
      <c r="G81" s="63"/>
      <c r="H81" s="63"/>
      <c r="I81" s="63"/>
      <c r="J81" s="63"/>
      <c r="K81" s="22">
        <v>0.23899999999999999</v>
      </c>
      <c r="L81" s="22">
        <f>ROUND(20.76,3)</f>
        <v>20.76</v>
      </c>
      <c r="M81" s="23">
        <f>ROUND(K81*L81,2)</f>
        <v>4.96</v>
      </c>
    </row>
    <row r="82" spans="1:13" x14ac:dyDescent="0.2">
      <c r="A82" s="4" t="s">
        <v>232</v>
      </c>
      <c r="B82" s="4"/>
      <c r="C82" s="4" t="s">
        <v>233</v>
      </c>
      <c r="D82" s="63" t="s">
        <v>234</v>
      </c>
      <c r="E82" s="63"/>
      <c r="F82" s="63"/>
      <c r="G82" s="63"/>
      <c r="H82" s="63"/>
      <c r="I82" s="63"/>
      <c r="J82" s="63"/>
      <c r="K82" s="22">
        <v>2</v>
      </c>
      <c r="L82" s="22">
        <f>ROUND(46.52,3)</f>
        <v>46.52</v>
      </c>
      <c r="M82" s="23">
        <f>ROUND((K82*L82)/100,2)</f>
        <v>0.93</v>
      </c>
    </row>
    <row r="83" spans="1:13" x14ac:dyDescent="0.2">
      <c r="A83" s="25"/>
      <c r="B83" s="25"/>
      <c r="C83" s="25"/>
      <c r="D83" s="26" t="s">
        <v>235</v>
      </c>
      <c r="E83" s="25"/>
      <c r="F83" s="25"/>
      <c r="G83" s="25"/>
      <c r="H83" s="25"/>
      <c r="I83" s="25"/>
      <c r="J83" s="25"/>
      <c r="K83" s="27">
        <v>1</v>
      </c>
      <c r="L83" s="28">
        <f>ROUND((M80+M81+M82)*(1+M2/100),2)</f>
        <v>48.87</v>
      </c>
      <c r="M83" s="28">
        <f>ROUND(K83*L83,2)</f>
        <v>48.87</v>
      </c>
    </row>
    <row r="84" spans="1:13" x14ac:dyDescent="0.2">
      <c r="A84" s="29"/>
      <c r="B84" s="29"/>
      <c r="C84" s="29"/>
      <c r="D84" s="30" t="s">
        <v>236</v>
      </c>
      <c r="E84" s="31"/>
      <c r="F84" s="31"/>
      <c r="G84" s="31"/>
      <c r="H84" s="31"/>
      <c r="I84" s="31"/>
      <c r="J84" s="31"/>
      <c r="K84" s="31"/>
      <c r="L84" s="32">
        <f>M59+M66+M72+M78</f>
        <v>944.07</v>
      </c>
      <c r="M84" s="32">
        <f>ROUND(L84,2)</f>
        <v>944.07</v>
      </c>
    </row>
    <row r="85" spans="1:13" x14ac:dyDescent="0.2">
      <c r="A85" s="46" t="s">
        <v>237</v>
      </c>
      <c r="B85" s="46" t="s">
        <v>238</v>
      </c>
      <c r="C85" s="47"/>
      <c r="D85" s="66" t="s">
        <v>239</v>
      </c>
      <c r="E85" s="66"/>
      <c r="F85" s="66"/>
      <c r="G85" s="66"/>
      <c r="H85" s="66"/>
      <c r="I85" s="66"/>
      <c r="J85" s="66"/>
      <c r="K85" s="47"/>
      <c r="L85" s="48">
        <f>L114</f>
        <v>3171.6</v>
      </c>
      <c r="M85" s="48">
        <f>ROUND(L85,2)</f>
        <v>3171.6</v>
      </c>
    </row>
    <row r="86" spans="1:13" ht="90" x14ac:dyDescent="0.2">
      <c r="A86" s="9" t="s">
        <v>240</v>
      </c>
      <c r="B86" s="4" t="s">
        <v>241</v>
      </c>
      <c r="C86" s="4" t="s">
        <v>242</v>
      </c>
      <c r="D86" s="63" t="s">
        <v>243</v>
      </c>
      <c r="E86" s="63"/>
      <c r="F86" s="63"/>
      <c r="G86" s="63"/>
      <c r="H86" s="63"/>
      <c r="I86" s="63"/>
      <c r="J86" s="63"/>
      <c r="K86" s="22">
        <f>ROUND(500,2)</f>
        <v>500</v>
      </c>
      <c r="L86" s="23">
        <f>L92</f>
        <v>3.01</v>
      </c>
      <c r="M86" s="23">
        <f>ROUND(K86*L86,2)</f>
        <v>1505</v>
      </c>
    </row>
    <row r="87" spans="1:13" ht="90" x14ac:dyDescent="0.2">
      <c r="A87" s="24"/>
      <c r="B87" s="24"/>
      <c r="C87" s="24"/>
      <c r="D87" s="63" t="s">
        <v>244</v>
      </c>
      <c r="E87" s="63"/>
      <c r="F87" s="63"/>
      <c r="G87" s="63"/>
      <c r="H87" s="63"/>
      <c r="I87" s="63"/>
      <c r="J87" s="63"/>
      <c r="K87" s="63"/>
      <c r="L87" s="63"/>
      <c r="M87" s="63"/>
    </row>
    <row r="88" spans="1:13" ht="90" x14ac:dyDescent="0.2">
      <c r="A88" s="4" t="s">
        <v>245</v>
      </c>
      <c r="B88" s="4" t="s">
        <v>246</v>
      </c>
      <c r="C88" s="4" t="s">
        <v>247</v>
      </c>
      <c r="D88" s="63" t="s">
        <v>248</v>
      </c>
      <c r="E88" s="63"/>
      <c r="F88" s="63"/>
      <c r="G88" s="63"/>
      <c r="H88" s="63"/>
      <c r="I88" s="63"/>
      <c r="J88" s="63"/>
      <c r="K88" s="22">
        <v>1</v>
      </c>
      <c r="L88" s="22">
        <f>ROUND(1.21,3)</f>
        <v>1.21</v>
      </c>
      <c r="M88" s="23">
        <f>ROUND(K88*L88,2)</f>
        <v>1.21</v>
      </c>
    </row>
    <row r="89" spans="1:13" x14ac:dyDescent="0.2">
      <c r="A89" s="4" t="s">
        <v>249</v>
      </c>
      <c r="B89" s="4" t="s">
        <v>250</v>
      </c>
      <c r="C89" s="4" t="s">
        <v>251</v>
      </c>
      <c r="D89" s="63" t="s">
        <v>252</v>
      </c>
      <c r="E89" s="63"/>
      <c r="F89" s="63"/>
      <c r="G89" s="63"/>
      <c r="H89" s="63"/>
      <c r="I89" s="63"/>
      <c r="J89" s="63"/>
      <c r="K89" s="22">
        <v>4.2999999999999997E-2</v>
      </c>
      <c r="L89" s="22">
        <f>ROUND(20.76,3)</f>
        <v>20.76</v>
      </c>
      <c r="M89" s="23">
        <f>ROUND(K89*L89,2)</f>
        <v>0.89</v>
      </c>
    </row>
    <row r="90" spans="1:13" x14ac:dyDescent="0.2">
      <c r="A90" s="4" t="s">
        <v>253</v>
      </c>
      <c r="B90" s="4" t="s">
        <v>254</v>
      </c>
      <c r="C90" s="4" t="s">
        <v>255</v>
      </c>
      <c r="D90" s="63" t="s">
        <v>256</v>
      </c>
      <c r="E90" s="63"/>
      <c r="F90" s="63"/>
      <c r="G90" s="63"/>
      <c r="H90" s="63"/>
      <c r="I90" s="63"/>
      <c r="J90" s="63"/>
      <c r="K90" s="22">
        <v>4.2999999999999997E-2</v>
      </c>
      <c r="L90" s="22">
        <f>ROUND(17.71,3)</f>
        <v>17.71</v>
      </c>
      <c r="M90" s="23">
        <f>ROUND(K90*L90,2)</f>
        <v>0.76</v>
      </c>
    </row>
    <row r="91" spans="1:13" x14ac:dyDescent="0.2">
      <c r="A91" s="4" t="s">
        <v>257</v>
      </c>
      <c r="B91" s="4"/>
      <c r="C91" s="4" t="s">
        <v>258</v>
      </c>
      <c r="D91" s="63" t="s">
        <v>259</v>
      </c>
      <c r="E91" s="63"/>
      <c r="F91" s="63"/>
      <c r="G91" s="63"/>
      <c r="H91" s="63"/>
      <c r="I91" s="63"/>
      <c r="J91" s="63"/>
      <c r="K91" s="22">
        <v>2</v>
      </c>
      <c r="L91" s="22">
        <f>ROUND(2.86,3)</f>
        <v>2.86</v>
      </c>
      <c r="M91" s="23">
        <f>ROUND((K91*L91)/100,2)</f>
        <v>0.06</v>
      </c>
    </row>
    <row r="92" spans="1:13" x14ac:dyDescent="0.2">
      <c r="A92" s="25"/>
      <c r="B92" s="25"/>
      <c r="C92" s="25"/>
      <c r="D92" s="26" t="s">
        <v>260</v>
      </c>
      <c r="E92" s="25"/>
      <c r="F92" s="25"/>
      <c r="G92" s="25"/>
      <c r="H92" s="25"/>
      <c r="I92" s="25"/>
      <c r="J92" s="25"/>
      <c r="K92" s="27">
        <v>500</v>
      </c>
      <c r="L92" s="28">
        <f>ROUND((M88+M89+M90+M91)*(1+M2/100),2)</f>
        <v>3.01</v>
      </c>
      <c r="M92" s="28">
        <f>ROUND(K92*L92,2)</f>
        <v>1505</v>
      </c>
    </row>
    <row r="93" spans="1:13" ht="90" x14ac:dyDescent="0.2">
      <c r="A93" s="42" t="s">
        <v>261</v>
      </c>
      <c r="B93" s="43" t="s">
        <v>262</v>
      </c>
      <c r="C93" s="43" t="s">
        <v>263</v>
      </c>
      <c r="D93" s="65" t="s">
        <v>264</v>
      </c>
      <c r="E93" s="65"/>
      <c r="F93" s="65"/>
      <c r="G93" s="65"/>
      <c r="H93" s="65"/>
      <c r="I93" s="65"/>
      <c r="J93" s="65"/>
      <c r="K93" s="44">
        <f>ROUND(500,2)</f>
        <v>500</v>
      </c>
      <c r="L93" s="45">
        <f>L99</f>
        <v>3.01</v>
      </c>
      <c r="M93" s="45">
        <f>ROUND(K93*L93,2)</f>
        <v>1505</v>
      </c>
    </row>
    <row r="94" spans="1:13" ht="90" x14ac:dyDescent="0.2">
      <c r="A94" s="24"/>
      <c r="B94" s="24"/>
      <c r="C94" s="24"/>
      <c r="D94" s="63" t="s">
        <v>265</v>
      </c>
      <c r="E94" s="63"/>
      <c r="F94" s="63"/>
      <c r="G94" s="63"/>
      <c r="H94" s="63"/>
      <c r="I94" s="63"/>
      <c r="J94" s="63"/>
      <c r="K94" s="63"/>
      <c r="L94" s="63"/>
      <c r="M94" s="63"/>
    </row>
    <row r="95" spans="1:13" ht="90" x14ac:dyDescent="0.2">
      <c r="A95" s="4" t="s">
        <v>266</v>
      </c>
      <c r="B95" s="4" t="s">
        <v>267</v>
      </c>
      <c r="C95" s="4" t="s">
        <v>268</v>
      </c>
      <c r="D95" s="63" t="s">
        <v>269</v>
      </c>
      <c r="E95" s="63"/>
      <c r="F95" s="63"/>
      <c r="G95" s="63"/>
      <c r="H95" s="63"/>
      <c r="I95" s="63"/>
      <c r="J95" s="63"/>
      <c r="K95" s="22">
        <v>1</v>
      </c>
      <c r="L95" s="22">
        <f>ROUND(1.21,3)</f>
        <v>1.21</v>
      </c>
      <c r="M95" s="23">
        <f>ROUND(K95*L95,2)</f>
        <v>1.21</v>
      </c>
    </row>
    <row r="96" spans="1:13" x14ac:dyDescent="0.2">
      <c r="A96" s="4" t="s">
        <v>270</v>
      </c>
      <c r="B96" s="4" t="s">
        <v>271</v>
      </c>
      <c r="C96" s="4" t="s">
        <v>272</v>
      </c>
      <c r="D96" s="63" t="s">
        <v>273</v>
      </c>
      <c r="E96" s="63"/>
      <c r="F96" s="63"/>
      <c r="G96" s="63"/>
      <c r="H96" s="63"/>
      <c r="I96" s="63"/>
      <c r="J96" s="63"/>
      <c r="K96" s="22">
        <v>4.2999999999999997E-2</v>
      </c>
      <c r="L96" s="22">
        <f>ROUND(20.76,3)</f>
        <v>20.76</v>
      </c>
      <c r="M96" s="23">
        <f>ROUND(K96*L96,2)</f>
        <v>0.89</v>
      </c>
    </row>
    <row r="97" spans="1:13" x14ac:dyDescent="0.2">
      <c r="A97" s="4" t="s">
        <v>274</v>
      </c>
      <c r="B97" s="4" t="s">
        <v>275</v>
      </c>
      <c r="C97" s="4" t="s">
        <v>276</v>
      </c>
      <c r="D97" s="63" t="s">
        <v>277</v>
      </c>
      <c r="E97" s="63"/>
      <c r="F97" s="63"/>
      <c r="G97" s="63"/>
      <c r="H97" s="63"/>
      <c r="I97" s="63"/>
      <c r="J97" s="63"/>
      <c r="K97" s="22">
        <v>4.2999999999999997E-2</v>
      </c>
      <c r="L97" s="22">
        <f>ROUND(17.71,3)</f>
        <v>17.71</v>
      </c>
      <c r="M97" s="23">
        <f>ROUND(K97*L97,2)</f>
        <v>0.76</v>
      </c>
    </row>
    <row r="98" spans="1:13" x14ac:dyDescent="0.2">
      <c r="A98" s="4" t="s">
        <v>278</v>
      </c>
      <c r="B98" s="4"/>
      <c r="C98" s="4" t="s">
        <v>279</v>
      </c>
      <c r="D98" s="63" t="s">
        <v>280</v>
      </c>
      <c r="E98" s="63"/>
      <c r="F98" s="63"/>
      <c r="G98" s="63"/>
      <c r="H98" s="63"/>
      <c r="I98" s="63"/>
      <c r="J98" s="63"/>
      <c r="K98" s="22">
        <v>2</v>
      </c>
      <c r="L98" s="22">
        <f>ROUND(2.86,3)</f>
        <v>2.86</v>
      </c>
      <c r="M98" s="23">
        <f>ROUND((K98*L98)/100,2)</f>
        <v>0.06</v>
      </c>
    </row>
    <row r="99" spans="1:13" x14ac:dyDescent="0.2">
      <c r="A99" s="25"/>
      <c r="B99" s="25"/>
      <c r="C99" s="25"/>
      <c r="D99" s="26" t="s">
        <v>281</v>
      </c>
      <c r="E99" s="25"/>
      <c r="F99" s="25"/>
      <c r="G99" s="25"/>
      <c r="H99" s="25"/>
      <c r="I99" s="25"/>
      <c r="J99" s="25"/>
      <c r="K99" s="27">
        <v>500</v>
      </c>
      <c r="L99" s="28">
        <f>ROUND((M95+M96+M97+M98)*(1+M2/100),2)</f>
        <v>3.01</v>
      </c>
      <c r="M99" s="28">
        <f>ROUND(K99*L99,2)</f>
        <v>1505</v>
      </c>
    </row>
    <row r="100" spans="1:13" x14ac:dyDescent="0.2">
      <c r="A100" s="42" t="s">
        <v>282</v>
      </c>
      <c r="B100" s="43" t="s">
        <v>283</v>
      </c>
      <c r="C100" s="43" t="s">
        <v>284</v>
      </c>
      <c r="D100" s="65" t="s">
        <v>285</v>
      </c>
      <c r="E100" s="65"/>
      <c r="F100" s="65"/>
      <c r="G100" s="65"/>
      <c r="H100" s="65"/>
      <c r="I100" s="65"/>
      <c r="J100" s="65"/>
      <c r="K100" s="44">
        <f>ROUND(10,2)</f>
        <v>10</v>
      </c>
      <c r="L100" s="45">
        <f>L106</f>
        <v>13.97</v>
      </c>
      <c r="M100" s="45">
        <f>ROUND(K100*L100,2)</f>
        <v>139.69999999999999</v>
      </c>
    </row>
    <row r="101" spans="1:13" ht="67.5" x14ac:dyDescent="0.2">
      <c r="A101" s="24"/>
      <c r="B101" s="24"/>
      <c r="C101" s="24"/>
      <c r="D101" s="63" t="s">
        <v>286</v>
      </c>
      <c r="E101" s="63"/>
      <c r="F101" s="63"/>
      <c r="G101" s="63"/>
      <c r="H101" s="63"/>
      <c r="I101" s="63"/>
      <c r="J101" s="63"/>
      <c r="K101" s="63"/>
      <c r="L101" s="63"/>
      <c r="M101" s="63"/>
    </row>
    <row r="102" spans="1:13" ht="78.75" x14ac:dyDescent="0.2">
      <c r="A102" s="4" t="s">
        <v>287</v>
      </c>
      <c r="B102" s="4" t="s">
        <v>288</v>
      </c>
      <c r="C102" s="4" t="s">
        <v>289</v>
      </c>
      <c r="D102" s="63" t="s">
        <v>290</v>
      </c>
      <c r="E102" s="63"/>
      <c r="F102" s="63"/>
      <c r="G102" s="63"/>
      <c r="H102" s="63"/>
      <c r="I102" s="63"/>
      <c r="J102" s="63"/>
      <c r="K102" s="22">
        <v>1</v>
      </c>
      <c r="L102" s="22">
        <f>ROUND(11.6,3)</f>
        <v>11.6</v>
      </c>
      <c r="M102" s="23">
        <f>ROUND(K102*L102,2)</f>
        <v>11.6</v>
      </c>
    </row>
    <row r="103" spans="1:13" x14ac:dyDescent="0.2">
      <c r="A103" s="4" t="s">
        <v>291</v>
      </c>
      <c r="B103" s="4" t="s">
        <v>292</v>
      </c>
      <c r="C103" s="4" t="s">
        <v>293</v>
      </c>
      <c r="D103" s="63" t="s">
        <v>294</v>
      </c>
      <c r="E103" s="63"/>
      <c r="F103" s="63"/>
      <c r="G103" s="63"/>
      <c r="H103" s="63"/>
      <c r="I103" s="63"/>
      <c r="J103" s="63"/>
      <c r="K103" s="22">
        <v>4.3999999999999997E-2</v>
      </c>
      <c r="L103" s="22">
        <f>ROUND(20.76,3)</f>
        <v>20.76</v>
      </c>
      <c r="M103" s="23">
        <f>ROUND(K103*L103,2)</f>
        <v>0.91</v>
      </c>
    </row>
    <row r="104" spans="1:13" x14ac:dyDescent="0.2">
      <c r="A104" s="4" t="s">
        <v>295</v>
      </c>
      <c r="B104" s="4" t="s">
        <v>296</v>
      </c>
      <c r="C104" s="4" t="s">
        <v>297</v>
      </c>
      <c r="D104" s="63" t="s">
        <v>298</v>
      </c>
      <c r="E104" s="63"/>
      <c r="F104" s="63"/>
      <c r="G104" s="63"/>
      <c r="H104" s="63"/>
      <c r="I104" s="63"/>
      <c r="J104" s="63"/>
      <c r="K104" s="22">
        <v>4.3999999999999997E-2</v>
      </c>
      <c r="L104" s="22">
        <f>ROUND(17.71,3)</f>
        <v>17.71</v>
      </c>
      <c r="M104" s="23">
        <f>ROUND(K104*L104,2)</f>
        <v>0.78</v>
      </c>
    </row>
    <row r="105" spans="1:13" x14ac:dyDescent="0.2">
      <c r="A105" s="4" t="s">
        <v>299</v>
      </c>
      <c r="B105" s="4"/>
      <c r="C105" s="4" t="s">
        <v>300</v>
      </c>
      <c r="D105" s="63" t="s">
        <v>301</v>
      </c>
      <c r="E105" s="63"/>
      <c r="F105" s="63"/>
      <c r="G105" s="63"/>
      <c r="H105" s="63"/>
      <c r="I105" s="63"/>
      <c r="J105" s="63"/>
      <c r="K105" s="22">
        <v>2</v>
      </c>
      <c r="L105" s="22">
        <f>ROUND(13.29,3)</f>
        <v>13.29</v>
      </c>
      <c r="M105" s="23">
        <f>ROUND((K105*L105)/100,2)</f>
        <v>0.27</v>
      </c>
    </row>
    <row r="106" spans="1:13" x14ac:dyDescent="0.2">
      <c r="A106" s="25"/>
      <c r="B106" s="25"/>
      <c r="C106" s="25"/>
      <c r="D106" s="26" t="s">
        <v>302</v>
      </c>
      <c r="E106" s="25"/>
      <c r="F106" s="25"/>
      <c r="G106" s="25"/>
      <c r="H106" s="25"/>
      <c r="I106" s="25"/>
      <c r="J106" s="25"/>
      <c r="K106" s="27">
        <v>10</v>
      </c>
      <c r="L106" s="28">
        <f>ROUND((M102+M103+M104+M105)*(1+M2/100),2)</f>
        <v>13.97</v>
      </c>
      <c r="M106" s="28">
        <f>ROUND(K106*L106,2)</f>
        <v>139.69999999999999</v>
      </c>
    </row>
    <row r="107" spans="1:13" ht="67.5" x14ac:dyDescent="0.2">
      <c r="A107" s="42" t="s">
        <v>303</v>
      </c>
      <c r="B107" s="43" t="s">
        <v>304</v>
      </c>
      <c r="C107" s="43" t="s">
        <v>305</v>
      </c>
      <c r="D107" s="65" t="s">
        <v>306</v>
      </c>
      <c r="E107" s="65"/>
      <c r="F107" s="65"/>
      <c r="G107" s="65"/>
      <c r="H107" s="65"/>
      <c r="I107" s="65"/>
      <c r="J107" s="65"/>
      <c r="K107" s="44">
        <f>ROUND(10,2)</f>
        <v>10</v>
      </c>
      <c r="L107" s="45">
        <f>L113</f>
        <v>2.19</v>
      </c>
      <c r="M107" s="45">
        <f>ROUND(K107*L107,2)</f>
        <v>21.9</v>
      </c>
    </row>
    <row r="108" spans="1:13" ht="67.5" x14ac:dyDescent="0.2">
      <c r="A108" s="24"/>
      <c r="B108" s="24"/>
      <c r="C108" s="24"/>
      <c r="D108" s="63" t="s">
        <v>307</v>
      </c>
      <c r="E108" s="63"/>
      <c r="F108" s="63"/>
      <c r="G108" s="63"/>
      <c r="H108" s="63"/>
      <c r="I108" s="63"/>
      <c r="J108" s="63"/>
      <c r="K108" s="63"/>
      <c r="L108" s="63"/>
      <c r="M108" s="63"/>
    </row>
    <row r="109" spans="1:13" ht="67.5" x14ac:dyDescent="0.2">
      <c r="A109" s="4" t="s">
        <v>308</v>
      </c>
      <c r="B109" s="4" t="s">
        <v>309</v>
      </c>
      <c r="C109" s="4" t="s">
        <v>310</v>
      </c>
      <c r="D109" s="63" t="s">
        <v>311</v>
      </c>
      <c r="E109" s="63"/>
      <c r="F109" s="63"/>
      <c r="G109" s="63"/>
      <c r="H109" s="63"/>
      <c r="I109" s="63"/>
      <c r="J109" s="63"/>
      <c r="K109" s="22">
        <v>1</v>
      </c>
      <c r="L109" s="22">
        <f>ROUND(1.43,3)</f>
        <v>1.43</v>
      </c>
      <c r="M109" s="23">
        <f>ROUND(K109*L109,2)</f>
        <v>1.43</v>
      </c>
    </row>
    <row r="110" spans="1:13" x14ac:dyDescent="0.2">
      <c r="A110" s="4" t="s">
        <v>312</v>
      </c>
      <c r="B110" s="4" t="s">
        <v>313</v>
      </c>
      <c r="C110" s="4" t="s">
        <v>314</v>
      </c>
      <c r="D110" s="63" t="s">
        <v>315</v>
      </c>
      <c r="E110" s="63"/>
      <c r="F110" s="63"/>
      <c r="G110" s="63"/>
      <c r="H110" s="63"/>
      <c r="I110" s="63"/>
      <c r="J110" s="63"/>
      <c r="K110" s="22">
        <v>1.6E-2</v>
      </c>
      <c r="L110" s="22">
        <f>ROUND(21.9,3)</f>
        <v>21.9</v>
      </c>
      <c r="M110" s="23">
        <f>ROUND(K110*L110,2)</f>
        <v>0.35</v>
      </c>
    </row>
    <row r="111" spans="1:13" x14ac:dyDescent="0.2">
      <c r="A111" s="4" t="s">
        <v>316</v>
      </c>
      <c r="B111" s="4" t="s">
        <v>317</v>
      </c>
      <c r="C111" s="4" t="s">
        <v>318</v>
      </c>
      <c r="D111" s="63" t="s">
        <v>319</v>
      </c>
      <c r="E111" s="63"/>
      <c r="F111" s="63"/>
      <c r="G111" s="63"/>
      <c r="H111" s="63"/>
      <c r="I111" s="63"/>
      <c r="J111" s="63"/>
      <c r="K111" s="22">
        <v>1.6E-2</v>
      </c>
      <c r="L111" s="22">
        <f>ROUND(19.19,3)</f>
        <v>19.190000000000001</v>
      </c>
      <c r="M111" s="23">
        <f>ROUND(K111*L111,2)</f>
        <v>0.31</v>
      </c>
    </row>
    <row r="112" spans="1:13" x14ac:dyDescent="0.2">
      <c r="A112" s="4" t="s">
        <v>320</v>
      </c>
      <c r="B112" s="4"/>
      <c r="C112" s="4" t="s">
        <v>321</v>
      </c>
      <c r="D112" s="63" t="s">
        <v>322</v>
      </c>
      <c r="E112" s="63"/>
      <c r="F112" s="63"/>
      <c r="G112" s="63"/>
      <c r="H112" s="63"/>
      <c r="I112" s="63"/>
      <c r="J112" s="63"/>
      <c r="K112" s="22">
        <v>2</v>
      </c>
      <c r="L112" s="22">
        <f>ROUND(2.09,3)</f>
        <v>2.09</v>
      </c>
      <c r="M112" s="23">
        <f>ROUND((K112*L112)/100,2)</f>
        <v>0.04</v>
      </c>
    </row>
    <row r="113" spans="1:13" x14ac:dyDescent="0.2">
      <c r="A113" s="25"/>
      <c r="B113" s="25"/>
      <c r="C113" s="25"/>
      <c r="D113" s="26" t="s">
        <v>323</v>
      </c>
      <c r="E113" s="25"/>
      <c r="F113" s="25"/>
      <c r="G113" s="25"/>
      <c r="H113" s="25"/>
      <c r="I113" s="25"/>
      <c r="J113" s="25"/>
      <c r="K113" s="27">
        <v>10</v>
      </c>
      <c r="L113" s="28">
        <f>ROUND((M109+M110+M111+M112)*(1+M2/100),2)</f>
        <v>2.19</v>
      </c>
      <c r="M113" s="28">
        <f>ROUND(K113*L113,2)</f>
        <v>21.9</v>
      </c>
    </row>
    <row r="114" spans="1:13" x14ac:dyDescent="0.2">
      <c r="A114" s="29"/>
      <c r="B114" s="29"/>
      <c r="C114" s="29"/>
      <c r="D114" s="30" t="s">
        <v>324</v>
      </c>
      <c r="E114" s="31"/>
      <c r="F114" s="31"/>
      <c r="G114" s="31"/>
      <c r="H114" s="31"/>
      <c r="I114" s="31"/>
      <c r="J114" s="31"/>
      <c r="K114" s="31"/>
      <c r="L114" s="32">
        <f>M86+M93+M100+M107</f>
        <v>3171.6</v>
      </c>
      <c r="M114" s="32">
        <f>ROUND(L114,2)</f>
        <v>3171.6</v>
      </c>
    </row>
    <row r="115" spans="1:13" x14ac:dyDescent="0.2">
      <c r="A115" s="46" t="s">
        <v>325</v>
      </c>
      <c r="B115" s="46" t="s">
        <v>326</v>
      </c>
      <c r="C115" s="47"/>
      <c r="D115" s="66" t="s">
        <v>327</v>
      </c>
      <c r="E115" s="66"/>
      <c r="F115" s="66"/>
      <c r="G115" s="66"/>
      <c r="H115" s="66"/>
      <c r="I115" s="66"/>
      <c r="J115" s="66"/>
      <c r="K115" s="47"/>
      <c r="L115" s="48">
        <f>L145</f>
        <v>2458.0300000000002</v>
      </c>
      <c r="M115" s="48">
        <f>ROUND(L115,2)</f>
        <v>2458.0300000000002</v>
      </c>
    </row>
    <row r="116" spans="1:13" ht="45" x14ac:dyDescent="0.2">
      <c r="A116" s="9" t="s">
        <v>328</v>
      </c>
      <c r="B116" s="4" t="s">
        <v>329</v>
      </c>
      <c r="C116" s="4" t="s">
        <v>330</v>
      </c>
      <c r="D116" s="63" t="s">
        <v>331</v>
      </c>
      <c r="E116" s="63"/>
      <c r="F116" s="63"/>
      <c r="G116" s="63"/>
      <c r="H116" s="63"/>
      <c r="I116" s="63"/>
      <c r="J116" s="63"/>
      <c r="K116" s="22">
        <f>ROUND(25,2)</f>
        <v>25</v>
      </c>
      <c r="L116" s="23">
        <f>L122</f>
        <v>1.62</v>
      </c>
      <c r="M116" s="23">
        <f>ROUND(K116*L116,2)</f>
        <v>40.5</v>
      </c>
    </row>
    <row r="117" spans="1:13" ht="45" x14ac:dyDescent="0.2">
      <c r="A117" s="24"/>
      <c r="B117" s="24"/>
      <c r="C117" s="24"/>
      <c r="D117" s="63" t="s">
        <v>332</v>
      </c>
      <c r="E117" s="63"/>
      <c r="F117" s="63"/>
      <c r="G117" s="63"/>
      <c r="H117" s="63"/>
      <c r="I117" s="63"/>
      <c r="J117" s="63"/>
      <c r="K117" s="63"/>
      <c r="L117" s="63"/>
      <c r="M117" s="63"/>
    </row>
    <row r="118" spans="1:13" ht="78.75" x14ac:dyDescent="0.2">
      <c r="A118" s="4" t="s">
        <v>333</v>
      </c>
      <c r="B118" s="4" t="s">
        <v>334</v>
      </c>
      <c r="C118" s="4" t="s">
        <v>335</v>
      </c>
      <c r="D118" s="63" t="s">
        <v>336</v>
      </c>
      <c r="E118" s="63"/>
      <c r="F118" s="63"/>
      <c r="G118" s="63"/>
      <c r="H118" s="63"/>
      <c r="I118" s="63"/>
      <c r="J118" s="63"/>
      <c r="K118" s="22">
        <v>1</v>
      </c>
      <c r="L118" s="22">
        <f>ROUND(0.82,3)</f>
        <v>0.82</v>
      </c>
      <c r="M118" s="23">
        <f>ROUND(K118*L118,2)</f>
        <v>0.82</v>
      </c>
    </row>
    <row r="119" spans="1:13" x14ac:dyDescent="0.2">
      <c r="A119" s="4" t="s">
        <v>337</v>
      </c>
      <c r="B119" s="4" t="s">
        <v>338</v>
      </c>
      <c r="C119" s="4" t="s">
        <v>339</v>
      </c>
      <c r="D119" s="63" t="s">
        <v>340</v>
      </c>
      <c r="E119" s="63"/>
      <c r="F119" s="63"/>
      <c r="G119" s="63"/>
      <c r="H119" s="63"/>
      <c r="I119" s="63"/>
      <c r="J119" s="63"/>
      <c r="K119" s="22">
        <v>1.7000000000000001E-2</v>
      </c>
      <c r="L119" s="22">
        <f>ROUND(20.76,3)</f>
        <v>20.76</v>
      </c>
      <c r="M119" s="23">
        <f>ROUND(K119*L119,2)</f>
        <v>0.35</v>
      </c>
    </row>
    <row r="120" spans="1:13" x14ac:dyDescent="0.2">
      <c r="A120" s="4" t="s">
        <v>341</v>
      </c>
      <c r="B120" s="4" t="s">
        <v>342</v>
      </c>
      <c r="C120" s="4" t="s">
        <v>343</v>
      </c>
      <c r="D120" s="63" t="s">
        <v>344</v>
      </c>
      <c r="E120" s="63"/>
      <c r="F120" s="63"/>
      <c r="G120" s="63"/>
      <c r="H120" s="63"/>
      <c r="I120" s="63"/>
      <c r="J120" s="63"/>
      <c r="K120" s="22">
        <v>2.1000000000000001E-2</v>
      </c>
      <c r="L120" s="22">
        <f>ROUND(17.71,3)</f>
        <v>17.71</v>
      </c>
      <c r="M120" s="23">
        <f>ROUND(K120*L120,2)</f>
        <v>0.37</v>
      </c>
    </row>
    <row r="121" spans="1:13" x14ac:dyDescent="0.2">
      <c r="A121" s="4" t="s">
        <v>345</v>
      </c>
      <c r="B121" s="4"/>
      <c r="C121" s="4" t="s">
        <v>346</v>
      </c>
      <c r="D121" s="63" t="s">
        <v>347</v>
      </c>
      <c r="E121" s="63"/>
      <c r="F121" s="63"/>
      <c r="G121" s="63"/>
      <c r="H121" s="63"/>
      <c r="I121" s="63"/>
      <c r="J121" s="63"/>
      <c r="K121" s="22">
        <v>2</v>
      </c>
      <c r="L121" s="22">
        <f>ROUND(1.54,3)</f>
        <v>1.54</v>
      </c>
      <c r="M121" s="23">
        <f>ROUND((K121*L121)/100,2)</f>
        <v>0.03</v>
      </c>
    </row>
    <row r="122" spans="1:13" x14ac:dyDescent="0.2">
      <c r="A122" s="25"/>
      <c r="B122" s="25"/>
      <c r="C122" s="25"/>
      <c r="D122" s="26" t="s">
        <v>348</v>
      </c>
      <c r="E122" s="25"/>
      <c r="F122" s="25"/>
      <c r="G122" s="25"/>
      <c r="H122" s="25"/>
      <c r="I122" s="25"/>
      <c r="J122" s="25"/>
      <c r="K122" s="27">
        <v>25</v>
      </c>
      <c r="L122" s="28">
        <f>ROUND((M118+M119+M120+M121)*(1+M2/100),2)</f>
        <v>1.62</v>
      </c>
      <c r="M122" s="28">
        <f>ROUND(K122*L122,2)</f>
        <v>40.5</v>
      </c>
    </row>
    <row r="123" spans="1:13" x14ac:dyDescent="0.2">
      <c r="A123" s="42" t="s">
        <v>349</v>
      </c>
      <c r="B123" s="43" t="s">
        <v>350</v>
      </c>
      <c r="C123" s="43" t="s">
        <v>351</v>
      </c>
      <c r="D123" s="65" t="s">
        <v>352</v>
      </c>
      <c r="E123" s="65"/>
      <c r="F123" s="65"/>
      <c r="G123" s="65"/>
      <c r="H123" s="65"/>
      <c r="I123" s="65"/>
      <c r="J123" s="65"/>
      <c r="K123" s="44">
        <f>ROUND(1,2)</f>
        <v>1</v>
      </c>
      <c r="L123" s="45">
        <f>L130</f>
        <v>236.43</v>
      </c>
      <c r="M123" s="45">
        <f>ROUND(K123*L123,2)</f>
        <v>236.43</v>
      </c>
    </row>
    <row r="124" spans="1:13" ht="82.5" customHeight="1" x14ac:dyDescent="0.2">
      <c r="A124" s="24"/>
      <c r="B124" s="24"/>
      <c r="C124" s="24"/>
      <c r="D124" s="63" t="s">
        <v>353</v>
      </c>
      <c r="E124" s="63"/>
      <c r="F124" s="63"/>
      <c r="G124" s="63"/>
      <c r="H124" s="63"/>
      <c r="I124" s="63"/>
      <c r="J124" s="63"/>
      <c r="K124" s="63"/>
      <c r="L124" s="63"/>
      <c r="M124" s="63"/>
    </row>
    <row r="125" spans="1:13" x14ac:dyDescent="0.2">
      <c r="A125" s="4" t="s">
        <v>354</v>
      </c>
      <c r="B125" s="4" t="s">
        <v>355</v>
      </c>
      <c r="C125" s="4" t="s">
        <v>356</v>
      </c>
      <c r="D125" s="63" t="s">
        <v>357</v>
      </c>
      <c r="E125" s="63"/>
      <c r="F125" s="63"/>
      <c r="G125" s="63"/>
      <c r="H125" s="63"/>
      <c r="I125" s="63"/>
      <c r="J125" s="63"/>
      <c r="K125" s="22">
        <v>1</v>
      </c>
      <c r="L125" s="22">
        <f>ROUND(70.192,3)</f>
        <v>70.191999999999993</v>
      </c>
      <c r="M125" s="23">
        <f>ROUND(K125*L125,2)</f>
        <v>70.19</v>
      </c>
    </row>
    <row r="126" spans="1:13" ht="33.75" x14ac:dyDescent="0.2">
      <c r="A126" s="4" t="s">
        <v>358</v>
      </c>
      <c r="B126" s="4" t="s">
        <v>359</v>
      </c>
      <c r="C126" s="4" t="s">
        <v>360</v>
      </c>
      <c r="D126" s="63" t="s">
        <v>361</v>
      </c>
      <c r="E126" s="63"/>
      <c r="F126" s="63"/>
      <c r="G126" s="63"/>
      <c r="H126" s="63"/>
      <c r="I126" s="63"/>
      <c r="J126" s="63"/>
      <c r="K126" s="22">
        <v>2</v>
      </c>
      <c r="L126" s="22">
        <f>ROUND(7.617,3)</f>
        <v>7.617</v>
      </c>
      <c r="M126" s="23">
        <f>ROUND(K126*L126,2)</f>
        <v>15.23</v>
      </c>
    </row>
    <row r="127" spans="1:13" x14ac:dyDescent="0.2">
      <c r="A127" s="4" t="s">
        <v>362</v>
      </c>
      <c r="B127" s="4" t="s">
        <v>363</v>
      </c>
      <c r="C127" s="4" t="s">
        <v>364</v>
      </c>
      <c r="D127" s="63" t="s">
        <v>365</v>
      </c>
      <c r="E127" s="63"/>
      <c r="F127" s="63"/>
      <c r="G127" s="63"/>
      <c r="H127" s="63"/>
      <c r="I127" s="63"/>
      <c r="J127" s="63"/>
      <c r="K127" s="22">
        <v>3.2240000000000002</v>
      </c>
      <c r="L127" s="22">
        <f>ROUND(23.56,3)</f>
        <v>23.56</v>
      </c>
      <c r="M127" s="23">
        <f>ROUND(K127*L127,2)</f>
        <v>75.959999999999994</v>
      </c>
    </row>
    <row r="128" spans="1:13" x14ac:dyDescent="0.2">
      <c r="A128" s="4" t="s">
        <v>366</v>
      </c>
      <c r="B128" s="4" t="s">
        <v>367</v>
      </c>
      <c r="C128" s="4" t="s">
        <v>368</v>
      </c>
      <c r="D128" s="63" t="s">
        <v>369</v>
      </c>
      <c r="E128" s="63"/>
      <c r="F128" s="63"/>
      <c r="G128" s="63"/>
      <c r="H128" s="63"/>
      <c r="I128" s="63"/>
      <c r="J128" s="63"/>
      <c r="K128" s="22">
        <v>3.22</v>
      </c>
      <c r="L128" s="22">
        <f>ROUND(19.77,3)</f>
        <v>19.77</v>
      </c>
      <c r="M128" s="23">
        <f>ROUND(K128*L128,2)</f>
        <v>63.66</v>
      </c>
    </row>
    <row r="129" spans="1:13" x14ac:dyDescent="0.2">
      <c r="A129" s="4" t="s">
        <v>370</v>
      </c>
      <c r="B129" s="4"/>
      <c r="C129" s="4" t="s">
        <v>371</v>
      </c>
      <c r="D129" s="63" t="s">
        <v>372</v>
      </c>
      <c r="E129" s="63"/>
      <c r="F129" s="63"/>
      <c r="G129" s="63"/>
      <c r="H129" s="63"/>
      <c r="I129" s="63"/>
      <c r="J129" s="63"/>
      <c r="K129" s="22">
        <v>2</v>
      </c>
      <c r="L129" s="22">
        <f>ROUND(225.04,3)</f>
        <v>225.04</v>
      </c>
      <c r="M129" s="23">
        <f>ROUND((K129*L129)/100,2)</f>
        <v>4.5</v>
      </c>
    </row>
    <row r="130" spans="1:13" x14ac:dyDescent="0.2">
      <c r="A130" s="25"/>
      <c r="B130" s="25"/>
      <c r="C130" s="25"/>
      <c r="D130" s="26" t="s">
        <v>373</v>
      </c>
      <c r="E130" s="25"/>
      <c r="F130" s="25"/>
      <c r="G130" s="25"/>
      <c r="H130" s="25"/>
      <c r="I130" s="25"/>
      <c r="J130" s="25"/>
      <c r="K130" s="27">
        <v>1</v>
      </c>
      <c r="L130" s="28">
        <f>ROUND((M125+M126+M127+M128+M129)*(1+M2/100),2)</f>
        <v>236.43</v>
      </c>
      <c r="M130" s="28">
        <f>ROUND(K130*L130,2)</f>
        <v>236.43</v>
      </c>
    </row>
    <row r="131" spans="1:13" ht="22.5" x14ac:dyDescent="0.2">
      <c r="A131" s="42" t="s">
        <v>374</v>
      </c>
      <c r="B131" s="43" t="s">
        <v>375</v>
      </c>
      <c r="C131" s="43" t="s">
        <v>376</v>
      </c>
      <c r="D131" s="65" t="s">
        <v>377</v>
      </c>
      <c r="E131" s="65"/>
      <c r="F131" s="65"/>
      <c r="G131" s="65"/>
      <c r="H131" s="65"/>
      <c r="I131" s="65"/>
      <c r="J131" s="65"/>
      <c r="K131" s="44">
        <f>ROUND(70,2)</f>
        <v>70</v>
      </c>
      <c r="L131" s="45">
        <f>L137</f>
        <v>27.19</v>
      </c>
      <c r="M131" s="45">
        <f>ROUND(K131*L131,2)</f>
        <v>1903.3</v>
      </c>
    </row>
    <row r="132" spans="1:13" ht="67.5" x14ac:dyDescent="0.2">
      <c r="A132" s="24"/>
      <c r="B132" s="24"/>
      <c r="C132" s="24"/>
      <c r="D132" s="63" t="s">
        <v>378</v>
      </c>
      <c r="E132" s="63"/>
      <c r="F132" s="63"/>
      <c r="G132" s="63"/>
      <c r="H132" s="63"/>
      <c r="I132" s="63"/>
      <c r="J132" s="63"/>
      <c r="K132" s="63"/>
      <c r="L132" s="63"/>
      <c r="M132" s="63"/>
    </row>
    <row r="133" spans="1:13" ht="93.75" customHeight="1" x14ac:dyDescent="0.2">
      <c r="A133" s="4" t="s">
        <v>379</v>
      </c>
      <c r="B133" s="4" t="s">
        <v>380</v>
      </c>
      <c r="C133" s="4" t="s">
        <v>381</v>
      </c>
      <c r="D133" s="63" t="s">
        <v>382</v>
      </c>
      <c r="E133" s="63"/>
      <c r="F133" s="63"/>
      <c r="G133" s="63"/>
      <c r="H133" s="63"/>
      <c r="I133" s="63"/>
      <c r="J133" s="63"/>
      <c r="K133" s="22">
        <v>1</v>
      </c>
      <c r="L133" s="22">
        <f>ROUND(22.66,3)</f>
        <v>22.66</v>
      </c>
      <c r="M133" s="23">
        <f>ROUND(K133*L133,2)</f>
        <v>22.66</v>
      </c>
    </row>
    <row r="134" spans="1:13" x14ac:dyDescent="0.2">
      <c r="A134" s="4" t="s">
        <v>383</v>
      </c>
      <c r="B134" s="4" t="s">
        <v>384</v>
      </c>
      <c r="C134" s="4" t="s">
        <v>385</v>
      </c>
      <c r="D134" s="63" t="s">
        <v>386</v>
      </c>
      <c r="E134" s="63"/>
      <c r="F134" s="63"/>
      <c r="G134" s="63"/>
      <c r="H134" s="63"/>
      <c r="I134" s="63"/>
      <c r="J134" s="63"/>
      <c r="K134" s="22">
        <v>0.109</v>
      </c>
      <c r="L134" s="22">
        <f>ROUND(20.76,3)</f>
        <v>20.76</v>
      </c>
      <c r="M134" s="23">
        <f>ROUND(K134*L134,2)</f>
        <v>2.2599999999999998</v>
      </c>
    </row>
    <row r="135" spans="1:13" x14ac:dyDescent="0.2">
      <c r="A135" s="4" t="s">
        <v>387</v>
      </c>
      <c r="B135" s="4" t="s">
        <v>388</v>
      </c>
      <c r="C135" s="4" t="s">
        <v>389</v>
      </c>
      <c r="D135" s="63" t="s">
        <v>390</v>
      </c>
      <c r="E135" s="63"/>
      <c r="F135" s="63"/>
      <c r="G135" s="63"/>
      <c r="H135" s="63"/>
      <c r="I135" s="63"/>
      <c r="J135" s="63"/>
      <c r="K135" s="22">
        <v>5.3999999999999999E-2</v>
      </c>
      <c r="L135" s="22">
        <f>ROUND(17.71,3)</f>
        <v>17.71</v>
      </c>
      <c r="M135" s="23">
        <f>ROUND(K135*L135,2)</f>
        <v>0.96</v>
      </c>
    </row>
    <row r="136" spans="1:13" x14ac:dyDescent="0.2">
      <c r="A136" s="4" t="s">
        <v>391</v>
      </c>
      <c r="B136" s="4"/>
      <c r="C136" s="4" t="s">
        <v>392</v>
      </c>
      <c r="D136" s="63" t="s">
        <v>393</v>
      </c>
      <c r="E136" s="63"/>
      <c r="F136" s="63"/>
      <c r="G136" s="63"/>
      <c r="H136" s="63"/>
      <c r="I136" s="63"/>
      <c r="J136" s="63"/>
      <c r="K136" s="22">
        <v>2</v>
      </c>
      <c r="L136" s="22">
        <f>ROUND(25.88,3)</f>
        <v>25.88</v>
      </c>
      <c r="M136" s="23">
        <f>ROUND((K136*L136)/100,2)</f>
        <v>0.52</v>
      </c>
    </row>
    <row r="137" spans="1:13" x14ac:dyDescent="0.2">
      <c r="A137" s="25"/>
      <c r="B137" s="25"/>
      <c r="C137" s="25"/>
      <c r="D137" s="26" t="s">
        <v>394</v>
      </c>
      <c r="E137" s="25"/>
      <c r="F137" s="25"/>
      <c r="G137" s="25"/>
      <c r="H137" s="25"/>
      <c r="I137" s="25"/>
      <c r="J137" s="25"/>
      <c r="K137" s="27">
        <v>70</v>
      </c>
      <c r="L137" s="28">
        <f>ROUND((M133+M134+M135+M136)*(1+M2/100),2)</f>
        <v>27.19</v>
      </c>
      <c r="M137" s="28">
        <f>ROUND(K137*L137,2)</f>
        <v>1903.3</v>
      </c>
    </row>
    <row r="138" spans="1:13" ht="22.5" x14ac:dyDescent="0.2">
      <c r="A138" s="42" t="s">
        <v>395</v>
      </c>
      <c r="B138" s="43" t="s">
        <v>396</v>
      </c>
      <c r="C138" s="43" t="s">
        <v>397</v>
      </c>
      <c r="D138" s="65" t="s">
        <v>398</v>
      </c>
      <c r="E138" s="65"/>
      <c r="F138" s="65"/>
      <c r="G138" s="65"/>
      <c r="H138" s="65"/>
      <c r="I138" s="65"/>
      <c r="J138" s="65"/>
      <c r="K138" s="44">
        <f>ROUND(10,2)</f>
        <v>10</v>
      </c>
      <c r="L138" s="45">
        <f>L144</f>
        <v>27.78</v>
      </c>
      <c r="M138" s="45">
        <f>ROUND(K138*L138,2)</f>
        <v>277.8</v>
      </c>
    </row>
    <row r="139" spans="1:13" ht="67.5" x14ac:dyDescent="0.2">
      <c r="A139" s="24"/>
      <c r="B139" s="24"/>
      <c r="C139" s="24"/>
      <c r="D139" s="63" t="s">
        <v>399</v>
      </c>
      <c r="E139" s="63"/>
      <c r="F139" s="63"/>
      <c r="G139" s="63"/>
      <c r="H139" s="63"/>
      <c r="I139" s="63"/>
      <c r="J139" s="63"/>
      <c r="K139" s="63"/>
      <c r="L139" s="63"/>
      <c r="M139" s="63"/>
    </row>
    <row r="140" spans="1:13" ht="90" x14ac:dyDescent="0.2">
      <c r="A140" s="4" t="s">
        <v>400</v>
      </c>
      <c r="B140" s="4" t="s">
        <v>401</v>
      </c>
      <c r="C140" s="4" t="s">
        <v>402</v>
      </c>
      <c r="D140" s="63" t="s">
        <v>403</v>
      </c>
      <c r="E140" s="63"/>
      <c r="F140" s="63"/>
      <c r="G140" s="63"/>
      <c r="H140" s="63"/>
      <c r="I140" s="63"/>
      <c r="J140" s="63"/>
      <c r="K140" s="22">
        <v>1</v>
      </c>
      <c r="L140" s="22">
        <f>ROUND(22.25,3)</f>
        <v>22.25</v>
      </c>
      <c r="M140" s="23">
        <f>ROUND(K140*L140,2)</f>
        <v>22.25</v>
      </c>
    </row>
    <row r="141" spans="1:13" x14ac:dyDescent="0.2">
      <c r="A141" s="4" t="s">
        <v>404</v>
      </c>
      <c r="B141" s="4" t="s">
        <v>405</v>
      </c>
      <c r="C141" s="4" t="s">
        <v>406</v>
      </c>
      <c r="D141" s="63" t="s">
        <v>407</v>
      </c>
      <c r="E141" s="63"/>
      <c r="F141" s="63"/>
      <c r="G141" s="63"/>
      <c r="H141" s="63"/>
      <c r="I141" s="63"/>
      <c r="J141" s="63"/>
      <c r="K141" s="22">
        <v>0.14099999999999999</v>
      </c>
      <c r="L141" s="22">
        <f>ROUND(20.76,3)</f>
        <v>20.76</v>
      </c>
      <c r="M141" s="23">
        <f>ROUND(K141*L141,2)</f>
        <v>2.93</v>
      </c>
    </row>
    <row r="142" spans="1:13" x14ac:dyDescent="0.2">
      <c r="A142" s="4" t="s">
        <v>408</v>
      </c>
      <c r="B142" s="4" t="s">
        <v>409</v>
      </c>
      <c r="C142" s="4" t="s">
        <v>410</v>
      </c>
      <c r="D142" s="63" t="s">
        <v>411</v>
      </c>
      <c r="E142" s="63"/>
      <c r="F142" s="63"/>
      <c r="G142" s="63"/>
      <c r="H142" s="63"/>
      <c r="I142" s="63"/>
      <c r="J142" s="63"/>
      <c r="K142" s="22">
        <v>7.0999999999999994E-2</v>
      </c>
      <c r="L142" s="22">
        <f>ROUND(17.71,3)</f>
        <v>17.71</v>
      </c>
      <c r="M142" s="23">
        <f>ROUND(K142*L142,2)</f>
        <v>1.26</v>
      </c>
    </row>
    <row r="143" spans="1:13" x14ac:dyDescent="0.2">
      <c r="A143" s="4" t="s">
        <v>412</v>
      </c>
      <c r="B143" s="4"/>
      <c r="C143" s="4" t="s">
        <v>413</v>
      </c>
      <c r="D143" s="63" t="s">
        <v>414</v>
      </c>
      <c r="E143" s="63"/>
      <c r="F143" s="63"/>
      <c r="G143" s="63"/>
      <c r="H143" s="63"/>
      <c r="I143" s="63"/>
      <c r="J143" s="63"/>
      <c r="K143" s="22">
        <v>2</v>
      </c>
      <c r="L143" s="22">
        <f>ROUND(26.44,3)</f>
        <v>26.44</v>
      </c>
      <c r="M143" s="23">
        <f>ROUND((K143*L143)/100,2)</f>
        <v>0.53</v>
      </c>
    </row>
    <row r="144" spans="1:13" x14ac:dyDescent="0.2">
      <c r="A144" s="25"/>
      <c r="B144" s="25"/>
      <c r="C144" s="25"/>
      <c r="D144" s="26" t="s">
        <v>415</v>
      </c>
      <c r="E144" s="25"/>
      <c r="F144" s="25"/>
      <c r="G144" s="25"/>
      <c r="H144" s="25"/>
      <c r="I144" s="25"/>
      <c r="J144" s="25"/>
      <c r="K144" s="27">
        <v>10</v>
      </c>
      <c r="L144" s="28">
        <f>ROUND((M140+M141+M142+M143)*(1+M2/100),2)</f>
        <v>27.78</v>
      </c>
      <c r="M144" s="28">
        <f>ROUND(K144*L144,2)</f>
        <v>277.8</v>
      </c>
    </row>
    <row r="145" spans="1:13" x14ac:dyDescent="0.2">
      <c r="A145" s="29"/>
      <c r="B145" s="29"/>
      <c r="C145" s="29"/>
      <c r="D145" s="30" t="s">
        <v>416</v>
      </c>
      <c r="E145" s="31"/>
      <c r="F145" s="31"/>
      <c r="G145" s="31"/>
      <c r="H145" s="31"/>
      <c r="I145" s="31"/>
      <c r="J145" s="31"/>
      <c r="K145" s="31"/>
      <c r="L145" s="32">
        <f>M116+M123+M131+M138</f>
        <v>2458.0300000000002</v>
      </c>
      <c r="M145" s="32">
        <f>ROUND(L145,2)</f>
        <v>2458.0300000000002</v>
      </c>
    </row>
    <row r="146" spans="1:13" x14ac:dyDescent="0.2">
      <c r="A146" s="46" t="s">
        <v>417</v>
      </c>
      <c r="B146" s="46" t="s">
        <v>418</v>
      </c>
      <c r="C146" s="47"/>
      <c r="D146" s="66" t="s">
        <v>419</v>
      </c>
      <c r="E146" s="66"/>
      <c r="F146" s="66"/>
      <c r="G146" s="66"/>
      <c r="H146" s="66"/>
      <c r="I146" s="66"/>
      <c r="J146" s="66"/>
      <c r="K146" s="47"/>
      <c r="L146" s="48">
        <f>L154</f>
        <v>248</v>
      </c>
      <c r="M146" s="48">
        <f>ROUND(L146,2)</f>
        <v>248</v>
      </c>
    </row>
    <row r="147" spans="1:13" ht="36" customHeight="1" x14ac:dyDescent="0.2">
      <c r="A147" s="9" t="s">
        <v>420</v>
      </c>
      <c r="B147" s="4" t="s">
        <v>421</v>
      </c>
      <c r="C147" s="4" t="s">
        <v>422</v>
      </c>
      <c r="D147" s="63" t="s">
        <v>423</v>
      </c>
      <c r="E147" s="63"/>
      <c r="F147" s="63"/>
      <c r="G147" s="63"/>
      <c r="H147" s="63"/>
      <c r="I147" s="63"/>
      <c r="J147" s="63"/>
      <c r="K147" s="22">
        <f>ROUND(100,2)</f>
        <v>100</v>
      </c>
      <c r="L147" s="23">
        <f>L153</f>
        <v>2.48</v>
      </c>
      <c r="M147" s="23">
        <f>ROUND(K147*L147,2)</f>
        <v>248</v>
      </c>
    </row>
    <row r="148" spans="1:13" ht="33.75" x14ac:dyDescent="0.2">
      <c r="A148" s="24"/>
      <c r="B148" s="24"/>
      <c r="C148" s="24"/>
      <c r="D148" s="63" t="s">
        <v>424</v>
      </c>
      <c r="E148" s="63"/>
      <c r="F148" s="63"/>
      <c r="G148" s="63"/>
      <c r="H148" s="63"/>
      <c r="I148" s="63"/>
      <c r="J148" s="63"/>
      <c r="K148" s="63"/>
      <c r="L148" s="63"/>
      <c r="M148" s="63"/>
    </row>
    <row r="149" spans="1:13" ht="45" x14ac:dyDescent="0.2">
      <c r="A149" s="4" t="s">
        <v>425</v>
      </c>
      <c r="B149" s="4" t="s">
        <v>426</v>
      </c>
      <c r="C149" s="4" t="s">
        <v>427</v>
      </c>
      <c r="D149" s="63" t="s">
        <v>428</v>
      </c>
      <c r="E149" s="63"/>
      <c r="F149" s="63"/>
      <c r="G149" s="63"/>
      <c r="H149" s="63"/>
      <c r="I149" s="63"/>
      <c r="J149" s="63"/>
      <c r="K149" s="22">
        <v>1</v>
      </c>
      <c r="L149" s="22">
        <f>ROUND(1.75,3)</f>
        <v>1.75</v>
      </c>
      <c r="M149" s="23">
        <f>ROUND(K149*L149,2)</f>
        <v>1.75</v>
      </c>
    </row>
    <row r="150" spans="1:13" x14ac:dyDescent="0.2">
      <c r="A150" s="4" t="s">
        <v>429</v>
      </c>
      <c r="B150" s="4" t="s">
        <v>430</v>
      </c>
      <c r="C150" s="4" t="s">
        <v>431</v>
      </c>
      <c r="D150" s="63" t="s">
        <v>432</v>
      </c>
      <c r="E150" s="63"/>
      <c r="F150" s="63"/>
      <c r="G150" s="63"/>
      <c r="H150" s="63"/>
      <c r="I150" s="63"/>
      <c r="J150" s="63"/>
      <c r="K150" s="22">
        <v>1.6E-2</v>
      </c>
      <c r="L150" s="22">
        <f>ROUND(20.76,3)</f>
        <v>20.76</v>
      </c>
      <c r="M150" s="23">
        <f>ROUND(K150*L150,2)</f>
        <v>0.33</v>
      </c>
    </row>
    <row r="151" spans="1:13" x14ac:dyDescent="0.2">
      <c r="A151" s="4" t="s">
        <v>433</v>
      </c>
      <c r="B151" s="4" t="s">
        <v>434</v>
      </c>
      <c r="C151" s="4" t="s">
        <v>435</v>
      </c>
      <c r="D151" s="63" t="s">
        <v>436</v>
      </c>
      <c r="E151" s="63"/>
      <c r="F151" s="63"/>
      <c r="G151" s="63"/>
      <c r="H151" s="63"/>
      <c r="I151" s="63"/>
      <c r="J151" s="63"/>
      <c r="K151" s="22">
        <v>1.6E-2</v>
      </c>
      <c r="L151" s="22">
        <f>ROUND(17.71,3)</f>
        <v>17.71</v>
      </c>
      <c r="M151" s="23">
        <f>ROUND(K151*L151,2)</f>
        <v>0.28000000000000003</v>
      </c>
    </row>
    <row r="152" spans="1:13" x14ac:dyDescent="0.2">
      <c r="A152" s="4" t="s">
        <v>437</v>
      </c>
      <c r="B152" s="4"/>
      <c r="C152" s="4" t="s">
        <v>438</v>
      </c>
      <c r="D152" s="63" t="s">
        <v>439</v>
      </c>
      <c r="E152" s="63"/>
      <c r="F152" s="63"/>
      <c r="G152" s="63"/>
      <c r="H152" s="63"/>
      <c r="I152" s="63"/>
      <c r="J152" s="63"/>
      <c r="K152" s="22">
        <v>2</v>
      </c>
      <c r="L152" s="22">
        <f>ROUND(2.36,3)</f>
        <v>2.36</v>
      </c>
      <c r="M152" s="23">
        <f>ROUND((K152*L152)/100,2)</f>
        <v>0.05</v>
      </c>
    </row>
    <row r="153" spans="1:13" x14ac:dyDescent="0.2">
      <c r="A153" s="25"/>
      <c r="B153" s="25"/>
      <c r="C153" s="25"/>
      <c r="D153" s="26" t="s">
        <v>440</v>
      </c>
      <c r="E153" s="25"/>
      <c r="F153" s="25"/>
      <c r="G153" s="25"/>
      <c r="H153" s="25"/>
      <c r="I153" s="25"/>
      <c r="J153" s="25"/>
      <c r="K153" s="27">
        <v>100</v>
      </c>
      <c r="L153" s="28">
        <f>ROUND((M149+M150+M151+M152)*(1+M2/100),2)</f>
        <v>2.48</v>
      </c>
      <c r="M153" s="28">
        <f>ROUND(K153*L153,2)</f>
        <v>248</v>
      </c>
    </row>
    <row r="154" spans="1:13" x14ac:dyDescent="0.2">
      <c r="A154" s="29"/>
      <c r="B154" s="29"/>
      <c r="C154" s="29"/>
      <c r="D154" s="30" t="s">
        <v>441</v>
      </c>
      <c r="E154" s="31"/>
      <c r="F154" s="31"/>
      <c r="G154" s="31"/>
      <c r="H154" s="31"/>
      <c r="I154" s="31"/>
      <c r="J154" s="31"/>
      <c r="K154" s="31"/>
      <c r="L154" s="32">
        <f>M147</f>
        <v>248</v>
      </c>
      <c r="M154" s="32">
        <f>ROUND(L154,2)</f>
        <v>248</v>
      </c>
    </row>
    <row r="155" spans="1:13" x14ac:dyDescent="0.2">
      <c r="A155" s="29"/>
      <c r="B155" s="29"/>
      <c r="C155" s="29"/>
      <c r="D155" s="33" t="s">
        <v>442</v>
      </c>
      <c r="E155" s="34"/>
      <c r="F155" s="34"/>
      <c r="G155" s="34"/>
      <c r="H155" s="34"/>
      <c r="I155" s="34"/>
      <c r="J155" s="34"/>
      <c r="K155" s="34"/>
      <c r="L155" s="35">
        <f>M57+M84+M114+M145+M154</f>
        <v>22160.23</v>
      </c>
      <c r="M155" s="35">
        <f>ROUND(L155,2)</f>
        <v>22160.23</v>
      </c>
    </row>
    <row r="156" spans="1:13" x14ac:dyDescent="0.2">
      <c r="A156" s="49" t="s">
        <v>443</v>
      </c>
      <c r="B156" s="49" t="s">
        <v>444</v>
      </c>
      <c r="C156" s="50"/>
      <c r="D156" s="67" t="s">
        <v>445</v>
      </c>
      <c r="E156" s="67"/>
      <c r="F156" s="67"/>
      <c r="G156" s="67"/>
      <c r="H156" s="67"/>
      <c r="I156" s="67"/>
      <c r="J156" s="67"/>
      <c r="K156" s="50"/>
      <c r="L156" s="51">
        <f>L159</f>
        <v>1950</v>
      </c>
      <c r="M156" s="51">
        <f>ROUND(L156,2)</f>
        <v>1950</v>
      </c>
    </row>
    <row r="157" spans="1:13" ht="78.75" x14ac:dyDescent="0.2">
      <c r="A157" s="9" t="s">
        <v>446</v>
      </c>
      <c r="B157" s="4" t="s">
        <v>447</v>
      </c>
      <c r="C157" s="4" t="s">
        <v>448</v>
      </c>
      <c r="D157" s="63" t="s">
        <v>449</v>
      </c>
      <c r="E157" s="63"/>
      <c r="F157" s="63"/>
      <c r="G157" s="63"/>
      <c r="H157" s="63"/>
      <c r="I157" s="63"/>
      <c r="J157" s="63"/>
      <c r="K157" s="22">
        <f>ROUND(1,2)</f>
        <v>1</v>
      </c>
      <c r="L157" s="23">
        <f>ROUND(1893.204*(1+M2/100),2)</f>
        <v>1950</v>
      </c>
      <c r="M157" s="23">
        <f>ROUND(K157*L157,2)</f>
        <v>1950</v>
      </c>
    </row>
    <row r="158" spans="1:13" ht="72" customHeight="1" x14ac:dyDescent="0.2">
      <c r="A158" s="24"/>
      <c r="B158" s="24"/>
      <c r="C158" s="24"/>
      <c r="D158" s="63" t="s">
        <v>450</v>
      </c>
      <c r="E158" s="63"/>
      <c r="F158" s="63"/>
      <c r="G158" s="63"/>
      <c r="H158" s="63"/>
      <c r="I158" s="63"/>
      <c r="J158" s="63"/>
      <c r="K158" s="63"/>
      <c r="L158" s="63"/>
      <c r="M158" s="63"/>
    </row>
    <row r="159" spans="1:13" x14ac:dyDescent="0.2">
      <c r="A159" s="25"/>
      <c r="B159" s="25"/>
      <c r="C159" s="25"/>
      <c r="D159" s="52" t="s">
        <v>451</v>
      </c>
      <c r="E159" s="53"/>
      <c r="F159" s="53"/>
      <c r="G159" s="53"/>
      <c r="H159" s="53"/>
      <c r="I159" s="53"/>
      <c r="J159" s="53"/>
      <c r="K159" s="53"/>
      <c r="L159" s="54">
        <f>M157</f>
        <v>1950</v>
      </c>
      <c r="M159" s="54">
        <f>ROUND(L159,2)</f>
        <v>1950</v>
      </c>
    </row>
    <row r="160" spans="1:13" x14ac:dyDescent="0.2">
      <c r="A160" s="29"/>
      <c r="B160" s="29"/>
      <c r="C160" s="29"/>
      <c r="D160" s="36" t="s">
        <v>452</v>
      </c>
      <c r="E160" s="37"/>
      <c r="F160" s="37"/>
      <c r="G160" s="37"/>
      <c r="H160" s="37"/>
      <c r="I160" s="37"/>
      <c r="J160" s="37"/>
      <c r="K160" s="37"/>
      <c r="L160" s="38">
        <f>M155+M159</f>
        <v>24110.23</v>
      </c>
      <c r="M160" s="38">
        <f>ROUND(L160,2)</f>
        <v>24110.23</v>
      </c>
    </row>
    <row r="161" spans="1:13" x14ac:dyDescent="0.2">
      <c r="A161" s="39" t="s">
        <v>453</v>
      </c>
      <c r="B161" s="39" t="s">
        <v>454</v>
      </c>
      <c r="C161" s="40"/>
      <c r="D161" s="64" t="s">
        <v>455</v>
      </c>
      <c r="E161" s="64"/>
      <c r="F161" s="64"/>
      <c r="G161" s="64"/>
      <c r="H161" s="64"/>
      <c r="I161" s="64"/>
      <c r="J161" s="64"/>
      <c r="K161" s="40"/>
      <c r="L161" s="41">
        <f>L190</f>
        <v>1708.28</v>
      </c>
      <c r="M161" s="41">
        <f>ROUND(L161,2)</f>
        <v>1708.28</v>
      </c>
    </row>
    <row r="162" spans="1:13" ht="56.25" customHeight="1" x14ac:dyDescent="0.2">
      <c r="A162" s="9" t="s">
        <v>456</v>
      </c>
      <c r="B162" s="4" t="s">
        <v>457</v>
      </c>
      <c r="C162" s="4" t="s">
        <v>458</v>
      </c>
      <c r="D162" s="63" t="s">
        <v>459</v>
      </c>
      <c r="E162" s="63"/>
      <c r="F162" s="63"/>
      <c r="G162" s="63"/>
      <c r="H162" s="63"/>
      <c r="I162" s="63"/>
      <c r="J162" s="63"/>
      <c r="K162" s="22">
        <f>ROUND(1,2)</f>
        <v>1</v>
      </c>
      <c r="L162" s="23">
        <f>ROUND(533.981*(1+M2/100),2)</f>
        <v>550</v>
      </c>
      <c r="M162" s="23">
        <f>ROUND(K162*L162,2)</f>
        <v>550</v>
      </c>
    </row>
    <row r="163" spans="1:13" ht="56.25" x14ac:dyDescent="0.2">
      <c r="A163" s="24"/>
      <c r="B163" s="24"/>
      <c r="C163" s="24"/>
      <c r="D163" s="63" t="s">
        <v>460</v>
      </c>
      <c r="E163" s="63"/>
      <c r="F163" s="63"/>
      <c r="G163" s="63"/>
      <c r="H163" s="63"/>
      <c r="I163" s="63"/>
      <c r="J163" s="63"/>
      <c r="K163" s="63"/>
      <c r="L163" s="63"/>
      <c r="M163" s="63"/>
    </row>
    <row r="164" spans="1:13" ht="22.5" x14ac:dyDescent="0.2">
      <c r="A164" s="9" t="s">
        <v>461</v>
      </c>
      <c r="B164" s="4" t="s">
        <v>462</v>
      </c>
      <c r="C164" s="4" t="s">
        <v>463</v>
      </c>
      <c r="D164" s="63" t="s">
        <v>464</v>
      </c>
      <c r="E164" s="63"/>
      <c r="F164" s="63"/>
      <c r="G164" s="63"/>
      <c r="H164" s="63"/>
      <c r="I164" s="63"/>
      <c r="J164" s="63"/>
      <c r="K164" s="22">
        <f>ROUND(40,2)</f>
        <v>40</v>
      </c>
      <c r="L164" s="23">
        <f>L169</f>
        <v>5.15</v>
      </c>
      <c r="M164" s="23">
        <f>ROUND(K164*L164,2)</f>
        <v>206</v>
      </c>
    </row>
    <row r="165" spans="1:13" ht="67.5" x14ac:dyDescent="0.2">
      <c r="A165" s="24"/>
      <c r="B165" s="24"/>
      <c r="C165" s="24"/>
      <c r="D165" s="63" t="s">
        <v>465</v>
      </c>
      <c r="E165" s="63"/>
      <c r="F165" s="63"/>
      <c r="G165" s="63"/>
      <c r="H165" s="63"/>
      <c r="I165" s="63"/>
      <c r="J165" s="63"/>
      <c r="K165" s="63"/>
      <c r="L165" s="63"/>
      <c r="M165" s="63"/>
    </row>
    <row r="166" spans="1:13" x14ac:dyDescent="0.2">
      <c r="A166" s="4" t="s">
        <v>466</v>
      </c>
      <c r="B166" s="4" t="s">
        <v>467</v>
      </c>
      <c r="C166" s="4" t="s">
        <v>468</v>
      </c>
      <c r="D166" s="63" t="s">
        <v>469</v>
      </c>
      <c r="E166" s="63"/>
      <c r="F166" s="63"/>
      <c r="G166" s="63"/>
      <c r="H166" s="63"/>
      <c r="I166" s="63"/>
      <c r="J166" s="63"/>
      <c r="K166" s="22">
        <v>2.8000000000000001E-2</v>
      </c>
      <c r="L166" s="22">
        <f>ROUND(22.07,3)</f>
        <v>22.07</v>
      </c>
      <c r="M166" s="23">
        <f>ROUND(K166*L166,2)</f>
        <v>0.62</v>
      </c>
    </row>
    <row r="167" spans="1:13" ht="22.5" x14ac:dyDescent="0.2">
      <c r="A167" s="4" t="s">
        <v>470</v>
      </c>
      <c r="B167" s="4" t="s">
        <v>471</v>
      </c>
      <c r="C167" s="4" t="s">
        <v>472</v>
      </c>
      <c r="D167" s="63" t="s">
        <v>473</v>
      </c>
      <c r="E167" s="63"/>
      <c r="F167" s="63"/>
      <c r="G167" s="63"/>
      <c r="H167" s="63"/>
      <c r="I167" s="63"/>
      <c r="J167" s="63"/>
      <c r="K167" s="22">
        <v>1.05</v>
      </c>
      <c r="L167" s="22">
        <f>ROUND(4.078,3)</f>
        <v>4.0780000000000003</v>
      </c>
      <c r="M167" s="23">
        <f>ROUND(K167*L167,2)</f>
        <v>4.28</v>
      </c>
    </row>
    <row r="168" spans="1:13" x14ac:dyDescent="0.2">
      <c r="A168" s="4" t="s">
        <v>474</v>
      </c>
      <c r="B168" s="4"/>
      <c r="C168" s="4" t="s">
        <v>475</v>
      </c>
      <c r="D168" s="63" t="s">
        <v>476</v>
      </c>
      <c r="E168" s="63"/>
      <c r="F168" s="63"/>
      <c r="G168" s="63"/>
      <c r="H168" s="63"/>
      <c r="I168" s="63"/>
      <c r="J168" s="63"/>
      <c r="K168" s="22">
        <v>2</v>
      </c>
      <c r="L168" s="22">
        <f>ROUND(4.9,3)</f>
        <v>4.9000000000000004</v>
      </c>
      <c r="M168" s="23">
        <f>ROUND((K168*L168)/100,2)</f>
        <v>0.1</v>
      </c>
    </row>
    <row r="169" spans="1:13" x14ac:dyDescent="0.2">
      <c r="A169" s="25"/>
      <c r="B169" s="25"/>
      <c r="C169" s="25"/>
      <c r="D169" s="26" t="s">
        <v>477</v>
      </c>
      <c r="E169" s="25"/>
      <c r="F169" s="25"/>
      <c r="G169" s="25"/>
      <c r="H169" s="25"/>
      <c r="I169" s="25"/>
      <c r="J169" s="25"/>
      <c r="K169" s="27">
        <v>40</v>
      </c>
      <c r="L169" s="28">
        <f>ROUND((M166+M167+M168)*(1+M2/100),2)</f>
        <v>5.15</v>
      </c>
      <c r="M169" s="28">
        <f>ROUND(K169*L169,2)</f>
        <v>206</v>
      </c>
    </row>
    <row r="170" spans="1:13" ht="22.5" x14ac:dyDescent="0.2">
      <c r="A170" s="42" t="s">
        <v>478</v>
      </c>
      <c r="B170" s="43" t="s">
        <v>479</v>
      </c>
      <c r="C170" s="43" t="s">
        <v>480</v>
      </c>
      <c r="D170" s="65" t="s">
        <v>481</v>
      </c>
      <c r="E170" s="65"/>
      <c r="F170" s="65"/>
      <c r="G170" s="65"/>
      <c r="H170" s="65"/>
      <c r="I170" s="65"/>
      <c r="J170" s="65"/>
      <c r="K170" s="44">
        <f>ROUND(2,2)</f>
        <v>2</v>
      </c>
      <c r="L170" s="45">
        <f>L176</f>
        <v>369.38</v>
      </c>
      <c r="M170" s="45">
        <f>ROUND(K170*L170,2)</f>
        <v>738.76</v>
      </c>
    </row>
    <row r="171" spans="1:13" ht="78.75" x14ac:dyDescent="0.2">
      <c r="A171" s="24"/>
      <c r="B171" s="24"/>
      <c r="C171" s="24"/>
      <c r="D171" s="63" t="s">
        <v>482</v>
      </c>
      <c r="E171" s="63"/>
      <c r="F171" s="63"/>
      <c r="G171" s="63"/>
      <c r="H171" s="63"/>
      <c r="I171" s="63"/>
      <c r="J171" s="63"/>
      <c r="K171" s="63"/>
      <c r="L171" s="63"/>
      <c r="M171" s="63"/>
    </row>
    <row r="172" spans="1:13" x14ac:dyDescent="0.2">
      <c r="A172" s="4" t="s">
        <v>483</v>
      </c>
      <c r="B172" s="4" t="s">
        <v>484</v>
      </c>
      <c r="C172" s="4" t="s">
        <v>485</v>
      </c>
      <c r="D172" s="63" t="s">
        <v>486</v>
      </c>
      <c r="E172" s="63"/>
      <c r="F172" s="63"/>
      <c r="G172" s="63"/>
      <c r="H172" s="63"/>
      <c r="I172" s="63"/>
      <c r="J172" s="63"/>
      <c r="K172" s="22">
        <v>0.46300000000000002</v>
      </c>
      <c r="L172" s="22">
        <f>ROUND(22.07,3)</f>
        <v>22.07</v>
      </c>
      <c r="M172" s="23">
        <f>ROUND(K172*L172,2)</f>
        <v>10.220000000000001</v>
      </c>
    </row>
    <row r="173" spans="1:13" ht="22.5" x14ac:dyDescent="0.2">
      <c r="A173" s="4" t="s">
        <v>487</v>
      </c>
      <c r="B173" s="4" t="s">
        <v>488</v>
      </c>
      <c r="C173" s="4" t="s">
        <v>489</v>
      </c>
      <c r="D173" s="63" t="s">
        <v>490</v>
      </c>
      <c r="E173" s="63"/>
      <c r="F173" s="63"/>
      <c r="G173" s="63"/>
      <c r="H173" s="63"/>
      <c r="I173" s="63"/>
      <c r="J173" s="63"/>
      <c r="K173" s="22">
        <v>1</v>
      </c>
      <c r="L173" s="22">
        <f>ROUND(308.006,3)</f>
        <v>308.00599999999997</v>
      </c>
      <c r="M173" s="23">
        <f>ROUND(K173*L173,2)</f>
        <v>308.01</v>
      </c>
    </row>
    <row r="174" spans="1:13" ht="22.5" x14ac:dyDescent="0.2">
      <c r="A174" s="4" t="s">
        <v>491</v>
      </c>
      <c r="B174" s="4" t="s">
        <v>492</v>
      </c>
      <c r="C174" s="4" t="s">
        <v>493</v>
      </c>
      <c r="D174" s="63" t="s">
        <v>494</v>
      </c>
      <c r="E174" s="63"/>
      <c r="F174" s="63"/>
      <c r="G174" s="63"/>
      <c r="H174" s="63"/>
      <c r="I174" s="63"/>
      <c r="J174" s="63"/>
      <c r="K174" s="22">
        <v>8</v>
      </c>
      <c r="L174" s="22">
        <f>ROUND(4.17,3)</f>
        <v>4.17</v>
      </c>
      <c r="M174" s="23">
        <f>ROUND(K174*L174,2)</f>
        <v>33.36</v>
      </c>
    </row>
    <row r="175" spans="1:13" x14ac:dyDescent="0.2">
      <c r="A175" s="4" t="s">
        <v>495</v>
      </c>
      <c r="B175" s="4"/>
      <c r="C175" s="4" t="s">
        <v>496</v>
      </c>
      <c r="D175" s="63" t="s">
        <v>497</v>
      </c>
      <c r="E175" s="63"/>
      <c r="F175" s="63"/>
      <c r="G175" s="63"/>
      <c r="H175" s="63"/>
      <c r="I175" s="63"/>
      <c r="J175" s="63"/>
      <c r="K175" s="22">
        <v>2</v>
      </c>
      <c r="L175" s="22">
        <f>ROUND(351.59,3)</f>
        <v>351.59</v>
      </c>
      <c r="M175" s="23">
        <f>ROUND((K175*L175)/100,2)</f>
        <v>7.03</v>
      </c>
    </row>
    <row r="176" spans="1:13" x14ac:dyDescent="0.2">
      <c r="A176" s="25"/>
      <c r="B176" s="25"/>
      <c r="C176" s="25"/>
      <c r="D176" s="26" t="s">
        <v>498</v>
      </c>
      <c r="E176" s="25"/>
      <c r="F176" s="25"/>
      <c r="G176" s="25"/>
      <c r="H176" s="25"/>
      <c r="I176" s="25"/>
      <c r="J176" s="25"/>
      <c r="K176" s="27">
        <v>2</v>
      </c>
      <c r="L176" s="28">
        <f>ROUND((M172+M173+M174+M175)*(1+M2/100),2)</f>
        <v>369.38</v>
      </c>
      <c r="M176" s="28">
        <f>ROUND(K176*L176,2)</f>
        <v>738.76</v>
      </c>
    </row>
    <row r="177" spans="1:13" ht="22.5" x14ac:dyDescent="0.2">
      <c r="A177" s="42" t="s">
        <v>499</v>
      </c>
      <c r="B177" s="43" t="s">
        <v>500</v>
      </c>
      <c r="C177" s="43" t="s">
        <v>501</v>
      </c>
      <c r="D177" s="65" t="s">
        <v>502</v>
      </c>
      <c r="E177" s="65"/>
      <c r="F177" s="65"/>
      <c r="G177" s="65"/>
      <c r="H177" s="65"/>
      <c r="I177" s="65"/>
      <c r="J177" s="65"/>
      <c r="K177" s="44">
        <f>ROUND(1,2)</f>
        <v>1</v>
      </c>
      <c r="L177" s="45">
        <f>L183</f>
        <v>68.17</v>
      </c>
      <c r="M177" s="45">
        <f>ROUND(K177*L177,2)</f>
        <v>68.17</v>
      </c>
    </row>
    <row r="178" spans="1:13" ht="45" x14ac:dyDescent="0.2">
      <c r="A178" s="24"/>
      <c r="B178" s="24"/>
      <c r="C178" s="24"/>
      <c r="D178" s="63" t="s">
        <v>503</v>
      </c>
      <c r="E178" s="63"/>
      <c r="F178" s="63"/>
      <c r="G178" s="63"/>
      <c r="H178" s="63"/>
      <c r="I178" s="63"/>
      <c r="J178" s="63"/>
      <c r="K178" s="63"/>
      <c r="L178" s="63"/>
      <c r="M178" s="63"/>
    </row>
    <row r="179" spans="1:13" ht="22.5" x14ac:dyDescent="0.2">
      <c r="A179" s="4" t="s">
        <v>504</v>
      </c>
      <c r="B179" s="4" t="s">
        <v>505</v>
      </c>
      <c r="C179" s="4" t="s">
        <v>506</v>
      </c>
      <c r="D179" s="63" t="s">
        <v>507</v>
      </c>
      <c r="E179" s="63"/>
      <c r="F179" s="63"/>
      <c r="G179" s="63"/>
      <c r="H179" s="63"/>
      <c r="I179" s="63"/>
      <c r="J179" s="63"/>
      <c r="K179" s="22">
        <v>0.27800000000000002</v>
      </c>
      <c r="L179" s="22">
        <f>ROUND(18.44,3)</f>
        <v>18.440000000000001</v>
      </c>
      <c r="M179" s="23">
        <f>ROUND(K179*L179,2)</f>
        <v>5.13</v>
      </c>
    </row>
    <row r="180" spans="1:13" ht="22.5" x14ac:dyDescent="0.2">
      <c r="A180" s="4" t="s">
        <v>508</v>
      </c>
      <c r="B180" s="4" t="s">
        <v>509</v>
      </c>
      <c r="C180" s="4" t="s">
        <v>510</v>
      </c>
      <c r="D180" s="63" t="s">
        <v>511</v>
      </c>
      <c r="E180" s="63"/>
      <c r="F180" s="63"/>
      <c r="G180" s="63"/>
      <c r="H180" s="63"/>
      <c r="I180" s="63"/>
      <c r="J180" s="63"/>
      <c r="K180" s="22">
        <v>1</v>
      </c>
      <c r="L180" s="22">
        <f>ROUND(51.407,3)</f>
        <v>51.406999999999996</v>
      </c>
      <c r="M180" s="23">
        <f>ROUND(K180*L180,2)</f>
        <v>51.41</v>
      </c>
    </row>
    <row r="181" spans="1:13" ht="22.5" x14ac:dyDescent="0.2">
      <c r="A181" s="4" t="s">
        <v>512</v>
      </c>
      <c r="B181" s="4" t="s">
        <v>513</v>
      </c>
      <c r="C181" s="4" t="s">
        <v>514</v>
      </c>
      <c r="D181" s="63" t="s">
        <v>515</v>
      </c>
      <c r="E181" s="63"/>
      <c r="F181" s="63"/>
      <c r="G181" s="63"/>
      <c r="H181" s="63"/>
      <c r="I181" s="63"/>
      <c r="J181" s="63"/>
      <c r="K181" s="22">
        <v>2</v>
      </c>
      <c r="L181" s="22">
        <f>ROUND(4.17,3)</f>
        <v>4.17</v>
      </c>
      <c r="M181" s="23">
        <f>ROUND(K181*L181,2)</f>
        <v>8.34</v>
      </c>
    </row>
    <row r="182" spans="1:13" x14ac:dyDescent="0.2">
      <c r="A182" s="4" t="s">
        <v>516</v>
      </c>
      <c r="B182" s="4"/>
      <c r="C182" s="4" t="s">
        <v>517</v>
      </c>
      <c r="D182" s="63" t="s">
        <v>518</v>
      </c>
      <c r="E182" s="63"/>
      <c r="F182" s="63"/>
      <c r="G182" s="63"/>
      <c r="H182" s="63"/>
      <c r="I182" s="63"/>
      <c r="J182" s="63"/>
      <c r="K182" s="22">
        <v>2</v>
      </c>
      <c r="L182" s="22">
        <f>ROUND(64.88,3)</f>
        <v>64.88</v>
      </c>
      <c r="M182" s="23">
        <f>ROUND((K182*L182)/100,2)</f>
        <v>1.3</v>
      </c>
    </row>
    <row r="183" spans="1:13" x14ac:dyDescent="0.2">
      <c r="A183" s="25"/>
      <c r="B183" s="25"/>
      <c r="C183" s="25"/>
      <c r="D183" s="26" t="s">
        <v>519</v>
      </c>
      <c r="E183" s="25"/>
      <c r="F183" s="25"/>
      <c r="G183" s="25"/>
      <c r="H183" s="25"/>
      <c r="I183" s="25"/>
      <c r="J183" s="25"/>
      <c r="K183" s="27">
        <v>1</v>
      </c>
      <c r="L183" s="28">
        <f>ROUND((M179+M180+M181+M182)*(1+M2/100),2)</f>
        <v>68.17</v>
      </c>
      <c r="M183" s="28">
        <f>ROUND(K183*L183,2)</f>
        <v>68.17</v>
      </c>
    </row>
    <row r="184" spans="1:13" x14ac:dyDescent="0.2">
      <c r="A184" s="42" t="s">
        <v>520</v>
      </c>
      <c r="B184" s="43" t="s">
        <v>521</v>
      </c>
      <c r="C184" s="43" t="s">
        <v>522</v>
      </c>
      <c r="D184" s="65" t="s">
        <v>523</v>
      </c>
      <c r="E184" s="65"/>
      <c r="F184" s="65"/>
      <c r="G184" s="65"/>
      <c r="H184" s="65"/>
      <c r="I184" s="65"/>
      <c r="J184" s="65"/>
      <c r="K184" s="44">
        <f>ROUND(45,2)</f>
        <v>45</v>
      </c>
      <c r="L184" s="45">
        <f>L189</f>
        <v>3.23</v>
      </c>
      <c r="M184" s="45">
        <f>ROUND(K184*L184,2)</f>
        <v>145.35</v>
      </c>
    </row>
    <row r="185" spans="1:13" ht="45" x14ac:dyDescent="0.2">
      <c r="A185" s="24"/>
      <c r="B185" s="24"/>
      <c r="C185" s="24"/>
      <c r="D185" s="63" t="s">
        <v>524</v>
      </c>
      <c r="E185" s="63"/>
      <c r="F185" s="63"/>
      <c r="G185" s="63"/>
      <c r="H185" s="63"/>
      <c r="I185" s="63"/>
      <c r="J185" s="63"/>
      <c r="K185" s="63"/>
      <c r="L185" s="63"/>
      <c r="M185" s="63"/>
    </row>
    <row r="186" spans="1:13" ht="33.75" x14ac:dyDescent="0.2">
      <c r="A186" s="4" t="s">
        <v>525</v>
      </c>
      <c r="B186" s="4" t="s">
        <v>526</v>
      </c>
      <c r="C186" s="4" t="s">
        <v>527</v>
      </c>
      <c r="D186" s="63" t="s">
        <v>528</v>
      </c>
      <c r="E186" s="63"/>
      <c r="F186" s="63"/>
      <c r="G186" s="63"/>
      <c r="H186" s="63"/>
      <c r="I186" s="63"/>
      <c r="J186" s="63"/>
      <c r="K186" s="22">
        <v>0.02</v>
      </c>
      <c r="L186" s="22">
        <f>ROUND(51.05,3)</f>
        <v>51.05</v>
      </c>
      <c r="M186" s="23">
        <f>ROUND(K186*L186,2)</f>
        <v>1.02</v>
      </c>
    </row>
    <row r="187" spans="1:13" x14ac:dyDescent="0.2">
      <c r="A187" s="4" t="s">
        <v>529</v>
      </c>
      <c r="B187" s="4" t="s">
        <v>530</v>
      </c>
      <c r="C187" s="4" t="s">
        <v>531</v>
      </c>
      <c r="D187" s="63" t="s">
        <v>532</v>
      </c>
      <c r="E187" s="63"/>
      <c r="F187" s="63"/>
      <c r="G187" s="63"/>
      <c r="H187" s="63"/>
      <c r="I187" s="63"/>
      <c r="J187" s="63"/>
      <c r="K187" s="22">
        <v>0.11</v>
      </c>
      <c r="L187" s="22">
        <f>ROUND(18.73,3)</f>
        <v>18.73</v>
      </c>
      <c r="M187" s="23">
        <f>ROUND(K187*L187,2)</f>
        <v>2.06</v>
      </c>
    </row>
    <row r="188" spans="1:13" x14ac:dyDescent="0.2">
      <c r="A188" s="4" t="s">
        <v>533</v>
      </c>
      <c r="B188" s="4"/>
      <c r="C188" s="4" t="s">
        <v>534</v>
      </c>
      <c r="D188" s="63" t="s">
        <v>535</v>
      </c>
      <c r="E188" s="63"/>
      <c r="F188" s="63"/>
      <c r="G188" s="63"/>
      <c r="H188" s="63"/>
      <c r="I188" s="63"/>
      <c r="J188" s="63"/>
      <c r="K188" s="22">
        <v>2</v>
      </c>
      <c r="L188" s="22">
        <f>ROUND(3.08,3)</f>
        <v>3.08</v>
      </c>
      <c r="M188" s="23">
        <f>ROUND((K188*L188)/100,2)</f>
        <v>0.06</v>
      </c>
    </row>
    <row r="189" spans="1:13" x14ac:dyDescent="0.2">
      <c r="A189" s="25"/>
      <c r="B189" s="25"/>
      <c r="C189" s="25"/>
      <c r="D189" s="26" t="s">
        <v>536</v>
      </c>
      <c r="E189" s="25"/>
      <c r="F189" s="25"/>
      <c r="G189" s="25"/>
      <c r="H189" s="25"/>
      <c r="I189" s="25"/>
      <c r="J189" s="25"/>
      <c r="K189" s="27">
        <v>45</v>
      </c>
      <c r="L189" s="28">
        <f>ROUND((M186+M187+M188)*(1+M2/100),2)</f>
        <v>3.23</v>
      </c>
      <c r="M189" s="28">
        <f>ROUND(K189*L189,2)</f>
        <v>145.35</v>
      </c>
    </row>
    <row r="190" spans="1:13" ht="11.25" customHeight="1" x14ac:dyDescent="0.2">
      <c r="A190" s="29"/>
      <c r="B190" s="29"/>
      <c r="C190" s="29"/>
      <c r="D190" s="36" t="s">
        <v>537</v>
      </c>
      <c r="E190" s="37"/>
      <c r="F190" s="37"/>
      <c r="G190" s="37"/>
      <c r="H190" s="37"/>
      <c r="I190" s="37"/>
      <c r="J190" s="37"/>
      <c r="K190" s="37"/>
      <c r="L190" s="38">
        <f>M162+M164+M170+M177+M184</f>
        <v>1708.28</v>
      </c>
      <c r="M190" s="38">
        <f>ROUND(L190,2)</f>
        <v>1708.28</v>
      </c>
    </row>
    <row r="191" spans="1:13" ht="12" customHeight="1" x14ac:dyDescent="0.2">
      <c r="A191" s="29"/>
      <c r="B191" s="29"/>
      <c r="C191" s="29"/>
      <c r="D191" s="55" t="s">
        <v>538</v>
      </c>
      <c r="E191" s="56"/>
      <c r="F191" s="56"/>
      <c r="G191" s="56"/>
      <c r="H191" s="56"/>
      <c r="I191" s="56"/>
      <c r="J191" s="56"/>
      <c r="K191" s="56"/>
      <c r="L191" s="57">
        <f>M15+M160+M190</f>
        <v>26574.94</v>
      </c>
      <c r="M191" s="57">
        <f>ROUND(L191,2)</f>
        <v>26574.94</v>
      </c>
    </row>
  </sheetData>
  <mergeCells count="1">
    <mergeCell ref="B1:M1"/>
  </mergeCells>
  <pageMargins left="0.62007900000000005" right="0.472441" top="0.472441" bottom="0.92708333333333337" header="0" footer="0"/>
  <pageSetup paperSize="9" orientation="portrait" r:id="rId1"/>
  <headerFooter>
    <oddFooter>&amp;C&amp;G</oddFooter>
  </headerFooter>
  <rowBreaks count="2" manualBreakCount="2">
    <brk max="16383" man="1"/>
    <brk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Full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Margalida</cp:lastModifiedBy>
  <cp:lastPrinted>2024-03-22T10:40:51Z</cp:lastPrinted>
  <dcterms:created xsi:type="dcterms:W3CDTF">2024-07-25T15:04:50Z</dcterms:created>
  <dcterms:modified xsi:type="dcterms:W3CDTF">2024-07-25T15:04:51Z</dcterms:modified>
</cp:coreProperties>
</file>