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s\Secretaria\SECRETARIA\CONTRACTACIÓ\CONTRACTES DE GESTIÓ\X2024006770 Concessió_servei_aigua_potable\"/>
    </mc:Choice>
  </mc:AlternateContent>
  <xr:revisionPtr revIDLastSave="0" documentId="8_{CB851E57-13A7-4C23-9BEA-D119CE935642}" xr6:coauthVersionLast="47" xr6:coauthVersionMax="47" xr10:uidLastSave="{00000000-0000-0000-0000-000000000000}"/>
  <bookViews>
    <workbookView xWindow="-120" yWindow="-120" windowWidth="29040" windowHeight="15840" xr2:uid="{D2BC1E0F-1742-4494-AD62-B441888897D1}"/>
  </bookViews>
  <sheets>
    <sheet name="Compte de resultats i inver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D80" i="1" s="1"/>
  <c r="N81" i="1" l="1"/>
  <c r="N64" i="1" s="1"/>
  <c r="O81" i="1"/>
  <c r="O64" i="1" s="1"/>
  <c r="P81" i="1"/>
  <c r="P64" i="1" s="1"/>
  <c r="Q81" i="1"/>
  <c r="Q64" i="1" s="1"/>
  <c r="R81" i="1"/>
  <c r="R64" i="1" s="1"/>
  <c r="S81" i="1"/>
  <c r="S64" i="1" s="1"/>
  <c r="T81" i="1"/>
  <c r="T64" i="1" s="1"/>
  <c r="U81" i="1"/>
  <c r="U64" i="1" s="1"/>
  <c r="V81" i="1"/>
  <c r="V64" i="1" s="1"/>
  <c r="W81" i="1"/>
  <c r="W64" i="1" s="1"/>
  <c r="X81" i="1"/>
  <c r="X64" i="1" s="1"/>
  <c r="Y81" i="1"/>
  <c r="Y64" i="1" s="1"/>
  <c r="Z81" i="1"/>
  <c r="Z64" i="1" s="1"/>
  <c r="AA81" i="1"/>
  <c r="AA64" i="1" s="1"/>
  <c r="AB81" i="1"/>
  <c r="AB64" i="1" s="1"/>
  <c r="D81" i="1"/>
  <c r="D64" i="1" s="1"/>
  <c r="D65" i="1" s="1"/>
  <c r="D82" i="1" l="1"/>
  <c r="D110" i="1"/>
  <c r="D7" i="1"/>
  <c r="D24" i="1" s="1"/>
  <c r="D36" i="1"/>
  <c r="D95" i="1" s="1"/>
  <c r="C24" i="1"/>
  <c r="K80" i="1" l="1"/>
  <c r="K81" i="1" s="1"/>
  <c r="K64" i="1" s="1"/>
  <c r="G80" i="1"/>
  <c r="G81" i="1" s="1"/>
  <c r="G64" i="1" s="1"/>
  <c r="J80" i="1"/>
  <c r="J81" i="1" s="1"/>
  <c r="J64" i="1" s="1"/>
  <c r="F80" i="1"/>
  <c r="F81" i="1" s="1"/>
  <c r="F64" i="1" s="1"/>
  <c r="I80" i="1"/>
  <c r="I81" i="1" s="1"/>
  <c r="I64" i="1" s="1"/>
  <c r="M80" i="1"/>
  <c r="M81" i="1" s="1"/>
  <c r="M64" i="1" s="1"/>
  <c r="E80" i="1"/>
  <c r="L80" i="1"/>
  <c r="L81" i="1" s="1"/>
  <c r="L64" i="1" s="1"/>
  <c r="H80" i="1"/>
  <c r="H81" i="1" s="1"/>
  <c r="H64" i="1" s="1"/>
  <c r="D8" i="1"/>
  <c r="D17" i="1"/>
  <c r="E133" i="1"/>
  <c r="D11" i="1"/>
  <c r="E81" i="1" l="1"/>
  <c r="AC80" i="1"/>
  <c r="H110" i="1"/>
  <c r="I110" i="1"/>
  <c r="F110" i="1"/>
  <c r="N110" i="1"/>
  <c r="G110" i="1"/>
  <c r="K110" i="1"/>
  <c r="L110" i="1"/>
  <c r="M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C14" i="1"/>
  <c r="C35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D20" i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C51" i="1"/>
  <c r="D51" i="1" s="1"/>
  <c r="E7" i="1"/>
  <c r="E48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D27" i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E17" i="1"/>
  <c r="E36" i="1"/>
  <c r="E95" i="1" s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B110" i="1"/>
  <c r="C29" i="1"/>
  <c r="D57" i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C43" i="1"/>
  <c r="C44" i="1" s="1"/>
  <c r="AC112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D47" i="1"/>
  <c r="E47" i="1" s="1"/>
  <c r="F47" i="1" s="1"/>
  <c r="C50" i="1"/>
  <c r="D50" i="1" s="1"/>
  <c r="E50" i="1" s="1"/>
  <c r="C48" i="1"/>
  <c r="D48" i="1"/>
  <c r="AC52" i="1"/>
  <c r="F17" i="1" l="1"/>
  <c r="F36" i="1"/>
  <c r="G36" i="1" s="1"/>
  <c r="G95" i="1" s="1"/>
  <c r="F50" i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E49" i="1"/>
  <c r="O112" i="1"/>
  <c r="G112" i="1"/>
  <c r="V112" i="1"/>
  <c r="R112" i="1"/>
  <c r="F112" i="1"/>
  <c r="E64" i="1"/>
  <c r="AC81" i="1"/>
  <c r="E82" i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T82" i="1" s="1"/>
  <c r="U82" i="1" s="1"/>
  <c r="V82" i="1" s="1"/>
  <c r="W82" i="1" s="1"/>
  <c r="X82" i="1" s="1"/>
  <c r="Y82" i="1" s="1"/>
  <c r="Z82" i="1" s="1"/>
  <c r="AA82" i="1" s="1"/>
  <c r="AB82" i="1" s="1"/>
  <c r="G47" i="1"/>
  <c r="Z112" i="1"/>
  <c r="D49" i="1"/>
  <c r="AB112" i="1"/>
  <c r="E24" i="1"/>
  <c r="F7" i="1"/>
  <c r="Y112" i="1"/>
  <c r="U112" i="1"/>
  <c r="M112" i="1"/>
  <c r="N112" i="1"/>
  <c r="I112" i="1"/>
  <c r="X112" i="1"/>
  <c r="T112" i="1"/>
  <c r="Q112" i="1"/>
  <c r="L112" i="1"/>
  <c r="H112" i="1"/>
  <c r="AA112" i="1"/>
  <c r="W112" i="1"/>
  <c r="S112" i="1"/>
  <c r="P112" i="1"/>
  <c r="K112" i="1"/>
  <c r="E51" i="1"/>
  <c r="F51" i="1" s="1"/>
  <c r="D10" i="1"/>
  <c r="J110" i="1"/>
  <c r="J112" i="1" s="1"/>
  <c r="G17" i="1" l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F49" i="1"/>
  <c r="F95" i="1"/>
  <c r="H36" i="1"/>
  <c r="I36" i="1" s="1"/>
  <c r="D13" i="1"/>
  <c r="D14" i="1" s="1"/>
  <c r="D35" i="1" s="1"/>
  <c r="E65" i="1"/>
  <c r="E110" i="1"/>
  <c r="E112" i="1" s="1"/>
  <c r="F24" i="1"/>
  <c r="F48" i="1"/>
  <c r="G7" i="1"/>
  <c r="G49" i="1"/>
  <c r="H47" i="1"/>
  <c r="E10" i="1"/>
  <c r="E13" i="1" s="1"/>
  <c r="E14" i="1" s="1"/>
  <c r="E35" i="1" s="1"/>
  <c r="F10" i="1"/>
  <c r="G51" i="1"/>
  <c r="AC82" i="1"/>
  <c r="H95" i="1" l="1"/>
  <c r="D32" i="1"/>
  <c r="D91" i="1" s="1"/>
  <c r="I95" i="1"/>
  <c r="J36" i="1"/>
  <c r="G24" i="1"/>
  <c r="H7" i="1"/>
  <c r="G48" i="1"/>
  <c r="I47" i="1"/>
  <c r="H49" i="1"/>
  <c r="E32" i="1"/>
  <c r="E91" i="1" s="1"/>
  <c r="G10" i="1"/>
  <c r="H51" i="1"/>
  <c r="F13" i="1"/>
  <c r="F14" i="1" s="1"/>
  <c r="F35" i="1" s="1"/>
  <c r="D66" i="1"/>
  <c r="AC64" i="1"/>
  <c r="H24" i="1" l="1"/>
  <c r="I7" i="1"/>
  <c r="H48" i="1"/>
  <c r="J95" i="1"/>
  <c r="K36" i="1"/>
  <c r="J47" i="1"/>
  <c r="I49" i="1"/>
  <c r="F32" i="1"/>
  <c r="F91" i="1" s="1"/>
  <c r="F65" i="1"/>
  <c r="G65" i="1" s="1"/>
  <c r="D112" i="1"/>
  <c r="AE112" i="1" s="1"/>
  <c r="H10" i="1"/>
  <c r="I51" i="1"/>
  <c r="G13" i="1"/>
  <c r="G14" i="1" s="1"/>
  <c r="G35" i="1" s="1"/>
  <c r="AE110" i="1"/>
  <c r="D96" i="1"/>
  <c r="D67" i="1"/>
  <c r="D68" i="1" s="1"/>
  <c r="D69" i="1" s="1"/>
  <c r="D72" i="1" s="1"/>
  <c r="J49" i="1" l="1"/>
  <c r="K47" i="1"/>
  <c r="I24" i="1"/>
  <c r="J7" i="1"/>
  <c r="I48" i="1"/>
  <c r="K95" i="1"/>
  <c r="L36" i="1"/>
  <c r="G32" i="1"/>
  <c r="G91" i="1" s="1"/>
  <c r="I10" i="1"/>
  <c r="J51" i="1"/>
  <c r="H13" i="1"/>
  <c r="H14" i="1" s="1"/>
  <c r="H35" i="1" s="1"/>
  <c r="E66" i="1"/>
  <c r="H65" i="1"/>
  <c r="J24" i="1" l="1"/>
  <c r="K7" i="1"/>
  <c r="J48" i="1"/>
  <c r="L95" i="1"/>
  <c r="M36" i="1"/>
  <c r="K49" i="1"/>
  <c r="L47" i="1"/>
  <c r="H32" i="1"/>
  <c r="H91" i="1" s="1"/>
  <c r="J10" i="1"/>
  <c r="K51" i="1"/>
  <c r="I13" i="1"/>
  <c r="I14" i="1" s="1"/>
  <c r="I35" i="1" s="1"/>
  <c r="E96" i="1"/>
  <c r="F66" i="1"/>
  <c r="E67" i="1"/>
  <c r="D97" i="1"/>
  <c r="I65" i="1"/>
  <c r="K24" i="1" l="1"/>
  <c r="L7" i="1"/>
  <c r="K48" i="1"/>
  <c r="M47" i="1"/>
  <c r="L49" i="1"/>
  <c r="N36" i="1"/>
  <c r="M95" i="1"/>
  <c r="I32" i="1"/>
  <c r="I91" i="1" s="1"/>
  <c r="J13" i="1"/>
  <c r="J14" i="1" s="1"/>
  <c r="J35" i="1" s="1"/>
  <c r="K10" i="1"/>
  <c r="L51" i="1"/>
  <c r="G66" i="1"/>
  <c r="F96" i="1"/>
  <c r="D74" i="1"/>
  <c r="D86" i="1" s="1"/>
  <c r="D75" i="1"/>
  <c r="F67" i="1"/>
  <c r="E68" i="1"/>
  <c r="E69" i="1" s="1"/>
  <c r="J65" i="1"/>
  <c r="N47" i="1" l="1"/>
  <c r="M49" i="1"/>
  <c r="N95" i="1"/>
  <c r="O36" i="1"/>
  <c r="L24" i="1"/>
  <c r="L48" i="1"/>
  <c r="M7" i="1"/>
  <c r="J32" i="1"/>
  <c r="J91" i="1" s="1"/>
  <c r="L10" i="1"/>
  <c r="M51" i="1"/>
  <c r="K13" i="1"/>
  <c r="K14" i="1" s="1"/>
  <c r="K35" i="1" s="1"/>
  <c r="E72" i="1"/>
  <c r="E97" i="1"/>
  <c r="G67" i="1"/>
  <c r="F68" i="1"/>
  <c r="F69" i="1" s="1"/>
  <c r="H66" i="1"/>
  <c r="G96" i="1"/>
  <c r="D59" i="1"/>
  <c r="D61" i="1" s="1"/>
  <c r="K65" i="1"/>
  <c r="O95" i="1" l="1"/>
  <c r="P36" i="1"/>
  <c r="M24" i="1"/>
  <c r="N7" i="1"/>
  <c r="M48" i="1"/>
  <c r="N49" i="1"/>
  <c r="O47" i="1"/>
  <c r="D90" i="1"/>
  <c r="D92" i="1" s="1"/>
  <c r="K32" i="1"/>
  <c r="K91" i="1" s="1"/>
  <c r="N51" i="1"/>
  <c r="M10" i="1"/>
  <c r="L13" i="1"/>
  <c r="L14" i="1" s="1"/>
  <c r="L35" i="1" s="1"/>
  <c r="H67" i="1"/>
  <c r="G68" i="1"/>
  <c r="G69" i="1" s="1"/>
  <c r="F72" i="1"/>
  <c r="F97" i="1"/>
  <c r="H96" i="1"/>
  <c r="I66" i="1"/>
  <c r="E75" i="1"/>
  <c r="E74" i="1"/>
  <c r="L65" i="1"/>
  <c r="O49" i="1" l="1"/>
  <c r="P47" i="1"/>
  <c r="N24" i="1"/>
  <c r="O7" i="1"/>
  <c r="N48" i="1"/>
  <c r="P95" i="1"/>
  <c r="Q36" i="1"/>
  <c r="L32" i="1"/>
  <c r="L91" i="1" s="1"/>
  <c r="M13" i="1"/>
  <c r="M14" i="1" s="1"/>
  <c r="M35" i="1" s="1"/>
  <c r="N10" i="1"/>
  <c r="O51" i="1"/>
  <c r="E86" i="1"/>
  <c r="E76" i="1"/>
  <c r="E59" i="1" s="1"/>
  <c r="E61" i="1" s="1"/>
  <c r="F74" i="1"/>
  <c r="F75" i="1"/>
  <c r="I67" i="1"/>
  <c r="H68" i="1"/>
  <c r="H69" i="1" s="1"/>
  <c r="J66" i="1"/>
  <c r="I96" i="1"/>
  <c r="G97" i="1"/>
  <c r="G72" i="1"/>
  <c r="M65" i="1"/>
  <c r="O24" i="1" l="1"/>
  <c r="P7" i="1"/>
  <c r="O48" i="1"/>
  <c r="R36" i="1"/>
  <c r="Q95" i="1"/>
  <c r="Q47" i="1"/>
  <c r="P49" i="1"/>
  <c r="M32" i="1"/>
  <c r="M91" i="1" s="1"/>
  <c r="N13" i="1"/>
  <c r="N14" i="1" s="1"/>
  <c r="N35" i="1" s="1"/>
  <c r="P51" i="1"/>
  <c r="O10" i="1"/>
  <c r="J96" i="1"/>
  <c r="K66" i="1"/>
  <c r="F86" i="1"/>
  <c r="F76" i="1"/>
  <c r="F59" i="1" s="1"/>
  <c r="G75" i="1"/>
  <c r="G74" i="1"/>
  <c r="H72" i="1"/>
  <c r="H97" i="1"/>
  <c r="J67" i="1"/>
  <c r="I68" i="1"/>
  <c r="I69" i="1" s="1"/>
  <c r="N65" i="1"/>
  <c r="E90" i="1"/>
  <c r="E92" i="1" s="1"/>
  <c r="R95" i="1" l="1"/>
  <c r="S36" i="1"/>
  <c r="R47" i="1"/>
  <c r="Q49" i="1"/>
  <c r="P24" i="1"/>
  <c r="Q7" i="1"/>
  <c r="P48" i="1"/>
  <c r="N32" i="1"/>
  <c r="N91" i="1" s="1"/>
  <c r="P10" i="1"/>
  <c r="Q51" i="1"/>
  <c r="O13" i="1"/>
  <c r="O14" i="1" s="1"/>
  <c r="O35" i="1" s="1"/>
  <c r="F61" i="1"/>
  <c r="I72" i="1"/>
  <c r="I97" i="1"/>
  <c r="G86" i="1"/>
  <c r="G76" i="1"/>
  <c r="G59" i="1" s="1"/>
  <c r="L66" i="1"/>
  <c r="K96" i="1"/>
  <c r="J68" i="1"/>
  <c r="J69" i="1" s="1"/>
  <c r="K67" i="1"/>
  <c r="H74" i="1"/>
  <c r="H75" i="1"/>
  <c r="O65" i="1"/>
  <c r="Q24" i="1" l="1"/>
  <c r="R7" i="1"/>
  <c r="Q48" i="1"/>
  <c r="S95" i="1"/>
  <c r="T36" i="1"/>
  <c r="R49" i="1"/>
  <c r="S47" i="1"/>
  <c r="O32" i="1"/>
  <c r="O91" i="1" s="1"/>
  <c r="Q10" i="1"/>
  <c r="R51" i="1"/>
  <c r="P13" i="1"/>
  <c r="P14" i="1" s="1"/>
  <c r="P35" i="1" s="1"/>
  <c r="F90" i="1"/>
  <c r="F92" i="1" s="1"/>
  <c r="G61" i="1"/>
  <c r="H76" i="1"/>
  <c r="H59" i="1" s="1"/>
  <c r="H86" i="1"/>
  <c r="L96" i="1"/>
  <c r="M66" i="1"/>
  <c r="I75" i="1"/>
  <c r="I74" i="1"/>
  <c r="K68" i="1"/>
  <c r="K69" i="1" s="1"/>
  <c r="L67" i="1"/>
  <c r="J72" i="1"/>
  <c r="J97" i="1"/>
  <c r="P65" i="1"/>
  <c r="S49" i="1" l="1"/>
  <c r="T47" i="1"/>
  <c r="R24" i="1"/>
  <c r="S7" i="1"/>
  <c r="R48" i="1"/>
  <c r="T95" i="1"/>
  <c r="U36" i="1"/>
  <c r="P32" i="1"/>
  <c r="P91" i="1" s="1"/>
  <c r="R10" i="1"/>
  <c r="S51" i="1"/>
  <c r="Q13" i="1"/>
  <c r="Q14" i="1" s="1"/>
  <c r="Q35" i="1" s="1"/>
  <c r="G90" i="1"/>
  <c r="G92" i="1" s="1"/>
  <c r="H61" i="1"/>
  <c r="J75" i="1"/>
  <c r="J74" i="1"/>
  <c r="I86" i="1"/>
  <c r="I76" i="1"/>
  <c r="I59" i="1" s="1"/>
  <c r="M67" i="1"/>
  <c r="L68" i="1"/>
  <c r="L69" i="1" s="1"/>
  <c r="N66" i="1"/>
  <c r="M96" i="1"/>
  <c r="K72" i="1"/>
  <c r="K97" i="1"/>
  <c r="Q65" i="1"/>
  <c r="S24" i="1" l="1"/>
  <c r="T7" i="1"/>
  <c r="S48" i="1"/>
  <c r="U47" i="1"/>
  <c r="T49" i="1"/>
  <c r="U95" i="1"/>
  <c r="V36" i="1"/>
  <c r="Q32" i="1"/>
  <c r="Q91" i="1" s="1"/>
  <c r="T51" i="1"/>
  <c r="S10" i="1"/>
  <c r="R13" i="1"/>
  <c r="R14" i="1" s="1"/>
  <c r="R35" i="1" s="1"/>
  <c r="H90" i="1"/>
  <c r="H92" i="1" s="1"/>
  <c r="I61" i="1"/>
  <c r="L97" i="1"/>
  <c r="L72" i="1"/>
  <c r="K74" i="1"/>
  <c r="K75" i="1"/>
  <c r="M68" i="1"/>
  <c r="M69" i="1" s="1"/>
  <c r="N67" i="1"/>
  <c r="J76" i="1"/>
  <c r="J59" i="1" s="1"/>
  <c r="J86" i="1"/>
  <c r="O66" i="1"/>
  <c r="N96" i="1"/>
  <c r="R65" i="1"/>
  <c r="V95" i="1" l="1"/>
  <c r="W36" i="1"/>
  <c r="V47" i="1"/>
  <c r="U49" i="1"/>
  <c r="T24" i="1"/>
  <c r="T48" i="1"/>
  <c r="U7" i="1"/>
  <c r="R32" i="1"/>
  <c r="R91" i="1" s="1"/>
  <c r="S13" i="1"/>
  <c r="S14" i="1" s="1"/>
  <c r="S35" i="1" s="1"/>
  <c r="T10" i="1"/>
  <c r="U51" i="1"/>
  <c r="I90" i="1"/>
  <c r="I92" i="1" s="1"/>
  <c r="J61" i="1"/>
  <c r="N68" i="1"/>
  <c r="N69" i="1" s="1"/>
  <c r="O67" i="1"/>
  <c r="P66" i="1"/>
  <c r="O96" i="1"/>
  <c r="M97" i="1"/>
  <c r="M72" i="1"/>
  <c r="L74" i="1"/>
  <c r="L75" i="1"/>
  <c r="K86" i="1"/>
  <c r="K76" i="1"/>
  <c r="K59" i="1" s="1"/>
  <c r="S65" i="1"/>
  <c r="V49" i="1" l="1"/>
  <c r="W47" i="1"/>
  <c r="U24" i="1"/>
  <c r="V7" i="1"/>
  <c r="U48" i="1"/>
  <c r="X36" i="1"/>
  <c r="W95" i="1"/>
  <c r="S32" i="1"/>
  <c r="S91" i="1" s="1"/>
  <c r="V51" i="1"/>
  <c r="U10" i="1"/>
  <c r="T13" i="1"/>
  <c r="T14" i="1" s="1"/>
  <c r="T35" i="1" s="1"/>
  <c r="J90" i="1"/>
  <c r="J92" i="1" s="1"/>
  <c r="K61" i="1"/>
  <c r="P67" i="1"/>
  <c r="O68" i="1"/>
  <c r="O69" i="1" s="1"/>
  <c r="N72" i="1"/>
  <c r="N97" i="1"/>
  <c r="M74" i="1"/>
  <c r="M75" i="1"/>
  <c r="L76" i="1"/>
  <c r="L59" i="1" s="1"/>
  <c r="L86" i="1"/>
  <c r="Q66" i="1"/>
  <c r="P96" i="1"/>
  <c r="T65" i="1"/>
  <c r="V24" i="1" l="1"/>
  <c r="W7" i="1"/>
  <c r="V48" i="1"/>
  <c r="X95" i="1"/>
  <c r="Y36" i="1"/>
  <c r="W49" i="1"/>
  <c r="X47" i="1"/>
  <c r="T32" i="1"/>
  <c r="T91" i="1" s="1"/>
  <c r="V10" i="1"/>
  <c r="W51" i="1"/>
  <c r="U13" i="1"/>
  <c r="U14" i="1" s="1"/>
  <c r="U35" i="1" s="1"/>
  <c r="K90" i="1"/>
  <c r="K92" i="1" s="1"/>
  <c r="L61" i="1"/>
  <c r="R66" i="1"/>
  <c r="Q96" i="1"/>
  <c r="M76" i="1"/>
  <c r="M59" i="1" s="1"/>
  <c r="M61" i="1" s="1"/>
  <c r="M86" i="1"/>
  <c r="P68" i="1"/>
  <c r="P69" i="1" s="1"/>
  <c r="Q67" i="1"/>
  <c r="O72" i="1"/>
  <c r="O97" i="1"/>
  <c r="N74" i="1"/>
  <c r="N75" i="1"/>
  <c r="U65" i="1"/>
  <c r="Y47" i="1" l="1"/>
  <c r="X49" i="1"/>
  <c r="W24" i="1"/>
  <c r="X7" i="1"/>
  <c r="W48" i="1"/>
  <c r="Y95" i="1"/>
  <c r="Z36" i="1"/>
  <c r="U32" i="1"/>
  <c r="U91" i="1" s="1"/>
  <c r="W10" i="1"/>
  <c r="X51" i="1"/>
  <c r="V13" i="1"/>
  <c r="V14" i="1" s="1"/>
  <c r="V35" i="1" s="1"/>
  <c r="L90" i="1"/>
  <c r="L92" i="1" s="1"/>
  <c r="R67" i="1"/>
  <c r="Q68" i="1"/>
  <c r="Q69" i="1" s="1"/>
  <c r="N76" i="1"/>
  <c r="N59" i="1" s="1"/>
  <c r="N61" i="1" s="1"/>
  <c r="N86" i="1"/>
  <c r="P72" i="1"/>
  <c r="P97" i="1"/>
  <c r="R96" i="1"/>
  <c r="S66" i="1"/>
  <c r="O74" i="1"/>
  <c r="O75" i="1"/>
  <c r="V65" i="1"/>
  <c r="M90" i="1"/>
  <c r="M92" i="1" s="1"/>
  <c r="X24" i="1" l="1"/>
  <c r="Y7" i="1"/>
  <c r="X48" i="1"/>
  <c r="Z95" i="1"/>
  <c r="AA36" i="1"/>
  <c r="Z47" i="1"/>
  <c r="Y49" i="1"/>
  <c r="V32" i="1"/>
  <c r="V91" i="1" s="1"/>
  <c r="X10" i="1"/>
  <c r="Y51" i="1"/>
  <c r="W13" i="1"/>
  <c r="W14" i="1" s="1"/>
  <c r="W35" i="1" s="1"/>
  <c r="Q72" i="1"/>
  <c r="Q97" i="1"/>
  <c r="T66" i="1"/>
  <c r="S96" i="1"/>
  <c r="O76" i="1"/>
  <c r="O59" i="1" s="1"/>
  <c r="O61" i="1" s="1"/>
  <c r="O86" i="1"/>
  <c r="P74" i="1"/>
  <c r="P75" i="1"/>
  <c r="S67" i="1"/>
  <c r="R68" i="1"/>
  <c r="R69" i="1" s="1"/>
  <c r="W65" i="1"/>
  <c r="N90" i="1"/>
  <c r="N92" i="1" s="1"/>
  <c r="AA47" i="1" l="1"/>
  <c r="Z49" i="1"/>
  <c r="Y24" i="1"/>
  <c r="Z7" i="1"/>
  <c r="Y48" i="1"/>
  <c r="AB36" i="1"/>
  <c r="AB95" i="1" s="1"/>
  <c r="AA95" i="1"/>
  <c r="W32" i="1"/>
  <c r="W91" i="1" s="1"/>
  <c r="Y10" i="1"/>
  <c r="Z51" i="1"/>
  <c r="X13" i="1"/>
  <c r="X14" i="1" s="1"/>
  <c r="X35" i="1" s="1"/>
  <c r="P86" i="1"/>
  <c r="P76" i="1"/>
  <c r="P59" i="1" s="1"/>
  <c r="U66" i="1"/>
  <c r="T96" i="1"/>
  <c r="Q74" i="1"/>
  <c r="Q75" i="1"/>
  <c r="R72" i="1"/>
  <c r="R97" i="1"/>
  <c r="S68" i="1"/>
  <c r="S69" i="1" s="1"/>
  <c r="T67" i="1"/>
  <c r="X65" i="1"/>
  <c r="O90" i="1"/>
  <c r="O92" i="1" s="1"/>
  <c r="Z24" i="1" l="1"/>
  <c r="AA7" i="1"/>
  <c r="Z48" i="1"/>
  <c r="AA49" i="1"/>
  <c r="AB47" i="1"/>
  <c r="AB49" i="1" s="1"/>
  <c r="X32" i="1"/>
  <c r="X91" i="1" s="1"/>
  <c r="Z10" i="1"/>
  <c r="AA51" i="1"/>
  <c r="Y13" i="1"/>
  <c r="Y14" i="1" s="1"/>
  <c r="Y35" i="1" s="1"/>
  <c r="P61" i="1"/>
  <c r="V66" i="1"/>
  <c r="U96" i="1"/>
  <c r="U67" i="1"/>
  <c r="T68" i="1"/>
  <c r="T69" i="1" s="1"/>
  <c r="S97" i="1"/>
  <c r="S72" i="1"/>
  <c r="Q86" i="1"/>
  <c r="Q76" i="1"/>
  <c r="Q59" i="1" s="1"/>
  <c r="R75" i="1"/>
  <c r="R74" i="1"/>
  <c r="Y65" i="1"/>
  <c r="AA24" i="1" l="1"/>
  <c r="AB7" i="1"/>
  <c r="AA48" i="1"/>
  <c r="Y32" i="1"/>
  <c r="Y91" i="1" s="1"/>
  <c r="AA10" i="1"/>
  <c r="AB51" i="1"/>
  <c r="Z13" i="1"/>
  <c r="Z14" i="1" s="1"/>
  <c r="Z35" i="1" s="1"/>
  <c r="P90" i="1"/>
  <c r="P92" i="1" s="1"/>
  <c r="Q61" i="1"/>
  <c r="R86" i="1"/>
  <c r="R76" i="1"/>
  <c r="R59" i="1" s="1"/>
  <c r="T72" i="1"/>
  <c r="T97" i="1"/>
  <c r="S74" i="1"/>
  <c r="S75" i="1"/>
  <c r="W66" i="1"/>
  <c r="V96" i="1"/>
  <c r="U68" i="1"/>
  <c r="U69" i="1" s="1"/>
  <c r="V67" i="1"/>
  <c r="Z65" i="1"/>
  <c r="AB24" i="1" l="1"/>
  <c r="AB48" i="1"/>
  <c r="Z32" i="1"/>
  <c r="Z91" i="1" s="1"/>
  <c r="AB10" i="1"/>
  <c r="AC51" i="1"/>
  <c r="AA13" i="1"/>
  <c r="AA14" i="1" s="1"/>
  <c r="AA35" i="1" s="1"/>
  <c r="Q90" i="1"/>
  <c r="Q92" i="1" s="1"/>
  <c r="R61" i="1"/>
  <c r="W67" i="1"/>
  <c r="V68" i="1"/>
  <c r="V69" i="1" s="1"/>
  <c r="S86" i="1"/>
  <c r="S76" i="1"/>
  <c r="S59" i="1" s="1"/>
  <c r="U97" i="1"/>
  <c r="U72" i="1"/>
  <c r="W96" i="1"/>
  <c r="X66" i="1"/>
  <c r="T74" i="1"/>
  <c r="T75" i="1"/>
  <c r="AA65" i="1"/>
  <c r="AA32" i="1" l="1"/>
  <c r="AA91" i="1" s="1"/>
  <c r="AB13" i="1"/>
  <c r="AB14" i="1" s="1"/>
  <c r="AB35" i="1" s="1"/>
  <c r="R90" i="1"/>
  <c r="R92" i="1" s="1"/>
  <c r="S61" i="1"/>
  <c r="U74" i="1"/>
  <c r="U75" i="1"/>
  <c r="V72" i="1"/>
  <c r="V97" i="1"/>
  <c r="T76" i="1"/>
  <c r="T59" i="1" s="1"/>
  <c r="T86" i="1"/>
  <c r="X67" i="1"/>
  <c r="W68" i="1"/>
  <c r="W69" i="1" s="1"/>
  <c r="Y66" i="1"/>
  <c r="X96" i="1"/>
  <c r="AB65" i="1"/>
  <c r="AB32" i="1" l="1"/>
  <c r="AB91" i="1" s="1"/>
  <c r="AC14" i="1"/>
  <c r="S90" i="1"/>
  <c r="S92" i="1" s="1"/>
  <c r="T61" i="1"/>
  <c r="Z66" i="1"/>
  <c r="Y96" i="1"/>
  <c r="U76" i="1"/>
  <c r="U59" i="1" s="1"/>
  <c r="U86" i="1"/>
  <c r="W97" i="1"/>
  <c r="W72" i="1"/>
  <c r="Y67" i="1"/>
  <c r="X68" i="1"/>
  <c r="X69" i="1" s="1"/>
  <c r="V74" i="1"/>
  <c r="V75" i="1"/>
  <c r="F26" i="1" l="1"/>
  <c r="F43" i="1" s="1"/>
  <c r="L26" i="1"/>
  <c r="R26" i="1"/>
  <c r="U26" i="1"/>
  <c r="W26" i="1"/>
  <c r="AC33" i="1"/>
  <c r="H26" i="1"/>
  <c r="D26" i="1"/>
  <c r="D43" i="1" s="1"/>
  <c r="G26" i="1"/>
  <c r="I26" i="1"/>
  <c r="N26" i="1"/>
  <c r="Q26" i="1"/>
  <c r="S26" i="1"/>
  <c r="X26" i="1"/>
  <c r="AB26" i="1"/>
  <c r="J26" i="1"/>
  <c r="M26" i="1"/>
  <c r="O26" i="1"/>
  <c r="T26" i="1"/>
  <c r="Z26" i="1"/>
  <c r="E26" i="1"/>
  <c r="K26" i="1"/>
  <c r="P26" i="1"/>
  <c r="V26" i="1"/>
  <c r="AA26" i="1"/>
  <c r="Y26" i="1"/>
  <c r="T90" i="1"/>
  <c r="T92" i="1" s="1"/>
  <c r="U61" i="1"/>
  <c r="V76" i="1"/>
  <c r="V59" i="1" s="1"/>
  <c r="V86" i="1"/>
  <c r="AA66" i="1"/>
  <c r="Z96" i="1"/>
  <c r="X72" i="1"/>
  <c r="X97" i="1"/>
  <c r="W74" i="1"/>
  <c r="W75" i="1"/>
  <c r="Y68" i="1"/>
  <c r="Y69" i="1" s="1"/>
  <c r="Z67" i="1"/>
  <c r="E30" i="1" l="1"/>
  <c r="E43" i="1"/>
  <c r="D30" i="1"/>
  <c r="D29" i="1"/>
  <c r="J30" i="1"/>
  <c r="J43" i="1"/>
  <c r="J29" i="1"/>
  <c r="AB29" i="1"/>
  <c r="AB43" i="1"/>
  <c r="AB30" i="1"/>
  <c r="N30" i="1"/>
  <c r="N43" i="1"/>
  <c r="N29" i="1"/>
  <c r="H30" i="1"/>
  <c r="H29" i="1"/>
  <c r="H43" i="1"/>
  <c r="R30" i="1"/>
  <c r="R43" i="1"/>
  <c r="R29" i="1"/>
  <c r="V30" i="1"/>
  <c r="V43" i="1"/>
  <c r="V29" i="1"/>
  <c r="Q30" i="1"/>
  <c r="Q43" i="1"/>
  <c r="Q29" i="1"/>
  <c r="U43" i="1"/>
  <c r="U29" i="1"/>
  <c r="U30" i="1"/>
  <c r="P43" i="1"/>
  <c r="P29" i="1"/>
  <c r="P30" i="1"/>
  <c r="K29" i="1"/>
  <c r="K43" i="1"/>
  <c r="K30" i="1"/>
  <c r="I29" i="1"/>
  <c r="I30" i="1"/>
  <c r="I43" i="1"/>
  <c r="L43" i="1"/>
  <c r="L29" i="1"/>
  <c r="L30" i="1"/>
  <c r="Z30" i="1"/>
  <c r="Z43" i="1"/>
  <c r="Z29" i="1"/>
  <c r="T29" i="1"/>
  <c r="T30" i="1"/>
  <c r="T43" i="1"/>
  <c r="Y29" i="1"/>
  <c r="Y30" i="1"/>
  <c r="Y43" i="1"/>
  <c r="O29" i="1"/>
  <c r="O30" i="1"/>
  <c r="O43" i="1"/>
  <c r="X30" i="1"/>
  <c r="X43" i="1"/>
  <c r="X29" i="1"/>
  <c r="D33" i="1"/>
  <c r="J33" i="1"/>
  <c r="L33" i="1"/>
  <c r="S33" i="1"/>
  <c r="U33" i="1"/>
  <c r="Z33" i="1"/>
  <c r="AB33" i="1"/>
  <c r="F33" i="1"/>
  <c r="H33" i="1"/>
  <c r="O33" i="1"/>
  <c r="Q33" i="1"/>
  <c r="V33" i="1"/>
  <c r="X33" i="1"/>
  <c r="K33" i="1"/>
  <c r="M33" i="1"/>
  <c r="R33" i="1"/>
  <c r="T33" i="1"/>
  <c r="AA33" i="1"/>
  <c r="E33" i="1"/>
  <c r="P33" i="1"/>
  <c r="Y33" i="1"/>
  <c r="I33" i="1"/>
  <c r="N33" i="1"/>
  <c r="W33" i="1"/>
  <c r="G33" i="1"/>
  <c r="AA29" i="1"/>
  <c r="AA43" i="1"/>
  <c r="AA30" i="1"/>
  <c r="E29" i="1"/>
  <c r="M29" i="1"/>
  <c r="M30" i="1"/>
  <c r="M43" i="1"/>
  <c r="S29" i="1"/>
  <c r="S43" i="1"/>
  <c r="S30" i="1"/>
  <c r="G43" i="1"/>
  <c r="G29" i="1"/>
  <c r="G30" i="1"/>
  <c r="W29" i="1"/>
  <c r="W43" i="1"/>
  <c r="W30" i="1"/>
  <c r="F30" i="1"/>
  <c r="F29" i="1"/>
  <c r="U90" i="1"/>
  <c r="U92" i="1" s="1"/>
  <c r="V61" i="1"/>
  <c r="AA67" i="1"/>
  <c r="Z68" i="1"/>
  <c r="Z69" i="1" s="1"/>
  <c r="Y72" i="1"/>
  <c r="Y97" i="1"/>
  <c r="X75" i="1"/>
  <c r="X74" i="1"/>
  <c r="W76" i="1"/>
  <c r="W59" i="1" s="1"/>
  <c r="W86" i="1"/>
  <c r="AB66" i="1"/>
  <c r="AA96" i="1"/>
  <c r="E118" i="1" l="1"/>
  <c r="R118" i="1"/>
  <c r="J118" i="1"/>
  <c r="H118" i="1"/>
  <c r="K118" i="1"/>
  <c r="M118" i="1"/>
  <c r="O118" i="1"/>
  <c r="U118" i="1"/>
  <c r="L118" i="1"/>
  <c r="I118" i="1"/>
  <c r="T118" i="1"/>
  <c r="G118" i="1"/>
  <c r="S118" i="1"/>
  <c r="P118" i="1"/>
  <c r="V118" i="1"/>
  <c r="F118" i="1"/>
  <c r="Q118" i="1"/>
  <c r="N118" i="1"/>
  <c r="D94" i="1"/>
  <c r="D98" i="1" s="1"/>
  <c r="D100" i="1" s="1"/>
  <c r="D102" i="1" s="1"/>
  <c r="D104" i="1" s="1"/>
  <c r="D106" i="1" s="1"/>
  <c r="D118" i="1"/>
  <c r="D119" i="1" s="1"/>
  <c r="D120" i="1" s="1"/>
  <c r="D121" i="1" s="1"/>
  <c r="Y94" i="1"/>
  <c r="Y98" i="1" s="1"/>
  <c r="Z94" i="1"/>
  <c r="K94" i="1"/>
  <c r="K98" i="1" s="1"/>
  <c r="K100" i="1" s="1"/>
  <c r="K102" i="1" s="1"/>
  <c r="K104" i="1" s="1"/>
  <c r="H101" i="1"/>
  <c r="H44" i="1"/>
  <c r="G94" i="1"/>
  <c r="G98" i="1" s="1"/>
  <c r="G100" i="1" s="1"/>
  <c r="G102" i="1" s="1"/>
  <c r="G104" i="1" s="1"/>
  <c r="S94" i="1"/>
  <c r="S98" i="1" s="1"/>
  <c r="S100" i="1" s="1"/>
  <c r="S102" i="1" s="1"/>
  <c r="S104" i="1" s="1"/>
  <c r="E101" i="1"/>
  <c r="E44" i="1"/>
  <c r="AA101" i="1"/>
  <c r="AA44" i="1"/>
  <c r="X101" i="1"/>
  <c r="X44" i="1"/>
  <c r="O94" i="1"/>
  <c r="O98" i="1" s="1"/>
  <c r="O100" i="1" s="1"/>
  <c r="O102" i="1" s="1"/>
  <c r="O104" i="1" s="1"/>
  <c r="T101" i="1"/>
  <c r="T44" i="1"/>
  <c r="D101" i="1"/>
  <c r="D44" i="1"/>
  <c r="Z101" i="1"/>
  <c r="Z44" i="1"/>
  <c r="L94" i="1"/>
  <c r="L98" i="1" s="1"/>
  <c r="L100" i="1" s="1"/>
  <c r="L102" i="1" s="1"/>
  <c r="L104" i="1" s="1"/>
  <c r="I94" i="1"/>
  <c r="I98" i="1" s="1"/>
  <c r="I100" i="1" s="1"/>
  <c r="I102" i="1" s="1"/>
  <c r="I104" i="1" s="1"/>
  <c r="U94" i="1"/>
  <c r="U98" i="1" s="1"/>
  <c r="U100" i="1" s="1"/>
  <c r="U102" i="1" s="1"/>
  <c r="U104" i="1" s="1"/>
  <c r="U115" i="1" s="1"/>
  <c r="R94" i="1"/>
  <c r="R98" i="1" s="1"/>
  <c r="R100" i="1" s="1"/>
  <c r="R102" i="1" s="1"/>
  <c r="R104" i="1" s="1"/>
  <c r="H94" i="1"/>
  <c r="H98" i="1" s="1"/>
  <c r="H100" i="1" s="1"/>
  <c r="H102" i="1" s="1"/>
  <c r="H104" i="1" s="1"/>
  <c r="J94" i="1"/>
  <c r="J98" i="1" s="1"/>
  <c r="J100" i="1" s="1"/>
  <c r="J102" i="1" s="1"/>
  <c r="J104" i="1" s="1"/>
  <c r="S44" i="1"/>
  <c r="S101" i="1"/>
  <c r="X94" i="1"/>
  <c r="X98" i="1" s="1"/>
  <c r="Q101" i="1"/>
  <c r="Q44" i="1"/>
  <c r="AB94" i="1"/>
  <c r="F94" i="1"/>
  <c r="F98" i="1" s="1"/>
  <c r="F100" i="1" s="1"/>
  <c r="F102" i="1" s="1"/>
  <c r="F104" i="1" s="1"/>
  <c r="W101" i="1"/>
  <c r="W44" i="1"/>
  <c r="G44" i="1"/>
  <c r="G101" i="1"/>
  <c r="M101" i="1"/>
  <c r="M44" i="1"/>
  <c r="AA94" i="1"/>
  <c r="Y101" i="1"/>
  <c r="Y44" i="1"/>
  <c r="L101" i="1"/>
  <c r="L44" i="1"/>
  <c r="P94" i="1"/>
  <c r="P98" i="1" s="1"/>
  <c r="P100" i="1" s="1"/>
  <c r="P102" i="1" s="1"/>
  <c r="P104" i="1" s="1"/>
  <c r="U101" i="1"/>
  <c r="U44" i="1"/>
  <c r="V94" i="1"/>
  <c r="V98" i="1" s="1"/>
  <c r="R101" i="1"/>
  <c r="R44" i="1"/>
  <c r="J101" i="1"/>
  <c r="J44" i="1"/>
  <c r="M94" i="1"/>
  <c r="M98" i="1" s="1"/>
  <c r="M100" i="1" s="1"/>
  <c r="M102" i="1" s="1"/>
  <c r="M104" i="1" s="1"/>
  <c r="N101" i="1"/>
  <c r="N44" i="1"/>
  <c r="F101" i="1"/>
  <c r="F44" i="1"/>
  <c r="W94" i="1"/>
  <c r="W98" i="1" s="1"/>
  <c r="E94" i="1"/>
  <c r="E98" i="1" s="1"/>
  <c r="E100" i="1" s="1"/>
  <c r="E102" i="1" s="1"/>
  <c r="E104" i="1" s="1"/>
  <c r="O44" i="1"/>
  <c r="O101" i="1"/>
  <c r="T94" i="1"/>
  <c r="T98" i="1" s="1"/>
  <c r="T100" i="1" s="1"/>
  <c r="T102" i="1" s="1"/>
  <c r="T104" i="1" s="1"/>
  <c r="I101" i="1"/>
  <c r="I44" i="1"/>
  <c r="K101" i="1"/>
  <c r="K44" i="1"/>
  <c r="P101" i="1"/>
  <c r="P44" i="1"/>
  <c r="Q94" i="1"/>
  <c r="Q98" i="1" s="1"/>
  <c r="Q100" i="1" s="1"/>
  <c r="Q102" i="1" s="1"/>
  <c r="Q104" i="1" s="1"/>
  <c r="V101" i="1"/>
  <c r="V44" i="1"/>
  <c r="N94" i="1"/>
  <c r="N98" i="1" s="1"/>
  <c r="N100" i="1" s="1"/>
  <c r="N102" i="1" s="1"/>
  <c r="N104" i="1" s="1"/>
  <c r="AB101" i="1"/>
  <c r="AB44" i="1"/>
  <c r="V90" i="1"/>
  <c r="V92" i="1" s="1"/>
  <c r="W61" i="1"/>
  <c r="W118" i="1" s="1"/>
  <c r="AB96" i="1"/>
  <c r="AC66" i="1"/>
  <c r="AA68" i="1"/>
  <c r="AA69" i="1" s="1"/>
  <c r="AB67" i="1"/>
  <c r="AB68" i="1" s="1"/>
  <c r="AB69" i="1" s="1"/>
  <c r="X76" i="1"/>
  <c r="X59" i="1" s="1"/>
  <c r="X86" i="1"/>
  <c r="Z97" i="1"/>
  <c r="Z72" i="1"/>
  <c r="Y74" i="1"/>
  <c r="Y75" i="1"/>
  <c r="V100" i="1" l="1"/>
  <c r="V102" i="1" s="1"/>
  <c r="V104" i="1" s="1"/>
  <c r="V115" i="1" s="1"/>
  <c r="T115" i="1"/>
  <c r="T106" i="1"/>
  <c r="H106" i="1"/>
  <c r="H115" i="1"/>
  <c r="S115" i="1"/>
  <c r="S106" i="1"/>
  <c r="M115" i="1"/>
  <c r="M106" i="1"/>
  <c r="AE101" i="1"/>
  <c r="N115" i="1"/>
  <c r="N106" i="1"/>
  <c r="E106" i="1"/>
  <c r="E115" i="1"/>
  <c r="L115" i="1"/>
  <c r="L106" i="1"/>
  <c r="J106" i="1"/>
  <c r="J115" i="1"/>
  <c r="R106" i="1"/>
  <c r="R115" i="1"/>
  <c r="I106" i="1"/>
  <c r="I115" i="1"/>
  <c r="G115" i="1"/>
  <c r="G106" i="1"/>
  <c r="K115" i="1"/>
  <c r="K106" i="1"/>
  <c r="Q106" i="1"/>
  <c r="Q115" i="1"/>
  <c r="O106" i="1"/>
  <c r="O115" i="1"/>
  <c r="P115" i="1"/>
  <c r="P106" i="1"/>
  <c r="F106" i="1"/>
  <c r="F115" i="1"/>
  <c r="Z98" i="1"/>
  <c r="AE96" i="1"/>
  <c r="U106" i="1"/>
  <c r="AC69" i="1"/>
  <c r="X61" i="1"/>
  <c r="X118" i="1" s="1"/>
  <c r="W90" i="1"/>
  <c r="W92" i="1" s="1"/>
  <c r="W100" i="1" s="1"/>
  <c r="Z74" i="1"/>
  <c r="Z75" i="1"/>
  <c r="AB97" i="1"/>
  <c r="AB98" i="1" s="1"/>
  <c r="AB72" i="1"/>
  <c r="Y76" i="1"/>
  <c r="Y59" i="1" s="1"/>
  <c r="Y86" i="1"/>
  <c r="AA72" i="1"/>
  <c r="AA97" i="1"/>
  <c r="V106" i="1" l="1"/>
  <c r="W102" i="1"/>
  <c r="W104" i="1" s="1"/>
  <c r="W106" i="1" s="1"/>
  <c r="X90" i="1"/>
  <c r="X92" i="1" s="1"/>
  <c r="X100" i="1" s="1"/>
  <c r="Y61" i="1"/>
  <c r="Y118" i="1" s="1"/>
  <c r="Z76" i="1"/>
  <c r="Z59" i="1" s="1"/>
  <c r="Z61" i="1" s="1"/>
  <c r="Z118" i="1" s="1"/>
  <c r="Z86" i="1"/>
  <c r="AA98" i="1"/>
  <c r="AE97" i="1"/>
  <c r="AE98" i="1" s="1"/>
  <c r="AB75" i="1"/>
  <c r="AB74" i="1"/>
  <c r="AA75" i="1"/>
  <c r="AA74" i="1"/>
  <c r="AC72" i="1"/>
  <c r="W115" i="1" l="1"/>
  <c r="Y90" i="1"/>
  <c r="Y92" i="1" s="1"/>
  <c r="Y100" i="1" s="1"/>
  <c r="X102" i="1"/>
  <c r="X104" i="1" s="1"/>
  <c r="X115" i="1" s="1"/>
  <c r="AB76" i="1"/>
  <c r="AB86" i="1"/>
  <c r="AC75" i="1"/>
  <c r="AC74" i="1"/>
  <c r="AA86" i="1"/>
  <c r="AA76" i="1"/>
  <c r="Z90" i="1"/>
  <c r="Z92" i="1" s="1"/>
  <c r="Z100" i="1" s="1"/>
  <c r="Y102" i="1" l="1"/>
  <c r="Y104" i="1" s="1"/>
  <c r="Y106" i="1" s="1"/>
  <c r="X106" i="1"/>
  <c r="AC76" i="1"/>
  <c r="AC77" i="1" s="1"/>
  <c r="AC86" i="1"/>
  <c r="AA59" i="1"/>
  <c r="Z102" i="1"/>
  <c r="Z104" i="1" s="1"/>
  <c r="Y115" i="1" l="1"/>
  <c r="AA61" i="1"/>
  <c r="AA118" i="1" s="1"/>
  <c r="AB59" i="1"/>
  <c r="AB61" i="1" s="1"/>
  <c r="AB118" i="1" s="1"/>
  <c r="Z115" i="1"/>
  <c r="Z106" i="1"/>
  <c r="AB90" i="1" l="1"/>
  <c r="AB92" i="1" s="1"/>
  <c r="AC61" i="1"/>
  <c r="AA90" i="1"/>
  <c r="AA92" i="1" s="1"/>
  <c r="AB100" i="1" l="1"/>
  <c r="AB102" i="1" s="1"/>
  <c r="AB104" i="1" s="1"/>
  <c r="AB115" i="1" s="1"/>
  <c r="AC92" i="1"/>
  <c r="AA100" i="1"/>
  <c r="AB106" i="1" l="1"/>
  <c r="AA102" i="1"/>
  <c r="AA104" i="1" s="1"/>
  <c r="AA106" i="1" l="1"/>
  <c r="AA115" i="1"/>
  <c r="AE100" i="1" l="1"/>
  <c r="AE102" i="1" s="1"/>
  <c r="AE108" i="1" l="1"/>
  <c r="D115" i="1"/>
  <c r="AE104" i="1"/>
  <c r="C126" i="1"/>
  <c r="D37" i="1"/>
  <c r="D126" i="1" l="1"/>
  <c r="E126" i="1"/>
  <c r="AE113" i="1"/>
  <c r="D39" i="1"/>
  <c r="D45" i="1" s="1"/>
  <c r="Z37" i="1"/>
  <c r="R37" i="1"/>
  <c r="U37" i="1"/>
  <c r="X37" i="1"/>
  <c r="L37" i="1"/>
  <c r="T37" i="1"/>
  <c r="M37" i="1"/>
  <c r="W37" i="1"/>
  <c r="J37" i="1"/>
  <c r="P37" i="1"/>
  <c r="F37" i="1"/>
  <c r="Y37" i="1"/>
  <c r="Y119" i="1" s="1"/>
  <c r="Y120" i="1" s="1"/>
  <c r="S37" i="1"/>
  <c r="S119" i="1" s="1"/>
  <c r="S120" i="1" s="1"/>
  <c r="O37" i="1"/>
  <c r="O119" i="1" s="1"/>
  <c r="O120" i="1" s="1"/>
  <c r="N37" i="1"/>
  <c r="N119" i="1" s="1"/>
  <c r="N120" i="1" s="1"/>
  <c r="H37" i="1"/>
  <c r="H119" i="1" s="1"/>
  <c r="H120" i="1" s="1"/>
  <c r="V37" i="1"/>
  <c r="V119" i="1" s="1"/>
  <c r="V120" i="1" s="1"/>
  <c r="I37" i="1"/>
  <c r="I119" i="1" s="1"/>
  <c r="I120" i="1" s="1"/>
  <c r="E37" i="1"/>
  <c r="E119" i="1" s="1"/>
  <c r="E120" i="1" s="1"/>
  <c r="E121" i="1" s="1"/>
  <c r="AB37" i="1"/>
  <c r="AB119" i="1" s="1"/>
  <c r="AB120" i="1" s="1"/>
  <c r="Q37" i="1"/>
  <c r="Q119" i="1" s="1"/>
  <c r="Q120" i="1" s="1"/>
  <c r="K37" i="1"/>
  <c r="K119" i="1" s="1"/>
  <c r="K120" i="1" s="1"/>
  <c r="G37" i="1"/>
  <c r="G119" i="1" s="1"/>
  <c r="G120" i="1" s="1"/>
  <c r="AA37" i="1"/>
  <c r="AA119" i="1" s="1"/>
  <c r="AA120" i="1" s="1"/>
  <c r="O39" i="1" l="1"/>
  <c r="O45" i="1" s="1"/>
  <c r="Y39" i="1"/>
  <c r="Y45" i="1" s="1"/>
  <c r="H39" i="1"/>
  <c r="H45" i="1" s="1"/>
  <c r="V39" i="1"/>
  <c r="V45" i="1" s="1"/>
  <c r="N39" i="1"/>
  <c r="N45" i="1" s="1"/>
  <c r="S39" i="1"/>
  <c r="S45" i="1" s="1"/>
  <c r="I39" i="1"/>
  <c r="I45" i="1" s="1"/>
  <c r="G39" i="1"/>
  <c r="G45" i="1" s="1"/>
  <c r="AB39" i="1"/>
  <c r="AB45" i="1" s="1"/>
  <c r="J39" i="1"/>
  <c r="J45" i="1" s="1"/>
  <c r="J119" i="1"/>
  <c r="J120" i="1" s="1"/>
  <c r="W39" i="1"/>
  <c r="W45" i="1" s="1"/>
  <c r="W119" i="1"/>
  <c r="W120" i="1" s="1"/>
  <c r="X39" i="1"/>
  <c r="X45" i="1" s="1"/>
  <c r="X119" i="1"/>
  <c r="X120" i="1" s="1"/>
  <c r="Z39" i="1"/>
  <c r="Z45" i="1" s="1"/>
  <c r="Z119" i="1"/>
  <c r="Z120" i="1" s="1"/>
  <c r="AA39" i="1"/>
  <c r="AA45" i="1" s="1"/>
  <c r="Q39" i="1"/>
  <c r="Q45" i="1" s="1"/>
  <c r="E39" i="1"/>
  <c r="E45" i="1" s="1"/>
  <c r="F39" i="1"/>
  <c r="F45" i="1" s="1"/>
  <c r="F119" i="1"/>
  <c r="F120" i="1" s="1"/>
  <c r="M39" i="1"/>
  <c r="M45" i="1" s="1"/>
  <c r="M119" i="1"/>
  <c r="M120" i="1" s="1"/>
  <c r="U39" i="1"/>
  <c r="U45" i="1" s="1"/>
  <c r="U119" i="1"/>
  <c r="U120" i="1" s="1"/>
  <c r="L39" i="1"/>
  <c r="L119" i="1"/>
  <c r="L120" i="1" s="1"/>
  <c r="K39" i="1"/>
  <c r="K45" i="1" s="1"/>
  <c r="P39" i="1"/>
  <c r="P45" i="1" s="1"/>
  <c r="P119" i="1"/>
  <c r="P120" i="1" s="1"/>
  <c r="T39" i="1"/>
  <c r="T45" i="1" s="1"/>
  <c r="T119" i="1"/>
  <c r="T120" i="1" s="1"/>
  <c r="R39" i="1"/>
  <c r="R45" i="1" s="1"/>
  <c r="R119" i="1"/>
  <c r="R120" i="1" s="1"/>
  <c r="AC37" i="1"/>
  <c r="AC39" i="1" l="1"/>
  <c r="F121" i="1"/>
  <c r="G121" i="1" s="1"/>
  <c r="H121" i="1" s="1"/>
  <c r="I121" i="1" s="1"/>
  <c r="J121" i="1" s="1"/>
  <c r="L45" i="1"/>
  <c r="AC45" i="1" s="1"/>
  <c r="K121" i="1" l="1"/>
  <c r="L121" i="1" s="1"/>
  <c r="M121" i="1" s="1"/>
  <c r="C37" i="1"/>
  <c r="C39" i="1" s="1"/>
  <c r="N121" i="1" l="1"/>
  <c r="O121" i="1" s="1"/>
  <c r="P121" i="1" s="1"/>
  <c r="Q121" i="1" s="1"/>
  <c r="R121" i="1" s="1"/>
  <c r="S121" i="1" s="1"/>
  <c r="T121" i="1" s="1"/>
  <c r="U121" i="1" s="1"/>
  <c r="V121" i="1" s="1"/>
  <c r="W121" i="1" s="1"/>
  <c r="X121" i="1" s="1"/>
  <c r="Y121" i="1" s="1"/>
  <c r="Z121" i="1" s="1"/>
  <c r="AA121" i="1" s="1"/>
  <c r="AB121" i="1" s="1"/>
</calcChain>
</file>

<file path=xl/sharedStrings.xml><?xml version="1.0" encoding="utf-8"?>
<sst xmlns="http://schemas.openxmlformats.org/spreadsheetml/2006/main" count="125" uniqueCount="120">
  <si>
    <t>Ingressos</t>
  </si>
  <si>
    <t>Despeses</t>
  </si>
  <si>
    <t>Personal</t>
  </si>
  <si>
    <t>Energia elèctrica</t>
  </si>
  <si>
    <t>Compra d'aigua</t>
  </si>
  <si>
    <t>Tractament</t>
  </si>
  <si>
    <t>Transports</t>
  </si>
  <si>
    <t>Total despeses d'explotació</t>
  </si>
  <si>
    <t xml:space="preserve">Total despeses </t>
  </si>
  <si>
    <t>Resultat de l'exercici</t>
  </si>
  <si>
    <t>Total retribució concessionari</t>
  </si>
  <si>
    <t>Any base</t>
  </si>
  <si>
    <t>CRITERIS</t>
  </si>
  <si>
    <t>Increment cost personal</t>
  </si>
  <si>
    <t>Increment preu compra aigua</t>
  </si>
  <si>
    <t>Increment energia elèctrica</t>
  </si>
  <si>
    <t>Increment resta de costos</t>
  </si>
  <si>
    <t xml:space="preserve">Retribució de la inversió </t>
  </si>
  <si>
    <t>Cost financer del net revertible</t>
  </si>
  <si>
    <t>Inversions anuals (€)</t>
  </si>
  <si>
    <t>Inversió acumulada (€)</t>
  </si>
  <si>
    <t>Amortització anual (€)</t>
  </si>
  <si>
    <t>Amortització acumulada (€)</t>
  </si>
  <si>
    <t>Net revertible (€)</t>
  </si>
  <si>
    <t>m3 subministrats</t>
  </si>
  <si>
    <t>Rendiment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</si>
  <si>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facturats</t>
    </r>
  </si>
  <si>
    <t>Increment volum venda aigua per abonat</t>
  </si>
  <si>
    <t>TOTAL INGRESSOS</t>
  </si>
  <si>
    <t>DESPESES D'EXPLOTACIÓ</t>
  </si>
  <si>
    <t>Retribució inversió</t>
  </si>
  <si>
    <t>RESULTAT DE L'EXERCICI</t>
  </si>
  <si>
    <t>CASH-FLOW OPERATIU</t>
  </si>
  <si>
    <t>CASH-FLOW NET</t>
  </si>
  <si>
    <t>CASH-FLOW NET ACTUALITZAT</t>
  </si>
  <si>
    <t>VALOR ACTUALITZAT NET (VAN)</t>
  </si>
  <si>
    <t xml:space="preserve">Taxa de descompte aplicada </t>
  </si>
  <si>
    <t>Inversió anual</t>
  </si>
  <si>
    <t>Inversió anual actualitzada</t>
  </si>
  <si>
    <t>VAN INVERSIONS</t>
  </si>
  <si>
    <t>TIR</t>
  </si>
  <si>
    <t>Per calcular la TIR, es cerquen les entrades i sortides de capital anuals: En el nostre cas es calculen per diferència entre l'inversió anual menys el cash flow net:</t>
  </si>
  <si>
    <t>Diferència VAN Cash flow -VAN Inversions</t>
  </si>
  <si>
    <t>Ingressos tarifaris</t>
  </si>
  <si>
    <t>Ingressos no tarifaris</t>
  </si>
  <si>
    <t>Increment anual tarifa mitjana</t>
  </si>
  <si>
    <t>Retribució teòrica del concessionari</t>
  </si>
  <si>
    <t>TOTAL DESPESES (sense retr.concessionari)</t>
  </si>
  <si>
    <t>Amortització inversió</t>
  </si>
  <si>
    <t>Total amortiz.</t>
  </si>
  <si>
    <t>Cost finanancer</t>
  </si>
  <si>
    <t>Total</t>
  </si>
  <si>
    <t>Suma resultats</t>
  </si>
  <si>
    <t>Suma retrib.</t>
  </si>
  <si>
    <t xml:space="preserve"> </t>
  </si>
  <si>
    <t>Cash-Flow net</t>
  </si>
  <si>
    <t>Total inversions</t>
  </si>
  <si>
    <t>Retribució concessionari</t>
  </si>
  <si>
    <t>Excés retrib</t>
  </si>
  <si>
    <t>Materials de conservació i treballs de tercers</t>
  </si>
  <si>
    <t>Costos indirectes Ajuntament</t>
  </si>
  <si>
    <t>m3 facturats</t>
  </si>
  <si>
    <t>Despeses Financeres</t>
  </si>
  <si>
    <t>Despeses constitució i licitació</t>
  </si>
  <si>
    <t>Despeses administratives</t>
  </si>
  <si>
    <t>m3 registrats (facturats+municipals)</t>
  </si>
  <si>
    <t>Retribució del concessionari</t>
  </si>
  <si>
    <t>Deute (impagats)</t>
  </si>
  <si>
    <t>Fons reposició i amortització (Ajuntament)</t>
  </si>
  <si>
    <t>Cicle integral de l'aigua de PREMIÀ DE DALT - CONCESSIÓ</t>
  </si>
  <si>
    <t>Ingressos clavegueram</t>
  </si>
  <si>
    <t>Aval garantia definitiva</t>
  </si>
  <si>
    <t>Fons reposició i amortització</t>
  </si>
  <si>
    <t>Import de Transmissions Patrimonials</t>
  </si>
  <si>
    <t>Impagats</t>
  </si>
  <si>
    <t xml:space="preserve">Tarifa mitjana servei aigua </t>
  </si>
  <si>
    <t>Resultat + Retribució</t>
  </si>
  <si>
    <t>EL RESULTAT GLOBAL DE LA SUMA DELS EXERCICIS HA DE SER POSITIU</t>
  </si>
  <si>
    <r>
      <t xml:space="preserve">Quota inversió </t>
    </r>
    <r>
      <rPr>
        <sz val="11"/>
        <color theme="1"/>
        <rFont val="Calibri"/>
        <family val="2"/>
      </rPr>
      <t>€</t>
    </r>
    <r>
      <rPr>
        <sz val="8.8000000000000007"/>
        <color theme="1"/>
        <rFont val="Calibri"/>
        <family val="2"/>
      </rPr>
      <t>/ m3</t>
    </r>
  </si>
  <si>
    <t>Quota inversió €/abonat mes</t>
  </si>
  <si>
    <t>Número d'abonats</t>
  </si>
  <si>
    <t>INVERSIONS</t>
  </si>
  <si>
    <t>Ingressos inversions</t>
  </si>
  <si>
    <t>Ingressos de quota</t>
  </si>
  <si>
    <t>Increment anual quota inversió</t>
  </si>
  <si>
    <t>Inversions a càrrec del concessionari</t>
  </si>
  <si>
    <t>Amortització a càrrec del concessionari</t>
  </si>
  <si>
    <t xml:space="preserve">Ingressos </t>
  </si>
  <si>
    <t>-</t>
  </si>
  <si>
    <t>Increment ingrés no tarifaris</t>
  </si>
  <si>
    <t>Increment població i abonats</t>
  </si>
  <si>
    <t>Inversió - Cash Flow Net</t>
  </si>
  <si>
    <t>VAN</t>
  </si>
  <si>
    <t xml:space="preserve">ROI </t>
  </si>
  <si>
    <t>Impostos i taxes</t>
  </si>
  <si>
    <r>
      <t>Cànon Ajuntament (0,58</t>
    </r>
    <r>
      <rPr>
        <sz val="11"/>
        <color theme="1"/>
        <rFont val="Calibri"/>
        <family val="2"/>
      </rPr>
      <t xml:space="preserve">€ </t>
    </r>
    <r>
      <rPr>
        <sz val="8.8000000000000007"/>
        <color theme="1"/>
        <rFont val="Calibri"/>
        <family val="2"/>
      </rPr>
      <t>/ m3)</t>
    </r>
  </si>
  <si>
    <t>Quota total (Servei + Inversió)</t>
  </si>
  <si>
    <t>Durada 25 anys</t>
  </si>
  <si>
    <t>Amb les millores, el rendiment augmenta un 5%, fins el 81%</t>
  </si>
  <si>
    <t>Tarifa Mitjana d'Explotació</t>
  </si>
  <si>
    <t>Tarifa Mitjana d'Inversió</t>
  </si>
  <si>
    <t>Ingressos aigua</t>
  </si>
  <si>
    <t>Flux de caixa lliure descomptat</t>
  </si>
  <si>
    <t>Flux de caixa lliure descomptat acumulat</t>
  </si>
  <si>
    <t>EBITDA</t>
  </si>
  <si>
    <t>Flux de caixa lliure 2</t>
  </si>
  <si>
    <t>Periode de recuperació de la inversió</t>
  </si>
  <si>
    <t>X</t>
  </si>
  <si>
    <t>Tarifa Mitjana Global</t>
  </si>
  <si>
    <t>Taxa de  descompte: s'aplica una  taxa de descompte equivalents al rendiment mitjà en el mercat secundari del deute de l'Estat a 10 anys en el últims 6 mesos incrementat en un diferencial de 200 punts básics.</t>
  </si>
  <si>
    <t>Aquest valor a maig 2023 (període novembre 2022 a abril 2023) és 3,28% + 200 punts = 5,28%</t>
  </si>
  <si>
    <t>Inversions a realitzar en els 25 anys de concessió</t>
  </si>
  <si>
    <t>Cànon incial</t>
  </si>
  <si>
    <t>Inversió total</t>
  </si>
  <si>
    <t>Amortitzacions en el període restant de la concessió, a partir de 2024</t>
  </si>
  <si>
    <t>Increment volum compra aigua. Valor increment facturació aigua anual</t>
  </si>
  <si>
    <t>Seguiment i control (0,25%)</t>
  </si>
  <si>
    <t xml:space="preserve">Retribució sobre despeses d'explotació </t>
  </si>
  <si>
    <t>% Retribucio total s. despeses explotacio aigua,clavegueram i fonts  ( Annex II )</t>
  </si>
  <si>
    <t>Retribució del concessionari. Annex II_B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</si>
</sst>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3" formatCode="_-* #,##0.00_-;\-* #,##0.00_-;_-* &quot;-&quot;??_-;_-@_-"/>
    <numFmt numFmtId="164" formatCode="0.000"/>
    <numFmt numFmtId="165" formatCode="0.0000"/>
    <numFmt numFmtId="166" formatCode="0.0%"/>
    <numFmt numFmtId="167" formatCode="#,##0.00000"/>
    <numFmt numFmtId="168" formatCode="0.0000%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Helvetica"/>
      <family val="2"/>
    </font>
    <font>
      <sz val="10"/>
      <name val="Helvetica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0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8"/>
      </left>
      <right/>
      <top style="medium">
        <color indexed="64"/>
      </top>
      <bottom style="medium">
        <color indexed="64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21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7" fillId="0" borderId="0"/>
    <xf numFmtId="0" fontId="24" fillId="0" borderId="22" applyNumberFormat="0" applyFill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3" fontId="0" fillId="0" borderId="5" xfId="0" applyNumberFormat="1" applyBorder="1"/>
    <xf numFmtId="3" fontId="2" fillId="0" borderId="5" xfId="0" applyNumberFormat="1" applyFont="1" applyBorder="1"/>
    <xf numFmtId="3" fontId="2" fillId="4" borderId="1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3" fontId="0" fillId="0" borderId="0" xfId="0" applyNumberFormat="1" applyAlignment="1">
      <alignment vertical="center"/>
    </xf>
    <xf numFmtId="3" fontId="2" fillId="5" borderId="8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6" xfId="0" applyNumberFormat="1" applyBorder="1" applyAlignment="1">
      <alignment vertical="center"/>
    </xf>
    <xf numFmtId="0" fontId="13" fillId="8" borderId="0" xfId="0" applyFont="1" applyFill="1"/>
    <xf numFmtId="3" fontId="2" fillId="8" borderId="0" xfId="0" applyNumberFormat="1" applyFont="1" applyFill="1"/>
    <xf numFmtId="0" fontId="13" fillId="0" borderId="0" xfId="0" applyFont="1"/>
    <xf numFmtId="0" fontId="14" fillId="8" borderId="10" xfId="0" applyFont="1" applyFill="1" applyBorder="1"/>
    <xf numFmtId="0" fontId="15" fillId="8" borderId="4" xfId="0" applyFont="1" applyFill="1" applyBorder="1"/>
    <xf numFmtId="3" fontId="16" fillId="8" borderId="9" xfId="0" applyNumberFormat="1" applyFont="1" applyFill="1" applyBorder="1"/>
    <xf numFmtId="0" fontId="0" fillId="7" borderId="13" xfId="0" applyFill="1" applyBorder="1" applyAlignment="1">
      <alignment vertical="center"/>
    </xf>
    <xf numFmtId="0" fontId="0" fillId="7" borderId="14" xfId="0" applyFill="1" applyBorder="1"/>
    <xf numFmtId="0" fontId="0" fillId="7" borderId="16" xfId="0" applyFill="1" applyBorder="1" applyAlignment="1">
      <alignment vertical="center"/>
    </xf>
    <xf numFmtId="0" fontId="0" fillId="7" borderId="11" xfId="0" applyFill="1" applyBorder="1"/>
    <xf numFmtId="0" fontId="0" fillId="0" borderId="19" xfId="0" applyBorder="1"/>
    <xf numFmtId="3" fontId="0" fillId="0" borderId="19" xfId="0" applyNumberFormat="1" applyBorder="1"/>
    <xf numFmtId="0" fontId="13" fillId="8" borderId="10" xfId="0" applyFont="1" applyFill="1" applyBorder="1"/>
    <xf numFmtId="3" fontId="9" fillId="8" borderId="4" xfId="0" applyNumberFormat="1" applyFont="1" applyFill="1" applyBorder="1" applyAlignment="1">
      <alignment horizontal="right"/>
    </xf>
    <xf numFmtId="3" fontId="8" fillId="0" borderId="6" xfId="0" applyNumberFormat="1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3" fontId="21" fillId="0" borderId="0" xfId="0" applyNumberFormat="1" applyFont="1"/>
    <xf numFmtId="3" fontId="2" fillId="0" borderId="19" xfId="0" applyNumberFormat="1" applyFont="1" applyBorder="1"/>
    <xf numFmtId="3" fontId="21" fillId="0" borderId="19" xfId="0" applyNumberFormat="1" applyFont="1" applyBorder="1"/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3" fontId="8" fillId="0" borderId="0" xfId="0" applyNumberFormat="1" applyFont="1" applyAlignment="1">
      <alignment vertical="center"/>
    </xf>
    <xf numFmtId="3" fontId="0" fillId="9" borderId="0" xfId="0" applyNumberFormat="1" applyFill="1"/>
    <xf numFmtId="3" fontId="8" fillId="9" borderId="0" xfId="0" applyNumberFormat="1" applyFont="1" applyFill="1"/>
    <xf numFmtId="0" fontId="20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166" fontId="0" fillId="9" borderId="0" xfId="19" applyNumberFormat="1" applyFont="1" applyFill="1"/>
    <xf numFmtId="0" fontId="8" fillId="9" borderId="0" xfId="0" applyFont="1" applyFill="1" applyAlignment="1">
      <alignment vertical="center" wrapText="1"/>
    </xf>
    <xf numFmtId="3" fontId="0" fillId="0" borderId="23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0" fontId="0" fillId="6" borderId="23" xfId="0" applyFill="1" applyBorder="1"/>
    <xf numFmtId="165" fontId="0" fillId="3" borderId="23" xfId="0" applyNumberFormat="1" applyFill="1" applyBorder="1"/>
    <xf numFmtId="0" fontId="0" fillId="3" borderId="23" xfId="0" applyFill="1" applyBorder="1"/>
    <xf numFmtId="0" fontId="0" fillId="0" borderId="0" xfId="0" applyAlignment="1">
      <alignment vertical="center" wrapText="1"/>
    </xf>
    <xf numFmtId="0" fontId="2" fillId="0" borderId="24" xfId="0" applyFont="1" applyBorder="1"/>
    <xf numFmtId="0" fontId="2" fillId="0" borderId="34" xfId="0" applyFont="1" applyBorder="1"/>
    <xf numFmtId="0" fontId="2" fillId="0" borderId="10" xfId="0" applyFont="1" applyBorder="1"/>
    <xf numFmtId="3" fontId="2" fillId="3" borderId="4" xfId="0" applyNumberFormat="1" applyFont="1" applyFill="1" applyBorder="1"/>
    <xf numFmtId="3" fontId="0" fillId="10" borderId="5" xfId="0" applyNumberFormat="1" applyFill="1" applyBorder="1"/>
    <xf numFmtId="3" fontId="0" fillId="10" borderId="0" xfId="0" applyNumberFormat="1" applyFill="1"/>
    <xf numFmtId="3" fontId="0" fillId="10" borderId="31" xfId="0" applyNumberFormat="1" applyFill="1" applyBorder="1"/>
    <xf numFmtId="3" fontId="2" fillId="10" borderId="4" xfId="0" applyNumberFormat="1" applyFont="1" applyFill="1" applyBorder="1"/>
    <xf numFmtId="3" fontId="2" fillId="10" borderId="35" xfId="0" applyNumberFormat="1" applyFont="1" applyFill="1" applyBorder="1"/>
    <xf numFmtId="3" fontId="2" fillId="10" borderId="36" xfId="0" applyNumberFormat="1" applyFont="1" applyFill="1" applyBorder="1"/>
    <xf numFmtId="3" fontId="8" fillId="10" borderId="5" xfId="0" applyNumberFormat="1" applyFont="1" applyFill="1" applyBorder="1"/>
    <xf numFmtId="3" fontId="0" fillId="10" borderId="25" xfId="0" applyNumberFormat="1" applyFill="1" applyBorder="1"/>
    <xf numFmtId="3" fontId="0" fillId="10" borderId="23" xfId="0" applyNumberFormat="1" applyFill="1" applyBorder="1"/>
    <xf numFmtId="3" fontId="0" fillId="10" borderId="32" xfId="0" applyNumberFormat="1" applyFill="1" applyBorder="1"/>
    <xf numFmtId="3" fontId="0" fillId="10" borderId="33" xfId="0" applyNumberFormat="1" applyFill="1" applyBorder="1"/>
    <xf numFmtId="3" fontId="9" fillId="10" borderId="4" xfId="0" applyNumberFormat="1" applyFont="1" applyFill="1" applyBorder="1"/>
    <xf numFmtId="165" fontId="0" fillId="10" borderId="23" xfId="0" applyNumberFormat="1" applyFill="1" applyBorder="1"/>
    <xf numFmtId="3" fontId="2" fillId="10" borderId="24" xfId="0" applyNumberFormat="1" applyFont="1" applyFill="1" applyBorder="1"/>
    <xf numFmtId="3" fontId="2" fillId="10" borderId="24" xfId="0" applyNumberFormat="1" applyFont="1" applyFill="1" applyBorder="1" applyAlignment="1">
      <alignment vertical="center" wrapText="1"/>
    </xf>
    <xf numFmtId="3" fontId="0" fillId="10" borderId="19" xfId="0" applyNumberFormat="1" applyFill="1" applyBorder="1"/>
    <xf numFmtId="3" fontId="2" fillId="10" borderId="19" xfId="0" applyNumberFormat="1" applyFont="1" applyFill="1" applyBorder="1"/>
    <xf numFmtId="165" fontId="0" fillId="10" borderId="19" xfId="0" applyNumberFormat="1" applyFill="1" applyBorder="1" applyAlignment="1">
      <alignment horizontal="right"/>
    </xf>
    <xf numFmtId="10" fontId="0" fillId="0" borderId="0" xfId="0" applyNumberFormat="1"/>
    <xf numFmtId="10" fontId="0" fillId="0" borderId="0" xfId="19" applyNumberFormat="1" applyFont="1"/>
    <xf numFmtId="3" fontId="9" fillId="10" borderId="24" xfId="0" applyNumberFormat="1" applyFont="1" applyFill="1" applyBorder="1"/>
    <xf numFmtId="0" fontId="2" fillId="0" borderId="9" xfId="0" applyFont="1" applyBorder="1"/>
    <xf numFmtId="10" fontId="0" fillId="0" borderId="0" xfId="19" applyNumberFormat="1" applyFont="1" applyBorder="1"/>
    <xf numFmtId="0" fontId="0" fillId="12" borderId="0" xfId="0" applyFill="1"/>
    <xf numFmtId="165" fontId="0" fillId="12" borderId="0" xfId="0" applyNumberFormat="1" applyFill="1"/>
    <xf numFmtId="0" fontId="0" fillId="0" borderId="23" xfId="0" applyBorder="1"/>
    <xf numFmtId="164" fontId="0" fillId="10" borderId="23" xfId="0" applyNumberFormat="1" applyFill="1" applyBorder="1"/>
    <xf numFmtId="3" fontId="2" fillId="10" borderId="9" xfId="0" applyNumberFormat="1" applyFont="1" applyFill="1" applyBorder="1"/>
    <xf numFmtId="3" fontId="2" fillId="10" borderId="38" xfId="0" applyNumberFormat="1" applyFont="1" applyFill="1" applyBorder="1"/>
    <xf numFmtId="0" fontId="2" fillId="8" borderId="4" xfId="0" applyFont="1" applyFill="1" applyBorder="1"/>
    <xf numFmtId="0" fontId="8" fillId="0" borderId="2" xfId="0" applyFont="1" applyBorder="1"/>
    <xf numFmtId="3" fontId="2" fillId="10" borderId="10" xfId="0" applyNumberFormat="1" applyFont="1" applyFill="1" applyBorder="1"/>
    <xf numFmtId="3" fontId="0" fillId="0" borderId="39" xfId="0" applyNumberFormat="1" applyBorder="1"/>
    <xf numFmtId="10" fontId="8" fillId="0" borderId="15" xfId="0" applyNumberFormat="1" applyFont="1" applyBorder="1"/>
    <xf numFmtId="10" fontId="0" fillId="0" borderId="37" xfId="0" applyNumberFormat="1" applyBorder="1"/>
    <xf numFmtId="0" fontId="2" fillId="8" borderId="40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0" fillId="8" borderId="0" xfId="0" applyFill="1"/>
    <xf numFmtId="0" fontId="2" fillId="8" borderId="20" xfId="0" applyFont="1" applyFill="1" applyBorder="1" applyAlignment="1">
      <alignment horizontal="left"/>
    </xf>
    <xf numFmtId="0" fontId="0" fillId="8" borderId="18" xfId="0" applyFill="1" applyBorder="1"/>
    <xf numFmtId="3" fontId="0" fillId="8" borderId="18" xfId="0" applyNumberFormat="1" applyFill="1" applyBorder="1"/>
    <xf numFmtId="3" fontId="0" fillId="8" borderId="21" xfId="0" applyNumberFormat="1" applyFill="1" applyBorder="1"/>
    <xf numFmtId="0" fontId="0" fillId="8" borderId="9" xfId="0" applyFill="1" applyBorder="1"/>
    <xf numFmtId="0" fontId="2" fillId="4" borderId="19" xfId="0" applyFont="1" applyFill="1" applyBorder="1" applyAlignment="1">
      <alignment vertical="center"/>
    </xf>
    <xf numFmtId="0" fontId="0" fillId="13" borderId="19" xfId="0" applyFill="1" applyBorder="1"/>
    <xf numFmtId="3" fontId="2" fillId="4" borderId="19" xfId="0" applyNumberFormat="1" applyFont="1" applyFill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0" fillId="8" borderId="45" xfId="0" applyFill="1" applyBorder="1"/>
    <xf numFmtId="0" fontId="2" fillId="5" borderId="46" xfId="0" applyFont="1" applyFill="1" applyBorder="1" applyAlignment="1">
      <alignment vertical="center"/>
    </xf>
    <xf numFmtId="0" fontId="0" fillId="8" borderId="12" xfId="0" applyFill="1" applyBorder="1"/>
    <xf numFmtId="3" fontId="2" fillId="5" borderId="12" xfId="0" applyNumberFormat="1" applyFont="1" applyFill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0" borderId="45" xfId="0" applyBorder="1"/>
    <xf numFmtId="3" fontId="0" fillId="0" borderId="45" xfId="0" applyNumberFormat="1" applyBorder="1" applyAlignment="1">
      <alignment vertical="center"/>
    </xf>
    <xf numFmtId="0" fontId="13" fillId="8" borderId="45" xfId="0" applyFont="1" applyFill="1" applyBorder="1"/>
    <xf numFmtId="3" fontId="9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3" fontId="8" fillId="3" borderId="0" xfId="0" applyNumberFormat="1" applyFont="1" applyFill="1"/>
    <xf numFmtId="0" fontId="12" fillId="0" borderId="41" xfId="0" applyFont="1" applyBorder="1"/>
    <xf numFmtId="3" fontId="0" fillId="0" borderId="29" xfId="0" applyNumberFormat="1" applyBorder="1"/>
    <xf numFmtId="3" fontId="2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0" fontId="2" fillId="0" borderId="0" xfId="0" applyNumberFormat="1" applyFont="1"/>
    <xf numFmtId="165" fontId="0" fillId="10" borderId="4" xfId="0" applyNumberFormat="1" applyFill="1" applyBorder="1"/>
    <xf numFmtId="6" fontId="9" fillId="14" borderId="42" xfId="0" applyNumberFormat="1" applyFont="1" applyFill="1" applyBorder="1" applyAlignment="1">
      <alignment horizontal="center"/>
    </xf>
    <xf numFmtId="10" fontId="2" fillId="14" borderId="43" xfId="0" applyNumberFormat="1" applyFont="1" applyFill="1" applyBorder="1" applyAlignment="1">
      <alignment horizontal="center"/>
    </xf>
    <xf numFmtId="2" fontId="2" fillId="14" borderId="42" xfId="0" applyNumberFormat="1" applyFont="1" applyFill="1" applyBorder="1" applyAlignment="1">
      <alignment horizontal="center"/>
    </xf>
    <xf numFmtId="168" fontId="0" fillId="7" borderId="15" xfId="19" applyNumberFormat="1" applyFont="1" applyFill="1" applyBorder="1"/>
    <xf numFmtId="0" fontId="0" fillId="9" borderId="1" xfId="0" applyFill="1" applyBorder="1"/>
    <xf numFmtId="10" fontId="0" fillId="9" borderId="17" xfId="0" applyNumberFormat="1" applyFill="1" applyBorder="1"/>
    <xf numFmtId="165" fontId="0" fillId="10" borderId="18" xfId="0" applyNumberFormat="1" applyFill="1" applyBorder="1" applyAlignment="1">
      <alignment horizontal="right"/>
    </xf>
    <xf numFmtId="0" fontId="0" fillId="0" borderId="47" xfId="0" applyBorder="1" applyAlignment="1">
      <alignment wrapText="1"/>
    </xf>
    <xf numFmtId="0" fontId="0" fillId="0" borderId="19" xfId="0" applyBorder="1" applyAlignment="1">
      <alignment horizontal="center" wrapText="1"/>
    </xf>
    <xf numFmtId="1" fontId="0" fillId="10" borderId="5" xfId="0" applyNumberFormat="1" applyFill="1" applyBorder="1"/>
    <xf numFmtId="3" fontId="0" fillId="10" borderId="30" xfId="0" applyNumberFormat="1" applyFill="1" applyBorder="1"/>
    <xf numFmtId="3" fontId="2" fillId="10" borderId="5" xfId="0" applyNumberFormat="1" applyFont="1" applyFill="1" applyBorder="1"/>
    <xf numFmtId="3" fontId="0" fillId="10" borderId="49" xfId="0" applyNumberFormat="1" applyFill="1" applyBorder="1"/>
    <xf numFmtId="2" fontId="0" fillId="0" borderId="27" xfId="0" applyNumberFormat="1" applyBorder="1"/>
    <xf numFmtId="3" fontId="0" fillId="3" borderId="5" xfId="0" applyNumberFormat="1" applyFill="1" applyBorder="1"/>
    <xf numFmtId="0" fontId="0" fillId="6" borderId="5" xfId="0" applyFill="1" applyBorder="1"/>
    <xf numFmtId="2" fontId="0" fillId="3" borderId="5" xfId="0" applyNumberFormat="1" applyFill="1" applyBorder="1"/>
    <xf numFmtId="2" fontId="0" fillId="0" borderId="5" xfId="0" applyNumberFormat="1" applyBorder="1"/>
    <xf numFmtId="165" fontId="0" fillId="3" borderId="5" xfId="0" applyNumberFormat="1" applyFill="1" applyBorder="1"/>
    <xf numFmtId="165" fontId="0" fillId="10" borderId="5" xfId="0" applyNumberFormat="1" applyFill="1" applyBorder="1"/>
    <xf numFmtId="0" fontId="0" fillId="0" borderId="5" xfId="0" applyBorder="1"/>
    <xf numFmtId="0" fontId="0" fillId="3" borderId="5" xfId="0" applyFill="1" applyBorder="1"/>
    <xf numFmtId="10" fontId="0" fillId="9" borderId="5" xfId="0" applyNumberFormat="1" applyFill="1" applyBorder="1"/>
    <xf numFmtId="165" fontId="0" fillId="10" borderId="50" xfId="0" applyNumberFormat="1" applyFill="1" applyBorder="1"/>
    <xf numFmtId="3" fontId="24" fillId="6" borderId="5" xfId="18" applyNumberFormat="1" applyFill="1" applyBorder="1"/>
    <xf numFmtId="3" fontId="30" fillId="0" borderId="5" xfId="0" applyNumberFormat="1" applyFont="1" applyBorder="1"/>
    <xf numFmtId="3" fontId="5" fillId="0" borderId="5" xfId="0" applyNumberFormat="1" applyFont="1" applyBorder="1"/>
    <xf numFmtId="3" fontId="0" fillId="0" borderId="33" xfId="0" applyNumberFormat="1" applyBorder="1"/>
    <xf numFmtId="167" fontId="0" fillId="0" borderId="33" xfId="0" applyNumberFormat="1" applyBorder="1"/>
    <xf numFmtId="3" fontId="5" fillId="0" borderId="48" xfId="0" applyNumberFormat="1" applyFont="1" applyBorder="1"/>
    <xf numFmtId="3" fontId="30" fillId="0" borderId="33" xfId="0" applyNumberFormat="1" applyFont="1" applyBorder="1"/>
    <xf numFmtId="165" fontId="0" fillId="7" borderId="10" xfId="0" applyNumberFormat="1" applyFill="1" applyBorder="1"/>
    <xf numFmtId="0" fontId="0" fillId="0" borderId="24" xfId="0" applyBorder="1" applyAlignment="1">
      <alignment horizontal="center"/>
    </xf>
    <xf numFmtId="0" fontId="0" fillId="15" borderId="0" xfId="0" applyFill="1" applyAlignment="1">
      <alignment horizontal="center"/>
    </xf>
    <xf numFmtId="10" fontId="0" fillId="10" borderId="23" xfId="0" applyNumberFormat="1" applyFill="1" applyBorder="1" applyAlignment="1">
      <alignment horizontal="center"/>
    </xf>
    <xf numFmtId="10" fontId="0" fillId="10" borderId="23" xfId="0" applyNumberFormat="1" applyFill="1" applyBorder="1"/>
    <xf numFmtId="3" fontId="0" fillId="9" borderId="23" xfId="0" applyNumberFormat="1" applyFill="1" applyBorder="1"/>
    <xf numFmtId="10" fontId="0" fillId="0" borderId="3" xfId="0" applyNumberFormat="1" applyBorder="1"/>
    <xf numFmtId="0" fontId="2" fillId="7" borderId="17" xfId="19" applyNumberFormat="1" applyFont="1" applyFill="1" applyBorder="1"/>
    <xf numFmtId="0" fontId="8" fillId="0" borderId="0" xfId="0" applyFont="1" applyAlignment="1">
      <alignment vertical="center"/>
    </xf>
    <xf numFmtId="0" fontId="2" fillId="0" borderId="19" xfId="0" applyFont="1" applyBorder="1"/>
    <xf numFmtId="0" fontId="21" fillId="0" borderId="19" xfId="0" applyFont="1" applyBorder="1"/>
    <xf numFmtId="3" fontId="9" fillId="8" borderId="45" xfId="0" applyNumberFormat="1" applyFont="1" applyFill="1" applyBorder="1" applyAlignment="1">
      <alignment horizontal="right"/>
    </xf>
    <xf numFmtId="0" fontId="0" fillId="0" borderId="32" xfId="0" applyBorder="1"/>
    <xf numFmtId="3" fontId="0" fillId="0" borderId="23" xfId="20" applyNumberFormat="1" applyFont="1" applyBorder="1"/>
    <xf numFmtId="10" fontId="0" fillId="6" borderId="5" xfId="0" applyNumberFormat="1" applyFill="1" applyBorder="1"/>
    <xf numFmtId="10" fontId="0" fillId="6" borderId="3" xfId="0" applyNumberFormat="1" applyFill="1" applyBorder="1" applyAlignment="1">
      <alignment vertical="center" wrapText="1"/>
    </xf>
    <xf numFmtId="0" fontId="0" fillId="0" borderId="0" xfId="0" applyAlignment="1">
      <alignment wrapText="1"/>
    </xf>
    <xf numFmtId="2" fontId="0" fillId="2" borderId="0" xfId="0" applyNumberFormat="1" applyFill="1"/>
    <xf numFmtId="0" fontId="0" fillId="6" borderId="3" xfId="0" applyFill="1" applyBorder="1" applyAlignment="1">
      <alignment horizontal="left" vertic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</cellXfs>
  <cellStyles count="21">
    <cellStyle name="Cel·la enllaçada" xfId="18" builtinId="24"/>
    <cellStyle name="Coma" xfId="20" builtinId="3"/>
    <cellStyle name="Normal" xfId="0" builtinId="0"/>
    <cellStyle name="Normal 10" xfId="4" xr:uid="{C34F25EE-9C6D-40D2-ACDA-205CC304F83B}"/>
    <cellStyle name="Normal 10 2" xfId="5" xr:uid="{5AF98275-5DEC-4817-BE3F-ACD4BBC4DB00}"/>
    <cellStyle name="Normal 11" xfId="6" xr:uid="{059E5DE3-4670-4C5E-A036-C83424EE8D47}"/>
    <cellStyle name="Normal 12" xfId="17" xr:uid="{B2EC3E67-316B-49C3-8BB4-BB616240CC4C}"/>
    <cellStyle name="Normal 2" xfId="1" xr:uid="{083A3F48-8D03-4381-8AD9-A6C812C6E084}"/>
    <cellStyle name="Normal 2 2" xfId="2" xr:uid="{6516C351-1018-41BB-A10A-6CAE2C41EC54}"/>
    <cellStyle name="Normal 3" xfId="7" xr:uid="{A279752D-1E76-4883-B190-C3974D41A2F3}"/>
    <cellStyle name="Normal 4" xfId="8" xr:uid="{9BE8C1C6-FE22-4593-AEAE-2C9BCD2A50D2}"/>
    <cellStyle name="Normal 4 2" xfId="9" xr:uid="{83F52EC9-DB2E-4F1D-96C0-844176A2A835}"/>
    <cellStyle name="Normal 5" xfId="10" xr:uid="{FC4B6CC3-8214-4B97-BB72-D2E4113325DA}"/>
    <cellStyle name="Normal 6" xfId="11" xr:uid="{89658DDB-B6E8-41B0-B6D2-B0D09D529149}"/>
    <cellStyle name="Normal 7" xfId="12" xr:uid="{298B9570-0BB5-4D69-8C1D-6FA43224174A}"/>
    <cellStyle name="Normal 8" xfId="13" xr:uid="{CE70999B-8A9A-48B0-BAC0-1EC34AA93FDE}"/>
    <cellStyle name="Normal 9" xfId="14" xr:uid="{24D064B1-6977-4E6E-AF6D-91980FFA45FB}"/>
    <cellStyle name="Percentatge" xfId="19" builtinId="5"/>
    <cellStyle name="Porcentaje 2" xfId="3" xr:uid="{38E01D92-0794-43FA-96E8-92F6DBDF540A}"/>
    <cellStyle name="Porcentaje 3" xfId="15" xr:uid="{0177B834-75FC-4CC4-81E9-A9C1B9A936D7}"/>
    <cellStyle name="Porcentaje 6" xfId="16" xr:uid="{BA348D8D-583F-4778-8BCF-5B2342254CF6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669A-CF2A-4E38-9A13-102C45BBF2CA}">
  <sheetPr>
    <tabColor rgb="FF00B050"/>
    <pageSetUpPr fitToPage="1"/>
  </sheetPr>
  <dimension ref="A2:AE161"/>
  <sheetViews>
    <sheetView tabSelected="1" topLeftCell="A64" zoomScale="80" zoomScaleNormal="80" workbookViewId="0">
      <selection activeCell="L95" sqref="L95"/>
    </sheetView>
  </sheetViews>
  <sheetFormatPr defaultColWidth="11.42578125" defaultRowHeight="15" x14ac:dyDescent="0.25"/>
  <cols>
    <col min="1" max="1" width="3.5703125" customWidth="1"/>
    <col min="2" max="2" width="42.7109375" customWidth="1"/>
    <col min="3" max="4" width="11.42578125" customWidth="1"/>
    <col min="5" max="28" width="10.5703125" customWidth="1"/>
    <col min="29" max="29" width="12.28515625" customWidth="1"/>
    <col min="30" max="30" width="37.28515625" customWidth="1"/>
    <col min="31" max="31" width="13" customWidth="1"/>
  </cols>
  <sheetData>
    <row r="2" spans="2:31" ht="21" x14ac:dyDescent="0.35">
      <c r="B2" s="4" t="s">
        <v>69</v>
      </c>
      <c r="C2" s="5"/>
      <c r="G2" s="35" t="s">
        <v>97</v>
      </c>
      <c r="H2" s="36"/>
      <c r="AC2" t="s">
        <v>54</v>
      </c>
    </row>
    <row r="3" spans="2:31" x14ac:dyDescent="0.25">
      <c r="D3" s="128">
        <v>25</v>
      </c>
      <c r="E3" s="128">
        <f>+D3-1</f>
        <v>24</v>
      </c>
      <c r="F3" s="128">
        <f t="shared" ref="F3:AB3" si="0">+E3-1</f>
        <v>23</v>
      </c>
      <c r="G3" s="128">
        <f t="shared" si="0"/>
        <v>22</v>
      </c>
      <c r="H3" s="128">
        <f t="shared" si="0"/>
        <v>21</v>
      </c>
      <c r="I3" s="128">
        <f t="shared" si="0"/>
        <v>20</v>
      </c>
      <c r="J3" s="128">
        <f t="shared" si="0"/>
        <v>19</v>
      </c>
      <c r="K3" s="128">
        <f t="shared" si="0"/>
        <v>18</v>
      </c>
      <c r="L3" s="128">
        <f t="shared" si="0"/>
        <v>17</v>
      </c>
      <c r="M3" s="128">
        <f t="shared" si="0"/>
        <v>16</v>
      </c>
      <c r="N3" s="128">
        <f t="shared" si="0"/>
        <v>15</v>
      </c>
      <c r="O3" s="128">
        <f t="shared" si="0"/>
        <v>14</v>
      </c>
      <c r="P3" s="128">
        <f t="shared" si="0"/>
        <v>13</v>
      </c>
      <c r="Q3" s="128">
        <f t="shared" si="0"/>
        <v>12</v>
      </c>
      <c r="R3" s="128">
        <f t="shared" si="0"/>
        <v>11</v>
      </c>
      <c r="S3" s="128">
        <f t="shared" si="0"/>
        <v>10</v>
      </c>
      <c r="T3" s="128">
        <f t="shared" si="0"/>
        <v>9</v>
      </c>
      <c r="U3" s="128">
        <f t="shared" si="0"/>
        <v>8</v>
      </c>
      <c r="V3" s="128">
        <f t="shared" si="0"/>
        <v>7</v>
      </c>
      <c r="W3" s="128">
        <f t="shared" si="0"/>
        <v>6</v>
      </c>
      <c r="X3" s="128">
        <f t="shared" si="0"/>
        <v>5</v>
      </c>
      <c r="Y3" s="128">
        <f t="shared" si="0"/>
        <v>4</v>
      </c>
      <c r="Z3" s="128">
        <f t="shared" si="0"/>
        <v>3</v>
      </c>
      <c r="AA3" s="128">
        <f t="shared" si="0"/>
        <v>2</v>
      </c>
      <c r="AB3" s="128">
        <f t="shared" si="0"/>
        <v>1</v>
      </c>
    </row>
    <row r="4" spans="2:31" x14ac:dyDescent="0.25">
      <c r="C4" s="7" t="s">
        <v>11</v>
      </c>
      <c r="D4" s="123">
        <v>1</v>
      </c>
      <c r="E4" s="123">
        <f>D4+1</f>
        <v>2</v>
      </c>
      <c r="F4" s="123">
        <f t="shared" ref="F4:AA4" si="1">E4+1</f>
        <v>3</v>
      </c>
      <c r="G4" s="123">
        <f t="shared" si="1"/>
        <v>4</v>
      </c>
      <c r="H4" s="123">
        <f t="shared" si="1"/>
        <v>5</v>
      </c>
      <c r="I4" s="123">
        <f t="shared" si="1"/>
        <v>6</v>
      </c>
      <c r="J4" s="123">
        <f t="shared" si="1"/>
        <v>7</v>
      </c>
      <c r="K4" s="123">
        <f t="shared" si="1"/>
        <v>8</v>
      </c>
      <c r="L4" s="123">
        <f t="shared" si="1"/>
        <v>9</v>
      </c>
      <c r="M4" s="123">
        <f t="shared" si="1"/>
        <v>10</v>
      </c>
      <c r="N4" s="123">
        <f t="shared" si="1"/>
        <v>11</v>
      </c>
      <c r="O4" s="123">
        <f t="shared" si="1"/>
        <v>12</v>
      </c>
      <c r="P4" s="123">
        <f t="shared" si="1"/>
        <v>13</v>
      </c>
      <c r="Q4" s="123">
        <f t="shared" si="1"/>
        <v>14</v>
      </c>
      <c r="R4" s="123">
        <f t="shared" si="1"/>
        <v>15</v>
      </c>
      <c r="S4" s="123">
        <f t="shared" si="1"/>
        <v>16</v>
      </c>
      <c r="T4" s="123">
        <f t="shared" si="1"/>
        <v>17</v>
      </c>
      <c r="U4" s="123">
        <f t="shared" si="1"/>
        <v>18</v>
      </c>
      <c r="V4" s="123">
        <f t="shared" si="1"/>
        <v>19</v>
      </c>
      <c r="W4" s="123">
        <f t="shared" si="1"/>
        <v>20</v>
      </c>
      <c r="X4" s="123">
        <f t="shared" si="1"/>
        <v>21</v>
      </c>
      <c r="Y4" s="123">
        <f t="shared" si="1"/>
        <v>22</v>
      </c>
      <c r="Z4" s="123">
        <f t="shared" si="1"/>
        <v>23</v>
      </c>
      <c r="AA4" s="123">
        <f t="shared" si="1"/>
        <v>24</v>
      </c>
      <c r="AB4" s="123">
        <f t="shared" ref="AB4" si="2">AA4+1</f>
        <v>25</v>
      </c>
    </row>
    <row r="5" spans="2:31" x14ac:dyDescent="0.25">
      <c r="C5" s="7">
        <v>2023</v>
      </c>
      <c r="D5" s="6">
        <v>2024</v>
      </c>
      <c r="E5" s="6">
        <f>+D5+1</f>
        <v>2025</v>
      </c>
      <c r="F5" s="6">
        <f t="shared" ref="F5:R5" si="3">+E5+1</f>
        <v>2026</v>
      </c>
      <c r="G5" s="6">
        <f t="shared" si="3"/>
        <v>2027</v>
      </c>
      <c r="H5" s="6">
        <f t="shared" si="3"/>
        <v>2028</v>
      </c>
      <c r="I5" s="6">
        <f t="shared" si="3"/>
        <v>2029</v>
      </c>
      <c r="J5" s="6">
        <f t="shared" si="3"/>
        <v>2030</v>
      </c>
      <c r="K5" s="6">
        <f t="shared" si="3"/>
        <v>2031</v>
      </c>
      <c r="L5" s="6">
        <f t="shared" si="3"/>
        <v>2032</v>
      </c>
      <c r="M5" s="6">
        <f t="shared" si="3"/>
        <v>2033</v>
      </c>
      <c r="N5" s="6">
        <f t="shared" si="3"/>
        <v>2034</v>
      </c>
      <c r="O5" s="6">
        <f t="shared" si="3"/>
        <v>2035</v>
      </c>
      <c r="P5" s="6">
        <f t="shared" si="3"/>
        <v>2036</v>
      </c>
      <c r="Q5" s="6">
        <f t="shared" si="3"/>
        <v>2037</v>
      </c>
      <c r="R5" s="6">
        <f t="shared" si="3"/>
        <v>2038</v>
      </c>
      <c r="S5" s="6">
        <f t="shared" ref="S5" si="4">+R5+1</f>
        <v>2039</v>
      </c>
      <c r="T5" s="6">
        <f t="shared" ref="T5" si="5">+S5+1</f>
        <v>2040</v>
      </c>
      <c r="U5" s="6">
        <f>+T5+1</f>
        <v>2041</v>
      </c>
      <c r="V5" s="6">
        <f t="shared" ref="V5:W5" si="6">+U5+1</f>
        <v>2042</v>
      </c>
      <c r="W5" s="6">
        <f t="shared" si="6"/>
        <v>2043</v>
      </c>
      <c r="X5" s="6">
        <f t="shared" ref="X5" si="7">+W5+1</f>
        <v>2044</v>
      </c>
      <c r="Y5" s="6">
        <f t="shared" ref="Y5" si="8">+X5+1</f>
        <v>2045</v>
      </c>
      <c r="Z5" s="6">
        <f t="shared" ref="Z5" si="9">+Y5+1</f>
        <v>2046</v>
      </c>
      <c r="AA5" s="6">
        <f t="shared" ref="AA5:AB5" si="10">+Z5+1</f>
        <v>2047</v>
      </c>
      <c r="AB5" s="6">
        <f t="shared" si="10"/>
        <v>2048</v>
      </c>
      <c r="AD5" s="1" t="s">
        <v>12</v>
      </c>
    </row>
    <row r="6" spans="2:31" x14ac:dyDescent="0.25">
      <c r="C6" s="8"/>
      <c r="AD6" s="96" t="s">
        <v>27</v>
      </c>
      <c r="AE6" s="99">
        <v>0</v>
      </c>
    </row>
    <row r="7" spans="2:31" ht="15" customHeight="1" x14ac:dyDescent="0.25">
      <c r="B7" t="s">
        <v>26</v>
      </c>
      <c r="C7" s="9">
        <v>685593</v>
      </c>
      <c r="D7" s="66">
        <f>+C7*(1+$AE$7)*(1+$AE$6)</f>
        <v>689020.96499999997</v>
      </c>
      <c r="E7" s="66">
        <f t="shared" ref="E7:AB7" si="11">+D7*(1+$AE$7)*(1+$AE$6)</f>
        <v>692466.0698249999</v>
      </c>
      <c r="F7" s="66">
        <f t="shared" si="11"/>
        <v>695928.40017412486</v>
      </c>
      <c r="G7" s="66">
        <f t="shared" si="11"/>
        <v>699408.04217499541</v>
      </c>
      <c r="H7" s="66">
        <f t="shared" si="11"/>
        <v>702905.08238587028</v>
      </c>
      <c r="I7" s="66">
        <f t="shared" si="11"/>
        <v>706419.60779779952</v>
      </c>
      <c r="J7" s="66">
        <f t="shared" si="11"/>
        <v>709951.7058367884</v>
      </c>
      <c r="K7" s="66">
        <f t="shared" si="11"/>
        <v>713501.46436597232</v>
      </c>
      <c r="L7" s="66">
        <f t="shared" si="11"/>
        <v>717068.97168780211</v>
      </c>
      <c r="M7" s="66">
        <f t="shared" si="11"/>
        <v>720654.31654624105</v>
      </c>
      <c r="N7" s="66">
        <f t="shared" si="11"/>
        <v>724257.58812897222</v>
      </c>
      <c r="O7" s="66">
        <f t="shared" si="11"/>
        <v>727878.87606961699</v>
      </c>
      <c r="P7" s="66">
        <f t="shared" si="11"/>
        <v>731518.27044996503</v>
      </c>
      <c r="Q7" s="66">
        <f t="shared" si="11"/>
        <v>735175.86180221476</v>
      </c>
      <c r="R7" s="66">
        <f t="shared" si="11"/>
        <v>738851.7411112258</v>
      </c>
      <c r="S7" s="66">
        <f t="shared" si="11"/>
        <v>742545.99981678184</v>
      </c>
      <c r="T7" s="66">
        <f t="shared" si="11"/>
        <v>746258.72981586563</v>
      </c>
      <c r="U7" s="66">
        <f t="shared" si="11"/>
        <v>749990.02346494491</v>
      </c>
      <c r="V7" s="66">
        <f>+U7*(1+$AE$7)*(1+$AE$6)</f>
        <v>753739.97358226951</v>
      </c>
      <c r="W7" s="66">
        <f t="shared" si="11"/>
        <v>757508.6734501808</v>
      </c>
      <c r="X7" s="66">
        <f t="shared" si="11"/>
        <v>761296.21681743162</v>
      </c>
      <c r="Y7" s="66">
        <f t="shared" si="11"/>
        <v>765102.69790151867</v>
      </c>
      <c r="Z7" s="66">
        <f t="shared" si="11"/>
        <v>768928.21139102615</v>
      </c>
      <c r="AA7" s="66">
        <f t="shared" si="11"/>
        <v>772772.85244798125</v>
      </c>
      <c r="AB7" s="66">
        <f t="shared" si="11"/>
        <v>776636.71671022102</v>
      </c>
      <c r="AD7" s="3" t="s">
        <v>90</v>
      </c>
      <c r="AE7" s="100">
        <v>5.0000000000000001E-3</v>
      </c>
    </row>
    <row r="8" spans="2:31" x14ac:dyDescent="0.25">
      <c r="B8" t="s">
        <v>80</v>
      </c>
      <c r="C8" s="8">
        <v>4653</v>
      </c>
      <c r="D8" s="144">
        <f>+C8*(1+$AE$7)</f>
        <v>4676.2649999999994</v>
      </c>
      <c r="E8" s="144">
        <f t="shared" ref="E8:AB8" si="12">+D8*(1+$AE$7)</f>
        <v>4699.6463249999988</v>
      </c>
      <c r="F8" s="144">
        <f t="shared" si="12"/>
        <v>4723.1445566249986</v>
      </c>
      <c r="G8" s="144">
        <f t="shared" si="12"/>
        <v>4746.7602794081231</v>
      </c>
      <c r="H8" s="144">
        <f t="shared" si="12"/>
        <v>4770.4940808051633</v>
      </c>
      <c r="I8" s="144">
        <f t="shared" si="12"/>
        <v>4794.3465512091889</v>
      </c>
      <c r="J8" s="144">
        <f t="shared" si="12"/>
        <v>4818.3182839652345</v>
      </c>
      <c r="K8" s="144">
        <f t="shared" si="12"/>
        <v>4842.4098753850603</v>
      </c>
      <c r="L8" s="144">
        <f t="shared" si="12"/>
        <v>4866.6219247619847</v>
      </c>
      <c r="M8" s="144">
        <f t="shared" si="12"/>
        <v>4890.9550343857945</v>
      </c>
      <c r="N8" s="144">
        <f t="shared" si="12"/>
        <v>4915.4098095577228</v>
      </c>
      <c r="O8" s="144">
        <f t="shared" si="12"/>
        <v>4939.9868586055109</v>
      </c>
      <c r="P8" s="144">
        <f t="shared" si="12"/>
        <v>4964.6867928985375</v>
      </c>
      <c r="Q8" s="144">
        <f t="shared" si="12"/>
        <v>4989.5102268630299</v>
      </c>
      <c r="R8" s="144">
        <f t="shared" si="12"/>
        <v>5014.4577779973442</v>
      </c>
      <c r="S8" s="144">
        <f t="shared" si="12"/>
        <v>5039.5300668873306</v>
      </c>
      <c r="T8" s="144">
        <f t="shared" si="12"/>
        <v>5064.7277172217664</v>
      </c>
      <c r="U8" s="144">
        <f t="shared" si="12"/>
        <v>5090.0513558078746</v>
      </c>
      <c r="V8" s="144">
        <f t="shared" si="12"/>
        <v>5115.5016125869133</v>
      </c>
      <c r="W8" s="144">
        <f t="shared" si="12"/>
        <v>5141.079120649847</v>
      </c>
      <c r="X8" s="144">
        <f t="shared" si="12"/>
        <v>5166.7845162530957</v>
      </c>
      <c r="Y8" s="144">
        <f t="shared" si="12"/>
        <v>5192.6184388343609</v>
      </c>
      <c r="Z8" s="144">
        <f t="shared" si="12"/>
        <v>5218.5815310285325</v>
      </c>
      <c r="AA8" s="144">
        <f t="shared" si="12"/>
        <v>5244.6744386836745</v>
      </c>
      <c r="AB8" s="144">
        <f t="shared" si="12"/>
        <v>5270.8978108770925</v>
      </c>
      <c r="AD8" s="3" t="s">
        <v>13</v>
      </c>
      <c r="AE8" s="172">
        <v>0.02</v>
      </c>
    </row>
    <row r="9" spans="2:31" x14ac:dyDescent="0.25">
      <c r="B9" s="1" t="s">
        <v>101</v>
      </c>
      <c r="C9" s="9"/>
      <c r="AD9" s="3" t="s">
        <v>14</v>
      </c>
      <c r="AE9" s="172">
        <v>0.02</v>
      </c>
    </row>
    <row r="10" spans="2:31" ht="15" customHeight="1" x14ac:dyDescent="0.25">
      <c r="B10" t="s">
        <v>43</v>
      </c>
      <c r="C10" s="9">
        <v>1334692</v>
      </c>
      <c r="D10" s="66">
        <f t="shared" ref="D10:AB10" si="13">+D51*D7</f>
        <v>1497366.262998</v>
      </c>
      <c r="E10" s="66">
        <f t="shared" si="13"/>
        <v>1679867.5091815908</v>
      </c>
      <c r="F10" s="66">
        <f t="shared" si="13"/>
        <v>1908416.8435407644</v>
      </c>
      <c r="G10" s="66">
        <f t="shared" si="13"/>
        <v>1945002.1486398622</v>
      </c>
      <c r="H10" s="66">
        <f t="shared" si="13"/>
        <v>1982288.8123303622</v>
      </c>
      <c r="I10" s="66">
        <f t="shared" si="13"/>
        <v>2020290.2800071409</v>
      </c>
      <c r="J10" s="66">
        <f t="shared" si="13"/>
        <v>2059020.2548200176</v>
      </c>
      <c r="K10" s="66">
        <f t="shared" si="13"/>
        <v>2098492.702615045</v>
      </c>
      <c r="L10" s="66">
        <f t="shared" si="13"/>
        <v>2138721.8569705263</v>
      </c>
      <c r="M10" s="66">
        <f t="shared" si="13"/>
        <v>2179722.2243295801</v>
      </c>
      <c r="N10" s="66">
        <f t="shared" si="13"/>
        <v>2221508.5892310902</v>
      </c>
      <c r="O10" s="66">
        <f t="shared" si="13"/>
        <v>2264096.0196409444</v>
      </c>
      <c r="P10" s="66">
        <f t="shared" si="13"/>
        <v>2307499.8723854711</v>
      </c>
      <c r="Q10" s="66">
        <f t="shared" si="13"/>
        <v>2351735.7986890366</v>
      </c>
      <c r="R10" s="66">
        <f t="shared" si="13"/>
        <v>2396819.7498178044</v>
      </c>
      <c r="S10" s="66">
        <f t="shared" si="13"/>
        <v>2442767.9828316863</v>
      </c>
      <c r="T10" s="66">
        <f t="shared" si="13"/>
        <v>2489597.0664465609</v>
      </c>
      <c r="U10" s="66">
        <f t="shared" si="13"/>
        <v>2537323.8870088747</v>
      </c>
      <c r="V10" s="66">
        <f t="shared" si="13"/>
        <v>2585965.654584778</v>
      </c>
      <c r="W10" s="66">
        <f t="shared" si="13"/>
        <v>2635539.9091659952</v>
      </c>
      <c r="X10" s="66">
        <f t="shared" si="13"/>
        <v>2686064.5269946619</v>
      </c>
      <c r="Y10" s="66">
        <f t="shared" si="13"/>
        <v>2737557.7270094124</v>
      </c>
      <c r="Z10" s="66">
        <f t="shared" si="13"/>
        <v>2790038.0774150463</v>
      </c>
      <c r="AA10" s="66">
        <f t="shared" si="13"/>
        <v>2843524.5023781313</v>
      </c>
      <c r="AB10" s="66">
        <f t="shared" si="13"/>
        <v>2898036.2888509706</v>
      </c>
      <c r="AD10" s="3" t="s">
        <v>89</v>
      </c>
      <c r="AE10" s="172">
        <v>0.02</v>
      </c>
    </row>
    <row r="11" spans="2:31" ht="15" customHeight="1" x14ac:dyDescent="0.25">
      <c r="B11" t="s">
        <v>44</v>
      </c>
      <c r="C11" s="9">
        <v>40110</v>
      </c>
      <c r="D11" s="73">
        <f>+C11*(1+$AE$10)</f>
        <v>40912.199999999997</v>
      </c>
      <c r="E11" s="73">
        <f t="shared" ref="E11:AB11" si="14">+D11*(1+$AE$10)</f>
        <v>41730.443999999996</v>
      </c>
      <c r="F11" s="73">
        <f t="shared" si="14"/>
        <v>42565.052879999996</v>
      </c>
      <c r="G11" s="73">
        <f t="shared" si="14"/>
        <v>43416.353937599997</v>
      </c>
      <c r="H11" s="73">
        <f t="shared" si="14"/>
        <v>44284.681016351999</v>
      </c>
      <c r="I11" s="73">
        <f t="shared" si="14"/>
        <v>45170.374636679036</v>
      </c>
      <c r="J11" s="73">
        <f t="shared" si="14"/>
        <v>46073.782129412619</v>
      </c>
      <c r="K11" s="73">
        <f t="shared" si="14"/>
        <v>46995.25777200087</v>
      </c>
      <c r="L11" s="73">
        <f t="shared" si="14"/>
        <v>47935.162927440892</v>
      </c>
      <c r="M11" s="73">
        <f t="shared" si="14"/>
        <v>48893.866185989711</v>
      </c>
      <c r="N11" s="73">
        <f t="shared" si="14"/>
        <v>49871.743509709508</v>
      </c>
      <c r="O11" s="73">
        <f t="shared" si="14"/>
        <v>50869.1783799037</v>
      </c>
      <c r="P11" s="73">
        <f t="shared" si="14"/>
        <v>51886.561947501774</v>
      </c>
      <c r="Q11" s="73">
        <f t="shared" si="14"/>
        <v>52924.29318645181</v>
      </c>
      <c r="R11" s="73">
        <f t="shared" si="14"/>
        <v>53982.779050180849</v>
      </c>
      <c r="S11" s="73">
        <f t="shared" si="14"/>
        <v>55062.434631184464</v>
      </c>
      <c r="T11" s="73">
        <f t="shared" si="14"/>
        <v>56163.683323808153</v>
      </c>
      <c r="U11" s="73">
        <f t="shared" si="14"/>
        <v>57286.956990284314</v>
      </c>
      <c r="V11" s="73">
        <f t="shared" si="14"/>
        <v>58432.69613009</v>
      </c>
      <c r="W11" s="73">
        <f t="shared" si="14"/>
        <v>59601.3500526918</v>
      </c>
      <c r="X11" s="73">
        <f t="shared" si="14"/>
        <v>60793.377053745637</v>
      </c>
      <c r="Y11" s="73">
        <f t="shared" si="14"/>
        <v>62009.24459482055</v>
      </c>
      <c r="Z11" s="73">
        <f t="shared" si="14"/>
        <v>63249.429486716959</v>
      </c>
      <c r="AA11" s="73">
        <f t="shared" si="14"/>
        <v>64514.4180764513</v>
      </c>
      <c r="AB11" s="73">
        <f t="shared" si="14"/>
        <v>65804.706437980334</v>
      </c>
      <c r="AD11" s="184" t="s">
        <v>115</v>
      </c>
      <c r="AE11" s="181">
        <v>-2E-3</v>
      </c>
    </row>
    <row r="12" spans="2:31" x14ac:dyDescent="0.25">
      <c r="C12" s="9"/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7"/>
      <c r="X12" s="57"/>
      <c r="Y12" s="57"/>
      <c r="Z12" s="57"/>
      <c r="AA12" s="57"/>
      <c r="AB12" s="57"/>
      <c r="AD12" s="184"/>
      <c r="AE12" s="181">
        <v>5.0000000000000001E-3</v>
      </c>
    </row>
    <row r="13" spans="2:31" ht="15.75" thickBot="1" x14ac:dyDescent="0.3">
      <c r="B13" s="1" t="s">
        <v>70</v>
      </c>
      <c r="C13" s="67">
        <v>262132</v>
      </c>
      <c r="D13" s="68">
        <f>0.25*(D11+D10)</f>
        <v>384569.61574949999</v>
      </c>
      <c r="E13" s="68">
        <f t="shared" ref="E13:W13" si="15">0.25*(E11+E10)</f>
        <v>430399.48829539766</v>
      </c>
      <c r="F13" s="68">
        <f t="shared" si="15"/>
        <v>487745.47410519113</v>
      </c>
      <c r="G13" s="68">
        <f t="shared" si="15"/>
        <v>497104.62564436556</v>
      </c>
      <c r="H13" s="68">
        <f t="shared" si="15"/>
        <v>506643.37333667855</v>
      </c>
      <c r="I13" s="68">
        <f t="shared" si="15"/>
        <v>516365.16366095498</v>
      </c>
      <c r="J13" s="68">
        <f t="shared" si="15"/>
        <v>526273.50923735753</v>
      </c>
      <c r="K13" s="68">
        <f t="shared" si="15"/>
        <v>536371.9900967615</v>
      </c>
      <c r="L13" s="68">
        <f t="shared" si="15"/>
        <v>546664.25497449178</v>
      </c>
      <c r="M13" s="68">
        <f t="shared" si="15"/>
        <v>557154.02262889245</v>
      </c>
      <c r="N13" s="68">
        <f t="shared" si="15"/>
        <v>567845.08318519988</v>
      </c>
      <c r="O13" s="68">
        <f t="shared" si="15"/>
        <v>578741.29950521199</v>
      </c>
      <c r="P13" s="68">
        <f t="shared" si="15"/>
        <v>589846.60858324321</v>
      </c>
      <c r="Q13" s="68">
        <f t="shared" si="15"/>
        <v>601165.0229688721</v>
      </c>
      <c r="R13" s="68">
        <f t="shared" si="15"/>
        <v>612700.63221699628</v>
      </c>
      <c r="S13" s="68">
        <f t="shared" si="15"/>
        <v>624457.60436571774</v>
      </c>
      <c r="T13" s="68">
        <f t="shared" si="15"/>
        <v>636440.18744259223</v>
      </c>
      <c r="U13" s="68">
        <f t="shared" si="15"/>
        <v>648652.71099978976</v>
      </c>
      <c r="V13" s="68">
        <f t="shared" si="15"/>
        <v>661099.58767871698</v>
      </c>
      <c r="W13" s="68">
        <f t="shared" si="15"/>
        <v>673785.3148046718</v>
      </c>
      <c r="X13" s="68">
        <f t="shared" ref="X13:AA13" si="16">0.25*(X11+X10)</f>
        <v>686714.47601210186</v>
      </c>
      <c r="Y13" s="68">
        <f t="shared" si="16"/>
        <v>699891.74290105829</v>
      </c>
      <c r="Z13" s="68">
        <f t="shared" si="16"/>
        <v>713321.87672544084</v>
      </c>
      <c r="AA13" s="68">
        <f t="shared" si="16"/>
        <v>727009.73011364567</v>
      </c>
      <c r="AB13" s="68">
        <f t="shared" ref="AB13" si="17">0.25*(AB11+AB10)</f>
        <v>740960.24882223771</v>
      </c>
      <c r="AD13" s="3" t="s">
        <v>15</v>
      </c>
      <c r="AE13" s="172">
        <v>2.1999999999999999E-2</v>
      </c>
    </row>
    <row r="14" spans="2:31" ht="15.75" thickBot="1" x14ac:dyDescent="0.3">
      <c r="B14" s="63" t="s">
        <v>0</v>
      </c>
      <c r="C14" s="69">
        <f>SUM(C10:C13)</f>
        <v>1636934</v>
      </c>
      <c r="D14" s="70">
        <f>SUM(D10:D13)</f>
        <v>1922848.0787475</v>
      </c>
      <c r="E14" s="70">
        <f>SUM(E10:E13)</f>
        <v>2151997.4414769881</v>
      </c>
      <c r="F14" s="70">
        <f t="shared" ref="F14:M14" si="18">SUM(F10:F13)</f>
        <v>2438727.3705259557</v>
      </c>
      <c r="G14" s="70">
        <f>SUM(G10:G13)</f>
        <v>2485523.1282218276</v>
      </c>
      <c r="H14" s="70">
        <f t="shared" si="18"/>
        <v>2533216.8666833928</v>
      </c>
      <c r="I14" s="70">
        <f>SUM(I10:I13)</f>
        <v>2581825.8183047748</v>
      </c>
      <c r="J14" s="70">
        <f t="shared" si="18"/>
        <v>2631367.5461867875</v>
      </c>
      <c r="K14" s="70">
        <f t="shared" si="18"/>
        <v>2681859.9504838074</v>
      </c>
      <c r="L14" s="70">
        <f>SUM(L10:L13)</f>
        <v>2733321.274872459</v>
      </c>
      <c r="M14" s="70">
        <f t="shared" si="18"/>
        <v>2785770.113144462</v>
      </c>
      <c r="N14" s="70">
        <f>SUM(N10:N13)</f>
        <v>2839225.4159259992</v>
      </c>
      <c r="O14" s="70">
        <f t="shared" ref="O14:AA14" si="19">SUM(O10:O13)</f>
        <v>2893706.4975260599</v>
      </c>
      <c r="P14" s="70">
        <f>SUM(P10:P13)</f>
        <v>2949233.042916216</v>
      </c>
      <c r="Q14" s="70">
        <f t="shared" si="19"/>
        <v>3005825.1148443604</v>
      </c>
      <c r="R14" s="70">
        <f t="shared" si="19"/>
        <v>3063503.1610849816</v>
      </c>
      <c r="S14" s="70">
        <f t="shared" si="19"/>
        <v>3122288.0218285886</v>
      </c>
      <c r="T14" s="70">
        <f t="shared" si="19"/>
        <v>3182200.9372129613</v>
      </c>
      <c r="U14" s="70">
        <f t="shared" si="19"/>
        <v>3243263.5549989487</v>
      </c>
      <c r="V14" s="70">
        <f t="shared" si="19"/>
        <v>3305497.9383935849</v>
      </c>
      <c r="W14" s="71">
        <f t="shared" si="19"/>
        <v>3368926.574023359</v>
      </c>
      <c r="X14" s="71">
        <f t="shared" si="19"/>
        <v>3433572.3800605093</v>
      </c>
      <c r="Y14" s="71">
        <f t="shared" si="19"/>
        <v>3499458.7145052915</v>
      </c>
      <c r="Z14" s="71">
        <f t="shared" si="19"/>
        <v>3566609.3836272042</v>
      </c>
      <c r="AA14" s="71">
        <f t="shared" si="19"/>
        <v>3635048.6505682282</v>
      </c>
      <c r="AB14" s="71">
        <f t="shared" ref="AB14" si="20">SUM(AB10:AB13)</f>
        <v>3704801.2441111887</v>
      </c>
      <c r="AC14" s="97">
        <f>SUM(D14:AB14)</f>
        <v>73759618.220275447</v>
      </c>
      <c r="AD14" s="3" t="s">
        <v>16</v>
      </c>
      <c r="AE14" s="100">
        <v>0.02</v>
      </c>
    </row>
    <row r="15" spans="2:31" ht="15" customHeight="1" x14ac:dyDescent="0.25">
      <c r="C15" s="9"/>
      <c r="W15" s="45"/>
      <c r="X15" s="98"/>
      <c r="AD15" s="139" t="s">
        <v>17</v>
      </c>
      <c r="AE15" s="140">
        <v>0.03</v>
      </c>
    </row>
    <row r="16" spans="2:31" ht="15" customHeight="1" x14ac:dyDescent="0.25">
      <c r="B16" s="1" t="s">
        <v>1</v>
      </c>
      <c r="C16" s="9"/>
      <c r="W16" s="45"/>
      <c r="X16" s="11"/>
      <c r="AD16" s="185" t="s">
        <v>114</v>
      </c>
      <c r="AE16" s="186"/>
    </row>
    <row r="17" spans="1:31" ht="15" customHeight="1" x14ac:dyDescent="0.25">
      <c r="B17" t="s">
        <v>2</v>
      </c>
      <c r="C17" s="47">
        <v>296912</v>
      </c>
      <c r="D17" s="66">
        <f>+C17*(1+$AE$8)</f>
        <v>302850.24</v>
      </c>
      <c r="E17" s="66">
        <f t="shared" ref="E17:AB17" si="21">+D17*(1+$AE$8)</f>
        <v>308907.24479999999</v>
      </c>
      <c r="F17" s="66">
        <f t="shared" si="21"/>
        <v>315085.38969599997</v>
      </c>
      <c r="G17" s="66">
        <f t="shared" si="21"/>
        <v>321387.09748991998</v>
      </c>
      <c r="H17" s="66">
        <f t="shared" si="21"/>
        <v>327814.8394397184</v>
      </c>
      <c r="I17" s="66">
        <f t="shared" si="21"/>
        <v>334371.1362285128</v>
      </c>
      <c r="J17" s="66">
        <f t="shared" si="21"/>
        <v>341058.55895308306</v>
      </c>
      <c r="K17" s="66">
        <f t="shared" si="21"/>
        <v>347879.7301321447</v>
      </c>
      <c r="L17" s="66">
        <f t="shared" si="21"/>
        <v>354837.32473478757</v>
      </c>
      <c r="M17" s="66">
        <f t="shared" si="21"/>
        <v>361934.07122948335</v>
      </c>
      <c r="N17" s="66">
        <f t="shared" si="21"/>
        <v>369172.752654073</v>
      </c>
      <c r="O17" s="66">
        <f t="shared" si="21"/>
        <v>376556.20770715445</v>
      </c>
      <c r="P17" s="66">
        <f t="shared" si="21"/>
        <v>384087.33186129754</v>
      </c>
      <c r="Q17" s="66">
        <f t="shared" si="21"/>
        <v>391769.07849852351</v>
      </c>
      <c r="R17" s="66">
        <f t="shared" si="21"/>
        <v>399604.46006849397</v>
      </c>
      <c r="S17" s="66">
        <f t="shared" si="21"/>
        <v>407596.54926986387</v>
      </c>
      <c r="T17" s="66">
        <f t="shared" si="21"/>
        <v>415748.48025526118</v>
      </c>
      <c r="U17" s="66">
        <f t="shared" si="21"/>
        <v>424063.44986036641</v>
      </c>
      <c r="V17" s="66">
        <f t="shared" si="21"/>
        <v>432544.71885757375</v>
      </c>
      <c r="W17" s="66">
        <f t="shared" si="21"/>
        <v>441195.61323472526</v>
      </c>
      <c r="X17" s="66">
        <f t="shared" si="21"/>
        <v>450019.52549941977</v>
      </c>
      <c r="Y17" s="66">
        <f t="shared" si="21"/>
        <v>459019.91600940819</v>
      </c>
      <c r="Z17" s="66">
        <f t="shared" si="21"/>
        <v>468200.31432959635</v>
      </c>
      <c r="AA17" s="66">
        <f t="shared" si="21"/>
        <v>477564.32061618828</v>
      </c>
      <c r="AB17" s="66">
        <f t="shared" si="21"/>
        <v>487115.60702851205</v>
      </c>
      <c r="AD17" s="187"/>
      <c r="AE17" s="188"/>
    </row>
    <row r="18" spans="1:31" ht="15" customHeight="1" x14ac:dyDescent="0.25">
      <c r="B18" t="s">
        <v>3</v>
      </c>
      <c r="C18" s="47">
        <v>25120</v>
      </c>
      <c r="D18" s="66">
        <f t="shared" ref="D18:AB18" si="22">+C18*(1+$AE$13)*(1+$AE$11)*(1+$AE$6)*(1+$AE$7)</f>
        <v>25749.401193599995</v>
      </c>
      <c r="E18" s="66">
        <f t="shared" si="22"/>
        <v>26394.572525038569</v>
      </c>
      <c r="F18" s="66">
        <f t="shared" si="22"/>
        <v>27055.909127419982</v>
      </c>
      <c r="G18" s="66">
        <f t="shared" si="22"/>
        <v>27733.816034216605</v>
      </c>
      <c r="H18" s="66">
        <f t="shared" si="22"/>
        <v>28428.708427330406</v>
      </c>
      <c r="I18" s="66">
        <f t="shared" si="22"/>
        <v>29141.011891369744</v>
      </c>
      <c r="J18" s="66">
        <f t="shared" si="22"/>
        <v>29871.162674297288</v>
      </c>
      <c r="K18" s="66">
        <f t="shared" si="22"/>
        <v>30619.607954608688</v>
      </c>
      <c r="L18" s="66">
        <f t="shared" si="22"/>
        <v>31386.806115205607</v>
      </c>
      <c r="M18" s="66">
        <f t="shared" si="22"/>
        <v>32173.227024130851</v>
      </c>
      <c r="N18" s="66">
        <f t="shared" si="22"/>
        <v>32979.35232233753</v>
      </c>
      <c r="O18" s="66">
        <f t="shared" si="22"/>
        <v>33805.675718668506</v>
      </c>
      <c r="P18" s="66">
        <f t="shared" si="22"/>
        <v>34652.703292226804</v>
      </c>
      <c r="Q18" s="66">
        <f t="shared" si="22"/>
        <v>35520.95380232211</v>
      </c>
      <c r="R18" s="66">
        <f t="shared" si="22"/>
        <v>36410.959006183257</v>
      </c>
      <c r="S18" s="66">
        <f t="shared" si="22"/>
        <v>37323.263984631201</v>
      </c>
      <c r="T18" s="66">
        <f t="shared" si="22"/>
        <v>38258.427475912038</v>
      </c>
      <c r="U18" s="66">
        <f t="shared" si="22"/>
        <v>39217.022217894439</v>
      </c>
      <c r="V18" s="66">
        <f t="shared" si="22"/>
        <v>40199.635298841116</v>
      </c>
      <c r="W18" s="66">
        <f t="shared" si="22"/>
        <v>41206.868516969116</v>
      </c>
      <c r="X18" s="66">
        <f t="shared" si="22"/>
        <v>42239.338749019211</v>
      </c>
      <c r="Y18" s="66">
        <f t="shared" si="22"/>
        <v>43297.678328060101</v>
      </c>
      <c r="Z18" s="66">
        <f t="shared" si="22"/>
        <v>44382.53543075874</v>
      </c>
      <c r="AA18" s="66">
        <f t="shared" si="22"/>
        <v>45494.574474354027</v>
      </c>
      <c r="AB18" s="66">
        <f t="shared" si="22"/>
        <v>46634.476523577054</v>
      </c>
      <c r="AD18" s="189" t="s">
        <v>98</v>
      </c>
      <c r="AE18" s="190"/>
    </row>
    <row r="19" spans="1:31" x14ac:dyDescent="0.25">
      <c r="B19" t="s">
        <v>4</v>
      </c>
      <c r="C19" s="47">
        <v>664297</v>
      </c>
      <c r="D19" s="66">
        <f>+C19*(1+$AE$9)*(1+$AE$11)*(1+$AE$6)</f>
        <v>676227.77412000007</v>
      </c>
      <c r="E19" s="66">
        <f t="shared" ref="E19:AB19" si="23">+D19*(1+$AE$9)*(1+$AE$11)*(1+$AE$6)*(1+$AE$7)</f>
        <v>691814.68906791124</v>
      </c>
      <c r="F19" s="66">
        <f t="shared" si="23"/>
        <v>707760.87928798876</v>
      </c>
      <c r="G19" s="66">
        <f t="shared" si="23"/>
        <v>724074.626003401</v>
      </c>
      <c r="H19" s="66">
        <f t="shared" si="23"/>
        <v>740764.40131785418</v>
      </c>
      <c r="I19" s="66">
        <f t="shared" si="23"/>
        <v>757838.87261535029</v>
      </c>
      <c r="J19" s="66">
        <f t="shared" si="23"/>
        <v>775306.90706135961</v>
      </c>
      <c r="K19" s="66">
        <f t="shared" si="23"/>
        <v>793177.57620774244</v>
      </c>
      <c r="L19" s="66">
        <f t="shared" si="23"/>
        <v>811460.16070381552</v>
      </c>
      <c r="M19" s="66">
        <f t="shared" si="23"/>
        <v>830164.15511600627</v>
      </c>
      <c r="N19" s="66">
        <f t="shared" si="23"/>
        <v>849299.27285859908</v>
      </c>
      <c r="O19" s="66">
        <f t="shared" si="23"/>
        <v>868875.45123813511</v>
      </c>
      <c r="P19" s="66">
        <f t="shared" si="23"/>
        <v>888902.85661408375</v>
      </c>
      <c r="Q19" s="66">
        <f t="shared" si="23"/>
        <v>909391.88967846707</v>
      </c>
      <c r="R19" s="66">
        <f t="shared" si="23"/>
        <v>930353.19085717772</v>
      </c>
      <c r="S19" s="66">
        <f t="shared" si="23"/>
        <v>951797.64583579742</v>
      </c>
      <c r="T19" s="66">
        <f t="shared" si="23"/>
        <v>973736.39121278329</v>
      </c>
      <c r="U19" s="66">
        <f t="shared" si="23"/>
        <v>996180.82028295961</v>
      </c>
      <c r="V19" s="66">
        <f t="shared" si="23"/>
        <v>1019142.5889543177</v>
      </c>
      <c r="W19" s="66">
        <f t="shared" si="23"/>
        <v>1042633.6218011968</v>
      </c>
      <c r="X19" s="66">
        <f t="shared" si="23"/>
        <v>1066666.1182569901</v>
      </c>
      <c r="Y19" s="66">
        <f t="shared" si="23"/>
        <v>1091252.55894959</v>
      </c>
      <c r="Z19" s="66">
        <f t="shared" si="23"/>
        <v>1116405.7121828662</v>
      </c>
      <c r="AA19" s="66">
        <f t="shared" si="23"/>
        <v>1142138.6405675386</v>
      </c>
      <c r="AB19" s="66">
        <f t="shared" si="23"/>
        <v>1168464.7078048922</v>
      </c>
      <c r="AD19" s="191"/>
      <c r="AE19" s="192"/>
    </row>
    <row r="20" spans="1:31" ht="15" customHeight="1" x14ac:dyDescent="0.25">
      <c r="B20" t="s">
        <v>59</v>
      </c>
      <c r="C20" s="47">
        <v>177694</v>
      </c>
      <c r="D20" s="66">
        <f t="shared" ref="D20:AB20" si="24">+C20*(1+$AE$14)</f>
        <v>181247.88</v>
      </c>
      <c r="E20" s="66">
        <f t="shared" si="24"/>
        <v>184872.8376</v>
      </c>
      <c r="F20" s="66">
        <f t="shared" si="24"/>
        <v>188570.294352</v>
      </c>
      <c r="G20" s="66">
        <f t="shared" si="24"/>
        <v>192341.70023903999</v>
      </c>
      <c r="H20" s="66">
        <f t="shared" si="24"/>
        <v>196188.53424382079</v>
      </c>
      <c r="I20" s="66">
        <f t="shared" si="24"/>
        <v>200112.30492869721</v>
      </c>
      <c r="J20" s="66">
        <f t="shared" si="24"/>
        <v>204114.55102727117</v>
      </c>
      <c r="K20" s="66">
        <f t="shared" si="24"/>
        <v>208196.84204781661</v>
      </c>
      <c r="L20" s="66">
        <f t="shared" si="24"/>
        <v>212360.77888877294</v>
      </c>
      <c r="M20" s="66">
        <f t="shared" si="24"/>
        <v>216607.99446654841</v>
      </c>
      <c r="N20" s="66">
        <f t="shared" si="24"/>
        <v>220940.15435587938</v>
      </c>
      <c r="O20" s="66">
        <f t="shared" si="24"/>
        <v>225358.95744299697</v>
      </c>
      <c r="P20" s="66">
        <f t="shared" si="24"/>
        <v>229866.13659185692</v>
      </c>
      <c r="Q20" s="66">
        <f t="shared" si="24"/>
        <v>234463.45932369406</v>
      </c>
      <c r="R20" s="66">
        <f t="shared" si="24"/>
        <v>239152.72851016794</v>
      </c>
      <c r="S20" s="66">
        <f t="shared" si="24"/>
        <v>243935.7830803713</v>
      </c>
      <c r="T20" s="66">
        <f t="shared" si="24"/>
        <v>248814.49874197872</v>
      </c>
      <c r="U20" s="66">
        <f t="shared" si="24"/>
        <v>253790.78871681829</v>
      </c>
      <c r="V20" s="66">
        <f t="shared" si="24"/>
        <v>258866.60449115466</v>
      </c>
      <c r="W20" s="66">
        <f t="shared" si="24"/>
        <v>264043.93658097775</v>
      </c>
      <c r="X20" s="66">
        <f t="shared" si="24"/>
        <v>269324.81531259732</v>
      </c>
      <c r="Y20" s="66">
        <f t="shared" si="24"/>
        <v>274711.31161884929</v>
      </c>
      <c r="Z20" s="66">
        <f t="shared" si="24"/>
        <v>280205.53785122628</v>
      </c>
      <c r="AA20" s="66">
        <f t="shared" si="24"/>
        <v>285809.64860825083</v>
      </c>
      <c r="AB20" s="66">
        <f t="shared" si="24"/>
        <v>291525.84158041584</v>
      </c>
      <c r="AD20" s="52" t="s">
        <v>119</v>
      </c>
      <c r="AE20" s="51">
        <v>0.1014</v>
      </c>
    </row>
    <row r="21" spans="1:31" ht="14.45" customHeight="1" x14ac:dyDescent="0.25">
      <c r="B21" t="s">
        <v>5</v>
      </c>
      <c r="C21" s="47">
        <v>22595</v>
      </c>
      <c r="D21" s="66">
        <f t="shared" ref="D21:AB21" si="25">+C21*(1+$AE$14)</f>
        <v>23046.9</v>
      </c>
      <c r="E21" s="66">
        <f t="shared" si="25"/>
        <v>23507.838000000003</v>
      </c>
      <c r="F21" s="66">
        <f t="shared" si="25"/>
        <v>23977.994760000005</v>
      </c>
      <c r="G21" s="66">
        <f t="shared" si="25"/>
        <v>24457.554655200005</v>
      </c>
      <c r="H21" s="66">
        <f t="shared" si="25"/>
        <v>24946.705748304004</v>
      </c>
      <c r="I21" s="66">
        <f t="shared" si="25"/>
        <v>25445.639863270084</v>
      </c>
      <c r="J21" s="66">
        <f t="shared" si="25"/>
        <v>25954.552660535486</v>
      </c>
      <c r="K21" s="66">
        <f t="shared" si="25"/>
        <v>26473.643713746198</v>
      </c>
      <c r="L21" s="66">
        <f t="shared" si="25"/>
        <v>27003.116588021123</v>
      </c>
      <c r="M21" s="66">
        <f t="shared" si="25"/>
        <v>27543.178919781545</v>
      </c>
      <c r="N21" s="66">
        <f t="shared" si="25"/>
        <v>28094.042498177176</v>
      </c>
      <c r="O21" s="66">
        <f t="shared" si="25"/>
        <v>28655.923348140721</v>
      </c>
      <c r="P21" s="66">
        <f t="shared" si="25"/>
        <v>29229.041815103537</v>
      </c>
      <c r="Q21" s="66">
        <f t="shared" si="25"/>
        <v>29813.622651405607</v>
      </c>
      <c r="R21" s="66">
        <f t="shared" si="25"/>
        <v>30409.895104433719</v>
      </c>
      <c r="S21" s="66">
        <f t="shared" si="25"/>
        <v>31018.093006522395</v>
      </c>
      <c r="T21" s="66">
        <f t="shared" si="25"/>
        <v>31638.454866652843</v>
      </c>
      <c r="U21" s="66">
        <f t="shared" si="25"/>
        <v>32271.2239639859</v>
      </c>
      <c r="V21" s="66">
        <f t="shared" si="25"/>
        <v>32916.648443265622</v>
      </c>
      <c r="W21" s="66">
        <f t="shared" si="25"/>
        <v>33574.981412130932</v>
      </c>
      <c r="X21" s="66">
        <f t="shared" si="25"/>
        <v>34246.481040373554</v>
      </c>
      <c r="Y21" s="66">
        <f t="shared" si="25"/>
        <v>34931.410661181028</v>
      </c>
      <c r="Z21" s="66">
        <f t="shared" si="25"/>
        <v>35630.03887440465</v>
      </c>
      <c r="AA21" s="66">
        <f t="shared" si="25"/>
        <v>36342.639651892743</v>
      </c>
      <c r="AB21" s="66">
        <f t="shared" si="25"/>
        <v>37069.492444930598</v>
      </c>
    </row>
    <row r="22" spans="1:31" ht="15" customHeight="1" x14ac:dyDescent="0.25">
      <c r="A22" s="43"/>
      <c r="B22" t="s">
        <v>6</v>
      </c>
      <c r="C22" s="47">
        <v>29805</v>
      </c>
      <c r="D22" s="66">
        <f t="shared" ref="D22:AB22" si="26">+C22*(1+$AE$14)</f>
        <v>30401.100000000002</v>
      </c>
      <c r="E22" s="66">
        <f t="shared" si="26"/>
        <v>31009.122000000003</v>
      </c>
      <c r="F22" s="66">
        <f t="shared" si="26"/>
        <v>31629.304440000004</v>
      </c>
      <c r="G22" s="66">
        <f t="shared" si="26"/>
        <v>32261.890528800002</v>
      </c>
      <c r="H22" s="66">
        <f t="shared" si="26"/>
        <v>32907.128339376002</v>
      </c>
      <c r="I22" s="66">
        <f t="shared" si="26"/>
        <v>33565.270906163525</v>
      </c>
      <c r="J22" s="66">
        <f t="shared" si="26"/>
        <v>34236.576324286798</v>
      </c>
      <c r="K22" s="66">
        <f t="shared" si="26"/>
        <v>34921.307850772537</v>
      </c>
      <c r="L22" s="66">
        <f t="shared" si="26"/>
        <v>35619.734007787985</v>
      </c>
      <c r="M22" s="66">
        <f t="shared" si="26"/>
        <v>36332.128687943747</v>
      </c>
      <c r="N22" s="66">
        <f t="shared" si="26"/>
        <v>37058.771261702619</v>
      </c>
      <c r="O22" s="66">
        <f t="shared" si="26"/>
        <v>37799.946686936673</v>
      </c>
      <c r="P22" s="66">
        <f t="shared" si="26"/>
        <v>38555.945620675404</v>
      </c>
      <c r="Q22" s="66">
        <f t="shared" si="26"/>
        <v>39327.064533088909</v>
      </c>
      <c r="R22" s="66">
        <f t="shared" si="26"/>
        <v>40113.605823750688</v>
      </c>
      <c r="S22" s="66">
        <f t="shared" si="26"/>
        <v>40915.877940225699</v>
      </c>
      <c r="T22" s="66">
        <f t="shared" si="26"/>
        <v>41734.195499030211</v>
      </c>
      <c r="U22" s="66">
        <f t="shared" si="26"/>
        <v>42568.879409010813</v>
      </c>
      <c r="V22" s="66">
        <f t="shared" si="26"/>
        <v>43420.256997191027</v>
      </c>
      <c r="W22" s="66">
        <f t="shared" si="26"/>
        <v>44288.662137134852</v>
      </c>
      <c r="X22" s="66">
        <f t="shared" si="26"/>
        <v>45174.435379877548</v>
      </c>
      <c r="Y22" s="66">
        <f t="shared" si="26"/>
        <v>46077.924087475098</v>
      </c>
      <c r="Z22" s="66">
        <f t="shared" si="26"/>
        <v>46999.482569224601</v>
      </c>
      <c r="AA22" s="66">
        <f t="shared" si="26"/>
        <v>47939.472220609096</v>
      </c>
      <c r="AB22" s="66">
        <f t="shared" si="26"/>
        <v>48898.26166502128</v>
      </c>
      <c r="AD22" s="61"/>
    </row>
    <row r="23" spans="1:31" ht="15" customHeight="1" x14ac:dyDescent="0.25">
      <c r="A23" s="43"/>
      <c r="B23" t="s">
        <v>94</v>
      </c>
      <c r="C23" s="48">
        <v>13906</v>
      </c>
      <c r="D23" s="72">
        <f t="shared" ref="D23:AB23" si="27">+C23*(1+$AE$14)</f>
        <v>14184.12</v>
      </c>
      <c r="E23" s="72">
        <f t="shared" si="27"/>
        <v>14467.8024</v>
      </c>
      <c r="F23" s="72">
        <f t="shared" si="27"/>
        <v>14757.158448</v>
      </c>
      <c r="G23" s="72">
        <f t="shared" si="27"/>
        <v>15052.30161696</v>
      </c>
      <c r="H23" s="72">
        <f t="shared" si="27"/>
        <v>15353.347649299199</v>
      </c>
      <c r="I23" s="72">
        <f t="shared" si="27"/>
        <v>15660.414602285184</v>
      </c>
      <c r="J23" s="72">
        <f t="shared" si="27"/>
        <v>15973.622894330887</v>
      </c>
      <c r="K23" s="72">
        <f t="shared" si="27"/>
        <v>16293.095352217504</v>
      </c>
      <c r="L23" s="72">
        <f t="shared" si="27"/>
        <v>16618.957259261853</v>
      </c>
      <c r="M23" s="72">
        <f t="shared" si="27"/>
        <v>16951.336404447091</v>
      </c>
      <c r="N23" s="72">
        <f t="shared" si="27"/>
        <v>17290.363132536033</v>
      </c>
      <c r="O23" s="72">
        <f t="shared" si="27"/>
        <v>17636.170395186753</v>
      </c>
      <c r="P23" s="72">
        <f t="shared" si="27"/>
        <v>17988.89380309049</v>
      </c>
      <c r="Q23" s="72">
        <f t="shared" si="27"/>
        <v>18348.671679152299</v>
      </c>
      <c r="R23" s="72">
        <f t="shared" si="27"/>
        <v>18715.645112735347</v>
      </c>
      <c r="S23" s="72">
        <f t="shared" si="27"/>
        <v>19089.958014990054</v>
      </c>
      <c r="T23" s="72">
        <f t="shared" si="27"/>
        <v>19471.757175289855</v>
      </c>
      <c r="U23" s="72">
        <f t="shared" si="27"/>
        <v>19861.192318795653</v>
      </c>
      <c r="V23" s="72">
        <f t="shared" si="27"/>
        <v>20258.416165171566</v>
      </c>
      <c r="W23" s="72">
        <f t="shared" si="27"/>
        <v>20663.584488474997</v>
      </c>
      <c r="X23" s="72">
        <f t="shared" si="27"/>
        <v>21076.856178244496</v>
      </c>
      <c r="Y23" s="72">
        <f t="shared" si="27"/>
        <v>21498.393301809385</v>
      </c>
      <c r="Z23" s="72">
        <f t="shared" si="27"/>
        <v>21928.361167845575</v>
      </c>
      <c r="AA23" s="72">
        <f t="shared" si="27"/>
        <v>22366.928391202488</v>
      </c>
      <c r="AB23" s="72">
        <f t="shared" si="27"/>
        <v>22814.266959026536</v>
      </c>
      <c r="AD23" s="193" t="s">
        <v>77</v>
      </c>
      <c r="AE23" s="193"/>
    </row>
    <row r="24" spans="1:31" ht="15.75" x14ac:dyDescent="0.25">
      <c r="A24" s="43"/>
      <c r="B24" t="s">
        <v>95</v>
      </c>
      <c r="C24" s="124">
        <f>+C7*0.58</f>
        <v>397643.93999999994</v>
      </c>
      <c r="D24" s="72">
        <f>+D7*0.58</f>
        <v>399632.15969999996</v>
      </c>
      <c r="E24" s="72">
        <f t="shared" ref="E24:AB24" si="28">+E7*0.58</f>
        <v>401630.3204984999</v>
      </c>
      <c r="F24" s="72">
        <f t="shared" si="28"/>
        <v>403638.4721009924</v>
      </c>
      <c r="G24" s="72">
        <f t="shared" si="28"/>
        <v>405656.66446149733</v>
      </c>
      <c r="H24" s="72">
        <f t="shared" si="28"/>
        <v>407684.94778380473</v>
      </c>
      <c r="I24" s="72">
        <f t="shared" si="28"/>
        <v>409723.37252272369</v>
      </c>
      <c r="J24" s="72">
        <f t="shared" si="28"/>
        <v>411771.98938533722</v>
      </c>
      <c r="K24" s="72">
        <f t="shared" si="28"/>
        <v>413830.84933226393</v>
      </c>
      <c r="L24" s="72">
        <f t="shared" si="28"/>
        <v>415900.00357892521</v>
      </c>
      <c r="M24" s="72">
        <f t="shared" si="28"/>
        <v>417979.50359681976</v>
      </c>
      <c r="N24" s="72">
        <f t="shared" si="28"/>
        <v>420069.40111480386</v>
      </c>
      <c r="O24" s="72">
        <f t="shared" si="28"/>
        <v>422169.74812037783</v>
      </c>
      <c r="P24" s="72">
        <f t="shared" si="28"/>
        <v>424280.59686097968</v>
      </c>
      <c r="Q24" s="72">
        <f t="shared" si="28"/>
        <v>426401.9998452845</v>
      </c>
      <c r="R24" s="72">
        <f t="shared" si="28"/>
        <v>428534.00984451093</v>
      </c>
      <c r="S24" s="72">
        <f t="shared" si="28"/>
        <v>430676.67989373341</v>
      </c>
      <c r="T24" s="72">
        <f t="shared" si="28"/>
        <v>432830.06329320202</v>
      </c>
      <c r="U24" s="72">
        <f t="shared" si="28"/>
        <v>434994.21360966802</v>
      </c>
      <c r="V24" s="72">
        <f t="shared" si="28"/>
        <v>437169.18467771629</v>
      </c>
      <c r="W24" s="72">
        <f t="shared" si="28"/>
        <v>439355.03060110484</v>
      </c>
      <c r="X24" s="72">
        <f t="shared" si="28"/>
        <v>441551.80575411033</v>
      </c>
      <c r="Y24" s="72">
        <f t="shared" si="28"/>
        <v>443759.56478288077</v>
      </c>
      <c r="Z24" s="72">
        <f t="shared" si="28"/>
        <v>445978.36260679516</v>
      </c>
      <c r="AA24" s="72">
        <f t="shared" si="28"/>
        <v>448208.25441982911</v>
      </c>
      <c r="AB24" s="72">
        <f t="shared" si="28"/>
        <v>450449.29569192819</v>
      </c>
      <c r="AD24" s="193"/>
      <c r="AE24" s="193"/>
    </row>
    <row r="25" spans="1:31" ht="15.75" x14ac:dyDescent="0.25">
      <c r="A25" s="44"/>
      <c r="B25" t="s">
        <v>63</v>
      </c>
      <c r="C25" s="9"/>
      <c r="D25" s="66">
        <v>10000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  <c r="AD25" s="193"/>
      <c r="AE25" s="193"/>
    </row>
    <row r="26" spans="1:31" ht="15.6" customHeight="1" x14ac:dyDescent="0.25">
      <c r="A26" s="41"/>
      <c r="B26" t="s">
        <v>71</v>
      </c>
      <c r="C26" s="9"/>
      <c r="D26" s="66">
        <f t="shared" ref="D26:AB26" si="29">+$AC$14*0.05*0.0075</f>
        <v>27659.856832603295</v>
      </c>
      <c r="E26" s="66">
        <f t="shared" si="29"/>
        <v>27659.856832603295</v>
      </c>
      <c r="F26" s="66">
        <f t="shared" si="29"/>
        <v>27659.856832603295</v>
      </c>
      <c r="G26" s="66">
        <f t="shared" si="29"/>
        <v>27659.856832603295</v>
      </c>
      <c r="H26" s="66">
        <f t="shared" si="29"/>
        <v>27659.856832603295</v>
      </c>
      <c r="I26" s="66">
        <f t="shared" si="29"/>
        <v>27659.856832603295</v>
      </c>
      <c r="J26" s="66">
        <f t="shared" si="29"/>
        <v>27659.856832603295</v>
      </c>
      <c r="K26" s="66">
        <f t="shared" si="29"/>
        <v>27659.856832603295</v>
      </c>
      <c r="L26" s="66">
        <f t="shared" si="29"/>
        <v>27659.856832603295</v>
      </c>
      <c r="M26" s="66">
        <f t="shared" si="29"/>
        <v>27659.856832603295</v>
      </c>
      <c r="N26" s="66">
        <f t="shared" si="29"/>
        <v>27659.856832603295</v>
      </c>
      <c r="O26" s="66">
        <f t="shared" si="29"/>
        <v>27659.856832603295</v>
      </c>
      <c r="P26" s="66">
        <f t="shared" si="29"/>
        <v>27659.856832603295</v>
      </c>
      <c r="Q26" s="66">
        <f t="shared" si="29"/>
        <v>27659.856832603295</v>
      </c>
      <c r="R26" s="66">
        <f t="shared" si="29"/>
        <v>27659.856832603295</v>
      </c>
      <c r="S26" s="66">
        <f t="shared" si="29"/>
        <v>27659.856832603295</v>
      </c>
      <c r="T26" s="66">
        <f t="shared" si="29"/>
        <v>27659.856832603295</v>
      </c>
      <c r="U26" s="66">
        <f t="shared" si="29"/>
        <v>27659.856832603295</v>
      </c>
      <c r="V26" s="66">
        <f t="shared" si="29"/>
        <v>27659.856832603295</v>
      </c>
      <c r="W26" s="66">
        <f t="shared" si="29"/>
        <v>27659.856832603295</v>
      </c>
      <c r="X26" s="66">
        <f t="shared" si="29"/>
        <v>27659.856832603295</v>
      </c>
      <c r="Y26" s="66">
        <f t="shared" si="29"/>
        <v>27659.856832603295</v>
      </c>
      <c r="Z26" s="66">
        <f t="shared" si="29"/>
        <v>27659.856832603295</v>
      </c>
      <c r="AA26" s="66">
        <f t="shared" si="29"/>
        <v>27659.856832603295</v>
      </c>
      <c r="AB26" s="66">
        <f t="shared" si="29"/>
        <v>27659.856832603295</v>
      </c>
    </row>
    <row r="27" spans="1:31" ht="15.75" x14ac:dyDescent="0.25">
      <c r="A27" s="41"/>
      <c r="B27" t="s">
        <v>64</v>
      </c>
      <c r="C27" s="47">
        <v>144983</v>
      </c>
      <c r="D27" s="66">
        <f>C27*(1+$AE$14)</f>
        <v>147882.66</v>
      </c>
      <c r="E27" s="66">
        <f t="shared" ref="E27:AB27" si="30">+D27*(1+$AE$14)</f>
        <v>150840.3132</v>
      </c>
      <c r="F27" s="66">
        <f t="shared" si="30"/>
        <v>153857.11946400002</v>
      </c>
      <c r="G27" s="66">
        <f t="shared" si="30"/>
        <v>156934.26185328001</v>
      </c>
      <c r="H27" s="66">
        <f t="shared" si="30"/>
        <v>160072.94709034561</v>
      </c>
      <c r="I27" s="66">
        <f t="shared" si="30"/>
        <v>163274.40603215253</v>
      </c>
      <c r="J27" s="66">
        <f t="shared" si="30"/>
        <v>166539.89415279558</v>
      </c>
      <c r="K27" s="66">
        <f t="shared" si="30"/>
        <v>169870.69203585148</v>
      </c>
      <c r="L27" s="66">
        <f t="shared" si="30"/>
        <v>173268.1058765685</v>
      </c>
      <c r="M27" s="66">
        <f t="shared" si="30"/>
        <v>176733.46799409986</v>
      </c>
      <c r="N27" s="66">
        <f t="shared" si="30"/>
        <v>180268.13735398187</v>
      </c>
      <c r="O27" s="66">
        <f t="shared" si="30"/>
        <v>183873.50010106151</v>
      </c>
      <c r="P27" s="66">
        <f t="shared" si="30"/>
        <v>187550.97010308274</v>
      </c>
      <c r="Q27" s="66">
        <f t="shared" si="30"/>
        <v>191301.98950514439</v>
      </c>
      <c r="R27" s="66">
        <f t="shared" si="30"/>
        <v>195128.02929524728</v>
      </c>
      <c r="S27" s="66">
        <f t="shared" si="30"/>
        <v>199030.58988115223</v>
      </c>
      <c r="T27" s="66">
        <f t="shared" si="30"/>
        <v>203011.20167877528</v>
      </c>
      <c r="U27" s="66">
        <f t="shared" si="30"/>
        <v>207071.42571235079</v>
      </c>
      <c r="V27" s="66">
        <f t="shared" si="30"/>
        <v>211212.85422659782</v>
      </c>
      <c r="W27" s="66">
        <f t="shared" si="30"/>
        <v>215437.11131112979</v>
      </c>
      <c r="X27" s="66">
        <f t="shared" si="30"/>
        <v>219745.85353735238</v>
      </c>
      <c r="Y27" s="66">
        <f t="shared" si="30"/>
        <v>224140.77060809944</v>
      </c>
      <c r="Z27" s="66">
        <f t="shared" si="30"/>
        <v>228623.58602026143</v>
      </c>
      <c r="AA27" s="66">
        <f t="shared" si="30"/>
        <v>233196.05774066667</v>
      </c>
      <c r="AB27" s="66">
        <f t="shared" si="30"/>
        <v>237859.97889548002</v>
      </c>
    </row>
    <row r="28" spans="1:31" ht="16.5" thickBot="1" x14ac:dyDescent="0.3">
      <c r="A28" s="41"/>
    </row>
    <row r="29" spans="1:31" ht="16.5" thickBot="1" x14ac:dyDescent="0.3">
      <c r="A29" s="41"/>
      <c r="B29" s="64" t="s">
        <v>7</v>
      </c>
      <c r="C29" s="69">
        <f t="shared" ref="C29:AB29" si="31">SUM(C17:C27)</f>
        <v>1772955.94</v>
      </c>
      <c r="D29" s="70">
        <f>SUM(D17:D27)</f>
        <v>1838882.0918462032</v>
      </c>
      <c r="E29" s="70">
        <f t="shared" si="31"/>
        <v>1861104.5969240526</v>
      </c>
      <c r="F29" s="70">
        <f t="shared" si="31"/>
        <v>1893992.3785090046</v>
      </c>
      <c r="G29" s="70">
        <f t="shared" si="31"/>
        <v>1927559.7697149182</v>
      </c>
      <c r="H29" s="70">
        <f t="shared" si="31"/>
        <v>1961821.4168724567</v>
      </c>
      <c r="I29" s="70">
        <f t="shared" si="31"/>
        <v>1996792.2864231283</v>
      </c>
      <c r="J29" s="70">
        <f t="shared" si="31"/>
        <v>2032487.6719659008</v>
      </c>
      <c r="K29" s="70">
        <f t="shared" si="31"/>
        <v>2068923.2014597673</v>
      </c>
      <c r="L29" s="70">
        <f t="shared" si="31"/>
        <v>2106114.8445857498</v>
      </c>
      <c r="M29" s="70">
        <f t="shared" si="31"/>
        <v>2144078.9202718637</v>
      </c>
      <c r="N29" s="70">
        <f t="shared" si="31"/>
        <v>2182832.1043846938</v>
      </c>
      <c r="O29" s="70">
        <f t="shared" si="31"/>
        <v>2222391.4375912617</v>
      </c>
      <c r="P29" s="70">
        <f t="shared" si="31"/>
        <v>2262774.3333950001</v>
      </c>
      <c r="Q29" s="70">
        <f t="shared" si="31"/>
        <v>2303998.5863496857</v>
      </c>
      <c r="R29" s="70">
        <f t="shared" si="31"/>
        <v>2346082.3804553039</v>
      </c>
      <c r="S29" s="70">
        <f t="shared" si="31"/>
        <v>2389044.2977398909</v>
      </c>
      <c r="T29" s="70">
        <f t="shared" si="31"/>
        <v>2432903.3270314885</v>
      </c>
      <c r="U29" s="70">
        <f t="shared" si="31"/>
        <v>2477678.8729244531</v>
      </c>
      <c r="V29" s="70">
        <f t="shared" si="31"/>
        <v>2523390.7649444332</v>
      </c>
      <c r="W29" s="70">
        <f t="shared" si="31"/>
        <v>2570059.2669164478</v>
      </c>
      <c r="X29" s="70">
        <f t="shared" si="31"/>
        <v>2617705.0865405882</v>
      </c>
      <c r="Y29" s="70">
        <f t="shared" si="31"/>
        <v>2666349.3851799569</v>
      </c>
      <c r="Z29" s="70">
        <f t="shared" si="31"/>
        <v>2716013.7878655829</v>
      </c>
      <c r="AA29" s="70">
        <f t="shared" si="31"/>
        <v>2766720.3935231352</v>
      </c>
      <c r="AB29" s="70">
        <f t="shared" si="31"/>
        <v>2818491.7854263871</v>
      </c>
    </row>
    <row r="30" spans="1:31" ht="15.75" x14ac:dyDescent="0.25">
      <c r="A30" s="41"/>
      <c r="B30" t="s">
        <v>66</v>
      </c>
      <c r="C30" s="76">
        <v>179691</v>
      </c>
      <c r="D30" s="76">
        <f>$AE$20*SUM(D17:D27)</f>
        <v>186462.64411320502</v>
      </c>
      <c r="E30" s="76">
        <f>$AE$20*SUM(E17:E27)</f>
        <v>188716.00612809893</v>
      </c>
      <c r="F30" s="76">
        <f t="shared" ref="F30:AB30" si="32">$AE$20*SUM(F17:F27)</f>
        <v>192050.82718081307</v>
      </c>
      <c r="G30" s="76">
        <f t="shared" si="32"/>
        <v>195454.56064909272</v>
      </c>
      <c r="H30" s="76">
        <f t="shared" si="32"/>
        <v>198928.69167086712</v>
      </c>
      <c r="I30" s="76">
        <f t="shared" si="32"/>
        <v>202474.73784330522</v>
      </c>
      <c r="J30" s="76">
        <f t="shared" si="32"/>
        <v>206094.24993734236</v>
      </c>
      <c r="K30" s="76">
        <f t="shared" si="32"/>
        <v>209788.81262802042</v>
      </c>
      <c r="L30" s="76">
        <f t="shared" si="32"/>
        <v>213560.04524099504</v>
      </c>
      <c r="M30" s="76">
        <f t="shared" si="32"/>
        <v>217409.60251556698</v>
      </c>
      <c r="N30" s="76">
        <f t="shared" si="32"/>
        <v>221339.17538460795</v>
      </c>
      <c r="O30" s="76">
        <f t="shared" si="32"/>
        <v>225350.49177175394</v>
      </c>
      <c r="P30" s="76">
        <f t="shared" si="32"/>
        <v>229445.31740625302</v>
      </c>
      <c r="Q30" s="76">
        <f t="shared" si="32"/>
        <v>233625.45665585814</v>
      </c>
      <c r="R30" s="76">
        <f t="shared" si="32"/>
        <v>237892.75337816784</v>
      </c>
      <c r="S30" s="76">
        <f t="shared" si="32"/>
        <v>242249.09179082495</v>
      </c>
      <c r="T30" s="76">
        <f t="shared" si="32"/>
        <v>246696.39736099294</v>
      </c>
      <c r="U30" s="76">
        <f t="shared" si="32"/>
        <v>251236.63771453957</v>
      </c>
      <c r="V30" s="76">
        <f t="shared" si="32"/>
        <v>255871.82356536554</v>
      </c>
      <c r="W30" s="76">
        <f t="shared" si="32"/>
        <v>260604.00966532782</v>
      </c>
      <c r="X30" s="76">
        <f t="shared" si="32"/>
        <v>265435.29577521567</v>
      </c>
      <c r="Y30" s="76">
        <f t="shared" si="32"/>
        <v>270367.82765724766</v>
      </c>
      <c r="Z30" s="76">
        <f t="shared" si="32"/>
        <v>275403.79808957013</v>
      </c>
      <c r="AA30" s="76">
        <f t="shared" si="32"/>
        <v>280545.44790324592</v>
      </c>
      <c r="AB30" s="76">
        <f t="shared" si="32"/>
        <v>285795.06704223563</v>
      </c>
    </row>
    <row r="31" spans="1:31" ht="15.75" x14ac:dyDescent="0.25">
      <c r="A31" s="42"/>
      <c r="B31" t="s">
        <v>60</v>
      </c>
      <c r="C31" s="9"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31" ht="15.75" x14ac:dyDescent="0.25">
      <c r="A32" s="41"/>
      <c r="B32" t="s">
        <v>74</v>
      </c>
      <c r="C32" s="9">
        <v>20622</v>
      </c>
      <c r="D32" s="145">
        <f>D14*0.015</f>
        <v>28842.721181212499</v>
      </c>
      <c r="E32" s="145">
        <f t="shared" ref="E32:AB32" si="33">E14*0.015</f>
        <v>32279.96162215482</v>
      </c>
      <c r="F32" s="145">
        <f t="shared" si="33"/>
        <v>36580.910557889336</v>
      </c>
      <c r="G32" s="145">
        <f t="shared" si="33"/>
        <v>37282.846923327415</v>
      </c>
      <c r="H32" s="145">
        <f t="shared" si="33"/>
        <v>37998.253000250894</v>
      </c>
      <c r="I32" s="145">
        <f t="shared" si="33"/>
        <v>38727.387274571622</v>
      </c>
      <c r="J32" s="145">
        <f t="shared" si="33"/>
        <v>39470.513192801809</v>
      </c>
      <c r="K32" s="145">
        <f t="shared" si="33"/>
        <v>40227.899257257108</v>
      </c>
      <c r="L32" s="145">
        <f t="shared" si="33"/>
        <v>40999.819123086883</v>
      </c>
      <c r="M32" s="145">
        <f t="shared" si="33"/>
        <v>41786.551697166928</v>
      </c>
      <c r="N32" s="145">
        <f t="shared" si="33"/>
        <v>42588.38123888999</v>
      </c>
      <c r="O32" s="145">
        <f t="shared" si="33"/>
        <v>43405.597462890895</v>
      </c>
      <c r="P32" s="145">
        <f t="shared" si="33"/>
        <v>44238.495643743241</v>
      </c>
      <c r="Q32" s="145">
        <f t="shared" si="33"/>
        <v>45087.376722665402</v>
      </c>
      <c r="R32" s="145">
        <f t="shared" si="33"/>
        <v>45952.54741627472</v>
      </c>
      <c r="S32" s="145">
        <f t="shared" si="33"/>
        <v>46834.320327428824</v>
      </c>
      <c r="T32" s="145">
        <f t="shared" si="33"/>
        <v>47733.014058194414</v>
      </c>
      <c r="U32" s="145">
        <f t="shared" si="33"/>
        <v>48648.953324984228</v>
      </c>
      <c r="V32" s="145">
        <f t="shared" si="33"/>
        <v>49582.469075903769</v>
      </c>
      <c r="W32" s="145">
        <f t="shared" si="33"/>
        <v>50533.898610350385</v>
      </c>
      <c r="X32" s="145">
        <f t="shared" si="33"/>
        <v>51503.585700907635</v>
      </c>
      <c r="Y32" s="145">
        <f t="shared" si="33"/>
        <v>52491.88071757937</v>
      </c>
      <c r="Z32" s="145">
        <f t="shared" si="33"/>
        <v>53499.140754408065</v>
      </c>
      <c r="AA32" s="145">
        <f t="shared" si="33"/>
        <v>54525.729758523419</v>
      </c>
      <c r="AB32" s="145">
        <f t="shared" si="33"/>
        <v>55572.018661667826</v>
      </c>
    </row>
    <row r="33" spans="2:30" x14ac:dyDescent="0.25">
      <c r="B33" t="s">
        <v>73</v>
      </c>
      <c r="C33" s="9"/>
      <c r="D33" s="74">
        <f>+$AC$33/25</f>
        <v>14751.923644055089</v>
      </c>
      <c r="E33" s="74">
        <f t="shared" ref="E33:AB33" si="34">+$AC$33/25</f>
        <v>14751.923644055089</v>
      </c>
      <c r="F33" s="74">
        <f t="shared" si="34"/>
        <v>14751.923644055089</v>
      </c>
      <c r="G33" s="74">
        <f t="shared" si="34"/>
        <v>14751.923644055089</v>
      </c>
      <c r="H33" s="74">
        <f t="shared" si="34"/>
        <v>14751.923644055089</v>
      </c>
      <c r="I33" s="74">
        <f t="shared" si="34"/>
        <v>14751.923644055089</v>
      </c>
      <c r="J33" s="74">
        <f t="shared" si="34"/>
        <v>14751.923644055089</v>
      </c>
      <c r="K33" s="74">
        <f t="shared" si="34"/>
        <v>14751.923644055089</v>
      </c>
      <c r="L33" s="74">
        <f t="shared" si="34"/>
        <v>14751.923644055089</v>
      </c>
      <c r="M33" s="74">
        <f t="shared" si="34"/>
        <v>14751.923644055089</v>
      </c>
      <c r="N33" s="74">
        <f t="shared" si="34"/>
        <v>14751.923644055089</v>
      </c>
      <c r="O33" s="74">
        <f t="shared" si="34"/>
        <v>14751.923644055089</v>
      </c>
      <c r="P33" s="74">
        <f t="shared" si="34"/>
        <v>14751.923644055089</v>
      </c>
      <c r="Q33" s="74">
        <f t="shared" si="34"/>
        <v>14751.923644055089</v>
      </c>
      <c r="R33" s="74">
        <f t="shared" si="34"/>
        <v>14751.923644055089</v>
      </c>
      <c r="S33" s="74">
        <f t="shared" si="34"/>
        <v>14751.923644055089</v>
      </c>
      <c r="T33" s="74">
        <f t="shared" si="34"/>
        <v>14751.923644055089</v>
      </c>
      <c r="U33" s="74">
        <f t="shared" si="34"/>
        <v>14751.923644055089</v>
      </c>
      <c r="V33" s="74">
        <f t="shared" si="34"/>
        <v>14751.923644055089</v>
      </c>
      <c r="W33" s="74">
        <f t="shared" si="34"/>
        <v>14751.923644055089</v>
      </c>
      <c r="X33" s="74">
        <f t="shared" si="34"/>
        <v>14751.923644055089</v>
      </c>
      <c r="Y33" s="74">
        <f t="shared" si="34"/>
        <v>14751.923644055089</v>
      </c>
      <c r="Z33" s="74">
        <f t="shared" si="34"/>
        <v>14751.923644055089</v>
      </c>
      <c r="AA33" s="74">
        <f t="shared" si="34"/>
        <v>14751.923644055089</v>
      </c>
      <c r="AB33" s="74">
        <f t="shared" si="34"/>
        <v>14751.923644055089</v>
      </c>
      <c r="AC33" s="67">
        <f>0.005*AC14</f>
        <v>368798.09110137721</v>
      </c>
    </row>
    <row r="34" spans="2:30" x14ac:dyDescent="0.25">
      <c r="B34" t="s">
        <v>62</v>
      </c>
      <c r="C34" s="9">
        <v>0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  <row r="35" spans="2:30" x14ac:dyDescent="0.25">
      <c r="B35" t="s">
        <v>116</v>
      </c>
      <c r="C35" s="9">
        <f>0.0025*C14</f>
        <v>4092.335</v>
      </c>
      <c r="D35" s="67">
        <f t="shared" ref="D35:AB35" si="35">0.0025*D14</f>
        <v>4807.1201968687501</v>
      </c>
      <c r="E35" s="67">
        <f t="shared" si="35"/>
        <v>5379.9936036924701</v>
      </c>
      <c r="F35" s="67">
        <f t="shared" si="35"/>
        <v>6096.8184263148896</v>
      </c>
      <c r="G35" s="67">
        <f t="shared" si="35"/>
        <v>6213.8078205545689</v>
      </c>
      <c r="H35" s="67">
        <f t="shared" si="35"/>
        <v>6333.042166708482</v>
      </c>
      <c r="I35" s="67">
        <f t="shared" si="35"/>
        <v>6454.5645457619376</v>
      </c>
      <c r="J35" s="67">
        <f t="shared" si="35"/>
        <v>6578.4188654669688</v>
      </c>
      <c r="K35" s="67">
        <f t="shared" si="35"/>
        <v>6704.6498762095189</v>
      </c>
      <c r="L35" s="67">
        <f t="shared" si="35"/>
        <v>6833.3031871811472</v>
      </c>
      <c r="M35" s="67">
        <f t="shared" si="35"/>
        <v>6964.4252828611552</v>
      </c>
      <c r="N35" s="67">
        <f t="shared" si="35"/>
        <v>7098.063539814998</v>
      </c>
      <c r="O35" s="67">
        <f t="shared" si="35"/>
        <v>7234.2662438151501</v>
      </c>
      <c r="P35" s="67">
        <f t="shared" si="35"/>
        <v>7373.0826072905402</v>
      </c>
      <c r="Q35" s="67">
        <f t="shared" si="35"/>
        <v>7514.5627871109009</v>
      </c>
      <c r="R35" s="67">
        <f t="shared" si="35"/>
        <v>7658.7579027124539</v>
      </c>
      <c r="S35" s="67">
        <f t="shared" si="35"/>
        <v>7805.7200545714713</v>
      </c>
      <c r="T35" s="67">
        <f t="shared" si="35"/>
        <v>7955.5023430324036</v>
      </c>
      <c r="U35" s="67">
        <f t="shared" si="35"/>
        <v>8108.1588874973722</v>
      </c>
      <c r="V35" s="67">
        <f t="shared" si="35"/>
        <v>8263.7448459839616</v>
      </c>
      <c r="W35" s="67">
        <f t="shared" si="35"/>
        <v>8422.3164350583975</v>
      </c>
      <c r="X35" s="67">
        <f t="shared" si="35"/>
        <v>8583.9309501512726</v>
      </c>
      <c r="Y35" s="67">
        <f t="shared" si="35"/>
        <v>8748.6467862632289</v>
      </c>
      <c r="Z35" s="67">
        <f t="shared" si="35"/>
        <v>8916.5234590680102</v>
      </c>
      <c r="AA35" s="67">
        <f t="shared" si="35"/>
        <v>9087.6216264205705</v>
      </c>
      <c r="AB35" s="67">
        <f t="shared" si="35"/>
        <v>9262.0031102779722</v>
      </c>
    </row>
    <row r="36" spans="2:30" ht="15.75" thickBot="1" x14ac:dyDescent="0.3">
      <c r="B36" t="s">
        <v>72</v>
      </c>
      <c r="C36" s="9">
        <v>125340</v>
      </c>
      <c r="D36" s="74">
        <f>C36*(1+$AE$14)</f>
        <v>127846.8</v>
      </c>
      <c r="E36" s="74">
        <f t="shared" ref="E36:AB36" si="36">D36*(1+$AE$14)</f>
        <v>130403.736</v>
      </c>
      <c r="F36" s="74">
        <f t="shared" si="36"/>
        <v>133011.81072000001</v>
      </c>
      <c r="G36" s="74">
        <f t="shared" si="36"/>
        <v>135672.04693440002</v>
      </c>
      <c r="H36" s="74">
        <f t="shared" si="36"/>
        <v>138385.48787308802</v>
      </c>
      <c r="I36" s="74">
        <f t="shared" si="36"/>
        <v>141153.19763054978</v>
      </c>
      <c r="J36" s="74">
        <f t="shared" si="36"/>
        <v>143976.26158316078</v>
      </c>
      <c r="K36" s="74">
        <f t="shared" si="36"/>
        <v>146855.78681482401</v>
      </c>
      <c r="L36" s="74">
        <f t="shared" si="36"/>
        <v>149792.9025511205</v>
      </c>
      <c r="M36" s="74">
        <f t="shared" si="36"/>
        <v>152788.76060214289</v>
      </c>
      <c r="N36" s="74">
        <f t="shared" si="36"/>
        <v>155844.53581418574</v>
      </c>
      <c r="O36" s="74">
        <f t="shared" si="36"/>
        <v>158961.42653046947</v>
      </c>
      <c r="P36" s="74">
        <f t="shared" si="36"/>
        <v>162140.65506107887</v>
      </c>
      <c r="Q36" s="74">
        <f t="shared" si="36"/>
        <v>165383.46816230044</v>
      </c>
      <c r="R36" s="74">
        <f t="shared" si="36"/>
        <v>168691.13752554645</v>
      </c>
      <c r="S36" s="74">
        <f t="shared" si="36"/>
        <v>172064.96027605739</v>
      </c>
      <c r="T36" s="74">
        <f t="shared" si="36"/>
        <v>175506.25948157854</v>
      </c>
      <c r="U36" s="74">
        <f t="shared" si="36"/>
        <v>179016.38467121011</v>
      </c>
      <c r="V36" s="74">
        <f t="shared" si="36"/>
        <v>182596.71236463432</v>
      </c>
      <c r="W36" s="74">
        <f t="shared" si="36"/>
        <v>186248.64661192702</v>
      </c>
      <c r="X36" s="74">
        <f t="shared" si="36"/>
        <v>189973.61954416556</v>
      </c>
      <c r="Y36" s="74">
        <f t="shared" si="36"/>
        <v>193773.09193504887</v>
      </c>
      <c r="Z36" s="74">
        <f t="shared" si="36"/>
        <v>197648.55377374985</v>
      </c>
      <c r="AA36" s="74">
        <f t="shared" si="36"/>
        <v>201601.52484922486</v>
      </c>
      <c r="AB36" s="74">
        <f t="shared" si="36"/>
        <v>205633.55534620935</v>
      </c>
    </row>
    <row r="37" spans="2:30" ht="15.75" thickBot="1" x14ac:dyDescent="0.3">
      <c r="B37" s="64" t="s">
        <v>8</v>
      </c>
      <c r="C37" s="69">
        <f t="shared" ref="C37:AB37" si="37">SUM(C29:C36)</f>
        <v>2102701.2749999999</v>
      </c>
      <c r="D37" s="69">
        <f t="shared" si="37"/>
        <v>2201593.3009815444</v>
      </c>
      <c r="E37" s="69">
        <f t="shared" si="37"/>
        <v>2232636.2179220538</v>
      </c>
      <c r="F37" s="69">
        <f t="shared" si="37"/>
        <v>2276484.6690380769</v>
      </c>
      <c r="G37" s="69">
        <f t="shared" si="37"/>
        <v>2316934.955686348</v>
      </c>
      <c r="H37" s="69">
        <f t="shared" si="37"/>
        <v>2358218.8152274266</v>
      </c>
      <c r="I37" s="69">
        <f t="shared" si="37"/>
        <v>2400354.0973613719</v>
      </c>
      <c r="J37" s="69">
        <f t="shared" si="37"/>
        <v>2443359.0391887277</v>
      </c>
      <c r="K37" s="69">
        <f t="shared" si="37"/>
        <v>2487252.2736801337</v>
      </c>
      <c r="L37" s="69">
        <f t="shared" si="37"/>
        <v>2532052.8383321888</v>
      </c>
      <c r="M37" s="69">
        <f t="shared" si="37"/>
        <v>2577780.1840136573</v>
      </c>
      <c r="N37" s="69">
        <f t="shared" si="37"/>
        <v>2624454.1840062477</v>
      </c>
      <c r="O37" s="69">
        <f t="shared" si="37"/>
        <v>2672095.143244246</v>
      </c>
      <c r="P37" s="69">
        <f t="shared" si="37"/>
        <v>2720723.8077574209</v>
      </c>
      <c r="Q37" s="69">
        <f t="shared" si="37"/>
        <v>2770361.3743216759</v>
      </c>
      <c r="R37" s="69">
        <f t="shared" si="37"/>
        <v>2821029.5003220607</v>
      </c>
      <c r="S37" s="69">
        <f t="shared" si="37"/>
        <v>2872750.3138328288</v>
      </c>
      <c r="T37" s="69">
        <f t="shared" si="37"/>
        <v>2925546.4239193425</v>
      </c>
      <c r="U37" s="69">
        <f t="shared" si="37"/>
        <v>2979440.9311667397</v>
      </c>
      <c r="V37" s="69">
        <f t="shared" si="37"/>
        <v>3034457.4384403764</v>
      </c>
      <c r="W37" s="69">
        <f t="shared" si="37"/>
        <v>3090620.0618831664</v>
      </c>
      <c r="X37" s="69">
        <f t="shared" si="37"/>
        <v>3147953.4421550836</v>
      </c>
      <c r="Y37" s="69">
        <f t="shared" si="37"/>
        <v>3206482.7559201508</v>
      </c>
      <c r="Z37" s="69">
        <f t="shared" si="37"/>
        <v>3266233.7275864342</v>
      </c>
      <c r="AA37" s="69">
        <f t="shared" si="37"/>
        <v>3327232.6413046047</v>
      </c>
      <c r="AB37" s="69">
        <f t="shared" si="37"/>
        <v>3389506.3532308331</v>
      </c>
      <c r="AC37" s="80">
        <f>SUM(D37:AB37)</f>
        <v>68675554.490522727</v>
      </c>
    </row>
    <row r="38" spans="2:30" ht="15.75" thickBot="1" x14ac:dyDescent="0.3">
      <c r="AD38" s="50"/>
    </row>
    <row r="39" spans="2:30" ht="15.75" thickBot="1" x14ac:dyDescent="0.3">
      <c r="B39" s="62" t="s">
        <v>9</v>
      </c>
      <c r="C39" s="77">
        <f t="shared" ref="C39:AB39" si="38">+C14-C37</f>
        <v>-465767.27499999991</v>
      </c>
      <c r="D39" s="77">
        <f t="shared" si="38"/>
        <v>-278745.22223404446</v>
      </c>
      <c r="E39" s="77">
        <f t="shared" si="38"/>
        <v>-80638.776445065625</v>
      </c>
      <c r="F39" s="77">
        <f t="shared" si="38"/>
        <v>162242.7014878788</v>
      </c>
      <c r="G39" s="77">
        <f t="shared" si="38"/>
        <v>168588.17253547953</v>
      </c>
      <c r="H39" s="77">
        <f t="shared" si="38"/>
        <v>174998.0514559662</v>
      </c>
      <c r="I39" s="77">
        <f t="shared" si="38"/>
        <v>181471.72094340296</v>
      </c>
      <c r="J39" s="77">
        <f t="shared" si="38"/>
        <v>188008.50699805981</v>
      </c>
      <c r="K39" s="77">
        <f t="shared" si="38"/>
        <v>194607.67680367362</v>
      </c>
      <c r="L39" s="77">
        <f t="shared" si="38"/>
        <v>201268.43654027022</v>
      </c>
      <c r="M39" s="77">
        <f t="shared" si="38"/>
        <v>207989.92913080472</v>
      </c>
      <c r="N39" s="77">
        <f t="shared" si="38"/>
        <v>214771.2319197515</v>
      </c>
      <c r="O39" s="77">
        <f t="shared" si="38"/>
        <v>221611.35428181384</v>
      </c>
      <c r="P39" s="77">
        <f t="shared" si="38"/>
        <v>228509.23515879503</v>
      </c>
      <c r="Q39" s="77">
        <f t="shared" si="38"/>
        <v>235463.74052268453</v>
      </c>
      <c r="R39" s="77">
        <f t="shared" si="38"/>
        <v>242473.66076292098</v>
      </c>
      <c r="S39" s="77">
        <f t="shared" si="38"/>
        <v>249537.70799575979</v>
      </c>
      <c r="T39" s="77">
        <f t="shared" si="38"/>
        <v>256654.5132936188</v>
      </c>
      <c r="U39" s="77">
        <f t="shared" si="38"/>
        <v>263822.62383220904</v>
      </c>
      <c r="V39" s="77">
        <f t="shared" si="38"/>
        <v>271040.49995320849</v>
      </c>
      <c r="W39" s="77">
        <f t="shared" si="38"/>
        <v>278306.51214019256</v>
      </c>
      <c r="X39" s="77">
        <f t="shared" si="38"/>
        <v>285618.93790542567</v>
      </c>
      <c r="Y39" s="77">
        <f t="shared" si="38"/>
        <v>292975.95858514076</v>
      </c>
      <c r="Z39" s="77">
        <f t="shared" si="38"/>
        <v>300375.65604077</v>
      </c>
      <c r="AA39" s="77">
        <f t="shared" si="38"/>
        <v>307816.00926362351</v>
      </c>
      <c r="AB39" s="77">
        <f t="shared" si="38"/>
        <v>315294.89088035561</v>
      </c>
      <c r="AC39" s="86">
        <f>SUM(D39:AB39)</f>
        <v>5084063.7297526952</v>
      </c>
      <c r="AD39" s="50"/>
    </row>
    <row r="41" spans="2:30" x14ac:dyDescent="0.25">
      <c r="B41" s="1" t="s">
        <v>57</v>
      </c>
      <c r="C41" s="18"/>
      <c r="AC41" s="61"/>
      <c r="AD41" s="50"/>
    </row>
    <row r="42" spans="2:30" ht="30" x14ac:dyDescent="0.25">
      <c r="B42" s="182" t="s">
        <v>118</v>
      </c>
      <c r="C42" s="183">
        <v>10.14</v>
      </c>
      <c r="AC42" s="61"/>
      <c r="AD42" s="50"/>
    </row>
    <row r="43" spans="2:30" x14ac:dyDescent="0.25">
      <c r="B43" t="s">
        <v>117</v>
      </c>
      <c r="C43" s="66">
        <f t="shared" ref="C43:AB43" si="39">SUM(C17:C27)*$AE$20</f>
        <v>179777.73231600001</v>
      </c>
      <c r="D43" s="66">
        <f t="shared" si="39"/>
        <v>186462.64411320502</v>
      </c>
      <c r="E43" s="66">
        <f t="shared" si="39"/>
        <v>188716.00612809893</v>
      </c>
      <c r="F43" s="66">
        <f t="shared" si="39"/>
        <v>192050.82718081307</v>
      </c>
      <c r="G43" s="66">
        <f t="shared" si="39"/>
        <v>195454.56064909272</v>
      </c>
      <c r="H43" s="66">
        <f t="shared" si="39"/>
        <v>198928.69167086712</v>
      </c>
      <c r="I43" s="66">
        <f t="shared" si="39"/>
        <v>202474.73784330522</v>
      </c>
      <c r="J43" s="66">
        <f t="shared" si="39"/>
        <v>206094.24993734236</v>
      </c>
      <c r="K43" s="66">
        <f t="shared" si="39"/>
        <v>209788.81262802042</v>
      </c>
      <c r="L43" s="66">
        <f t="shared" si="39"/>
        <v>213560.04524099504</v>
      </c>
      <c r="M43" s="66">
        <f t="shared" si="39"/>
        <v>217409.60251556698</v>
      </c>
      <c r="N43" s="66">
        <f t="shared" si="39"/>
        <v>221339.17538460795</v>
      </c>
      <c r="O43" s="66">
        <f t="shared" si="39"/>
        <v>225350.49177175394</v>
      </c>
      <c r="P43" s="66">
        <f t="shared" si="39"/>
        <v>229445.31740625302</v>
      </c>
      <c r="Q43" s="66">
        <f t="shared" si="39"/>
        <v>233625.45665585814</v>
      </c>
      <c r="R43" s="66">
        <f t="shared" si="39"/>
        <v>237892.75337816784</v>
      </c>
      <c r="S43" s="66">
        <f t="shared" si="39"/>
        <v>242249.09179082495</v>
      </c>
      <c r="T43" s="66">
        <f t="shared" si="39"/>
        <v>246696.39736099294</v>
      </c>
      <c r="U43" s="66">
        <f t="shared" si="39"/>
        <v>251236.63771453957</v>
      </c>
      <c r="V43" s="66">
        <f t="shared" si="39"/>
        <v>255871.82356536554</v>
      </c>
      <c r="W43" s="66">
        <f t="shared" si="39"/>
        <v>260604.00966532782</v>
      </c>
      <c r="X43" s="66">
        <f t="shared" si="39"/>
        <v>265435.29577521567</v>
      </c>
      <c r="Y43" s="66">
        <f t="shared" si="39"/>
        <v>270367.82765724766</v>
      </c>
      <c r="Z43" s="66">
        <f t="shared" si="39"/>
        <v>275403.79808957013</v>
      </c>
      <c r="AA43" s="66">
        <f t="shared" si="39"/>
        <v>280545.44790324592</v>
      </c>
      <c r="AB43" s="66">
        <f t="shared" si="39"/>
        <v>285795.06704223563</v>
      </c>
      <c r="AC43" s="61"/>
      <c r="AD43" s="50"/>
    </row>
    <row r="44" spans="2:30" x14ac:dyDescent="0.25">
      <c r="B44" s="1" t="s">
        <v>10</v>
      </c>
      <c r="C44" s="146">
        <f t="shared" ref="C44:M44" si="40">SUM(C43:C43)</f>
        <v>179777.73231600001</v>
      </c>
      <c r="D44" s="146">
        <f t="shared" si="40"/>
        <v>186462.64411320502</v>
      </c>
      <c r="E44" s="146">
        <f t="shared" si="40"/>
        <v>188716.00612809893</v>
      </c>
      <c r="F44" s="146">
        <f t="shared" si="40"/>
        <v>192050.82718081307</v>
      </c>
      <c r="G44" s="146">
        <f t="shared" si="40"/>
        <v>195454.56064909272</v>
      </c>
      <c r="H44" s="146">
        <f t="shared" si="40"/>
        <v>198928.69167086712</v>
      </c>
      <c r="I44" s="146">
        <f t="shared" si="40"/>
        <v>202474.73784330522</v>
      </c>
      <c r="J44" s="146">
        <f t="shared" si="40"/>
        <v>206094.24993734236</v>
      </c>
      <c r="K44" s="146">
        <f t="shared" si="40"/>
        <v>209788.81262802042</v>
      </c>
      <c r="L44" s="146">
        <f t="shared" si="40"/>
        <v>213560.04524099504</v>
      </c>
      <c r="M44" s="146">
        <f t="shared" si="40"/>
        <v>217409.60251556698</v>
      </c>
      <c r="N44" s="146">
        <f t="shared" ref="N44:W44" si="41">SUM(N43:N43)</f>
        <v>221339.17538460795</v>
      </c>
      <c r="O44" s="146">
        <f t="shared" si="41"/>
        <v>225350.49177175394</v>
      </c>
      <c r="P44" s="146">
        <f t="shared" si="41"/>
        <v>229445.31740625302</v>
      </c>
      <c r="Q44" s="146">
        <f t="shared" si="41"/>
        <v>233625.45665585814</v>
      </c>
      <c r="R44" s="146">
        <f t="shared" si="41"/>
        <v>237892.75337816784</v>
      </c>
      <c r="S44" s="146">
        <f t="shared" si="41"/>
        <v>242249.09179082495</v>
      </c>
      <c r="T44" s="146">
        <f t="shared" si="41"/>
        <v>246696.39736099294</v>
      </c>
      <c r="U44" s="146">
        <f t="shared" si="41"/>
        <v>251236.63771453957</v>
      </c>
      <c r="V44" s="146">
        <f t="shared" si="41"/>
        <v>255871.82356536554</v>
      </c>
      <c r="W44" s="146">
        <f t="shared" si="41"/>
        <v>260604.00966532782</v>
      </c>
      <c r="X44" s="146">
        <f t="shared" ref="X44:AA44" si="42">SUM(X43:X43)</f>
        <v>265435.29577521567</v>
      </c>
      <c r="Y44" s="146">
        <f t="shared" si="42"/>
        <v>270367.82765724766</v>
      </c>
      <c r="Z44" s="146">
        <f t="shared" si="42"/>
        <v>275403.79808957013</v>
      </c>
      <c r="AA44" s="146">
        <f t="shared" si="42"/>
        <v>280545.44790324592</v>
      </c>
      <c r="AB44" s="146">
        <f t="shared" ref="AB44" si="43">SUM(AB43:AB43)</f>
        <v>285795.06704223563</v>
      </c>
      <c r="AD44" s="50"/>
    </row>
    <row r="45" spans="2:30" x14ac:dyDescent="0.25">
      <c r="B45" t="s">
        <v>76</v>
      </c>
      <c r="C45" s="8"/>
      <c r="D45" s="66">
        <f t="shared" ref="D45:AB45" si="44">+D39+D43</f>
        <v>-92282.578120839433</v>
      </c>
      <c r="E45" s="66">
        <f t="shared" si="44"/>
        <v>108077.22968303331</v>
      </c>
      <c r="F45" s="66">
        <f t="shared" si="44"/>
        <v>354293.52866869187</v>
      </c>
      <c r="G45" s="66">
        <f t="shared" si="44"/>
        <v>364042.73318457225</v>
      </c>
      <c r="H45" s="66">
        <f t="shared" si="44"/>
        <v>373926.74312683335</v>
      </c>
      <c r="I45" s="66">
        <f t="shared" si="44"/>
        <v>383946.45878670819</v>
      </c>
      <c r="J45" s="66">
        <f t="shared" si="44"/>
        <v>394102.75693540217</v>
      </c>
      <c r="K45" s="66">
        <f t="shared" si="44"/>
        <v>404396.48943169403</v>
      </c>
      <c r="L45" s="66">
        <f t="shared" si="44"/>
        <v>414828.48178126523</v>
      </c>
      <c r="M45" s="66">
        <f t="shared" si="44"/>
        <v>425399.5316463717</v>
      </c>
      <c r="N45" s="66">
        <f t="shared" si="44"/>
        <v>436110.40730435948</v>
      </c>
      <c r="O45" s="66">
        <f t="shared" si="44"/>
        <v>446961.84605356777</v>
      </c>
      <c r="P45" s="66">
        <f t="shared" si="44"/>
        <v>457954.55256504804</v>
      </c>
      <c r="Q45" s="66">
        <f t="shared" si="44"/>
        <v>469089.19717854267</v>
      </c>
      <c r="R45" s="66">
        <f t="shared" si="44"/>
        <v>480366.41414108884</v>
      </c>
      <c r="S45" s="66">
        <f t="shared" si="44"/>
        <v>491786.79978658474</v>
      </c>
      <c r="T45" s="66">
        <f t="shared" si="44"/>
        <v>503350.91065461177</v>
      </c>
      <c r="U45" s="66">
        <f t="shared" si="44"/>
        <v>515059.26154674857</v>
      </c>
      <c r="V45" s="66">
        <f t="shared" si="44"/>
        <v>526912.323518574</v>
      </c>
      <c r="W45" s="66">
        <f t="shared" si="44"/>
        <v>538910.5218055204</v>
      </c>
      <c r="X45" s="66">
        <f t="shared" si="44"/>
        <v>551054.23368064128</v>
      </c>
      <c r="Y45" s="66">
        <f t="shared" si="44"/>
        <v>563343.78624238842</v>
      </c>
      <c r="Z45" s="66">
        <f t="shared" si="44"/>
        <v>575779.45413034013</v>
      </c>
      <c r="AA45" s="66">
        <f t="shared" si="44"/>
        <v>588361.45716686943</v>
      </c>
      <c r="AB45" s="147">
        <f t="shared" si="44"/>
        <v>601089.95792259125</v>
      </c>
      <c r="AC45" s="81">
        <f>SUM(D45:AB45)</f>
        <v>10876862.498821208</v>
      </c>
      <c r="AD45" s="50"/>
    </row>
    <row r="46" spans="2:30" x14ac:dyDescent="0.25">
      <c r="AD46" s="49"/>
    </row>
    <row r="47" spans="2:30" x14ac:dyDescent="0.25">
      <c r="B47" s="10" t="s">
        <v>65</v>
      </c>
      <c r="C47" s="149">
        <v>710578</v>
      </c>
      <c r="D47" s="66">
        <f t="shared" ref="D47:AB47" si="45">C47*(1+$AE$7)*(1+$AE$6)</f>
        <v>714130.8899999999</v>
      </c>
      <c r="E47" s="66">
        <f t="shared" si="45"/>
        <v>717701.54444999981</v>
      </c>
      <c r="F47" s="66">
        <f t="shared" si="45"/>
        <v>721290.05217224977</v>
      </c>
      <c r="G47" s="66">
        <f t="shared" si="45"/>
        <v>724896.50243311096</v>
      </c>
      <c r="H47" s="66">
        <f t="shared" si="45"/>
        <v>728520.9849452764</v>
      </c>
      <c r="I47" s="66">
        <f t="shared" si="45"/>
        <v>732163.5898700027</v>
      </c>
      <c r="J47" s="66">
        <f t="shared" si="45"/>
        <v>735824.40781935269</v>
      </c>
      <c r="K47" s="66">
        <f t="shared" si="45"/>
        <v>739503.52985844936</v>
      </c>
      <c r="L47" s="66">
        <f t="shared" si="45"/>
        <v>743201.04750774149</v>
      </c>
      <c r="M47" s="66">
        <f t="shared" si="45"/>
        <v>746917.05274528009</v>
      </c>
      <c r="N47" s="66">
        <f t="shared" si="45"/>
        <v>750651.63800900639</v>
      </c>
      <c r="O47" s="66">
        <f t="shared" si="45"/>
        <v>754404.89619905129</v>
      </c>
      <c r="P47" s="66">
        <f t="shared" si="45"/>
        <v>758176.92068004643</v>
      </c>
      <c r="Q47" s="66">
        <f t="shared" si="45"/>
        <v>761967.80528344656</v>
      </c>
      <c r="R47" s="66">
        <f t="shared" si="45"/>
        <v>765777.64430986368</v>
      </c>
      <c r="S47" s="66">
        <f t="shared" si="45"/>
        <v>769606.5325314129</v>
      </c>
      <c r="T47" s="66">
        <f t="shared" si="45"/>
        <v>773454.56519406987</v>
      </c>
      <c r="U47" s="66">
        <f t="shared" si="45"/>
        <v>777321.83802004019</v>
      </c>
      <c r="V47" s="66">
        <f t="shared" si="45"/>
        <v>781208.44721014029</v>
      </c>
      <c r="W47" s="66">
        <f t="shared" si="45"/>
        <v>785114.48944619088</v>
      </c>
      <c r="X47" s="66">
        <f t="shared" si="45"/>
        <v>789040.06189342181</v>
      </c>
      <c r="Y47" s="66">
        <f t="shared" si="45"/>
        <v>792985.26220288884</v>
      </c>
      <c r="Z47" s="66">
        <f t="shared" si="45"/>
        <v>796950.18851390318</v>
      </c>
      <c r="AA47" s="66">
        <f t="shared" si="45"/>
        <v>800934.93945647264</v>
      </c>
      <c r="AB47" s="66">
        <f t="shared" si="45"/>
        <v>804939.6141537549</v>
      </c>
      <c r="AC47" s="18"/>
      <c r="AD47" s="49"/>
    </row>
    <row r="48" spans="2:30" ht="15" customHeight="1" x14ac:dyDescent="0.25">
      <c r="B48" s="150" t="s">
        <v>61</v>
      </c>
      <c r="C48" s="149">
        <f>C7</f>
        <v>685593</v>
      </c>
      <c r="D48" s="66">
        <f t="shared" ref="D48:AB48" si="46">+D7</f>
        <v>689020.96499999997</v>
      </c>
      <c r="E48" s="66">
        <f t="shared" si="46"/>
        <v>692466.0698249999</v>
      </c>
      <c r="F48" s="66">
        <f t="shared" si="46"/>
        <v>695928.40017412486</v>
      </c>
      <c r="G48" s="66">
        <f t="shared" si="46"/>
        <v>699408.04217499541</v>
      </c>
      <c r="H48" s="66">
        <f t="shared" si="46"/>
        <v>702905.08238587028</v>
      </c>
      <c r="I48" s="66">
        <f t="shared" si="46"/>
        <v>706419.60779779952</v>
      </c>
      <c r="J48" s="66">
        <f t="shared" si="46"/>
        <v>709951.7058367884</v>
      </c>
      <c r="K48" s="66">
        <f t="shared" si="46"/>
        <v>713501.46436597232</v>
      </c>
      <c r="L48" s="66">
        <f t="shared" si="46"/>
        <v>717068.97168780211</v>
      </c>
      <c r="M48" s="66">
        <f t="shared" si="46"/>
        <v>720654.31654624105</v>
      </c>
      <c r="N48" s="66">
        <f t="shared" si="46"/>
        <v>724257.58812897222</v>
      </c>
      <c r="O48" s="66">
        <f t="shared" si="46"/>
        <v>727878.87606961699</v>
      </c>
      <c r="P48" s="66">
        <f t="shared" si="46"/>
        <v>731518.27044996503</v>
      </c>
      <c r="Q48" s="66">
        <f t="shared" si="46"/>
        <v>735175.86180221476</v>
      </c>
      <c r="R48" s="66">
        <f t="shared" si="46"/>
        <v>738851.7411112258</v>
      </c>
      <c r="S48" s="66">
        <f t="shared" si="46"/>
        <v>742545.99981678184</v>
      </c>
      <c r="T48" s="66">
        <f t="shared" si="46"/>
        <v>746258.72981586563</v>
      </c>
      <c r="U48" s="66">
        <f t="shared" si="46"/>
        <v>749990.02346494491</v>
      </c>
      <c r="V48" s="66">
        <f t="shared" si="46"/>
        <v>753739.97358226951</v>
      </c>
      <c r="W48" s="66">
        <f t="shared" si="46"/>
        <v>757508.6734501808</v>
      </c>
      <c r="X48" s="66">
        <f t="shared" si="46"/>
        <v>761296.21681743162</v>
      </c>
      <c r="Y48" s="66">
        <f t="shared" si="46"/>
        <v>765102.69790151867</v>
      </c>
      <c r="Z48" s="66">
        <f t="shared" si="46"/>
        <v>768928.21139102615</v>
      </c>
      <c r="AA48" s="66">
        <f t="shared" si="46"/>
        <v>772772.85244798125</v>
      </c>
      <c r="AB48" s="66">
        <f t="shared" si="46"/>
        <v>776636.71671022102</v>
      </c>
      <c r="AD48" s="49"/>
    </row>
    <row r="49" spans="2:31" x14ac:dyDescent="0.25">
      <c r="B49" s="150" t="s">
        <v>24</v>
      </c>
      <c r="C49" s="149">
        <v>937189</v>
      </c>
      <c r="D49" s="66">
        <f>D47/D50</f>
        <v>939526.12967581034</v>
      </c>
      <c r="E49" s="66">
        <f t="shared" ref="E49:W49" si="47">E47/E50</f>
        <v>941869.08760517638</v>
      </c>
      <c r="F49" s="66">
        <f t="shared" si="47"/>
        <v>944217.8883223962</v>
      </c>
      <c r="G49" s="66">
        <f t="shared" si="47"/>
        <v>946572.54639801313</v>
      </c>
      <c r="H49" s="66">
        <f t="shared" si="47"/>
        <v>948933.0764389059</v>
      </c>
      <c r="I49" s="66">
        <f t="shared" si="47"/>
        <v>951299.49308837939</v>
      </c>
      <c r="J49" s="66">
        <f t="shared" si="47"/>
        <v>953671.8110262556</v>
      </c>
      <c r="K49" s="66">
        <f t="shared" si="47"/>
        <v>956050.04496896442</v>
      </c>
      <c r="L49" s="66">
        <f t="shared" si="47"/>
        <v>958434.20966963505</v>
      </c>
      <c r="M49" s="66">
        <f t="shared" si="47"/>
        <v>960824.31991818768</v>
      </c>
      <c r="N49" s="66">
        <f t="shared" si="47"/>
        <v>963220.39054142486</v>
      </c>
      <c r="O49" s="66">
        <f t="shared" si="47"/>
        <v>965622.43640312413</v>
      </c>
      <c r="P49" s="66">
        <f t="shared" si="47"/>
        <v>968030.47240412934</v>
      </c>
      <c r="Q49" s="66">
        <f t="shared" si="47"/>
        <v>970444.51348244376</v>
      </c>
      <c r="R49" s="66">
        <f t="shared" si="47"/>
        <v>972864.57461332262</v>
      </c>
      <c r="S49" s="66">
        <f t="shared" si="47"/>
        <v>975290.67080936569</v>
      </c>
      <c r="T49" s="66">
        <f t="shared" si="47"/>
        <v>977722.81712061097</v>
      </c>
      <c r="U49" s="66">
        <f t="shared" si="47"/>
        <v>980161.02863462735</v>
      </c>
      <c r="V49" s="66">
        <f t="shared" si="47"/>
        <v>982605.32047660893</v>
      </c>
      <c r="W49" s="66">
        <f t="shared" si="47"/>
        <v>985055.70780946815</v>
      </c>
      <c r="X49" s="66">
        <f t="shared" ref="X49:AA49" si="48">X47/X50</f>
        <v>987512.20583393064</v>
      </c>
      <c r="Y49" s="66">
        <f t="shared" si="48"/>
        <v>989974.82978862873</v>
      </c>
      <c r="Z49" s="66">
        <f t="shared" si="48"/>
        <v>992443.59495019633</v>
      </c>
      <c r="AA49" s="66">
        <f t="shared" si="48"/>
        <v>994918.51663336391</v>
      </c>
      <c r="AB49" s="147">
        <f t="shared" ref="AB49" si="49">AB47/AB50</f>
        <v>997399.6101910529</v>
      </c>
      <c r="AD49" s="49"/>
    </row>
    <row r="50" spans="2:31" x14ac:dyDescent="0.25">
      <c r="B50" s="150" t="s">
        <v>25</v>
      </c>
      <c r="C50" s="151">
        <f>+C47/C49</f>
        <v>0.75820138734022702</v>
      </c>
      <c r="D50" s="152">
        <f>C50*1.0025</f>
        <v>0.76009689080857756</v>
      </c>
      <c r="E50" s="152">
        <f t="shared" ref="E50:V50" si="50">D50*1.0025</f>
        <v>0.76199713303559902</v>
      </c>
      <c r="F50" s="152">
        <f t="shared" si="50"/>
        <v>0.76390212586818795</v>
      </c>
      <c r="G50" s="152">
        <f t="shared" si="50"/>
        <v>0.76581188118285837</v>
      </c>
      <c r="H50" s="152">
        <f t="shared" si="50"/>
        <v>0.7677264108858155</v>
      </c>
      <c r="I50" s="152">
        <f t="shared" si="50"/>
        <v>0.76964572691303001</v>
      </c>
      <c r="J50" s="152">
        <f t="shared" si="50"/>
        <v>0.77156984123031258</v>
      </c>
      <c r="K50" s="152">
        <f t="shared" si="50"/>
        <v>0.77349876583338828</v>
      </c>
      <c r="L50" s="152">
        <f t="shared" si="50"/>
        <v>0.77543251274797176</v>
      </c>
      <c r="M50" s="152">
        <f t="shared" si="50"/>
        <v>0.77737109402984161</v>
      </c>
      <c r="N50" s="152">
        <f t="shared" si="50"/>
        <v>0.77931452176491622</v>
      </c>
      <c r="O50" s="152">
        <f t="shared" si="50"/>
        <v>0.78126280806932846</v>
      </c>
      <c r="P50" s="152">
        <f t="shared" si="50"/>
        <v>0.78321596508950175</v>
      </c>
      <c r="Q50" s="152">
        <f t="shared" si="50"/>
        <v>0.78517400500222545</v>
      </c>
      <c r="R50" s="152">
        <f t="shared" si="50"/>
        <v>0.787136940014731</v>
      </c>
      <c r="S50" s="152">
        <f t="shared" si="50"/>
        <v>0.78910478236476778</v>
      </c>
      <c r="T50" s="152">
        <f t="shared" si="50"/>
        <v>0.79107754432067967</v>
      </c>
      <c r="U50" s="152">
        <f t="shared" si="50"/>
        <v>0.79305523818148138</v>
      </c>
      <c r="V50" s="152">
        <f t="shared" si="50"/>
        <v>0.79503787627693501</v>
      </c>
      <c r="W50" s="152">
        <f>V50*1.0025</f>
        <v>0.79702547096762733</v>
      </c>
      <c r="X50" s="152">
        <f t="shared" ref="X50:AA50" si="51">W50*1.0025</f>
        <v>0.79901803464504639</v>
      </c>
      <c r="Y50" s="152">
        <f t="shared" si="51"/>
        <v>0.80101557973165893</v>
      </c>
      <c r="Z50" s="152">
        <f t="shared" si="51"/>
        <v>0.80301811868098805</v>
      </c>
      <c r="AA50" s="152">
        <f t="shared" si="51"/>
        <v>0.80502566397769049</v>
      </c>
      <c r="AB50" s="148">
        <f t="shared" ref="AB50" si="52">AA50*1.0025</f>
        <v>0.80703822813763471</v>
      </c>
    </row>
    <row r="51" spans="2:31" x14ac:dyDescent="0.25">
      <c r="B51" s="150" t="s">
        <v>75</v>
      </c>
      <c r="C51" s="153">
        <f>+C10/C7</f>
        <v>1.9467701683068526</v>
      </c>
      <c r="D51" s="154">
        <f>C51*(1+D52)</f>
        <v>2.1731795388809396</v>
      </c>
      <c r="E51" s="154">
        <f>D51*(1+E52)</f>
        <v>2.4259203192527932</v>
      </c>
      <c r="F51" s="154">
        <f t="shared" ref="F51:W51" si="53">E51*(1+F52)</f>
        <v>2.7422603288833574</v>
      </c>
      <c r="G51" s="154">
        <f t="shared" si="53"/>
        <v>2.7809261995206125</v>
      </c>
      <c r="H51" s="154">
        <f t="shared" si="53"/>
        <v>2.8201372589338529</v>
      </c>
      <c r="I51" s="154">
        <f t="shared" si="53"/>
        <v>2.85990119428482</v>
      </c>
      <c r="J51" s="154">
        <f t="shared" si="53"/>
        <v>2.9002258011242361</v>
      </c>
      <c r="K51" s="154">
        <f t="shared" si="53"/>
        <v>2.9411189849200881</v>
      </c>
      <c r="L51" s="154">
        <f t="shared" si="53"/>
        <v>2.9825887626074614</v>
      </c>
      <c r="M51" s="154">
        <f t="shared" si="53"/>
        <v>3.0246432641602268</v>
      </c>
      <c r="N51" s="154">
        <f t="shared" si="53"/>
        <v>3.0672907341848861</v>
      </c>
      <c r="O51" s="154">
        <f t="shared" si="53"/>
        <v>3.1105395335368931</v>
      </c>
      <c r="P51" s="154">
        <f t="shared" si="53"/>
        <v>3.1543981409597635</v>
      </c>
      <c r="Q51" s="154">
        <f t="shared" si="53"/>
        <v>3.198875154747296</v>
      </c>
      <c r="R51" s="154">
        <f t="shared" si="53"/>
        <v>3.2439792944292329</v>
      </c>
      <c r="S51" s="154">
        <f t="shared" si="53"/>
        <v>3.2897194024806851</v>
      </c>
      <c r="T51" s="154">
        <f t="shared" si="53"/>
        <v>3.3361044460556628</v>
      </c>
      <c r="U51" s="154">
        <f t="shared" si="53"/>
        <v>3.3831435187450478</v>
      </c>
      <c r="V51" s="154">
        <f t="shared" si="53"/>
        <v>3.4308458423593531</v>
      </c>
      <c r="W51" s="154">
        <f t="shared" si="53"/>
        <v>3.4792207687366199</v>
      </c>
      <c r="X51" s="154">
        <f t="shared" ref="X51" si="54">W51*(1+X52)</f>
        <v>3.5282777815758064</v>
      </c>
      <c r="Y51" s="154">
        <f t="shared" ref="Y51" si="55">X51*(1+Y52)</f>
        <v>3.5780264982960253</v>
      </c>
      <c r="Z51" s="154">
        <f t="shared" ref="Z51" si="56">Y51*(1+Z52)</f>
        <v>3.6284766719219994</v>
      </c>
      <c r="AA51" s="154">
        <f t="shared" ref="AA51:AB51" si="57">Z51*(1+AA52)</f>
        <v>3.6796381929960997</v>
      </c>
      <c r="AB51" s="158">
        <f t="shared" si="57"/>
        <v>3.7315210915173447</v>
      </c>
      <c r="AC51" s="83">
        <f>AVERAGE(D51:AB51)</f>
        <v>3.1396383490044446</v>
      </c>
      <c r="AD51" s="143" t="s">
        <v>99</v>
      </c>
    </row>
    <row r="52" spans="2:31" x14ac:dyDescent="0.25">
      <c r="B52" s="155" t="s">
        <v>45</v>
      </c>
      <c r="C52" s="156"/>
      <c r="D52" s="157">
        <v>0.1163</v>
      </c>
      <c r="E52" s="157">
        <v>0.1163</v>
      </c>
      <c r="F52" s="157">
        <v>0.13039999999999999</v>
      </c>
      <c r="G52" s="180">
        <v>1.41E-2</v>
      </c>
      <c r="H52" s="180">
        <v>1.41E-2</v>
      </c>
      <c r="I52" s="180">
        <v>1.41E-2</v>
      </c>
      <c r="J52" s="180">
        <v>1.41E-2</v>
      </c>
      <c r="K52" s="180">
        <v>1.41E-2</v>
      </c>
      <c r="L52" s="180">
        <v>1.41E-2</v>
      </c>
      <c r="M52" s="180">
        <v>1.41E-2</v>
      </c>
      <c r="N52" s="180">
        <v>1.41E-2</v>
      </c>
      <c r="O52" s="180">
        <v>1.41E-2</v>
      </c>
      <c r="P52" s="180">
        <v>1.41E-2</v>
      </c>
      <c r="Q52" s="180">
        <v>1.41E-2</v>
      </c>
      <c r="R52" s="180">
        <v>1.41E-2</v>
      </c>
      <c r="S52" s="180">
        <v>1.41E-2</v>
      </c>
      <c r="T52" s="180">
        <v>1.41E-2</v>
      </c>
      <c r="U52" s="180">
        <v>1.41E-2</v>
      </c>
      <c r="V52" s="180">
        <v>1.41E-2</v>
      </c>
      <c r="W52" s="180">
        <v>1.41E-2</v>
      </c>
      <c r="X52" s="180">
        <v>1.41E-2</v>
      </c>
      <c r="Y52" s="180">
        <v>1.41E-2</v>
      </c>
      <c r="Z52" s="180">
        <v>1.41E-2</v>
      </c>
      <c r="AA52" s="180">
        <v>1.41E-2</v>
      </c>
      <c r="AB52" s="180">
        <v>1.41E-2</v>
      </c>
      <c r="AC52" s="84">
        <f>SUM(D52:W52)</f>
        <v>0.60270000000000001</v>
      </c>
    </row>
    <row r="53" spans="2:31" s="18" customFormat="1" ht="15" customHeigh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 s="88"/>
      <c r="AD53"/>
      <c r="AE53"/>
    </row>
    <row r="54" spans="2:31" ht="7.5" customHeight="1" x14ac:dyDescent="0.25">
      <c r="B54" s="89"/>
      <c r="C54" s="89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89"/>
      <c r="AD54" s="18"/>
      <c r="AE54" s="18"/>
    </row>
    <row r="55" spans="2:31" ht="15" customHeight="1" x14ac:dyDescent="0.25">
      <c r="B55" s="1" t="s">
        <v>81</v>
      </c>
      <c r="C55" s="8"/>
    </row>
    <row r="56" spans="2:31" ht="17.25" x14ac:dyDescent="0.25">
      <c r="B56" t="s">
        <v>26</v>
      </c>
      <c r="C56" s="9">
        <v>685593</v>
      </c>
      <c r="D56" s="74">
        <f t="shared" ref="D56:AB56" si="58">+C56*(1+$AE$7)*(1+$AE$6)</f>
        <v>689020.96499999997</v>
      </c>
      <c r="E56" s="74">
        <f t="shared" si="58"/>
        <v>692466.0698249999</v>
      </c>
      <c r="F56" s="74">
        <f t="shared" si="58"/>
        <v>695928.40017412486</v>
      </c>
      <c r="G56" s="74">
        <f t="shared" si="58"/>
        <v>699408.04217499541</v>
      </c>
      <c r="H56" s="74">
        <f t="shared" si="58"/>
        <v>702905.08238587028</v>
      </c>
      <c r="I56" s="74">
        <f t="shared" si="58"/>
        <v>706419.60779779952</v>
      </c>
      <c r="J56" s="74">
        <f t="shared" si="58"/>
        <v>709951.7058367884</v>
      </c>
      <c r="K56" s="74">
        <f t="shared" si="58"/>
        <v>713501.46436597232</v>
      </c>
      <c r="L56" s="74">
        <f t="shared" si="58"/>
        <v>717068.97168780211</v>
      </c>
      <c r="M56" s="74">
        <f t="shared" si="58"/>
        <v>720654.31654624105</v>
      </c>
      <c r="N56" s="74">
        <f t="shared" si="58"/>
        <v>724257.58812897222</v>
      </c>
      <c r="O56" s="74">
        <f t="shared" si="58"/>
        <v>727878.87606961699</v>
      </c>
      <c r="P56" s="74">
        <f t="shared" si="58"/>
        <v>731518.27044996503</v>
      </c>
      <c r="Q56" s="74">
        <f t="shared" si="58"/>
        <v>735175.86180221476</v>
      </c>
      <c r="R56" s="74">
        <f t="shared" si="58"/>
        <v>738851.7411112258</v>
      </c>
      <c r="S56" s="74">
        <f t="shared" si="58"/>
        <v>742545.99981678184</v>
      </c>
      <c r="T56" s="74">
        <f t="shared" si="58"/>
        <v>746258.72981586563</v>
      </c>
      <c r="U56" s="74">
        <f t="shared" si="58"/>
        <v>749990.02346494491</v>
      </c>
      <c r="V56" s="74">
        <f t="shared" si="58"/>
        <v>753739.97358226951</v>
      </c>
      <c r="W56" s="74">
        <f t="shared" si="58"/>
        <v>757508.6734501808</v>
      </c>
      <c r="X56" s="74">
        <f t="shared" si="58"/>
        <v>761296.21681743162</v>
      </c>
      <c r="Y56" s="74">
        <f t="shared" si="58"/>
        <v>765102.69790151867</v>
      </c>
      <c r="Z56" s="74">
        <f t="shared" si="58"/>
        <v>768928.21139102615</v>
      </c>
      <c r="AA56" s="74">
        <f t="shared" si="58"/>
        <v>772772.85244798125</v>
      </c>
      <c r="AB56" s="74">
        <f t="shared" si="58"/>
        <v>776636.71671022102</v>
      </c>
    </row>
    <row r="57" spans="2:31" x14ac:dyDescent="0.25">
      <c r="B57" t="s">
        <v>80</v>
      </c>
      <c r="C57" s="9">
        <v>4653</v>
      </c>
      <c r="D57" s="74">
        <f t="shared" ref="D57:AB57" si="59">+C57*(1+$AE$7)</f>
        <v>4676.2649999999994</v>
      </c>
      <c r="E57" s="74">
        <f t="shared" si="59"/>
        <v>4699.6463249999988</v>
      </c>
      <c r="F57" s="74">
        <f t="shared" si="59"/>
        <v>4723.1445566249986</v>
      </c>
      <c r="G57" s="74">
        <f t="shared" si="59"/>
        <v>4746.7602794081231</v>
      </c>
      <c r="H57" s="74">
        <f t="shared" si="59"/>
        <v>4770.4940808051633</v>
      </c>
      <c r="I57" s="74">
        <f t="shared" si="59"/>
        <v>4794.3465512091889</v>
      </c>
      <c r="J57" s="74">
        <f t="shared" si="59"/>
        <v>4818.3182839652345</v>
      </c>
      <c r="K57" s="74">
        <f t="shared" si="59"/>
        <v>4842.4098753850603</v>
      </c>
      <c r="L57" s="74">
        <f t="shared" si="59"/>
        <v>4866.6219247619847</v>
      </c>
      <c r="M57" s="74">
        <f t="shared" si="59"/>
        <v>4890.9550343857945</v>
      </c>
      <c r="N57" s="74">
        <f t="shared" si="59"/>
        <v>4915.4098095577228</v>
      </c>
      <c r="O57" s="74">
        <f t="shared" si="59"/>
        <v>4939.9868586055109</v>
      </c>
      <c r="P57" s="74">
        <f t="shared" si="59"/>
        <v>4964.6867928985375</v>
      </c>
      <c r="Q57" s="74">
        <f t="shared" si="59"/>
        <v>4989.5102268630299</v>
      </c>
      <c r="R57" s="74">
        <f t="shared" si="59"/>
        <v>5014.4577779973442</v>
      </c>
      <c r="S57" s="74">
        <f t="shared" si="59"/>
        <v>5039.5300668873306</v>
      </c>
      <c r="T57" s="74">
        <f t="shared" si="59"/>
        <v>5064.7277172217664</v>
      </c>
      <c r="U57" s="74">
        <f t="shared" si="59"/>
        <v>5090.0513558078746</v>
      </c>
      <c r="V57" s="74">
        <f t="shared" si="59"/>
        <v>5115.5016125869133</v>
      </c>
      <c r="W57" s="74">
        <f t="shared" si="59"/>
        <v>5141.079120649847</v>
      </c>
      <c r="X57" s="74">
        <f t="shared" si="59"/>
        <v>5166.7845162530957</v>
      </c>
      <c r="Y57" s="74">
        <f t="shared" si="59"/>
        <v>5192.6184388343609</v>
      </c>
      <c r="Z57" s="74">
        <f t="shared" si="59"/>
        <v>5218.5815310285325</v>
      </c>
      <c r="AA57" s="74">
        <f t="shared" si="59"/>
        <v>5244.6744386836745</v>
      </c>
      <c r="AB57" s="74">
        <f t="shared" si="59"/>
        <v>5270.8978108770925</v>
      </c>
    </row>
    <row r="58" spans="2:31" x14ac:dyDescent="0.25">
      <c r="B58" s="1" t="s">
        <v>82</v>
      </c>
      <c r="C58" s="9"/>
    </row>
    <row r="59" spans="2:31" x14ac:dyDescent="0.25">
      <c r="B59" t="s">
        <v>83</v>
      </c>
      <c r="C59" s="9"/>
      <c r="D59" s="66">
        <f>+D74*D56</f>
        <v>69367.950879999989</v>
      </c>
      <c r="E59" s="66">
        <f t="shared" ref="E59:AB59" si="60">+D59*(1+$AE$7)*(1+$AE$6)*(1+E76)</f>
        <v>134645.82055166666</v>
      </c>
      <c r="F59" s="66">
        <f t="shared" si="60"/>
        <v>200402.63483927533</v>
      </c>
      <c r="G59" s="66">
        <f t="shared" si="60"/>
        <v>266737.91470198281</v>
      </c>
      <c r="H59" s="66">
        <f t="shared" si="60"/>
        <v>333768.0641188029</v>
      </c>
      <c r="I59" s="66">
        <f t="shared" si="60"/>
        <v>401630.01326657541</v>
      </c>
      <c r="J59" s="66">
        <f t="shared" si="60"/>
        <v>470485.86251961102</v>
      </c>
      <c r="K59" s="66">
        <f t="shared" si="60"/>
        <v>540528.87023171096</v>
      </c>
      <c r="L59" s="66">
        <f t="shared" si="60"/>
        <v>611991.27123139263</v>
      </c>
      <c r="M59" s="66">
        <f t="shared" si="60"/>
        <v>685154.62994798599</v>
      </c>
      <c r="N59" s="66">
        <f t="shared" si="60"/>
        <v>670979.01691457932</v>
      </c>
      <c r="O59" s="66">
        <f t="shared" si="60"/>
        <v>656803.40388117277</v>
      </c>
      <c r="P59" s="66">
        <f t="shared" si="60"/>
        <v>642627.79084776621</v>
      </c>
      <c r="Q59" s="66">
        <f t="shared" si="60"/>
        <v>628452.17781435966</v>
      </c>
      <c r="R59" s="66">
        <f t="shared" si="60"/>
        <v>614276.56478095299</v>
      </c>
      <c r="S59" s="66">
        <f t="shared" si="60"/>
        <v>600100.95174754644</v>
      </c>
      <c r="T59" s="66">
        <f t="shared" si="60"/>
        <v>585925.33871413989</v>
      </c>
      <c r="U59" s="66">
        <f t="shared" si="60"/>
        <v>571749.72568073322</v>
      </c>
      <c r="V59" s="66">
        <f t="shared" si="60"/>
        <v>557574.11264732666</v>
      </c>
      <c r="W59" s="66">
        <f t="shared" si="60"/>
        <v>543398.49961391999</v>
      </c>
      <c r="X59" s="66">
        <f t="shared" si="60"/>
        <v>529222.88658051332</v>
      </c>
      <c r="Y59" s="66">
        <f t="shared" si="60"/>
        <v>515047.27354710671</v>
      </c>
      <c r="Z59" s="66">
        <f t="shared" si="60"/>
        <v>500871.66051370016</v>
      </c>
      <c r="AA59" s="66">
        <f t="shared" si="60"/>
        <v>486696.04748029355</v>
      </c>
      <c r="AB59" s="66">
        <f t="shared" si="60"/>
        <v>472520.43444688705</v>
      </c>
    </row>
    <row r="60" spans="2:31" ht="15.75" thickBot="1" x14ac:dyDescent="0.3">
      <c r="C60" s="9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</row>
    <row r="61" spans="2:31" ht="15.75" thickBot="1" x14ac:dyDescent="0.3">
      <c r="B61" s="63" t="s">
        <v>87</v>
      </c>
      <c r="C61" s="65"/>
      <c r="D61" s="70">
        <f>SUM(D59:D60)</f>
        <v>69367.950879999989</v>
      </c>
      <c r="E61" s="70">
        <f t="shared" ref="E61:W61" si="61">SUM(E59:E60)</f>
        <v>134645.82055166666</v>
      </c>
      <c r="F61" s="70">
        <f t="shared" si="61"/>
        <v>200402.63483927533</v>
      </c>
      <c r="G61" s="70">
        <f t="shared" si="61"/>
        <v>266737.91470198281</v>
      </c>
      <c r="H61" s="70">
        <f t="shared" si="61"/>
        <v>333768.0641188029</v>
      </c>
      <c r="I61" s="70">
        <f t="shared" si="61"/>
        <v>401630.01326657541</v>
      </c>
      <c r="J61" s="70">
        <f t="shared" si="61"/>
        <v>470485.86251961102</v>
      </c>
      <c r="K61" s="70">
        <f t="shared" si="61"/>
        <v>540528.87023171096</v>
      </c>
      <c r="L61" s="70">
        <f t="shared" si="61"/>
        <v>611991.27123139263</v>
      </c>
      <c r="M61" s="70">
        <f t="shared" si="61"/>
        <v>685154.62994798599</v>
      </c>
      <c r="N61" s="70">
        <f t="shared" si="61"/>
        <v>670979.01691457932</v>
      </c>
      <c r="O61" s="70">
        <f t="shared" si="61"/>
        <v>656803.40388117277</v>
      </c>
      <c r="P61" s="70">
        <f t="shared" si="61"/>
        <v>642627.79084776621</v>
      </c>
      <c r="Q61" s="70">
        <f t="shared" si="61"/>
        <v>628452.17781435966</v>
      </c>
      <c r="R61" s="70">
        <f t="shared" si="61"/>
        <v>614276.56478095299</v>
      </c>
      <c r="S61" s="70">
        <f t="shared" si="61"/>
        <v>600100.95174754644</v>
      </c>
      <c r="T61" s="70">
        <f t="shared" si="61"/>
        <v>585925.33871413989</v>
      </c>
      <c r="U61" s="70">
        <f t="shared" si="61"/>
        <v>571749.72568073322</v>
      </c>
      <c r="V61" s="70">
        <f t="shared" si="61"/>
        <v>557574.11264732666</v>
      </c>
      <c r="W61" s="94">
        <f t="shared" si="61"/>
        <v>543398.49961391999</v>
      </c>
      <c r="X61" s="94">
        <f t="shared" ref="X61:AA61" si="62">SUM(X59:X60)</f>
        <v>529222.88658051332</v>
      </c>
      <c r="Y61" s="94">
        <f t="shared" si="62"/>
        <v>515047.27354710671</v>
      </c>
      <c r="Z61" s="94">
        <f t="shared" si="62"/>
        <v>500871.66051370016</v>
      </c>
      <c r="AA61" s="94">
        <f t="shared" si="62"/>
        <v>486696.04748029355</v>
      </c>
      <c r="AB61" s="94">
        <f t="shared" ref="AB61" si="63">SUM(AB59:AB60)</f>
        <v>472520.43444688705</v>
      </c>
      <c r="AC61" s="79">
        <f>SUM(D61:AB61)</f>
        <v>12290958.917500004</v>
      </c>
    </row>
    <row r="62" spans="2:31" x14ac:dyDescent="0.25">
      <c r="B62" s="1"/>
      <c r="C62" s="9"/>
      <c r="W62" s="45"/>
      <c r="X62" s="45"/>
      <c r="Y62" s="45"/>
      <c r="Z62" s="45"/>
      <c r="AA62" s="45"/>
      <c r="AB62" s="45"/>
      <c r="AC62" s="2"/>
    </row>
    <row r="63" spans="2:31" x14ac:dyDescent="0.25">
      <c r="B63" t="s">
        <v>111</v>
      </c>
      <c r="C63" s="8"/>
    </row>
    <row r="64" spans="2:31" x14ac:dyDescent="0.25">
      <c r="B64" t="s">
        <v>19</v>
      </c>
      <c r="C64" s="8"/>
      <c r="D64" s="10">
        <f>+D81</f>
        <v>1008255.1</v>
      </c>
      <c r="E64" s="10">
        <f t="shared" ref="E64:AB64" si="64">+E81</f>
        <v>944205.1</v>
      </c>
      <c r="F64" s="10">
        <f t="shared" si="64"/>
        <v>944205.1</v>
      </c>
      <c r="G64" s="10">
        <f t="shared" si="64"/>
        <v>944205.1</v>
      </c>
      <c r="H64" s="10">
        <f t="shared" si="64"/>
        <v>944205.1</v>
      </c>
      <c r="I64" s="10">
        <f t="shared" si="64"/>
        <v>944205.1</v>
      </c>
      <c r="J64" s="10">
        <f t="shared" si="64"/>
        <v>944205.1</v>
      </c>
      <c r="K64" s="10">
        <f t="shared" si="64"/>
        <v>944205.1</v>
      </c>
      <c r="L64" s="10">
        <f t="shared" si="64"/>
        <v>944205.1</v>
      </c>
      <c r="M64" s="10">
        <f t="shared" si="64"/>
        <v>944205.1</v>
      </c>
      <c r="N64" s="10">
        <f t="shared" si="64"/>
        <v>0</v>
      </c>
      <c r="O64" s="10">
        <f t="shared" si="64"/>
        <v>0</v>
      </c>
      <c r="P64" s="10">
        <f t="shared" si="64"/>
        <v>0</v>
      </c>
      <c r="Q64" s="10">
        <f t="shared" si="64"/>
        <v>0</v>
      </c>
      <c r="R64" s="10">
        <f t="shared" si="64"/>
        <v>0</v>
      </c>
      <c r="S64" s="10">
        <f t="shared" si="64"/>
        <v>0</v>
      </c>
      <c r="T64" s="10">
        <f t="shared" si="64"/>
        <v>0</v>
      </c>
      <c r="U64" s="10">
        <f t="shared" si="64"/>
        <v>0</v>
      </c>
      <c r="V64" s="10">
        <f t="shared" si="64"/>
        <v>0</v>
      </c>
      <c r="W64" s="10">
        <f t="shared" si="64"/>
        <v>0</v>
      </c>
      <c r="X64" s="10">
        <f t="shared" si="64"/>
        <v>0</v>
      </c>
      <c r="Y64" s="10">
        <f t="shared" si="64"/>
        <v>0</v>
      </c>
      <c r="Z64" s="10">
        <f t="shared" si="64"/>
        <v>0</v>
      </c>
      <c r="AA64" s="10">
        <f t="shared" si="64"/>
        <v>0</v>
      </c>
      <c r="AB64" s="10">
        <f t="shared" si="64"/>
        <v>0</v>
      </c>
      <c r="AC64" s="82">
        <f>SUM(D64:AB64)</f>
        <v>9506100.9999999981</v>
      </c>
    </row>
    <row r="65" spans="2:30" x14ac:dyDescent="0.25">
      <c r="B65" t="s">
        <v>20</v>
      </c>
      <c r="C65" s="8"/>
      <c r="D65" s="10">
        <f>+D64</f>
        <v>1008255.1</v>
      </c>
      <c r="E65" s="10">
        <f>+D65+E64</f>
        <v>1952460.2</v>
      </c>
      <c r="F65" s="10">
        <f t="shared" ref="F65:W65" si="65">+E65+F64</f>
        <v>2896665.3</v>
      </c>
      <c r="G65" s="10">
        <f t="shared" si="65"/>
        <v>3840870.3999999999</v>
      </c>
      <c r="H65" s="10">
        <f t="shared" si="65"/>
        <v>4785075.5</v>
      </c>
      <c r="I65" s="10">
        <f t="shared" si="65"/>
        <v>5729280.5999999996</v>
      </c>
      <c r="J65" s="10">
        <f t="shared" si="65"/>
        <v>6673485.6999999993</v>
      </c>
      <c r="K65" s="10">
        <f t="shared" si="65"/>
        <v>7617690.7999999989</v>
      </c>
      <c r="L65" s="10">
        <f t="shared" si="65"/>
        <v>8561895.8999999985</v>
      </c>
      <c r="M65" s="10">
        <f t="shared" si="65"/>
        <v>9506100.9999999981</v>
      </c>
      <c r="N65" s="10">
        <f t="shared" si="65"/>
        <v>9506100.9999999981</v>
      </c>
      <c r="O65" s="10">
        <f t="shared" si="65"/>
        <v>9506100.9999999981</v>
      </c>
      <c r="P65" s="10">
        <f t="shared" si="65"/>
        <v>9506100.9999999981</v>
      </c>
      <c r="Q65" s="10">
        <f t="shared" si="65"/>
        <v>9506100.9999999981</v>
      </c>
      <c r="R65" s="10">
        <f t="shared" si="65"/>
        <v>9506100.9999999981</v>
      </c>
      <c r="S65" s="10">
        <f t="shared" si="65"/>
        <v>9506100.9999999981</v>
      </c>
      <c r="T65" s="10">
        <f t="shared" si="65"/>
        <v>9506100.9999999981</v>
      </c>
      <c r="U65" s="10">
        <f t="shared" si="65"/>
        <v>9506100.9999999981</v>
      </c>
      <c r="V65" s="10">
        <f t="shared" si="65"/>
        <v>9506100.9999999981</v>
      </c>
      <c r="W65" s="10">
        <f t="shared" si="65"/>
        <v>9506100.9999999981</v>
      </c>
      <c r="X65" s="10">
        <f t="shared" ref="X65" si="66">+W65+X64</f>
        <v>9506100.9999999981</v>
      </c>
      <c r="Y65" s="10">
        <f t="shared" ref="Y65" si="67">+X65+Y64</f>
        <v>9506100.9999999981</v>
      </c>
      <c r="Z65" s="10">
        <f t="shared" ref="Z65" si="68">+Y65+Z64</f>
        <v>9506100.9999999981</v>
      </c>
      <c r="AA65" s="10">
        <f t="shared" ref="AA65:AB65" si="69">+Z65+AA64</f>
        <v>9506100.9999999981</v>
      </c>
      <c r="AB65" s="10">
        <f t="shared" si="69"/>
        <v>9506100.9999999981</v>
      </c>
    </row>
    <row r="66" spans="2:30" x14ac:dyDescent="0.25">
      <c r="B66" t="s">
        <v>21</v>
      </c>
      <c r="C66" s="8"/>
      <c r="D66" s="159">
        <f>+D64/D3</f>
        <v>40330.203999999998</v>
      </c>
      <c r="E66" s="160">
        <f>+((E64)/E3)+(D68/E3)</f>
        <v>79672.083166666664</v>
      </c>
      <c r="F66" s="160">
        <f t="shared" ref="F66:AB66" si="70">+F64/F3+(E66)</f>
        <v>120724.47881884058</v>
      </c>
      <c r="G66" s="160">
        <f t="shared" si="70"/>
        <v>163642.89245520422</v>
      </c>
      <c r="H66" s="160">
        <f t="shared" si="70"/>
        <v>208605.04007425182</v>
      </c>
      <c r="I66" s="160">
        <f t="shared" si="70"/>
        <v>255815.29507425183</v>
      </c>
      <c r="J66" s="160">
        <f t="shared" si="70"/>
        <v>305510.30033740972</v>
      </c>
      <c r="K66" s="160">
        <f t="shared" si="70"/>
        <v>357966.1392262986</v>
      </c>
      <c r="L66" s="160">
        <f t="shared" si="70"/>
        <v>413507.61569688685</v>
      </c>
      <c r="M66" s="160">
        <f t="shared" si="70"/>
        <v>472520.43444688682</v>
      </c>
      <c r="N66" s="160">
        <f t="shared" si="70"/>
        <v>472520.43444688682</v>
      </c>
      <c r="O66" s="160">
        <f t="shared" si="70"/>
        <v>472520.43444688682</v>
      </c>
      <c r="P66" s="160">
        <f t="shared" si="70"/>
        <v>472520.43444688682</v>
      </c>
      <c r="Q66" s="160">
        <f t="shared" si="70"/>
        <v>472520.43444688682</v>
      </c>
      <c r="R66" s="160">
        <f t="shared" si="70"/>
        <v>472520.43444688682</v>
      </c>
      <c r="S66" s="160">
        <f t="shared" si="70"/>
        <v>472520.43444688682</v>
      </c>
      <c r="T66" s="160">
        <f t="shared" si="70"/>
        <v>472520.43444688682</v>
      </c>
      <c r="U66" s="160">
        <f t="shared" si="70"/>
        <v>472520.43444688682</v>
      </c>
      <c r="V66" s="160">
        <f t="shared" si="70"/>
        <v>472520.43444688682</v>
      </c>
      <c r="W66" s="160">
        <f t="shared" si="70"/>
        <v>472520.43444688682</v>
      </c>
      <c r="X66" s="160">
        <f t="shared" si="70"/>
        <v>472520.43444688682</v>
      </c>
      <c r="Y66" s="160">
        <f t="shared" si="70"/>
        <v>472520.43444688682</v>
      </c>
      <c r="Z66" s="160">
        <f t="shared" si="70"/>
        <v>472520.43444688682</v>
      </c>
      <c r="AA66" s="160">
        <f t="shared" si="70"/>
        <v>472520.43444688682</v>
      </c>
      <c r="AB66" s="165">
        <f t="shared" si="70"/>
        <v>472520.43444688682</v>
      </c>
      <c r="AC66" s="82">
        <f>SUM(D66:AB66)</f>
        <v>9506101</v>
      </c>
    </row>
    <row r="67" spans="2:30" x14ac:dyDescent="0.25">
      <c r="B67" t="s">
        <v>22</v>
      </c>
      <c r="C67" s="8"/>
      <c r="D67" s="10">
        <f>+D66</f>
        <v>40330.203999999998</v>
      </c>
      <c r="E67" s="10">
        <f>+D67+E66</f>
        <v>120002.28716666666</v>
      </c>
      <c r="F67" s="10">
        <f t="shared" ref="F67:W67" si="71">+E67+F66</f>
        <v>240726.76598550723</v>
      </c>
      <c r="G67" s="10">
        <f t="shared" si="71"/>
        <v>404369.65844071144</v>
      </c>
      <c r="H67" s="10">
        <f t="shared" si="71"/>
        <v>612974.69851496327</v>
      </c>
      <c r="I67" s="10">
        <f t="shared" si="71"/>
        <v>868789.9935892151</v>
      </c>
      <c r="J67" s="10">
        <f t="shared" si="71"/>
        <v>1174300.2939266248</v>
      </c>
      <c r="K67" s="10">
        <f t="shared" si="71"/>
        <v>1532266.4331529234</v>
      </c>
      <c r="L67" s="10">
        <f t="shared" si="71"/>
        <v>1945774.0488498101</v>
      </c>
      <c r="M67" s="10">
        <f t="shared" si="71"/>
        <v>2418294.483296697</v>
      </c>
      <c r="N67" s="10">
        <f t="shared" si="71"/>
        <v>2890814.9177435837</v>
      </c>
      <c r="O67" s="10">
        <f t="shared" si="71"/>
        <v>3363335.3521904703</v>
      </c>
      <c r="P67" s="10">
        <f t="shared" si="71"/>
        <v>3835855.786637357</v>
      </c>
      <c r="Q67" s="10">
        <f t="shared" si="71"/>
        <v>4308376.2210842436</v>
      </c>
      <c r="R67" s="10">
        <f t="shared" si="71"/>
        <v>4780896.6555311307</v>
      </c>
      <c r="S67" s="10">
        <f t="shared" si="71"/>
        <v>5253417.0899780178</v>
      </c>
      <c r="T67" s="10">
        <f t="shared" si="71"/>
        <v>5725937.524424905</v>
      </c>
      <c r="U67" s="10">
        <f t="shared" si="71"/>
        <v>6198457.9588717921</v>
      </c>
      <c r="V67" s="10">
        <f t="shared" si="71"/>
        <v>6670978.3933186792</v>
      </c>
      <c r="W67" s="10">
        <f t="shared" si="71"/>
        <v>7143498.8277655663</v>
      </c>
      <c r="X67" s="10">
        <f t="shared" ref="X67" si="72">+W67+X66</f>
        <v>7616019.2622124534</v>
      </c>
      <c r="Y67" s="10">
        <f t="shared" ref="Y67" si="73">+X67+Y66</f>
        <v>8088539.6966593405</v>
      </c>
      <c r="Z67" s="10">
        <f t="shared" ref="Z67" si="74">+Y67+Z66</f>
        <v>8561060.1311062276</v>
      </c>
      <c r="AA67" s="10">
        <f t="shared" ref="AA67:AB67" si="75">+Z67+AA66</f>
        <v>9033580.5655531138</v>
      </c>
      <c r="AB67" s="10">
        <f t="shared" si="75"/>
        <v>9506101</v>
      </c>
      <c r="AC67" s="162"/>
    </row>
    <row r="68" spans="2:30" x14ac:dyDescent="0.25">
      <c r="B68" t="s">
        <v>23</v>
      </c>
      <c r="C68" s="8"/>
      <c r="D68" s="10">
        <f>+D65-D67</f>
        <v>967924.89599999995</v>
      </c>
      <c r="E68" s="10">
        <f>+E65-E67</f>
        <v>1832457.9128333332</v>
      </c>
      <c r="F68" s="10">
        <f t="shared" ref="F68:W68" si="76">+F65-F67</f>
        <v>2655938.5340144928</v>
      </c>
      <c r="G68" s="10">
        <f t="shared" si="76"/>
        <v>3436500.7415592885</v>
      </c>
      <c r="H68" s="10">
        <f t="shared" si="76"/>
        <v>4172100.8014850365</v>
      </c>
      <c r="I68" s="10">
        <f t="shared" si="76"/>
        <v>4860490.6064107846</v>
      </c>
      <c r="J68" s="10">
        <f t="shared" si="76"/>
        <v>5499185.4060733747</v>
      </c>
      <c r="K68" s="10">
        <f t="shared" si="76"/>
        <v>6085424.3668470755</v>
      </c>
      <c r="L68" s="10">
        <f t="shared" si="76"/>
        <v>6616121.8511501886</v>
      </c>
      <c r="M68" s="10">
        <f t="shared" si="76"/>
        <v>7087806.5167033011</v>
      </c>
      <c r="N68" s="10">
        <f t="shared" si="76"/>
        <v>6615286.082256414</v>
      </c>
      <c r="O68" s="10">
        <f t="shared" si="76"/>
        <v>6142765.6478095278</v>
      </c>
      <c r="P68" s="10">
        <f t="shared" si="76"/>
        <v>5670245.2133626416</v>
      </c>
      <c r="Q68" s="10">
        <f t="shared" si="76"/>
        <v>5197724.7789157545</v>
      </c>
      <c r="R68" s="10">
        <f t="shared" si="76"/>
        <v>4725204.3444688674</v>
      </c>
      <c r="S68" s="10">
        <f t="shared" si="76"/>
        <v>4252683.9100219803</v>
      </c>
      <c r="T68" s="10">
        <f t="shared" si="76"/>
        <v>3780163.4755750932</v>
      </c>
      <c r="U68" s="10">
        <f t="shared" si="76"/>
        <v>3307643.0411282061</v>
      </c>
      <c r="V68" s="10">
        <f t="shared" si="76"/>
        <v>2835122.606681319</v>
      </c>
      <c r="W68" s="10">
        <f t="shared" si="76"/>
        <v>2362602.1722344318</v>
      </c>
      <c r="X68" s="10">
        <f t="shared" ref="X68:AA68" si="77">+X65-X67</f>
        <v>1890081.7377875447</v>
      </c>
      <c r="Y68" s="10">
        <f t="shared" si="77"/>
        <v>1417561.3033406576</v>
      </c>
      <c r="Z68" s="10">
        <f t="shared" si="77"/>
        <v>945040.8688937705</v>
      </c>
      <c r="AA68" s="10">
        <f t="shared" si="77"/>
        <v>472520.43444688432</v>
      </c>
      <c r="AB68" s="10">
        <f t="shared" ref="AB68" si="78">+AB65-AB67</f>
        <v>0</v>
      </c>
      <c r="AC68" s="163"/>
    </row>
    <row r="69" spans="2:30" x14ac:dyDescent="0.25">
      <c r="B69" t="s">
        <v>18</v>
      </c>
      <c r="C69" s="8"/>
      <c r="D69" s="161">
        <f>+D68*$AE$15</f>
        <v>29037.746879999999</v>
      </c>
      <c r="E69" s="161">
        <f t="shared" ref="E69:AB69" si="79">+E68*$AE$15</f>
        <v>54973.737384999993</v>
      </c>
      <c r="F69" s="161">
        <f t="shared" si="79"/>
        <v>79678.156020434777</v>
      </c>
      <c r="G69" s="161">
        <f t="shared" si="79"/>
        <v>103095.02224677865</v>
      </c>
      <c r="H69" s="161">
        <f t="shared" si="79"/>
        <v>125163.02404455109</v>
      </c>
      <c r="I69" s="161">
        <f t="shared" si="79"/>
        <v>145814.71819232355</v>
      </c>
      <c r="J69" s="161">
        <f t="shared" si="79"/>
        <v>164975.56218220125</v>
      </c>
      <c r="K69" s="161">
        <f t="shared" si="79"/>
        <v>182562.73100541226</v>
      </c>
      <c r="L69" s="161">
        <f t="shared" si="79"/>
        <v>198483.65553450564</v>
      </c>
      <c r="M69" s="161">
        <f t="shared" si="79"/>
        <v>212634.19550109902</v>
      </c>
      <c r="N69" s="161">
        <f t="shared" si="79"/>
        <v>198458.58246769241</v>
      </c>
      <c r="O69" s="161">
        <f t="shared" si="79"/>
        <v>184282.96943428583</v>
      </c>
      <c r="P69" s="161">
        <f t="shared" si="79"/>
        <v>170107.35640087925</v>
      </c>
      <c r="Q69" s="161">
        <f t="shared" si="79"/>
        <v>155931.74336747263</v>
      </c>
      <c r="R69" s="161">
        <f t="shared" si="79"/>
        <v>141756.13033406602</v>
      </c>
      <c r="S69" s="161">
        <f t="shared" si="79"/>
        <v>127580.5173006594</v>
      </c>
      <c r="T69" s="161">
        <f t="shared" si="79"/>
        <v>113404.90426725279</v>
      </c>
      <c r="U69" s="161">
        <f t="shared" si="79"/>
        <v>99229.291233846176</v>
      </c>
      <c r="V69" s="161">
        <f t="shared" si="79"/>
        <v>85053.678200439565</v>
      </c>
      <c r="W69" s="161">
        <f t="shared" si="79"/>
        <v>70878.065167032953</v>
      </c>
      <c r="X69" s="161">
        <f t="shared" si="79"/>
        <v>56702.452133626342</v>
      </c>
      <c r="Y69" s="161">
        <f t="shared" si="79"/>
        <v>42526.839100219724</v>
      </c>
      <c r="Z69" s="161">
        <f t="shared" si="79"/>
        <v>28351.226066813113</v>
      </c>
      <c r="AA69" s="161">
        <f t="shared" si="79"/>
        <v>14175.613033406529</v>
      </c>
      <c r="AB69" s="164">
        <f t="shared" si="79"/>
        <v>0</v>
      </c>
      <c r="AC69" s="81">
        <f>SUM(D69:AB69)</f>
        <v>2784857.9174999991</v>
      </c>
    </row>
    <row r="70" spans="2:30" ht="15.75" customHeight="1" x14ac:dyDescent="0.25">
      <c r="C70" s="8"/>
    </row>
    <row r="71" spans="2:30" ht="15.75" customHeight="1" thickBot="1" x14ac:dyDescent="0.3"/>
    <row r="72" spans="2:30" ht="15" customHeight="1" thickBot="1" x14ac:dyDescent="0.3">
      <c r="B72" s="64" t="s">
        <v>1</v>
      </c>
      <c r="C72" s="87"/>
      <c r="D72" s="69">
        <f>+D69+D66</f>
        <v>69367.950879999989</v>
      </c>
      <c r="E72" s="69">
        <f t="shared" ref="E72:AB72" si="80">+E69+E66</f>
        <v>134645.82055166666</v>
      </c>
      <c r="F72" s="69">
        <f t="shared" si="80"/>
        <v>200402.63483927536</v>
      </c>
      <c r="G72" s="69">
        <f t="shared" si="80"/>
        <v>266737.91470198287</v>
      </c>
      <c r="H72" s="69">
        <f t="shared" si="80"/>
        <v>333768.0641188029</v>
      </c>
      <c r="I72" s="69">
        <f t="shared" si="80"/>
        <v>401630.01326657541</v>
      </c>
      <c r="J72" s="69">
        <f t="shared" si="80"/>
        <v>470485.86251961096</v>
      </c>
      <c r="K72" s="69">
        <f t="shared" si="80"/>
        <v>540528.87023171084</v>
      </c>
      <c r="L72" s="69">
        <f t="shared" si="80"/>
        <v>611991.27123139251</v>
      </c>
      <c r="M72" s="69">
        <f t="shared" si="80"/>
        <v>685154.62994798587</v>
      </c>
      <c r="N72" s="69">
        <f t="shared" si="80"/>
        <v>670979.0169145792</v>
      </c>
      <c r="O72" s="69">
        <f t="shared" si="80"/>
        <v>656803.40388117265</v>
      </c>
      <c r="P72" s="69">
        <f t="shared" si="80"/>
        <v>642627.7908477661</v>
      </c>
      <c r="Q72" s="69">
        <f t="shared" si="80"/>
        <v>628452.17781435943</v>
      </c>
      <c r="R72" s="69">
        <f t="shared" si="80"/>
        <v>614276.56478095287</v>
      </c>
      <c r="S72" s="69">
        <f t="shared" si="80"/>
        <v>600100.95174754621</v>
      </c>
      <c r="T72" s="69">
        <f t="shared" si="80"/>
        <v>585925.33871413965</v>
      </c>
      <c r="U72" s="69">
        <f t="shared" si="80"/>
        <v>571749.72568073298</v>
      </c>
      <c r="V72" s="69">
        <f t="shared" si="80"/>
        <v>557574.11264732643</v>
      </c>
      <c r="W72" s="93">
        <f t="shared" si="80"/>
        <v>543398.49961391976</v>
      </c>
      <c r="X72" s="93">
        <f t="shared" si="80"/>
        <v>529222.88658051321</v>
      </c>
      <c r="Y72" s="93">
        <f t="shared" si="80"/>
        <v>515047.27354710654</v>
      </c>
      <c r="Z72" s="93">
        <f t="shared" si="80"/>
        <v>500871.66051369993</v>
      </c>
      <c r="AA72" s="93">
        <f t="shared" si="80"/>
        <v>486696.04748029337</v>
      </c>
      <c r="AB72" s="69">
        <f t="shared" si="80"/>
        <v>472520.43444688682</v>
      </c>
      <c r="AC72" s="79">
        <f>+SUM(D72:AB72)</f>
        <v>12290958.917499999</v>
      </c>
    </row>
    <row r="73" spans="2:30" ht="15" customHeight="1" x14ac:dyDescent="0.25"/>
    <row r="74" spans="2:30" ht="15" customHeight="1" x14ac:dyDescent="0.25">
      <c r="B74" s="58" t="s">
        <v>78</v>
      </c>
      <c r="C74" s="59"/>
      <c r="D74" s="78">
        <f t="shared" ref="D74:AB74" si="81">+D72/D56</f>
        <v>0.10067611060281742</v>
      </c>
      <c r="E74" s="78">
        <f t="shared" si="81"/>
        <v>0.19444392500804317</v>
      </c>
      <c r="F74" s="78">
        <f t="shared" si="81"/>
        <v>0.28796444402776722</v>
      </c>
      <c r="G74" s="78">
        <f t="shared" si="81"/>
        <v>0.38137667658565999</v>
      </c>
      <c r="H74" s="78">
        <f t="shared" si="81"/>
        <v>0.47484087465393504</v>
      </c>
      <c r="I74" s="78">
        <f t="shared" si="81"/>
        <v>0.56854312767254767</v>
      </c>
      <c r="J74" s="78">
        <f t="shared" si="81"/>
        <v>0.66270122129655318</v>
      </c>
      <c r="K74" s="78">
        <f t="shared" si="81"/>
        <v>0.75757219463036785</v>
      </c>
      <c r="L74" s="78">
        <f t="shared" si="81"/>
        <v>0.85346221269471079</v>
      </c>
      <c r="M74" s="78">
        <f t="shared" si="81"/>
        <v>0.95073964620320517</v>
      </c>
      <c r="N74" s="78">
        <f t="shared" si="81"/>
        <v>0.92643698583534151</v>
      </c>
      <c r="O74" s="78">
        <f t="shared" si="81"/>
        <v>0.90235261040650616</v>
      </c>
      <c r="P74" s="78">
        <f t="shared" si="81"/>
        <v>0.87848494946336553</v>
      </c>
      <c r="Q74" s="78">
        <f t="shared" si="81"/>
        <v>0.85483244277602888</v>
      </c>
      <c r="R74" s="78">
        <f t="shared" si="81"/>
        <v>0.83139354027519363</v>
      </c>
      <c r="S74" s="78">
        <f t="shared" si="81"/>
        <v>0.808166701989664</v>
      </c>
      <c r="T74" s="78">
        <f t="shared" si="81"/>
        <v>0.78515039798423913</v>
      </c>
      <c r="U74" s="78">
        <f t="shared" si="81"/>
        <v>0.76234310829796925</v>
      </c>
      <c r="V74" s="78">
        <f t="shared" si="81"/>
        <v>0.73974332288277944</v>
      </c>
      <c r="W74" s="78">
        <f t="shared" si="81"/>
        <v>0.71734954154245412</v>
      </c>
      <c r="X74" s="78">
        <f t="shared" si="81"/>
        <v>0.69516027387198676</v>
      </c>
      <c r="Y74" s="78">
        <f t="shared" si="81"/>
        <v>0.67317403919728647</v>
      </c>
      <c r="Z74" s="78">
        <f t="shared" si="81"/>
        <v>0.65138936651524371</v>
      </c>
      <c r="AA74" s="78">
        <f t="shared" si="81"/>
        <v>0.62980479443415105</v>
      </c>
      <c r="AB74" s="78">
        <f t="shared" si="81"/>
        <v>0.60841887111447734</v>
      </c>
      <c r="AC74" s="141">
        <f>AVERAGE(D74:AB74)</f>
        <v>0.66786085519849181</v>
      </c>
      <c r="AD74" s="143" t="s">
        <v>100</v>
      </c>
    </row>
    <row r="75" spans="2:30" x14ac:dyDescent="0.25">
      <c r="B75" s="58" t="s">
        <v>79</v>
      </c>
      <c r="C75" s="60"/>
      <c r="D75" s="92">
        <f t="shared" ref="D75:AB75" si="82">D72/(D57*12)</f>
        <v>1.236170869985626</v>
      </c>
      <c r="E75" s="92">
        <f t="shared" si="82"/>
        <v>2.3875169044709388</v>
      </c>
      <c r="F75" s="92">
        <f t="shared" si="82"/>
        <v>3.535826475290655</v>
      </c>
      <c r="G75" s="92">
        <f t="shared" si="82"/>
        <v>4.6828064300879797</v>
      </c>
      <c r="H75" s="92">
        <f t="shared" si="82"/>
        <v>5.8304244533386216</v>
      </c>
      <c r="I75" s="92">
        <f t="shared" si="82"/>
        <v>6.9809654798052332</v>
      </c>
      <c r="J75" s="92">
        <f t="shared" si="82"/>
        <v>8.137103632286836</v>
      </c>
      <c r="K75" s="92">
        <f t="shared" si="82"/>
        <v>9.3019950145643975</v>
      </c>
      <c r="L75" s="92">
        <f t="shared" si="82"/>
        <v>10.479398932373465</v>
      </c>
      <c r="M75" s="92">
        <f t="shared" si="82"/>
        <v>11.673838495941579</v>
      </c>
      <c r="N75" s="92">
        <f t="shared" si="82"/>
        <v>11.375433634748356</v>
      </c>
      <c r="O75" s="92">
        <f t="shared" si="82"/>
        <v>11.079709026907867</v>
      </c>
      <c r="P75" s="92">
        <f t="shared" si="82"/>
        <v>10.78664538930864</v>
      </c>
      <c r="Q75" s="92">
        <f t="shared" si="82"/>
        <v>10.496223564369688</v>
      </c>
      <c r="R75" s="92">
        <f t="shared" si="82"/>
        <v>10.208424519268767</v>
      </c>
      <c r="S75" s="92">
        <f t="shared" si="82"/>
        <v>9.9232293451751516</v>
      </c>
      <c r="T75" s="92">
        <f t="shared" si="82"/>
        <v>9.640619256487005</v>
      </c>
      <c r="U75" s="92">
        <f t="shared" si="82"/>
        <v>9.3605755900732444</v>
      </c>
      <c r="V75" s="92">
        <f t="shared" si="82"/>
        <v>9.0830798045199064</v>
      </c>
      <c r="W75" s="92">
        <f t="shared" si="82"/>
        <v>8.8081134793809692</v>
      </c>
      <c r="X75" s="92">
        <f t="shared" si="82"/>
        <v>8.5356583144336469</v>
      </c>
      <c r="Y75" s="92">
        <f t="shared" si="82"/>
        <v>8.2656961289380551</v>
      </c>
      <c r="Z75" s="92">
        <f t="shared" si="82"/>
        <v>7.9982088609013084</v>
      </c>
      <c r="AA75" s="92">
        <f t="shared" si="82"/>
        <v>7.7331785663459591</v>
      </c>
      <c r="AB75" s="92">
        <f t="shared" si="82"/>
        <v>7.4705874185827756</v>
      </c>
      <c r="AC75" s="141">
        <f>AVERAGE(D75:AB75)</f>
        <v>8.2004571835034668</v>
      </c>
      <c r="AD75" s="142"/>
    </row>
    <row r="76" spans="2:30" x14ac:dyDescent="0.25">
      <c r="B76" s="91" t="s">
        <v>84</v>
      </c>
      <c r="C76" s="60"/>
      <c r="D76" s="169" t="s">
        <v>88</v>
      </c>
      <c r="E76" s="170">
        <f t="shared" ref="E76:W76" si="83">E74/D74-1</f>
        <v>0.9313809785039675</v>
      </c>
      <c r="F76" s="170">
        <f t="shared" si="83"/>
        <v>0.48096395408524883</v>
      </c>
      <c r="G76" s="170">
        <f t="shared" si="83"/>
        <v>0.32438807809510473</v>
      </c>
      <c r="H76" s="170">
        <f t="shared" si="83"/>
        <v>0.24507056620512113</v>
      </c>
      <c r="I76" s="170">
        <f t="shared" si="83"/>
        <v>0.19733400812830837</v>
      </c>
      <c r="J76" s="170">
        <f t="shared" si="83"/>
        <v>0.16561293073660344</v>
      </c>
      <c r="K76" s="170">
        <f t="shared" si="83"/>
        <v>0.14315798777042055</v>
      </c>
      <c r="L76" s="170">
        <f t="shared" si="83"/>
        <v>0.12657541914025661</v>
      </c>
      <c r="M76" s="170">
        <f t="shared" si="83"/>
        <v>0.11397977796972625</v>
      </c>
      <c r="N76" s="170">
        <f t="shared" si="83"/>
        <v>-2.5561845942700279E-2</v>
      </c>
      <c r="O76" s="170">
        <f t="shared" si="83"/>
        <v>-2.5996776679980238E-2</v>
      </c>
      <c r="P76" s="170">
        <f t="shared" si="83"/>
        <v>-2.645048140591999E-2</v>
      </c>
      <c r="Q76" s="170">
        <f t="shared" si="83"/>
        <v>-2.6924202516827478E-2</v>
      </c>
      <c r="R76" s="170">
        <f t="shared" si="83"/>
        <v>-2.7419294504918978E-2</v>
      </c>
      <c r="S76" s="170">
        <f t="shared" si="83"/>
        <v>-2.7937236892460637E-2</v>
      </c>
      <c r="T76" s="170">
        <f t="shared" si="83"/>
        <v>-2.8479648999098717E-2</v>
      </c>
      <c r="U76" s="170">
        <f t="shared" si="83"/>
        <v>-2.9048306852832662E-2</v>
      </c>
      <c r="V76" s="170">
        <f t="shared" si="83"/>
        <v>-2.9645162616668497E-2</v>
      </c>
      <c r="W76" s="170">
        <f t="shared" si="83"/>
        <v>-3.0272366978665977E-2</v>
      </c>
      <c r="X76" s="170">
        <f t="shared" ref="X76" si="84">X74/W74-1</f>
        <v>-3.0932295046506519E-2</v>
      </c>
      <c r="Y76" s="170">
        <f t="shared" ref="Y76" si="85">Y74/X74-1</f>
        <v>-3.1627576403695734E-2</v>
      </c>
      <c r="Z76" s="170">
        <f t="shared" ref="Z76" si="86">Z74/Y74-1</f>
        <v>-3.2361130129170523E-2</v>
      </c>
      <c r="AA76" s="170">
        <f t="shared" ref="AA76:AB76" si="87">AA74/Z74-1</f>
        <v>-3.3136205763634519E-2</v>
      </c>
      <c r="AB76" s="170">
        <f t="shared" si="87"/>
        <v>-3.3956431435057444E-2</v>
      </c>
      <c r="AC76" s="84">
        <f>SUM(D76:AB76)</f>
        <v>2.28871473846662</v>
      </c>
    </row>
    <row r="77" spans="2:30" x14ac:dyDescent="0.25">
      <c r="AC77" s="85">
        <f>AC76/25</f>
        <v>9.1548589538664793E-2</v>
      </c>
    </row>
    <row r="78" spans="2:30" x14ac:dyDescent="0.25">
      <c r="B78" s="178" t="s">
        <v>56</v>
      </c>
      <c r="C78" s="75">
        <f>9442051</f>
        <v>9442051</v>
      </c>
    </row>
    <row r="79" spans="2:30" x14ac:dyDescent="0.25">
      <c r="B79" s="91" t="s">
        <v>112</v>
      </c>
      <c r="C79" s="91"/>
      <c r="D79" s="179">
        <v>64050</v>
      </c>
    </row>
    <row r="80" spans="2:30" ht="15" customHeight="1" x14ac:dyDescent="0.25">
      <c r="B80" s="91" t="s">
        <v>85</v>
      </c>
      <c r="C80" s="91"/>
      <c r="D80" s="171">
        <f>+$C$78/10</f>
        <v>944205.1</v>
      </c>
      <c r="E80" s="171">
        <f t="shared" ref="E80:M80" si="88">+$C$78/10</f>
        <v>944205.1</v>
      </c>
      <c r="F80" s="171">
        <f t="shared" si="88"/>
        <v>944205.1</v>
      </c>
      <c r="G80" s="171">
        <f t="shared" si="88"/>
        <v>944205.1</v>
      </c>
      <c r="H80" s="171">
        <f t="shared" si="88"/>
        <v>944205.1</v>
      </c>
      <c r="I80" s="171">
        <f t="shared" si="88"/>
        <v>944205.1</v>
      </c>
      <c r="J80" s="171">
        <f t="shared" si="88"/>
        <v>944205.1</v>
      </c>
      <c r="K80" s="171">
        <f t="shared" si="88"/>
        <v>944205.1</v>
      </c>
      <c r="L80" s="171">
        <f t="shared" si="88"/>
        <v>944205.1</v>
      </c>
      <c r="M80" s="171">
        <f t="shared" si="88"/>
        <v>944205.1</v>
      </c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8">
        <f>+SUM(D80:AB80)</f>
        <v>9442050.9999999981</v>
      </c>
    </row>
    <row r="81" spans="2:31" ht="15" customHeight="1" x14ac:dyDescent="0.25">
      <c r="B81" s="91" t="s">
        <v>113</v>
      </c>
      <c r="C81" s="91"/>
      <c r="D81" s="74">
        <f>+D79+D80</f>
        <v>1008255.1</v>
      </c>
      <c r="E81" s="74">
        <f t="shared" ref="E81:AB81" si="89">+E79+E80</f>
        <v>944205.1</v>
      </c>
      <c r="F81" s="74">
        <f t="shared" si="89"/>
        <v>944205.1</v>
      </c>
      <c r="G81" s="74">
        <f t="shared" si="89"/>
        <v>944205.1</v>
      </c>
      <c r="H81" s="74">
        <f t="shared" si="89"/>
        <v>944205.1</v>
      </c>
      <c r="I81" s="74">
        <f t="shared" si="89"/>
        <v>944205.1</v>
      </c>
      <c r="J81" s="74">
        <f t="shared" si="89"/>
        <v>944205.1</v>
      </c>
      <c r="K81" s="74">
        <f t="shared" si="89"/>
        <v>944205.1</v>
      </c>
      <c r="L81" s="74">
        <f t="shared" si="89"/>
        <v>944205.1</v>
      </c>
      <c r="M81" s="74">
        <f t="shared" si="89"/>
        <v>944205.1</v>
      </c>
      <c r="N81" s="74">
        <f t="shared" si="89"/>
        <v>0</v>
      </c>
      <c r="O81" s="74">
        <f t="shared" si="89"/>
        <v>0</v>
      </c>
      <c r="P81" s="74">
        <f t="shared" si="89"/>
        <v>0</v>
      </c>
      <c r="Q81" s="74">
        <f t="shared" si="89"/>
        <v>0</v>
      </c>
      <c r="R81" s="74">
        <f t="shared" si="89"/>
        <v>0</v>
      </c>
      <c r="S81" s="74">
        <f t="shared" si="89"/>
        <v>0</v>
      </c>
      <c r="T81" s="74">
        <f t="shared" si="89"/>
        <v>0</v>
      </c>
      <c r="U81" s="74">
        <f t="shared" si="89"/>
        <v>0</v>
      </c>
      <c r="V81" s="74">
        <f t="shared" si="89"/>
        <v>0</v>
      </c>
      <c r="W81" s="74">
        <f t="shared" si="89"/>
        <v>0</v>
      </c>
      <c r="X81" s="74">
        <f t="shared" si="89"/>
        <v>0</v>
      </c>
      <c r="Y81" s="74">
        <f t="shared" si="89"/>
        <v>0</v>
      </c>
      <c r="Z81" s="74">
        <f t="shared" si="89"/>
        <v>0</v>
      </c>
      <c r="AA81" s="74">
        <f t="shared" si="89"/>
        <v>0</v>
      </c>
      <c r="AB81" s="74">
        <f t="shared" si="89"/>
        <v>0</v>
      </c>
      <c r="AC81" s="53">
        <f>+SUM(D81:AB81)</f>
        <v>9506100.9999999981</v>
      </c>
    </row>
    <row r="82" spans="2:31" x14ac:dyDescent="0.25">
      <c r="B82" s="91" t="s">
        <v>86</v>
      </c>
      <c r="C82" s="91"/>
      <c r="D82" s="74">
        <f>+D81/25</f>
        <v>40330.203999999998</v>
      </c>
      <c r="E82" s="74">
        <f t="shared" ref="E82:AB82" si="90">+D82+(E81/E3)</f>
        <v>79672.083166666664</v>
      </c>
      <c r="F82" s="74">
        <f t="shared" si="90"/>
        <v>120724.47881884058</v>
      </c>
      <c r="G82" s="74">
        <f t="shared" si="90"/>
        <v>163642.89245520422</v>
      </c>
      <c r="H82" s="74">
        <f t="shared" si="90"/>
        <v>208605.04007425182</v>
      </c>
      <c r="I82" s="74">
        <f t="shared" si="90"/>
        <v>255815.29507425183</v>
      </c>
      <c r="J82" s="74">
        <f t="shared" si="90"/>
        <v>305510.30033740972</v>
      </c>
      <c r="K82" s="74">
        <f t="shared" si="90"/>
        <v>357966.1392262986</v>
      </c>
      <c r="L82" s="74">
        <f t="shared" si="90"/>
        <v>413507.61569688685</v>
      </c>
      <c r="M82" s="74">
        <f t="shared" si="90"/>
        <v>472520.43444688682</v>
      </c>
      <c r="N82" s="74">
        <f t="shared" si="90"/>
        <v>472520.43444688682</v>
      </c>
      <c r="O82" s="74">
        <f t="shared" si="90"/>
        <v>472520.43444688682</v>
      </c>
      <c r="P82" s="74">
        <f t="shared" si="90"/>
        <v>472520.43444688682</v>
      </c>
      <c r="Q82" s="74">
        <f t="shared" si="90"/>
        <v>472520.43444688682</v>
      </c>
      <c r="R82" s="74">
        <f t="shared" si="90"/>
        <v>472520.43444688682</v>
      </c>
      <c r="S82" s="74">
        <f t="shared" si="90"/>
        <v>472520.43444688682</v>
      </c>
      <c r="T82" s="74">
        <f t="shared" si="90"/>
        <v>472520.43444688682</v>
      </c>
      <c r="U82" s="74">
        <f t="shared" si="90"/>
        <v>472520.43444688682</v>
      </c>
      <c r="V82" s="74">
        <f t="shared" si="90"/>
        <v>472520.43444688682</v>
      </c>
      <c r="W82" s="74">
        <f t="shared" si="90"/>
        <v>472520.43444688682</v>
      </c>
      <c r="X82" s="74">
        <f t="shared" si="90"/>
        <v>472520.43444688682</v>
      </c>
      <c r="Y82" s="74">
        <f t="shared" si="90"/>
        <v>472520.43444688682</v>
      </c>
      <c r="Z82" s="74">
        <f t="shared" si="90"/>
        <v>472520.43444688682</v>
      </c>
      <c r="AA82" s="74">
        <f t="shared" si="90"/>
        <v>472520.43444688682</v>
      </c>
      <c r="AB82" s="74">
        <f t="shared" si="90"/>
        <v>472520.43444688682</v>
      </c>
      <c r="AC82" s="53">
        <f>+SUM(D82:AB82)</f>
        <v>9506101</v>
      </c>
    </row>
    <row r="84" spans="2:31" ht="6.75" customHeight="1" x14ac:dyDescent="0.25"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</row>
    <row r="85" spans="2:31" ht="15" customHeight="1" thickBot="1" x14ac:dyDescent="0.3"/>
    <row r="86" spans="2:31" ht="15.75" thickBot="1" x14ac:dyDescent="0.3">
      <c r="B86" s="30" t="s">
        <v>96</v>
      </c>
      <c r="C86" s="30"/>
      <c r="D86" s="134">
        <f t="shared" ref="D86:AB86" si="91">+D74+D51</f>
        <v>2.2738556494837572</v>
      </c>
      <c r="E86" s="134">
        <f t="shared" si="91"/>
        <v>2.6203642442608364</v>
      </c>
      <c r="F86" s="134">
        <f t="shared" si="91"/>
        <v>3.0302247729111245</v>
      </c>
      <c r="G86" s="134">
        <f t="shared" si="91"/>
        <v>3.1623028761062724</v>
      </c>
      <c r="H86" s="134">
        <f t="shared" si="91"/>
        <v>3.2949781335877879</v>
      </c>
      <c r="I86" s="134">
        <f t="shared" si="91"/>
        <v>3.4284443219573677</v>
      </c>
      <c r="J86" s="134">
        <f t="shared" si="91"/>
        <v>3.5629270224207894</v>
      </c>
      <c r="K86" s="134">
        <f t="shared" si="91"/>
        <v>3.698691179550456</v>
      </c>
      <c r="L86" s="134">
        <f t="shared" si="91"/>
        <v>3.8360509753021721</v>
      </c>
      <c r="M86" s="134">
        <f t="shared" si="91"/>
        <v>3.9753829103634319</v>
      </c>
      <c r="N86" s="134">
        <f t="shared" si="91"/>
        <v>3.9937277200202277</v>
      </c>
      <c r="O86" s="134">
        <f t="shared" si="91"/>
        <v>4.0128921439433993</v>
      </c>
      <c r="P86" s="134">
        <f t="shared" si="91"/>
        <v>4.0328830904231285</v>
      </c>
      <c r="Q86" s="134">
        <f t="shared" si="91"/>
        <v>4.0537075975233252</v>
      </c>
      <c r="R86" s="134">
        <f t="shared" si="91"/>
        <v>4.0753728347044262</v>
      </c>
      <c r="S86" s="134">
        <f t="shared" si="91"/>
        <v>4.0978861044703487</v>
      </c>
      <c r="T86" s="134">
        <f t="shared" si="91"/>
        <v>4.1212548440399015</v>
      </c>
      <c r="U86" s="134">
        <f t="shared" si="91"/>
        <v>4.1454866270430166</v>
      </c>
      <c r="V86" s="134">
        <f t="shared" si="91"/>
        <v>4.1705891652421325</v>
      </c>
      <c r="W86" s="134">
        <f t="shared" si="91"/>
        <v>4.1965703102790739</v>
      </c>
      <c r="X86" s="134">
        <f t="shared" si="91"/>
        <v>4.2234380554477928</v>
      </c>
      <c r="Y86" s="134">
        <f t="shared" si="91"/>
        <v>4.2512005374933119</v>
      </c>
      <c r="Z86" s="134">
        <f t="shared" si="91"/>
        <v>4.2798660384372429</v>
      </c>
      <c r="AA86" s="134">
        <f t="shared" si="91"/>
        <v>4.3094429874302511</v>
      </c>
      <c r="AB86" s="134">
        <f t="shared" si="91"/>
        <v>4.3399399626318225</v>
      </c>
      <c r="AC86" s="166">
        <f>+AVERAGE(D86:AB86)</f>
        <v>3.807499204202935</v>
      </c>
      <c r="AD86" s="167" t="s">
        <v>108</v>
      </c>
    </row>
    <row r="88" spans="2:31" ht="6.75" customHeight="1" x14ac:dyDescent="0.25"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</row>
    <row r="90" spans="2:31" x14ac:dyDescent="0.25">
      <c r="B90" s="15" t="s">
        <v>0</v>
      </c>
      <c r="C90" s="15"/>
      <c r="D90" s="18">
        <f t="shared" ref="D90:AB90" si="92">+D61+D14</f>
        <v>1992216.0296274999</v>
      </c>
      <c r="E90" s="18">
        <f t="shared" si="92"/>
        <v>2286643.262028655</v>
      </c>
      <c r="F90" s="18">
        <f t="shared" si="92"/>
        <v>2639130.0053652311</v>
      </c>
      <c r="G90" s="18">
        <f t="shared" si="92"/>
        <v>2752261.0429238104</v>
      </c>
      <c r="H90" s="18">
        <f t="shared" si="92"/>
        <v>2866984.9308021958</v>
      </c>
      <c r="I90" s="18">
        <f t="shared" si="92"/>
        <v>2983455.8315713503</v>
      </c>
      <c r="J90" s="18">
        <f t="shared" si="92"/>
        <v>3101853.4087063987</v>
      </c>
      <c r="K90" s="18">
        <f t="shared" si="92"/>
        <v>3222388.8207155182</v>
      </c>
      <c r="L90" s="18">
        <f t="shared" si="92"/>
        <v>3345312.5461038519</v>
      </c>
      <c r="M90" s="18">
        <f t="shared" si="92"/>
        <v>3470924.743092448</v>
      </c>
      <c r="N90" s="18">
        <f t="shared" si="92"/>
        <v>3510204.4328405783</v>
      </c>
      <c r="O90" s="18">
        <f t="shared" si="92"/>
        <v>3550509.9014072325</v>
      </c>
      <c r="P90" s="18">
        <f t="shared" si="92"/>
        <v>3591860.8337639822</v>
      </c>
      <c r="Q90" s="18">
        <f t="shared" si="92"/>
        <v>3634277.2926587202</v>
      </c>
      <c r="R90" s="18">
        <f t="shared" si="92"/>
        <v>3677779.7258659345</v>
      </c>
      <c r="S90" s="18">
        <f t="shared" si="92"/>
        <v>3722388.973576135</v>
      </c>
      <c r="T90" s="18">
        <f t="shared" si="92"/>
        <v>3768126.2759271013</v>
      </c>
      <c r="U90" s="18">
        <f t="shared" si="92"/>
        <v>3815013.2806796818</v>
      </c>
      <c r="V90" s="18">
        <f t="shared" si="92"/>
        <v>3863072.0510409116</v>
      </c>
      <c r="W90" s="18">
        <f t="shared" si="92"/>
        <v>3912325.0736372788</v>
      </c>
      <c r="X90" s="18">
        <f t="shared" si="92"/>
        <v>3962795.2666410226</v>
      </c>
      <c r="Y90" s="18">
        <f t="shared" si="92"/>
        <v>4014505.9880523984</v>
      </c>
      <c r="Z90" s="18">
        <f t="shared" si="92"/>
        <v>4067481.0441409042</v>
      </c>
      <c r="AA90" s="18">
        <f t="shared" si="92"/>
        <v>4121744.6980485218</v>
      </c>
      <c r="AB90" s="18">
        <f t="shared" si="92"/>
        <v>4177321.6785580758</v>
      </c>
      <c r="AC90" s="18"/>
    </row>
    <row r="91" spans="2:31" x14ac:dyDescent="0.25">
      <c r="B91" s="15" t="s">
        <v>67</v>
      </c>
      <c r="C91" s="15"/>
      <c r="D91" s="18">
        <f t="shared" ref="D91:AB91" si="93">+D32</f>
        <v>28842.721181212499</v>
      </c>
      <c r="E91" s="18">
        <f t="shared" si="93"/>
        <v>32279.96162215482</v>
      </c>
      <c r="F91" s="18">
        <f t="shared" si="93"/>
        <v>36580.910557889336</v>
      </c>
      <c r="G91" s="18">
        <f t="shared" si="93"/>
        <v>37282.846923327415</v>
      </c>
      <c r="H91" s="18">
        <f t="shared" si="93"/>
        <v>37998.253000250894</v>
      </c>
      <c r="I91" s="18">
        <f t="shared" si="93"/>
        <v>38727.387274571622</v>
      </c>
      <c r="J91" s="18">
        <f t="shared" si="93"/>
        <v>39470.513192801809</v>
      </c>
      <c r="K91" s="18">
        <f t="shared" si="93"/>
        <v>40227.899257257108</v>
      </c>
      <c r="L91" s="18">
        <f t="shared" si="93"/>
        <v>40999.819123086883</v>
      </c>
      <c r="M91" s="18">
        <f t="shared" si="93"/>
        <v>41786.551697166928</v>
      </c>
      <c r="N91" s="18">
        <f t="shared" si="93"/>
        <v>42588.38123888999</v>
      </c>
      <c r="O91" s="18">
        <f t="shared" si="93"/>
        <v>43405.597462890895</v>
      </c>
      <c r="P91" s="18">
        <f t="shared" si="93"/>
        <v>44238.495643743241</v>
      </c>
      <c r="Q91" s="18">
        <f t="shared" si="93"/>
        <v>45087.376722665402</v>
      </c>
      <c r="R91" s="18">
        <f t="shared" si="93"/>
        <v>45952.54741627472</v>
      </c>
      <c r="S91" s="18">
        <f t="shared" si="93"/>
        <v>46834.320327428824</v>
      </c>
      <c r="T91" s="18">
        <f t="shared" si="93"/>
        <v>47733.014058194414</v>
      </c>
      <c r="U91" s="18">
        <f t="shared" si="93"/>
        <v>48648.953324984228</v>
      </c>
      <c r="V91" s="18">
        <f t="shared" si="93"/>
        <v>49582.469075903769</v>
      </c>
      <c r="W91" s="18">
        <f t="shared" si="93"/>
        <v>50533.898610350385</v>
      </c>
      <c r="X91" s="18">
        <f t="shared" si="93"/>
        <v>51503.585700907635</v>
      </c>
      <c r="Y91" s="18">
        <f t="shared" si="93"/>
        <v>52491.88071757937</v>
      </c>
      <c r="Z91" s="18">
        <f t="shared" si="93"/>
        <v>53499.140754408065</v>
      </c>
      <c r="AA91" s="18">
        <f t="shared" si="93"/>
        <v>54525.729758523419</v>
      </c>
      <c r="AB91" s="18">
        <f t="shared" si="93"/>
        <v>55572.018661667826</v>
      </c>
      <c r="AC91" s="18"/>
    </row>
    <row r="92" spans="2:31" x14ac:dyDescent="0.25">
      <c r="B92" s="109" t="s">
        <v>28</v>
      </c>
      <c r="C92" s="110"/>
      <c r="D92" s="111">
        <f>SUM(D90:D91)</f>
        <v>2021058.7508087123</v>
      </c>
      <c r="E92" s="111">
        <f t="shared" ref="E92:AB92" si="94">SUM(E90:E91)</f>
        <v>2318923.2236508098</v>
      </c>
      <c r="F92" s="111">
        <f t="shared" si="94"/>
        <v>2675710.9159231205</v>
      </c>
      <c r="G92" s="111">
        <f t="shared" si="94"/>
        <v>2789543.889847138</v>
      </c>
      <c r="H92" s="111">
        <f t="shared" si="94"/>
        <v>2904983.1838024468</v>
      </c>
      <c r="I92" s="111">
        <f t="shared" si="94"/>
        <v>3022183.218845922</v>
      </c>
      <c r="J92" s="111">
        <f t="shared" si="94"/>
        <v>3141323.9218992004</v>
      </c>
      <c r="K92" s="111">
        <f t="shared" si="94"/>
        <v>3262616.7199727753</v>
      </c>
      <c r="L92" s="111">
        <f t="shared" si="94"/>
        <v>3386312.3652269389</v>
      </c>
      <c r="M92" s="111">
        <f t="shared" si="94"/>
        <v>3512711.2947896151</v>
      </c>
      <c r="N92" s="111">
        <f t="shared" si="94"/>
        <v>3552792.8140794681</v>
      </c>
      <c r="O92" s="111">
        <f t="shared" si="94"/>
        <v>3593915.4988701232</v>
      </c>
      <c r="P92" s="111">
        <f t="shared" si="94"/>
        <v>3636099.3294077255</v>
      </c>
      <c r="Q92" s="111">
        <f t="shared" si="94"/>
        <v>3679364.6693813857</v>
      </c>
      <c r="R92" s="111">
        <f t="shared" si="94"/>
        <v>3723732.2732822094</v>
      </c>
      <c r="S92" s="111">
        <f t="shared" si="94"/>
        <v>3769223.2939035636</v>
      </c>
      <c r="T92" s="111">
        <f t="shared" si="94"/>
        <v>3815859.2899852959</v>
      </c>
      <c r="U92" s="111">
        <f t="shared" si="94"/>
        <v>3863662.2340046661</v>
      </c>
      <c r="V92" s="111">
        <f t="shared" si="94"/>
        <v>3912654.5201168153</v>
      </c>
      <c r="W92" s="111">
        <f t="shared" si="94"/>
        <v>3962858.972247629</v>
      </c>
      <c r="X92" s="111">
        <f t="shared" si="94"/>
        <v>4014298.8523419304</v>
      </c>
      <c r="Y92" s="111">
        <f t="shared" si="94"/>
        <v>4066997.8687699777</v>
      </c>
      <c r="Z92" s="111">
        <f t="shared" si="94"/>
        <v>4120980.1848953124</v>
      </c>
      <c r="AA92" s="111">
        <f t="shared" si="94"/>
        <v>4176270.4278070452</v>
      </c>
      <c r="AB92" s="111">
        <f t="shared" si="94"/>
        <v>4232893.6972197434</v>
      </c>
      <c r="AC92" s="127">
        <f>+SUM(D92:AB92)</f>
        <v>87156971.411079571</v>
      </c>
    </row>
    <row r="93" spans="2:31" x14ac:dyDescent="0.25">
      <c r="B93" s="14"/>
    </row>
    <row r="94" spans="2:31" x14ac:dyDescent="0.25">
      <c r="B94" s="112" t="s">
        <v>29</v>
      </c>
      <c r="C94" s="110"/>
      <c r="D94" s="12">
        <f>+D29</f>
        <v>1838882.0918462032</v>
      </c>
      <c r="E94" s="12">
        <f t="shared" ref="E94:AB94" si="95">E29</f>
        <v>1861104.5969240526</v>
      </c>
      <c r="F94" s="12">
        <f t="shared" si="95"/>
        <v>1893992.3785090046</v>
      </c>
      <c r="G94" s="12">
        <f t="shared" si="95"/>
        <v>1927559.7697149182</v>
      </c>
      <c r="H94" s="12">
        <f t="shared" si="95"/>
        <v>1961821.4168724567</v>
      </c>
      <c r="I94" s="12">
        <f t="shared" si="95"/>
        <v>1996792.2864231283</v>
      </c>
      <c r="J94" s="12">
        <f t="shared" si="95"/>
        <v>2032487.6719659008</v>
      </c>
      <c r="K94" s="12">
        <f t="shared" si="95"/>
        <v>2068923.2014597673</v>
      </c>
      <c r="L94" s="12">
        <f t="shared" si="95"/>
        <v>2106114.8445857498</v>
      </c>
      <c r="M94" s="12">
        <f t="shared" si="95"/>
        <v>2144078.9202718637</v>
      </c>
      <c r="N94" s="12">
        <f t="shared" si="95"/>
        <v>2182832.1043846938</v>
      </c>
      <c r="O94" s="12">
        <f t="shared" si="95"/>
        <v>2222391.4375912617</v>
      </c>
      <c r="P94" s="12">
        <f t="shared" si="95"/>
        <v>2262774.3333950001</v>
      </c>
      <c r="Q94" s="12">
        <f t="shared" si="95"/>
        <v>2303998.5863496857</v>
      </c>
      <c r="R94" s="12">
        <f t="shared" si="95"/>
        <v>2346082.3804553039</v>
      </c>
      <c r="S94" s="12">
        <f t="shared" si="95"/>
        <v>2389044.2977398909</v>
      </c>
      <c r="T94" s="12">
        <f t="shared" si="95"/>
        <v>2432903.3270314885</v>
      </c>
      <c r="U94" s="12">
        <f t="shared" si="95"/>
        <v>2477678.8729244531</v>
      </c>
      <c r="V94" s="12">
        <f t="shared" si="95"/>
        <v>2523390.7649444332</v>
      </c>
      <c r="W94" s="12">
        <f t="shared" si="95"/>
        <v>2570059.2669164478</v>
      </c>
      <c r="X94" s="12">
        <f t="shared" si="95"/>
        <v>2617705.0865405882</v>
      </c>
      <c r="Y94" s="12">
        <f t="shared" si="95"/>
        <v>2666349.3851799569</v>
      </c>
      <c r="Z94" s="12">
        <f t="shared" si="95"/>
        <v>2716013.7878655829</v>
      </c>
      <c r="AA94" s="12">
        <f t="shared" si="95"/>
        <v>2766720.3935231352</v>
      </c>
      <c r="AB94" s="12">
        <f t="shared" si="95"/>
        <v>2818491.7854263871</v>
      </c>
      <c r="AC94" s="127"/>
    </row>
    <row r="95" spans="2:31" x14ac:dyDescent="0.25">
      <c r="B95" s="15" t="s">
        <v>68</v>
      </c>
      <c r="C95" s="15"/>
      <c r="D95" s="46">
        <f t="shared" ref="D95:AB95" si="96">+D36</f>
        <v>127846.8</v>
      </c>
      <c r="E95" s="46">
        <f t="shared" si="96"/>
        <v>130403.736</v>
      </c>
      <c r="F95" s="46">
        <f t="shared" si="96"/>
        <v>133011.81072000001</v>
      </c>
      <c r="G95" s="46">
        <f t="shared" si="96"/>
        <v>135672.04693440002</v>
      </c>
      <c r="H95" s="46">
        <f t="shared" si="96"/>
        <v>138385.48787308802</v>
      </c>
      <c r="I95" s="46">
        <f t="shared" si="96"/>
        <v>141153.19763054978</v>
      </c>
      <c r="J95" s="46">
        <f t="shared" si="96"/>
        <v>143976.26158316078</v>
      </c>
      <c r="K95" s="46">
        <f t="shared" si="96"/>
        <v>146855.78681482401</v>
      </c>
      <c r="L95" s="46">
        <f t="shared" si="96"/>
        <v>149792.9025511205</v>
      </c>
      <c r="M95" s="46">
        <f t="shared" si="96"/>
        <v>152788.76060214289</v>
      </c>
      <c r="N95" s="46">
        <f t="shared" si="96"/>
        <v>155844.53581418574</v>
      </c>
      <c r="O95" s="46">
        <f t="shared" si="96"/>
        <v>158961.42653046947</v>
      </c>
      <c r="P95" s="46">
        <f t="shared" si="96"/>
        <v>162140.65506107887</v>
      </c>
      <c r="Q95" s="46">
        <f t="shared" si="96"/>
        <v>165383.46816230044</v>
      </c>
      <c r="R95" s="46">
        <f t="shared" si="96"/>
        <v>168691.13752554645</v>
      </c>
      <c r="S95" s="46">
        <f t="shared" si="96"/>
        <v>172064.96027605739</v>
      </c>
      <c r="T95" s="46">
        <f t="shared" si="96"/>
        <v>175506.25948157854</v>
      </c>
      <c r="U95" s="46">
        <f t="shared" si="96"/>
        <v>179016.38467121011</v>
      </c>
      <c r="V95" s="46">
        <f t="shared" si="96"/>
        <v>182596.71236463432</v>
      </c>
      <c r="W95" s="46">
        <f t="shared" si="96"/>
        <v>186248.64661192702</v>
      </c>
      <c r="X95" s="46">
        <f t="shared" si="96"/>
        <v>189973.61954416556</v>
      </c>
      <c r="Y95" s="46">
        <f t="shared" si="96"/>
        <v>193773.09193504887</v>
      </c>
      <c r="Z95" s="46">
        <f t="shared" si="96"/>
        <v>197648.55377374985</v>
      </c>
      <c r="AA95" s="46">
        <f t="shared" si="96"/>
        <v>201601.52484922486</v>
      </c>
      <c r="AB95" s="46">
        <f t="shared" si="96"/>
        <v>205633.55534620935</v>
      </c>
      <c r="AC95" s="46"/>
    </row>
    <row r="96" spans="2:31" x14ac:dyDescent="0.25">
      <c r="B96" s="15" t="s">
        <v>48</v>
      </c>
      <c r="C96" s="15"/>
      <c r="D96" s="19">
        <f t="shared" ref="D96:AB96" si="97">+D66</f>
        <v>40330.203999999998</v>
      </c>
      <c r="E96" s="19">
        <f t="shared" si="97"/>
        <v>79672.083166666664</v>
      </c>
      <c r="F96" s="19">
        <f t="shared" si="97"/>
        <v>120724.47881884058</v>
      </c>
      <c r="G96" s="19">
        <f t="shared" si="97"/>
        <v>163642.89245520422</v>
      </c>
      <c r="H96" s="19">
        <f t="shared" si="97"/>
        <v>208605.04007425182</v>
      </c>
      <c r="I96" s="19">
        <f t="shared" si="97"/>
        <v>255815.29507425183</v>
      </c>
      <c r="J96" s="19">
        <f t="shared" si="97"/>
        <v>305510.30033740972</v>
      </c>
      <c r="K96" s="19">
        <f t="shared" si="97"/>
        <v>357966.1392262986</v>
      </c>
      <c r="L96" s="19">
        <f t="shared" si="97"/>
        <v>413507.61569688685</v>
      </c>
      <c r="M96" s="19">
        <f t="shared" si="97"/>
        <v>472520.43444688682</v>
      </c>
      <c r="N96" s="19">
        <f t="shared" si="97"/>
        <v>472520.43444688682</v>
      </c>
      <c r="O96" s="19">
        <f t="shared" si="97"/>
        <v>472520.43444688682</v>
      </c>
      <c r="P96" s="19">
        <f t="shared" si="97"/>
        <v>472520.43444688682</v>
      </c>
      <c r="Q96" s="19">
        <f t="shared" si="97"/>
        <v>472520.43444688682</v>
      </c>
      <c r="R96" s="19">
        <f t="shared" si="97"/>
        <v>472520.43444688682</v>
      </c>
      <c r="S96" s="19">
        <f t="shared" si="97"/>
        <v>472520.43444688682</v>
      </c>
      <c r="T96" s="19">
        <f t="shared" si="97"/>
        <v>472520.43444688682</v>
      </c>
      <c r="U96" s="19">
        <f t="shared" si="97"/>
        <v>472520.43444688682</v>
      </c>
      <c r="V96" s="19">
        <f t="shared" si="97"/>
        <v>472520.43444688682</v>
      </c>
      <c r="W96" s="19">
        <f t="shared" si="97"/>
        <v>472520.43444688682</v>
      </c>
      <c r="X96" s="19">
        <f t="shared" si="97"/>
        <v>472520.43444688682</v>
      </c>
      <c r="Y96" s="19">
        <f t="shared" si="97"/>
        <v>472520.43444688682</v>
      </c>
      <c r="Z96" s="19">
        <f t="shared" si="97"/>
        <v>472520.43444688682</v>
      </c>
      <c r="AA96" s="19">
        <f t="shared" si="97"/>
        <v>472520.43444688682</v>
      </c>
      <c r="AB96" s="19">
        <f t="shared" si="97"/>
        <v>472520.43444688682</v>
      </c>
      <c r="AC96" s="16"/>
      <c r="AD96" s="30" t="s">
        <v>49</v>
      </c>
      <c r="AE96" s="31">
        <f>SUM(D96:AB96)</f>
        <v>9506101</v>
      </c>
    </row>
    <row r="97" spans="2:31" x14ac:dyDescent="0.25">
      <c r="B97" s="15" t="s">
        <v>30</v>
      </c>
      <c r="C97" s="15"/>
      <c r="D97" s="34">
        <f t="shared" ref="D97:AB97" si="98">+D69</f>
        <v>29037.746879999999</v>
      </c>
      <c r="E97" s="34">
        <f t="shared" si="98"/>
        <v>54973.737384999993</v>
      </c>
      <c r="F97" s="34">
        <f t="shared" si="98"/>
        <v>79678.156020434777</v>
      </c>
      <c r="G97" s="34">
        <f t="shared" si="98"/>
        <v>103095.02224677865</v>
      </c>
      <c r="H97" s="34">
        <f t="shared" si="98"/>
        <v>125163.02404455109</v>
      </c>
      <c r="I97" s="34">
        <f t="shared" si="98"/>
        <v>145814.71819232355</v>
      </c>
      <c r="J97" s="34">
        <f t="shared" si="98"/>
        <v>164975.56218220125</v>
      </c>
      <c r="K97" s="34">
        <f t="shared" si="98"/>
        <v>182562.73100541226</v>
      </c>
      <c r="L97" s="34">
        <f t="shared" si="98"/>
        <v>198483.65553450564</v>
      </c>
      <c r="M97" s="34">
        <f t="shared" si="98"/>
        <v>212634.19550109902</v>
      </c>
      <c r="N97" s="34">
        <f t="shared" si="98"/>
        <v>198458.58246769241</v>
      </c>
      <c r="O97" s="34">
        <f t="shared" si="98"/>
        <v>184282.96943428583</v>
      </c>
      <c r="P97" s="34">
        <f t="shared" si="98"/>
        <v>170107.35640087925</v>
      </c>
      <c r="Q97" s="34">
        <f t="shared" si="98"/>
        <v>155931.74336747263</v>
      </c>
      <c r="R97" s="34">
        <f t="shared" si="98"/>
        <v>141756.13033406602</v>
      </c>
      <c r="S97" s="34">
        <f t="shared" si="98"/>
        <v>127580.5173006594</v>
      </c>
      <c r="T97" s="34">
        <f t="shared" si="98"/>
        <v>113404.90426725279</v>
      </c>
      <c r="U97" s="34">
        <f t="shared" si="98"/>
        <v>99229.291233846176</v>
      </c>
      <c r="V97" s="34">
        <f t="shared" si="98"/>
        <v>85053.678200439565</v>
      </c>
      <c r="W97" s="34">
        <f t="shared" si="98"/>
        <v>70878.065167032953</v>
      </c>
      <c r="X97" s="34">
        <f t="shared" si="98"/>
        <v>56702.452133626342</v>
      </c>
      <c r="Y97" s="34">
        <f t="shared" si="98"/>
        <v>42526.839100219724</v>
      </c>
      <c r="Z97" s="34">
        <f t="shared" si="98"/>
        <v>28351.226066813113</v>
      </c>
      <c r="AA97" s="34">
        <f t="shared" si="98"/>
        <v>14175.613033406529</v>
      </c>
      <c r="AB97" s="34">
        <f t="shared" si="98"/>
        <v>0</v>
      </c>
      <c r="AC97" s="46"/>
      <c r="AD97" s="30" t="s">
        <v>50</v>
      </c>
      <c r="AE97" s="31">
        <f>SUM(D97:AB97)</f>
        <v>2784857.9174999991</v>
      </c>
    </row>
    <row r="98" spans="2:31" x14ac:dyDescent="0.25">
      <c r="B98" s="112" t="s">
        <v>47</v>
      </c>
      <c r="C98" s="110"/>
      <c r="D98" s="12">
        <f>D94+D96+D97+D95</f>
        <v>2036096.8427262031</v>
      </c>
      <c r="E98" s="12">
        <f t="shared" ref="E98:W98" si="99">E94+E96+E97+E95</f>
        <v>2126154.153475719</v>
      </c>
      <c r="F98" s="12">
        <f>F94+F96+F97+F95</f>
        <v>2227406.8240682799</v>
      </c>
      <c r="G98" s="12">
        <f t="shared" si="99"/>
        <v>2329969.7313513011</v>
      </c>
      <c r="H98" s="12">
        <f t="shared" si="99"/>
        <v>2433974.9688643473</v>
      </c>
      <c r="I98" s="12">
        <f>I94+I96+I97+I95</f>
        <v>2539575.4973202534</v>
      </c>
      <c r="J98" s="12">
        <f t="shared" si="99"/>
        <v>2646949.7960686721</v>
      </c>
      <c r="K98" s="12">
        <f>K94+K96+K97+K95</f>
        <v>2756307.8585063023</v>
      </c>
      <c r="L98" s="12">
        <f t="shared" si="99"/>
        <v>2867899.0183682633</v>
      </c>
      <c r="M98" s="12">
        <f>M94+M96+M97+M95</f>
        <v>2982022.3108219923</v>
      </c>
      <c r="N98" s="12">
        <f t="shared" si="99"/>
        <v>3009655.6571134585</v>
      </c>
      <c r="O98" s="12">
        <f t="shared" si="99"/>
        <v>3038156.268002904</v>
      </c>
      <c r="P98" s="12">
        <f t="shared" si="99"/>
        <v>3067542.7793038446</v>
      </c>
      <c r="Q98" s="12">
        <f t="shared" si="99"/>
        <v>3097834.2323263455</v>
      </c>
      <c r="R98" s="12">
        <f>R94+R96+R97+R95</f>
        <v>3129050.0827618032</v>
      </c>
      <c r="S98" s="12">
        <f>S94+S96+S97+S95</f>
        <v>3161210.2097634943</v>
      </c>
      <c r="T98" s="12">
        <f t="shared" si="99"/>
        <v>3194334.9252272067</v>
      </c>
      <c r="U98" s="12">
        <f t="shared" si="99"/>
        <v>3228444.9832763961</v>
      </c>
      <c r="V98" s="12">
        <f t="shared" si="99"/>
        <v>3263561.5899563939</v>
      </c>
      <c r="W98" s="12">
        <f t="shared" si="99"/>
        <v>3299706.4131422946</v>
      </c>
      <c r="X98" s="12">
        <f t="shared" ref="X98:AA98" si="100">X94+X96+X97+X95</f>
        <v>3336901.5926652667</v>
      </c>
      <c r="Y98" s="12">
        <f t="shared" si="100"/>
        <v>3375169.7506621121</v>
      </c>
      <c r="Z98" s="12">
        <f>Z94+Z96+Z97+Z95</f>
        <v>3414534.0021530325</v>
      </c>
      <c r="AA98" s="12">
        <f t="shared" si="100"/>
        <v>3455017.9658526531</v>
      </c>
      <c r="AB98" s="12">
        <f t="shared" ref="AB98" si="101">AB94+AB96+AB97+AB95</f>
        <v>3496645.7752194833</v>
      </c>
      <c r="AC98" s="127"/>
      <c r="AD98" s="175" t="s">
        <v>51</v>
      </c>
      <c r="AE98" s="39">
        <f>SUM(AE96:AE97)</f>
        <v>12290958.917499999</v>
      </c>
    </row>
    <row r="99" spans="2:31" ht="15.75" thickBot="1" x14ac:dyDescent="0.3">
      <c r="B99" s="117"/>
      <c r="C99" s="118"/>
      <c r="D99" s="119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2:31" ht="16.5" thickTop="1" thickBot="1" x14ac:dyDescent="0.3">
      <c r="B100" s="114" t="s">
        <v>31</v>
      </c>
      <c r="C100" s="115"/>
      <c r="D100" s="116">
        <f>+D92-D98</f>
        <v>-15038.091917490819</v>
      </c>
      <c r="E100" s="17">
        <f t="shared" ref="E100:W100" si="102">+E92-E98</f>
        <v>192769.0701750908</v>
      </c>
      <c r="F100" s="17">
        <f t="shared" si="102"/>
        <v>448304.09185484052</v>
      </c>
      <c r="G100" s="17">
        <f t="shared" si="102"/>
        <v>459574.15849583689</v>
      </c>
      <c r="H100" s="17">
        <f t="shared" si="102"/>
        <v>471008.2149380995</v>
      </c>
      <c r="I100" s="17">
        <f t="shared" si="102"/>
        <v>482607.72152566863</v>
      </c>
      <c r="J100" s="17">
        <f t="shared" si="102"/>
        <v>494374.12583052833</v>
      </c>
      <c r="K100" s="17">
        <f t="shared" si="102"/>
        <v>506308.86146647297</v>
      </c>
      <c r="L100" s="17">
        <f t="shared" si="102"/>
        <v>518413.34685867559</v>
      </c>
      <c r="M100" s="17">
        <f t="shared" si="102"/>
        <v>530688.98396762274</v>
      </c>
      <c r="N100" s="17">
        <f t="shared" si="102"/>
        <v>543137.15696600964</v>
      </c>
      <c r="O100" s="17">
        <f t="shared" si="102"/>
        <v>555759.23086721916</v>
      </c>
      <c r="P100" s="17">
        <f t="shared" si="102"/>
        <v>568556.55010388093</v>
      </c>
      <c r="Q100" s="17">
        <f t="shared" si="102"/>
        <v>581530.43705504015</v>
      </c>
      <c r="R100" s="17">
        <f t="shared" si="102"/>
        <v>594682.19052040624</v>
      </c>
      <c r="S100" s="17">
        <f t="shared" si="102"/>
        <v>608013.08414006932</v>
      </c>
      <c r="T100" s="17">
        <f t="shared" si="102"/>
        <v>621524.36475808918</v>
      </c>
      <c r="U100" s="17">
        <f t="shared" si="102"/>
        <v>635217.25072827004</v>
      </c>
      <c r="V100" s="17">
        <f t="shared" si="102"/>
        <v>649092.93016042141</v>
      </c>
      <c r="W100" s="17">
        <f t="shared" si="102"/>
        <v>663152.55910533434</v>
      </c>
      <c r="X100" s="17">
        <f t="shared" ref="X100:AA100" si="103">+X92-X98</f>
        <v>677397.25967666367</v>
      </c>
      <c r="Y100" s="17">
        <f t="shared" si="103"/>
        <v>691828.11810786556</v>
      </c>
      <c r="Z100" s="17">
        <f t="shared" si="103"/>
        <v>706446.18274227995</v>
      </c>
      <c r="AA100" s="17">
        <f t="shared" si="103"/>
        <v>721252.46195439203</v>
      </c>
      <c r="AB100" s="17">
        <f t="shared" ref="AB100" si="104">+AB92-AB98</f>
        <v>736247.92200026009</v>
      </c>
      <c r="AC100" s="127"/>
      <c r="AD100" s="30" t="s">
        <v>52</v>
      </c>
      <c r="AE100" s="31">
        <f>SUM(D100:AB100)</f>
        <v>13642848.182081547</v>
      </c>
    </row>
    <row r="101" spans="2:31" ht="15.75" thickTop="1" x14ac:dyDescent="0.25">
      <c r="B101" s="37" t="s">
        <v>46</v>
      </c>
      <c r="D101" s="38">
        <f t="shared" ref="D101:AB101" si="105">+D43</f>
        <v>186462.64411320502</v>
      </c>
      <c r="E101" s="38">
        <f t="shared" si="105"/>
        <v>188716.00612809893</v>
      </c>
      <c r="F101" s="38">
        <f t="shared" si="105"/>
        <v>192050.82718081307</v>
      </c>
      <c r="G101" s="38">
        <f t="shared" si="105"/>
        <v>195454.56064909272</v>
      </c>
      <c r="H101" s="38">
        <f t="shared" si="105"/>
        <v>198928.69167086712</v>
      </c>
      <c r="I101" s="38">
        <f t="shared" si="105"/>
        <v>202474.73784330522</v>
      </c>
      <c r="J101" s="38">
        <f t="shared" si="105"/>
        <v>206094.24993734236</v>
      </c>
      <c r="K101" s="38">
        <f t="shared" si="105"/>
        <v>209788.81262802042</v>
      </c>
      <c r="L101" s="38">
        <f t="shared" si="105"/>
        <v>213560.04524099504</v>
      </c>
      <c r="M101" s="38">
        <f t="shared" si="105"/>
        <v>217409.60251556698</v>
      </c>
      <c r="N101" s="38">
        <f t="shared" si="105"/>
        <v>221339.17538460795</v>
      </c>
      <c r="O101" s="38">
        <f t="shared" si="105"/>
        <v>225350.49177175394</v>
      </c>
      <c r="P101" s="38">
        <f t="shared" si="105"/>
        <v>229445.31740625302</v>
      </c>
      <c r="Q101" s="38">
        <f t="shared" si="105"/>
        <v>233625.45665585814</v>
      </c>
      <c r="R101" s="38">
        <f t="shared" si="105"/>
        <v>237892.75337816784</v>
      </c>
      <c r="S101" s="38">
        <f t="shared" si="105"/>
        <v>242249.09179082495</v>
      </c>
      <c r="T101" s="38">
        <f t="shared" si="105"/>
        <v>246696.39736099294</v>
      </c>
      <c r="U101" s="38">
        <f t="shared" si="105"/>
        <v>251236.63771453957</v>
      </c>
      <c r="V101" s="38">
        <f t="shared" si="105"/>
        <v>255871.82356536554</v>
      </c>
      <c r="W101" s="38">
        <f t="shared" si="105"/>
        <v>260604.00966532782</v>
      </c>
      <c r="X101" s="38">
        <f t="shared" si="105"/>
        <v>265435.29577521567</v>
      </c>
      <c r="Y101" s="38">
        <f t="shared" si="105"/>
        <v>270367.82765724766</v>
      </c>
      <c r="Z101" s="38">
        <f t="shared" si="105"/>
        <v>275403.79808957013</v>
      </c>
      <c r="AA101" s="38">
        <f t="shared" si="105"/>
        <v>280545.44790324592</v>
      </c>
      <c r="AB101" s="38">
        <f t="shared" si="105"/>
        <v>285795.06704223563</v>
      </c>
      <c r="AC101" s="38"/>
      <c r="AD101" s="176" t="s">
        <v>53</v>
      </c>
      <c r="AE101" s="40">
        <f>SUM(D101:AB101)</f>
        <v>5792798.7690685149</v>
      </c>
    </row>
    <row r="102" spans="2:31" x14ac:dyDescent="0.25">
      <c r="B102" s="20" t="s">
        <v>32</v>
      </c>
      <c r="C102" s="103"/>
      <c r="D102" s="21">
        <f>D100+D96</f>
        <v>25292.112082509178</v>
      </c>
      <c r="E102" s="21">
        <f t="shared" ref="E102:W102" si="106">E100+E96</f>
        <v>272441.15334175748</v>
      </c>
      <c r="F102" s="21">
        <f t="shared" si="106"/>
        <v>569028.5706736811</v>
      </c>
      <c r="G102" s="21">
        <f t="shared" si="106"/>
        <v>623217.05095104105</v>
      </c>
      <c r="H102" s="21">
        <f t="shared" si="106"/>
        <v>679613.25501235132</v>
      </c>
      <c r="I102" s="21">
        <f t="shared" si="106"/>
        <v>738423.01659992046</v>
      </c>
      <c r="J102" s="21">
        <f t="shared" si="106"/>
        <v>799884.42616793804</v>
      </c>
      <c r="K102" s="21">
        <f t="shared" si="106"/>
        <v>864275.00069277151</v>
      </c>
      <c r="L102" s="21">
        <f t="shared" si="106"/>
        <v>931920.96255556238</v>
      </c>
      <c r="M102" s="21">
        <f t="shared" si="106"/>
        <v>1003209.4184145096</v>
      </c>
      <c r="N102" s="21">
        <f t="shared" si="106"/>
        <v>1015657.5914128965</v>
      </c>
      <c r="O102" s="21">
        <f t="shared" si="106"/>
        <v>1028279.665314106</v>
      </c>
      <c r="P102" s="21">
        <f t="shared" si="106"/>
        <v>1041076.9845507678</v>
      </c>
      <c r="Q102" s="21">
        <f t="shared" si="106"/>
        <v>1054050.871501927</v>
      </c>
      <c r="R102" s="21">
        <f t="shared" si="106"/>
        <v>1067202.6249672931</v>
      </c>
      <c r="S102" s="21">
        <f t="shared" si="106"/>
        <v>1080533.5185869562</v>
      </c>
      <c r="T102" s="21">
        <f t="shared" si="106"/>
        <v>1094044.7992049761</v>
      </c>
      <c r="U102" s="21">
        <f t="shared" si="106"/>
        <v>1107737.6851751569</v>
      </c>
      <c r="V102" s="21">
        <f t="shared" si="106"/>
        <v>1121613.3646073083</v>
      </c>
      <c r="W102" s="21">
        <f t="shared" si="106"/>
        <v>1135672.9935522212</v>
      </c>
      <c r="X102" s="21">
        <f t="shared" ref="X102:AA102" si="107">X100+X96</f>
        <v>1149917.6941235506</v>
      </c>
      <c r="Y102" s="21">
        <f t="shared" si="107"/>
        <v>1164348.5525547524</v>
      </c>
      <c r="Z102" s="21">
        <f t="shared" si="107"/>
        <v>1178966.6171891668</v>
      </c>
      <c r="AA102" s="21">
        <f t="shared" si="107"/>
        <v>1193772.8964012789</v>
      </c>
      <c r="AB102" s="21">
        <f t="shared" ref="AB102" si="108">AB100+AB96</f>
        <v>1208768.356447147</v>
      </c>
      <c r="AC102" s="2"/>
      <c r="AD102" s="30" t="s">
        <v>58</v>
      </c>
      <c r="AE102" s="31">
        <f>+AE100-AE101</f>
        <v>7850049.4130130317</v>
      </c>
    </row>
    <row r="103" spans="2:31" x14ac:dyDescent="0.25">
      <c r="B103" s="22"/>
      <c r="AD103" t="s">
        <v>54</v>
      </c>
    </row>
    <row r="104" spans="2:31" x14ac:dyDescent="0.25">
      <c r="B104" s="20" t="s">
        <v>33</v>
      </c>
      <c r="C104" s="103"/>
      <c r="D104" s="21">
        <f>D102+D97</f>
        <v>54329.858962509177</v>
      </c>
      <c r="E104" s="21">
        <f t="shared" ref="E104:W104" si="109">E102+E97</f>
        <v>327414.89072675747</v>
      </c>
      <c r="F104" s="21">
        <f t="shared" si="109"/>
        <v>648706.7266941159</v>
      </c>
      <c r="G104" s="21">
        <f t="shared" si="109"/>
        <v>726312.07319781976</v>
      </c>
      <c r="H104" s="21">
        <f t="shared" si="109"/>
        <v>804776.27905690239</v>
      </c>
      <c r="I104" s="21">
        <f t="shared" si="109"/>
        <v>884237.73479224404</v>
      </c>
      <c r="J104" s="21">
        <f t="shared" si="109"/>
        <v>964859.98835013923</v>
      </c>
      <c r="K104" s="21">
        <f t="shared" si="109"/>
        <v>1046837.7316981838</v>
      </c>
      <c r="L104" s="21">
        <f t="shared" si="109"/>
        <v>1130404.618090068</v>
      </c>
      <c r="M104" s="21">
        <f t="shared" si="109"/>
        <v>1215843.6139156087</v>
      </c>
      <c r="N104" s="21">
        <f t="shared" si="109"/>
        <v>1214116.173880589</v>
      </c>
      <c r="O104" s="21">
        <f t="shared" si="109"/>
        <v>1212562.6347483918</v>
      </c>
      <c r="P104" s="21">
        <f t="shared" si="109"/>
        <v>1211184.3409516471</v>
      </c>
      <c r="Q104" s="21">
        <f t="shared" si="109"/>
        <v>1209982.6148693997</v>
      </c>
      <c r="R104" s="21">
        <f t="shared" si="109"/>
        <v>1208958.7553013591</v>
      </c>
      <c r="S104" s="21">
        <f t="shared" si="109"/>
        <v>1208114.0358876155</v>
      </c>
      <c r="T104" s="21">
        <f t="shared" si="109"/>
        <v>1207449.703472229</v>
      </c>
      <c r="U104" s="21">
        <f t="shared" si="109"/>
        <v>1206966.9764090031</v>
      </c>
      <c r="V104" s="21">
        <f t="shared" si="109"/>
        <v>1206667.0428077478</v>
      </c>
      <c r="W104" s="21">
        <f t="shared" si="109"/>
        <v>1206551.0587192541</v>
      </c>
      <c r="X104" s="21">
        <f t="shared" ref="X104:AA104" si="110">X102+X97</f>
        <v>1206620.146257177</v>
      </c>
      <c r="Y104" s="21">
        <f t="shared" si="110"/>
        <v>1206875.3916549722</v>
      </c>
      <c r="Z104" s="21">
        <f t="shared" si="110"/>
        <v>1207317.8432559799</v>
      </c>
      <c r="AA104" s="21">
        <f t="shared" si="110"/>
        <v>1207948.5094346853</v>
      </c>
      <c r="AB104" s="21">
        <f t="shared" ref="AB104" si="111">AB102+AB97</f>
        <v>1208768.356447147</v>
      </c>
      <c r="AC104" s="2"/>
      <c r="AD104" s="1" t="s">
        <v>55</v>
      </c>
      <c r="AE104" s="2">
        <f>SUM(D104:AB104)</f>
        <v>25933807.09958154</v>
      </c>
    </row>
    <row r="105" spans="2:31" x14ac:dyDescent="0.25">
      <c r="B105" s="22"/>
    </row>
    <row r="106" spans="2:31" ht="15.75" thickBot="1" x14ac:dyDescent="0.3">
      <c r="B106" s="120" t="s">
        <v>34</v>
      </c>
      <c r="C106" s="113"/>
      <c r="D106" s="177">
        <f t="shared" ref="D106:AB106" si="112">D104/POWER($E$133,D4)</f>
        <v>51605.109196912214</v>
      </c>
      <c r="E106" s="177">
        <f t="shared" si="112"/>
        <v>295397.40414939728</v>
      </c>
      <c r="F106" s="177">
        <f t="shared" si="112"/>
        <v>555918.04644029331</v>
      </c>
      <c r="G106" s="177">
        <f t="shared" si="112"/>
        <v>591207.25960481272</v>
      </c>
      <c r="H106" s="177">
        <f t="shared" si="112"/>
        <v>622222.60628690652</v>
      </c>
      <c r="I106" s="177">
        <f t="shared" si="112"/>
        <v>649372.34137050027</v>
      </c>
      <c r="J106" s="177">
        <f t="shared" si="112"/>
        <v>673043.54467873066</v>
      </c>
      <c r="K106" s="177">
        <f t="shared" si="112"/>
        <v>693605.22742641182</v>
      </c>
      <c r="L106" s="177">
        <f t="shared" si="112"/>
        <v>711411.75449286518</v>
      </c>
      <c r="M106" s="177">
        <f t="shared" si="112"/>
        <v>726806.75554077304</v>
      </c>
      <c r="N106" s="177">
        <f t="shared" si="112"/>
        <v>689375.12041945721</v>
      </c>
      <c r="O106" s="177">
        <f t="shared" si="112"/>
        <v>653963.73570987605</v>
      </c>
      <c r="P106" s="177">
        <f t="shared" si="112"/>
        <v>620460.09615777212</v>
      </c>
      <c r="Q106" s="177">
        <f t="shared" si="112"/>
        <v>588758.05594231898</v>
      </c>
      <c r="R106" s="177">
        <f t="shared" si="112"/>
        <v>558757.46805072983</v>
      </c>
      <c r="S106" s="177">
        <f t="shared" si="112"/>
        <v>530363.84403104719</v>
      </c>
      <c r="T106" s="177">
        <f t="shared" si="112"/>
        <v>503488.03297932446</v>
      </c>
      <c r="U106" s="177">
        <f t="shared" si="112"/>
        <v>478045.91868107382</v>
      </c>
      <c r="V106" s="177">
        <f t="shared" si="112"/>
        <v>453958.13388706179</v>
      </c>
      <c r="W106" s="177">
        <f t="shared" si="112"/>
        <v>431149.79076036171</v>
      </c>
      <c r="X106" s="177">
        <f t="shared" si="112"/>
        <v>409550.2265852968</v>
      </c>
      <c r="Y106" s="177">
        <f t="shared" si="112"/>
        <v>389092.76387964084</v>
      </c>
      <c r="Z106" s="177">
        <f t="shared" si="112"/>
        <v>369714.4840993713</v>
      </c>
      <c r="AA106" s="177">
        <f t="shared" si="112"/>
        <v>351356.01417054329</v>
      </c>
      <c r="AB106" s="177">
        <f t="shared" si="112"/>
        <v>333961.3251256221</v>
      </c>
      <c r="AC106" s="121"/>
    </row>
    <row r="107" spans="2:31" ht="16.5" thickTop="1" thickBot="1" x14ac:dyDescent="0.3">
      <c r="B107" s="22"/>
    </row>
    <row r="108" spans="2:31" ht="16.5" thickBot="1" x14ac:dyDescent="0.3">
      <c r="B108" s="23" t="s">
        <v>35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5">
        <f>SUM(D106:AB106)</f>
        <v>12932585.059667101</v>
      </c>
    </row>
    <row r="109" spans="2:31" x14ac:dyDescent="0.25">
      <c r="B109" s="22"/>
    </row>
    <row r="110" spans="2:31" x14ac:dyDescent="0.25">
      <c r="B110" s="22" t="s">
        <v>37</v>
      </c>
      <c r="D110" s="10">
        <f t="shared" ref="D110:AB110" si="113">+D64</f>
        <v>1008255.1</v>
      </c>
      <c r="E110" s="10">
        <f t="shared" si="113"/>
        <v>944205.1</v>
      </c>
      <c r="F110" s="10">
        <f t="shared" si="113"/>
        <v>944205.1</v>
      </c>
      <c r="G110" s="10">
        <f t="shared" si="113"/>
        <v>944205.1</v>
      </c>
      <c r="H110" s="10">
        <f t="shared" si="113"/>
        <v>944205.1</v>
      </c>
      <c r="I110" s="10">
        <f t="shared" si="113"/>
        <v>944205.1</v>
      </c>
      <c r="J110" s="10">
        <f t="shared" si="113"/>
        <v>944205.1</v>
      </c>
      <c r="K110" s="10">
        <f t="shared" si="113"/>
        <v>944205.1</v>
      </c>
      <c r="L110" s="10">
        <f t="shared" si="113"/>
        <v>944205.1</v>
      </c>
      <c r="M110" s="10">
        <f t="shared" si="113"/>
        <v>944205.1</v>
      </c>
      <c r="N110" s="10">
        <f t="shared" si="113"/>
        <v>0</v>
      </c>
      <c r="O110" s="10">
        <f t="shared" si="113"/>
        <v>0</v>
      </c>
      <c r="P110" s="10">
        <f t="shared" si="113"/>
        <v>0</v>
      </c>
      <c r="Q110" s="10">
        <f t="shared" si="113"/>
        <v>0</v>
      </c>
      <c r="R110" s="10">
        <f t="shared" si="113"/>
        <v>0</v>
      </c>
      <c r="S110" s="10">
        <f t="shared" si="113"/>
        <v>0</v>
      </c>
      <c r="T110" s="10">
        <f t="shared" si="113"/>
        <v>0</v>
      </c>
      <c r="U110" s="10">
        <f t="shared" si="113"/>
        <v>0</v>
      </c>
      <c r="V110" s="10">
        <f t="shared" si="113"/>
        <v>0</v>
      </c>
      <c r="W110" s="10">
        <f t="shared" si="113"/>
        <v>0</v>
      </c>
      <c r="X110" s="10">
        <f t="shared" si="113"/>
        <v>0</v>
      </c>
      <c r="Y110" s="10">
        <f t="shared" si="113"/>
        <v>0</v>
      </c>
      <c r="Z110" s="10">
        <f t="shared" si="113"/>
        <v>0</v>
      </c>
      <c r="AA110" s="126">
        <f t="shared" si="113"/>
        <v>0</v>
      </c>
      <c r="AB110" s="126">
        <f t="shared" si="113"/>
        <v>0</v>
      </c>
      <c r="AC110" s="18"/>
      <c r="AE110" s="2">
        <f>SUM(D110:AB110)</f>
        <v>9506100.9999999981</v>
      </c>
    </row>
    <row r="111" spans="2:31" ht="15.75" thickBot="1" x14ac:dyDescent="0.3"/>
    <row r="112" spans="2:31" ht="16.5" thickBot="1" x14ac:dyDescent="0.3">
      <c r="B112" s="32" t="s">
        <v>38</v>
      </c>
      <c r="C112" s="108"/>
      <c r="D112" s="33">
        <f t="shared" ref="D112:AC112" si="114">D110/POWER($E$133,D4)</f>
        <v>957689.11474164133</v>
      </c>
      <c r="E112" s="33">
        <f t="shared" si="114"/>
        <v>851872.48174790514</v>
      </c>
      <c r="F112" s="33">
        <f t="shared" si="114"/>
        <v>809149.39375750872</v>
      </c>
      <c r="G112" s="33">
        <f t="shared" si="114"/>
        <v>768568.95303714718</v>
      </c>
      <c r="H112" s="33">
        <f t="shared" si="114"/>
        <v>730023.70159303502</v>
      </c>
      <c r="I112" s="33">
        <f t="shared" si="114"/>
        <v>693411.57066207728</v>
      </c>
      <c r="J112" s="33">
        <f t="shared" si="114"/>
        <v>658635.61043130443</v>
      </c>
      <c r="K112" s="33">
        <f t="shared" si="114"/>
        <v>625603.73331240914</v>
      </c>
      <c r="L112" s="33">
        <f t="shared" si="114"/>
        <v>594228.47009157401</v>
      </c>
      <c r="M112" s="33">
        <f t="shared" si="114"/>
        <v>564426.73830886593</v>
      </c>
      <c r="N112" s="33">
        <f t="shared" si="114"/>
        <v>0</v>
      </c>
      <c r="O112" s="33">
        <f t="shared" si="114"/>
        <v>0</v>
      </c>
      <c r="P112" s="33">
        <f t="shared" si="114"/>
        <v>0</v>
      </c>
      <c r="Q112" s="33">
        <f t="shared" si="114"/>
        <v>0</v>
      </c>
      <c r="R112" s="33">
        <f t="shared" si="114"/>
        <v>0</v>
      </c>
      <c r="S112" s="33">
        <f t="shared" si="114"/>
        <v>0</v>
      </c>
      <c r="T112" s="33">
        <f t="shared" si="114"/>
        <v>0</v>
      </c>
      <c r="U112" s="33">
        <f t="shared" si="114"/>
        <v>0</v>
      </c>
      <c r="V112" s="33">
        <f t="shared" si="114"/>
        <v>0</v>
      </c>
      <c r="W112" s="33">
        <f t="shared" si="114"/>
        <v>0</v>
      </c>
      <c r="X112" s="33">
        <f t="shared" si="114"/>
        <v>0</v>
      </c>
      <c r="Y112" s="33">
        <f t="shared" si="114"/>
        <v>0</v>
      </c>
      <c r="Z112" s="33">
        <f t="shared" si="114"/>
        <v>0</v>
      </c>
      <c r="AA112" s="33">
        <f t="shared" si="114"/>
        <v>0</v>
      </c>
      <c r="AB112" s="33">
        <f t="shared" si="114"/>
        <v>0</v>
      </c>
      <c r="AC112" s="33">
        <f t="shared" si="114"/>
        <v>0</v>
      </c>
      <c r="AD112" s="95" t="s">
        <v>39</v>
      </c>
      <c r="AE112" s="25">
        <f>SUM(D112:AB112)</f>
        <v>7253609.7676834678</v>
      </c>
    </row>
    <row r="113" spans="2:31" x14ac:dyDescent="0.25">
      <c r="B113" s="22"/>
      <c r="C113" s="121"/>
      <c r="D113" s="121"/>
      <c r="E113" s="121"/>
      <c r="F113" s="121"/>
      <c r="G113" s="121"/>
      <c r="H113" s="121"/>
      <c r="I113" s="121"/>
      <c r="J113" s="121"/>
      <c r="K113" s="121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9" t="s">
        <v>42</v>
      </c>
      <c r="Z113" s="129"/>
      <c r="AA113" s="129"/>
      <c r="AB113" s="129"/>
      <c r="AC113" s="129"/>
      <c r="AE113" s="2">
        <f>+AE108-AE112</f>
        <v>5678975.2919836333</v>
      </c>
    </row>
    <row r="114" spans="2:31" x14ac:dyDescent="0.25">
      <c r="B114" s="22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2"/>
      <c r="X114" s="122"/>
      <c r="Y114" s="2"/>
    </row>
    <row r="115" spans="2:31" x14ac:dyDescent="0.25">
      <c r="B115" s="104" t="s">
        <v>91</v>
      </c>
      <c r="C115" s="105"/>
      <c r="D115" s="106">
        <f>+D110-D104</f>
        <v>953925.24103749078</v>
      </c>
      <c r="E115" s="106">
        <f t="shared" ref="E115:AB115" si="115">+E110-E104</f>
        <v>616790.20927324251</v>
      </c>
      <c r="F115" s="106">
        <f t="shared" si="115"/>
        <v>295498.37330588407</v>
      </c>
      <c r="G115" s="106">
        <f t="shared" si="115"/>
        <v>217893.02680218022</v>
      </c>
      <c r="H115" s="106">
        <f t="shared" si="115"/>
        <v>139428.82094309758</v>
      </c>
      <c r="I115" s="106">
        <f t="shared" si="115"/>
        <v>59967.365207755938</v>
      </c>
      <c r="J115" s="106">
        <f t="shared" si="115"/>
        <v>-20654.888350139256</v>
      </c>
      <c r="K115" s="106">
        <f t="shared" si="115"/>
        <v>-102632.63169818383</v>
      </c>
      <c r="L115" s="106">
        <f t="shared" si="115"/>
        <v>-186199.51809006801</v>
      </c>
      <c r="M115" s="106">
        <f t="shared" si="115"/>
        <v>-271638.51391560875</v>
      </c>
      <c r="N115" s="106">
        <f t="shared" si="115"/>
        <v>-1214116.173880589</v>
      </c>
      <c r="O115" s="106">
        <f t="shared" si="115"/>
        <v>-1212562.6347483918</v>
      </c>
      <c r="P115" s="106">
        <f t="shared" si="115"/>
        <v>-1211184.3409516471</v>
      </c>
      <c r="Q115" s="106">
        <f t="shared" si="115"/>
        <v>-1209982.6148693997</v>
      </c>
      <c r="R115" s="106">
        <f t="shared" si="115"/>
        <v>-1208958.7553013591</v>
      </c>
      <c r="S115" s="106">
        <f t="shared" si="115"/>
        <v>-1208114.0358876155</v>
      </c>
      <c r="T115" s="106">
        <f t="shared" si="115"/>
        <v>-1207449.703472229</v>
      </c>
      <c r="U115" s="106">
        <f t="shared" si="115"/>
        <v>-1206966.9764090031</v>
      </c>
      <c r="V115" s="106">
        <f t="shared" si="115"/>
        <v>-1206667.0428077478</v>
      </c>
      <c r="W115" s="107">
        <f t="shared" si="115"/>
        <v>-1206551.0587192541</v>
      </c>
      <c r="X115" s="107">
        <f t="shared" si="115"/>
        <v>-1206620.146257177</v>
      </c>
      <c r="Y115" s="107">
        <f t="shared" si="115"/>
        <v>-1206875.3916549722</v>
      </c>
      <c r="Z115" s="107">
        <f t="shared" si="115"/>
        <v>-1207317.8432559799</v>
      </c>
      <c r="AA115" s="107">
        <f t="shared" si="115"/>
        <v>-1207948.5094346853</v>
      </c>
      <c r="AB115" s="107">
        <f t="shared" si="115"/>
        <v>-1208768.356447147</v>
      </c>
    </row>
    <row r="116" spans="2:31" x14ac:dyDescent="0.25"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pans="2:31" x14ac:dyDescent="0.25"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2:31" x14ac:dyDescent="0.25">
      <c r="B118" t="s">
        <v>104</v>
      </c>
      <c r="D118" s="18">
        <f t="shared" ref="D118:AB118" si="116">D14-D29+D61-D30</f>
        <v>-33128.706331908266</v>
      </c>
      <c r="E118" s="18">
        <f t="shared" si="116"/>
        <v>236822.6589765033</v>
      </c>
      <c r="F118" s="18">
        <f t="shared" si="116"/>
        <v>553086.79967541341</v>
      </c>
      <c r="G118" s="18">
        <f t="shared" si="116"/>
        <v>629246.71255979943</v>
      </c>
      <c r="H118" s="18">
        <f t="shared" si="116"/>
        <v>706234.82225887186</v>
      </c>
      <c r="I118" s="18">
        <f t="shared" si="116"/>
        <v>784188.80730491667</v>
      </c>
      <c r="J118" s="18">
        <f t="shared" si="116"/>
        <v>863271.48680315551</v>
      </c>
      <c r="K118" s="18">
        <f t="shared" si="116"/>
        <v>943676.80662773049</v>
      </c>
      <c r="L118" s="18">
        <f t="shared" si="116"/>
        <v>1025637.6562771068</v>
      </c>
      <c r="M118" s="18">
        <f t="shared" si="116"/>
        <v>1109436.2203050172</v>
      </c>
      <c r="N118" s="18">
        <f t="shared" si="116"/>
        <v>1106033.1530712768</v>
      </c>
      <c r="O118" s="18">
        <f t="shared" si="116"/>
        <v>1102767.9720442169</v>
      </c>
      <c r="P118" s="18">
        <f t="shared" si="116"/>
        <v>1099641.1829627291</v>
      </c>
      <c r="Q118" s="18">
        <f t="shared" si="116"/>
        <v>1096653.2496531764</v>
      </c>
      <c r="R118" s="18">
        <f t="shared" si="116"/>
        <v>1093804.5920324628</v>
      </c>
      <c r="S118" s="18">
        <f t="shared" si="116"/>
        <v>1091095.5840454192</v>
      </c>
      <c r="T118" s="18">
        <f t="shared" si="116"/>
        <v>1088526.5515346199</v>
      </c>
      <c r="U118" s="18">
        <f t="shared" si="116"/>
        <v>1086097.770040689</v>
      </c>
      <c r="V118" s="18">
        <f t="shared" si="116"/>
        <v>1083809.4625311128</v>
      </c>
      <c r="W118" s="18">
        <f t="shared" si="116"/>
        <v>1081661.7970555034</v>
      </c>
      <c r="X118" s="18">
        <f t="shared" si="116"/>
        <v>1079654.8843252189</v>
      </c>
      <c r="Y118" s="18">
        <f t="shared" si="116"/>
        <v>1077788.7752151936</v>
      </c>
      <c r="Z118" s="18">
        <f t="shared" si="116"/>
        <v>1076063.4581857515</v>
      </c>
      <c r="AA118" s="18">
        <f t="shared" si="116"/>
        <v>1074478.8566221406</v>
      </c>
      <c r="AB118" s="18">
        <f t="shared" si="116"/>
        <v>1073034.826089453</v>
      </c>
    </row>
    <row r="119" spans="2:31" x14ac:dyDescent="0.25">
      <c r="B119" t="s">
        <v>105</v>
      </c>
      <c r="D119" s="18">
        <f>+D118-D110</f>
        <v>-1041383.8063319082</v>
      </c>
      <c r="E119" s="18">
        <f t="shared" ref="E119:AB119" si="117">+E118-E110</f>
        <v>-707382.44102349668</v>
      </c>
      <c r="F119" s="18">
        <f t="shared" si="117"/>
        <v>-391118.30032458657</v>
      </c>
      <c r="G119" s="18">
        <f t="shared" si="117"/>
        <v>-314958.38744020055</v>
      </c>
      <c r="H119" s="18">
        <f t="shared" si="117"/>
        <v>-237970.27774112811</v>
      </c>
      <c r="I119" s="18">
        <f t="shared" si="117"/>
        <v>-160016.29269508331</v>
      </c>
      <c r="J119" s="18">
        <f t="shared" si="117"/>
        <v>-80933.613196844468</v>
      </c>
      <c r="K119" s="18">
        <f t="shared" si="117"/>
        <v>-528.29337226948701</v>
      </c>
      <c r="L119" s="18">
        <f t="shared" si="117"/>
        <v>81432.556277106865</v>
      </c>
      <c r="M119" s="18">
        <f t="shared" si="117"/>
        <v>165231.12030501722</v>
      </c>
      <c r="N119" s="18">
        <f t="shared" si="117"/>
        <v>1106033.1530712768</v>
      </c>
      <c r="O119" s="18">
        <f t="shared" si="117"/>
        <v>1102767.9720442169</v>
      </c>
      <c r="P119" s="18">
        <f t="shared" si="117"/>
        <v>1099641.1829627291</v>
      </c>
      <c r="Q119" s="18">
        <f t="shared" si="117"/>
        <v>1096653.2496531764</v>
      </c>
      <c r="R119" s="18">
        <f t="shared" si="117"/>
        <v>1093804.5920324628</v>
      </c>
      <c r="S119" s="18">
        <f t="shared" si="117"/>
        <v>1091095.5840454192</v>
      </c>
      <c r="T119" s="18">
        <f t="shared" si="117"/>
        <v>1088526.5515346199</v>
      </c>
      <c r="U119" s="18">
        <f t="shared" si="117"/>
        <v>1086097.770040689</v>
      </c>
      <c r="V119" s="18">
        <f t="shared" si="117"/>
        <v>1083809.4625311128</v>
      </c>
      <c r="W119" s="18">
        <f t="shared" si="117"/>
        <v>1081661.7970555034</v>
      </c>
      <c r="X119" s="18">
        <f t="shared" si="117"/>
        <v>1079654.8843252189</v>
      </c>
      <c r="Y119" s="18">
        <f t="shared" si="117"/>
        <v>1077788.7752151936</v>
      </c>
      <c r="Z119" s="18">
        <f t="shared" si="117"/>
        <v>1076063.4581857515</v>
      </c>
      <c r="AA119" s="18">
        <f t="shared" si="117"/>
        <v>1074478.8566221406</v>
      </c>
      <c r="AB119" s="18">
        <f t="shared" si="117"/>
        <v>1073034.826089453</v>
      </c>
    </row>
    <row r="120" spans="2:31" x14ac:dyDescent="0.25">
      <c r="B120" t="s">
        <v>102</v>
      </c>
      <c r="D120" s="18">
        <f t="shared" ref="D120:AB120" si="118">+D119/($E$133^D4)</f>
        <v>-989156.35099915299</v>
      </c>
      <c r="E120" s="18">
        <f t="shared" si="118"/>
        <v>-638208.40999437228</v>
      </c>
      <c r="F120" s="18">
        <f t="shared" si="118"/>
        <v>-335174.14340920892</v>
      </c>
      <c r="G120" s="18">
        <f t="shared" si="118"/>
        <v>-256371.45794402415</v>
      </c>
      <c r="H120" s="18">
        <f t="shared" si="118"/>
        <v>-183989.62579814595</v>
      </c>
      <c r="I120" s="18">
        <f t="shared" si="118"/>
        <v>-117513.82072520092</v>
      </c>
      <c r="J120" s="18">
        <f t="shared" si="118"/>
        <v>-56455.699860459063</v>
      </c>
      <c r="K120" s="18">
        <f t="shared" si="118"/>
        <v>-350.03232451931626</v>
      </c>
      <c r="L120" s="18">
        <f t="shared" si="118"/>
        <v>51248.974753675044</v>
      </c>
      <c r="M120" s="18">
        <f t="shared" si="118"/>
        <v>98771.82648227668</v>
      </c>
      <c r="N120" s="18">
        <f t="shared" si="118"/>
        <v>628005.58504166198</v>
      </c>
      <c r="O120" s="18">
        <f t="shared" si="118"/>
        <v>594748.87478194805</v>
      </c>
      <c r="P120" s="18">
        <f t="shared" si="118"/>
        <v>563319.2661523514</v>
      </c>
      <c r="Q120" s="18">
        <f t="shared" si="118"/>
        <v>533613.81178052782</v>
      </c>
      <c r="R120" s="18">
        <f t="shared" si="118"/>
        <v>505535.43014291889</v>
      </c>
      <c r="S120" s="18">
        <f t="shared" si="118"/>
        <v>478992.57104025601</v>
      </c>
      <c r="T120" s="18">
        <f t="shared" si="118"/>
        <v>453898.90005512623</v>
      </c>
      <c r="U120" s="18">
        <f t="shared" si="118"/>
        <v>430173.00092278974</v>
      </c>
      <c r="V120" s="18">
        <f t="shared" si="118"/>
        <v>407738.09480611788</v>
      </c>
      <c r="W120" s="18">
        <f t="shared" si="118"/>
        <v>386521.77552186913</v>
      </c>
      <c r="X120" s="18">
        <f t="shared" si="118"/>
        <v>366455.75981877546</v>
      </c>
      <c r="Y120" s="18">
        <f t="shared" si="118"/>
        <v>347475.65185820061</v>
      </c>
      <c r="Z120" s="18">
        <f t="shared" si="118"/>
        <v>329520.72109562933</v>
      </c>
      <c r="AA120" s="18">
        <f t="shared" si="118"/>
        <v>312533.6928061262</v>
      </c>
      <c r="AB120" s="18">
        <f t="shared" si="118"/>
        <v>296460.55053927447</v>
      </c>
    </row>
    <row r="121" spans="2:31" x14ac:dyDescent="0.25">
      <c r="B121" t="s">
        <v>103</v>
      </c>
      <c r="D121" s="18">
        <f>+D120</f>
        <v>-989156.35099915299</v>
      </c>
      <c r="E121" s="18">
        <f>+E120+D121</f>
        <v>-1627364.7609935254</v>
      </c>
      <c r="F121" s="18">
        <f t="shared" ref="F121:Z121" si="119">+F120+E121</f>
        <v>-1962538.9044027342</v>
      </c>
      <c r="G121" s="18">
        <f t="shared" si="119"/>
        <v>-2218910.3623467586</v>
      </c>
      <c r="H121" s="18">
        <f t="shared" si="119"/>
        <v>-2402899.9881449044</v>
      </c>
      <c r="I121" s="18">
        <f t="shared" si="119"/>
        <v>-2520413.8088701051</v>
      </c>
      <c r="J121" s="18">
        <f t="shared" si="119"/>
        <v>-2576869.5087305643</v>
      </c>
      <c r="K121" s="18">
        <f>+K120+J121</f>
        <v>-2577219.5410550837</v>
      </c>
      <c r="L121" s="18">
        <f t="shared" si="119"/>
        <v>-2525970.5663014087</v>
      </c>
      <c r="M121" s="18">
        <f t="shared" si="119"/>
        <v>-2427198.7398191318</v>
      </c>
      <c r="N121" s="18">
        <f>+N120+M121</f>
        <v>-1799193.1547774698</v>
      </c>
      <c r="O121" s="18">
        <f t="shared" si="119"/>
        <v>-1204444.2799955218</v>
      </c>
      <c r="P121" s="18">
        <f t="shared" si="119"/>
        <v>-641125.01384317037</v>
      </c>
      <c r="Q121" s="18">
        <f t="shared" si="119"/>
        <v>-107511.20206264255</v>
      </c>
      <c r="R121" s="18">
        <f t="shared" si="119"/>
        <v>398024.22808027634</v>
      </c>
      <c r="S121" s="18">
        <f t="shared" si="119"/>
        <v>877016.79912053235</v>
      </c>
      <c r="T121" s="18">
        <f t="shared" si="119"/>
        <v>1330915.6991756586</v>
      </c>
      <c r="U121" s="18">
        <f t="shared" si="119"/>
        <v>1761088.7000984484</v>
      </c>
      <c r="V121" s="18">
        <f t="shared" si="119"/>
        <v>2168826.7949045664</v>
      </c>
      <c r="W121" s="18">
        <f t="shared" si="119"/>
        <v>2555348.5704264357</v>
      </c>
      <c r="X121" s="18">
        <f t="shared" si="119"/>
        <v>2921804.3302452113</v>
      </c>
      <c r="Y121" s="18">
        <f t="shared" si="119"/>
        <v>3269279.982103412</v>
      </c>
      <c r="Z121" s="18">
        <f t="shared" si="119"/>
        <v>3598800.7031990415</v>
      </c>
      <c r="AA121" s="18">
        <f>+AA120+Z121</f>
        <v>3911334.3960051676</v>
      </c>
      <c r="AB121" s="18">
        <f>+AB120+AA121</f>
        <v>4207794.9465444423</v>
      </c>
    </row>
    <row r="122" spans="2:31" x14ac:dyDescent="0.25">
      <c r="B122" t="s">
        <v>106</v>
      </c>
      <c r="AB122" s="168" t="s">
        <v>107</v>
      </c>
    </row>
    <row r="124" spans="2:31" ht="15.75" thickBot="1" x14ac:dyDescent="0.3"/>
    <row r="125" spans="2:31" x14ac:dyDescent="0.25">
      <c r="C125" s="101" t="s">
        <v>92</v>
      </c>
      <c r="D125" s="102" t="s">
        <v>40</v>
      </c>
      <c r="E125" s="101" t="s">
        <v>93</v>
      </c>
    </row>
    <row r="126" spans="2:31" ht="15.75" thickBot="1" x14ac:dyDescent="0.3">
      <c r="C126" s="135">
        <f>NPV(E132,D104:AB104)-AE112</f>
        <v>5678975.2919836445</v>
      </c>
      <c r="D126" s="136">
        <f>+IRR(D115:AB115)</f>
        <v>0.15983619644180092</v>
      </c>
      <c r="E126" s="137">
        <f>+AE108/AE112</f>
        <v>1.7829171231797993</v>
      </c>
    </row>
    <row r="128" spans="2:31" x14ac:dyDescent="0.25">
      <c r="B128" s="13" t="s">
        <v>109</v>
      </c>
    </row>
    <row r="129" spans="2:11" x14ac:dyDescent="0.25">
      <c r="B129" s="13"/>
    </row>
    <row r="130" spans="2:11" x14ac:dyDescent="0.25">
      <c r="B130" s="174" t="s">
        <v>110</v>
      </c>
    </row>
    <row r="132" spans="2:11" x14ac:dyDescent="0.25">
      <c r="B132" s="26" t="s">
        <v>36</v>
      </c>
      <c r="C132" s="27"/>
      <c r="D132" s="27"/>
      <c r="E132" s="138">
        <v>5.28E-2</v>
      </c>
      <c r="G132" s="85"/>
    </row>
    <row r="133" spans="2:11" x14ac:dyDescent="0.25">
      <c r="B133" s="28"/>
      <c r="C133" s="29"/>
      <c r="D133" s="29"/>
      <c r="E133" s="173">
        <f>E132+1</f>
        <v>1.0528</v>
      </c>
    </row>
    <row r="135" spans="2:11" x14ac:dyDescent="0.25">
      <c r="B135" t="s">
        <v>41</v>
      </c>
    </row>
    <row r="142" spans="2:11" x14ac:dyDescent="0.25">
      <c r="C142" s="45"/>
      <c r="D142" s="18"/>
      <c r="E142" s="18"/>
      <c r="F142" s="18"/>
    </row>
    <row r="143" spans="2:11" x14ac:dyDescent="0.25">
      <c r="C143" s="45"/>
      <c r="D143" s="18"/>
      <c r="E143" s="18"/>
      <c r="F143" s="18"/>
    </row>
    <row r="144" spans="2:11" x14ac:dyDescent="0.25">
      <c r="C144" s="45"/>
      <c r="D144" s="18"/>
      <c r="E144" s="18"/>
      <c r="F144" s="18"/>
      <c r="I144" s="45"/>
      <c r="J144" s="45"/>
      <c r="K144" s="18"/>
    </row>
    <row r="145" spans="3:11" x14ac:dyDescent="0.25">
      <c r="C145" s="45"/>
      <c r="D145" s="18"/>
      <c r="E145" s="18"/>
      <c r="F145" s="18"/>
      <c r="I145" s="45"/>
      <c r="J145" s="45"/>
      <c r="K145" s="18"/>
    </row>
    <row r="146" spans="3:11" x14ac:dyDescent="0.25">
      <c r="C146" s="45"/>
      <c r="D146" s="18"/>
      <c r="E146" s="18"/>
      <c r="F146" s="18"/>
      <c r="I146" s="130"/>
      <c r="J146" s="130"/>
      <c r="K146" s="131"/>
    </row>
    <row r="147" spans="3:11" x14ac:dyDescent="0.25">
      <c r="C147" s="45"/>
      <c r="D147" s="18"/>
      <c r="E147" s="18"/>
      <c r="F147" s="18"/>
    </row>
    <row r="148" spans="3:11" x14ac:dyDescent="0.25">
      <c r="C148" s="45"/>
      <c r="D148" s="18"/>
      <c r="E148" s="18"/>
      <c r="F148" s="18"/>
    </row>
    <row r="149" spans="3:11" x14ac:dyDescent="0.25">
      <c r="C149" s="45"/>
      <c r="D149" s="18"/>
      <c r="E149" s="18"/>
      <c r="F149" s="18"/>
    </row>
    <row r="150" spans="3:11" x14ac:dyDescent="0.25">
      <c r="C150" s="45"/>
      <c r="D150" s="18"/>
      <c r="E150" s="18"/>
      <c r="F150" s="18"/>
    </row>
    <row r="151" spans="3:11" x14ac:dyDescent="0.25">
      <c r="C151" s="45"/>
      <c r="D151" s="18"/>
      <c r="E151" s="18"/>
      <c r="F151" s="18"/>
    </row>
    <row r="152" spans="3:11" x14ac:dyDescent="0.25">
      <c r="C152" s="45"/>
      <c r="D152" s="18"/>
      <c r="E152" s="18"/>
      <c r="F152" s="18"/>
    </row>
    <row r="153" spans="3:11" x14ac:dyDescent="0.25">
      <c r="C153" s="45"/>
      <c r="D153" s="18"/>
      <c r="E153" s="18"/>
      <c r="F153" s="18"/>
    </row>
    <row r="154" spans="3:11" x14ac:dyDescent="0.25">
      <c r="C154" s="45"/>
      <c r="D154" s="18"/>
      <c r="E154" s="18"/>
      <c r="F154" s="18"/>
    </row>
    <row r="155" spans="3:11" x14ac:dyDescent="0.25">
      <c r="C155" s="45"/>
      <c r="D155" s="18"/>
      <c r="E155" s="18"/>
      <c r="F155" s="18"/>
    </row>
    <row r="156" spans="3:11" x14ac:dyDescent="0.25">
      <c r="C156" s="45"/>
      <c r="D156" s="18"/>
      <c r="E156" s="18"/>
      <c r="F156" s="18"/>
    </row>
    <row r="157" spans="3:11" x14ac:dyDescent="0.25">
      <c r="C157" s="45"/>
      <c r="D157" s="18"/>
      <c r="E157" s="18"/>
      <c r="F157" s="18"/>
    </row>
    <row r="158" spans="3:11" x14ac:dyDescent="0.25">
      <c r="C158" s="45"/>
      <c r="D158" s="18"/>
      <c r="E158" s="18"/>
      <c r="F158" s="18"/>
    </row>
    <row r="159" spans="3:11" x14ac:dyDescent="0.25">
      <c r="C159" s="45"/>
      <c r="D159" s="18"/>
      <c r="E159" s="18"/>
      <c r="F159" s="18"/>
    </row>
    <row r="160" spans="3:11" x14ac:dyDescent="0.25">
      <c r="C160" s="45"/>
      <c r="D160" s="18"/>
      <c r="E160" s="18"/>
      <c r="F160" s="18"/>
    </row>
    <row r="161" spans="4:6" x14ac:dyDescent="0.25">
      <c r="D161" s="18"/>
      <c r="E161" s="132"/>
      <c r="F161" s="133"/>
    </row>
  </sheetData>
  <mergeCells count="4">
    <mergeCell ref="AD11:AD12"/>
    <mergeCell ref="AD16:AE17"/>
    <mergeCell ref="AD18:AE19"/>
    <mergeCell ref="AD23:AE25"/>
  </mergeCells>
  <conditionalFormatting sqref="D116:AB12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Compte de resultats i 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Comas</dc:creator>
  <cp:lastModifiedBy>Lali Ribera</cp:lastModifiedBy>
  <cp:lastPrinted>2024-04-02T11:04:39Z</cp:lastPrinted>
  <dcterms:created xsi:type="dcterms:W3CDTF">2019-01-12T11:43:22Z</dcterms:created>
  <dcterms:modified xsi:type="dcterms:W3CDTF">2024-11-08T07:55:59Z</dcterms:modified>
</cp:coreProperties>
</file>