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omments1.xml" ContentType="application/vnd.openxmlformats-officedocument.spreadsheetml.comments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Lourdes\Downloads\"/>
    </mc:Choice>
  </mc:AlternateContent>
  <xr:revisionPtr revIDLastSave="0" documentId="8_{663D8B98-A472-4085-B168-A8FB5A7231C0}" xr6:coauthVersionLast="47" xr6:coauthVersionMax="47" xr10:uidLastSave="{00000000-0000-0000-0000-000000000000}"/>
  <bookViews>
    <workbookView xWindow="-108" yWindow="-108" windowWidth="23256" windowHeight="12456" firstSheet="4" activeTab="7" xr2:uid="{00000000-000D-0000-FFFF-FFFF00000000}"/>
  </bookViews>
  <sheets>
    <sheet name="Dades Referència" sheetId="24" r:id="rId1"/>
    <sheet name="Dades població" sheetId="1" r:id="rId2"/>
    <sheet name="FV VOL OLI TEXTIL" sheetId="6" r:id="rId3"/>
    <sheet name="DEIXALLERIA MOBIL" sheetId="11" r:id="rId4"/>
    <sheet name="VIDRE" sheetId="28" r:id="rId5"/>
    <sheet name="INVERSIONS VIDRE" sheetId="14" r:id="rId6"/>
    <sheet name="BANYERES" sheetId="30" r:id="rId7"/>
    <sheet name="RESUM LOTS" sheetId="35" r:id="rId8"/>
    <sheet name="III - PRESSUPOST TOTAL" sheetId="21" r:id="rId9"/>
    <sheet name="Preus unitaris" sheetId="22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21" l="1"/>
  <c r="B39" i="21"/>
  <c r="B32" i="21"/>
  <c r="P95" i="35"/>
  <c r="P97" i="35" s="1"/>
  <c r="P96" i="35"/>
  <c r="P94" i="35"/>
  <c r="P93" i="35"/>
  <c r="P92" i="35"/>
  <c r="P91" i="35"/>
  <c r="P90" i="35"/>
  <c r="B71" i="35"/>
  <c r="B8" i="21"/>
  <c r="B80" i="6"/>
  <c r="B40" i="11"/>
  <c r="B56" i="30"/>
  <c r="B80" i="35"/>
  <c r="B55" i="30"/>
  <c r="D50" i="30"/>
  <c r="C48" i="30"/>
  <c r="D49" i="30"/>
  <c r="B16" i="11"/>
  <c r="E21" i="30"/>
  <c r="B21" i="30"/>
  <c r="I6" i="14"/>
  <c r="H59" i="28"/>
  <c r="B46" i="28"/>
  <c r="E34" i="28"/>
  <c r="D34" i="28"/>
  <c r="B34" i="28"/>
  <c r="B31" i="28"/>
  <c r="B26" i="28"/>
  <c r="B25" i="28"/>
  <c r="B24" i="28"/>
  <c r="J18" i="28"/>
  <c r="H18" i="28"/>
  <c r="G18" i="28"/>
  <c r="F18" i="28"/>
  <c r="A18" i="28"/>
  <c r="C18" i="28"/>
  <c r="E11" i="28"/>
  <c r="B11" i="28"/>
  <c r="G2" i="28"/>
  <c r="H4" i="28"/>
  <c r="G4" i="28" s="1"/>
  <c r="H8" i="28"/>
  <c r="I8" i="28"/>
  <c r="I2" i="28"/>
  <c r="C8" i="28"/>
  <c r="D8" i="28"/>
  <c r="E2" i="28"/>
  <c r="B37" i="11"/>
  <c r="B28" i="11"/>
  <c r="F31" i="11"/>
  <c r="B22" i="11"/>
  <c r="I2" i="11"/>
  <c r="G2" i="11"/>
  <c r="H2" i="11"/>
  <c r="J6" i="11" s="1"/>
  <c r="E2" i="11"/>
  <c r="D2" i="11"/>
  <c r="D72" i="6"/>
  <c r="I50" i="6"/>
  <c r="D34" i="6"/>
  <c r="E29" i="6"/>
  <c r="E28" i="6"/>
  <c r="B28" i="6"/>
  <c r="B24" i="6"/>
  <c r="D24" i="6"/>
  <c r="I3" i="6"/>
  <c r="F3" i="6"/>
  <c r="P98" i="35" l="1"/>
  <c r="G8" i="28"/>
  <c r="J54" i="6" l="1"/>
  <c r="J50" i="6"/>
  <c r="H47" i="6"/>
  <c r="B32" i="35"/>
  <c r="B38" i="11"/>
  <c r="B55" i="35"/>
  <c r="B57" i="35"/>
  <c r="B56" i="35"/>
  <c r="B65" i="28"/>
  <c r="B66" i="28"/>
  <c r="B62" i="28"/>
  <c r="B39" i="11"/>
  <c r="F46" i="28"/>
  <c r="B78" i="6"/>
  <c r="F68" i="6"/>
  <c r="G10" i="11"/>
  <c r="G53" i="6"/>
  <c r="G52" i="6"/>
  <c r="G51" i="6"/>
  <c r="G50" i="6"/>
  <c r="F50" i="6"/>
  <c r="B29" i="6"/>
  <c r="C29" i="6"/>
  <c r="B37" i="6"/>
  <c r="B3" i="11"/>
  <c r="C28" i="11"/>
  <c r="D28" i="11"/>
  <c r="D31" i="11"/>
  <c r="B79" i="35"/>
  <c r="B78" i="35"/>
  <c r="B52" i="35"/>
  <c r="E59" i="28"/>
  <c r="G59" i="28" s="1"/>
  <c r="D44" i="30"/>
  <c r="B54" i="30" s="1"/>
  <c r="C72" i="6"/>
  <c r="C71" i="6"/>
  <c r="B71" i="6"/>
  <c r="F35" i="30"/>
  <c r="F54" i="28"/>
  <c r="H10" i="11"/>
  <c r="E53" i="6"/>
  <c r="E52" i="6"/>
  <c r="E51" i="6"/>
  <c r="E50" i="6"/>
  <c r="E31" i="30"/>
  <c r="E30" i="30"/>
  <c r="F30" i="30" s="1"/>
  <c r="E29" i="30"/>
  <c r="F29" i="30" s="1"/>
  <c r="D31" i="30"/>
  <c r="D30" i="30"/>
  <c r="H30" i="30" s="1"/>
  <c r="D29" i="30"/>
  <c r="H29" i="30" s="1"/>
  <c r="E50" i="28"/>
  <c r="G46" i="28"/>
  <c r="F41" i="28"/>
  <c r="D41" i="28"/>
  <c r="H41" i="28" s="1"/>
  <c r="F46" i="6"/>
  <c r="C53" i="6"/>
  <c r="D53" i="6" s="1"/>
  <c r="H46" i="6" s="1"/>
  <c r="G46" i="6" s="1"/>
  <c r="F45" i="6"/>
  <c r="C52" i="6"/>
  <c r="D52" i="6" s="1"/>
  <c r="H45" i="6" s="1"/>
  <c r="G45" i="6" s="1"/>
  <c r="F44" i="6"/>
  <c r="C51" i="6"/>
  <c r="D51" i="6" s="1"/>
  <c r="H44" i="6" s="1"/>
  <c r="G44" i="6" s="1"/>
  <c r="F43" i="6"/>
  <c r="F47" i="6" s="1"/>
  <c r="B64" i="6" s="1"/>
  <c r="E64" i="6" s="1"/>
  <c r="C50" i="6"/>
  <c r="D50" i="6" s="1"/>
  <c r="H43" i="6" s="1"/>
  <c r="B23" i="21"/>
  <c r="K30" i="6"/>
  <c r="I28" i="6"/>
  <c r="L25" i="6"/>
  <c r="J25" i="6"/>
  <c r="L24" i="6"/>
  <c r="L30" i="6" s="1"/>
  <c r="I35" i="6" s="1"/>
  <c r="K35" i="6" s="1"/>
  <c r="J24" i="6"/>
  <c r="B17" i="1"/>
  <c r="C26" i="24"/>
  <c r="C21" i="30"/>
  <c r="D21" i="30" s="1"/>
  <c r="D22" i="30"/>
  <c r="E22" i="30" s="1"/>
  <c r="F12" i="30"/>
  <c r="I12" i="30" s="1"/>
  <c r="F8" i="30"/>
  <c r="I8" i="30" s="1"/>
  <c r="F4" i="30"/>
  <c r="I4" i="30" s="1"/>
  <c r="B17" i="30" s="1"/>
  <c r="D17" i="30" s="1"/>
  <c r="I22" i="24"/>
  <c r="B8" i="28"/>
  <c r="F4" i="28"/>
  <c r="B31" i="35"/>
  <c r="D26" i="24"/>
  <c r="E25" i="24"/>
  <c r="E24" i="24"/>
  <c r="E23" i="24"/>
  <c r="E22" i="24"/>
  <c r="E21" i="24"/>
  <c r="E20" i="24"/>
  <c r="E19" i="24"/>
  <c r="C17" i="1"/>
  <c r="D16" i="1"/>
  <c r="M11" i="24"/>
  <c r="M10" i="24"/>
  <c r="K11" i="24"/>
  <c r="K10" i="24"/>
  <c r="K9" i="24"/>
  <c r="M8" i="24"/>
  <c r="K8" i="24"/>
  <c r="M6" i="24"/>
  <c r="K6" i="24"/>
  <c r="K5" i="24"/>
  <c r="M5" i="24" s="1"/>
  <c r="F15" i="6"/>
  <c r="B10" i="21" l="1"/>
  <c r="C37" i="6"/>
  <c r="D37" i="6" s="1"/>
  <c r="E37" i="6" s="1"/>
  <c r="E38" i="6" s="1"/>
  <c r="E28" i="11"/>
  <c r="B7" i="35"/>
  <c r="B9" i="21" s="1"/>
  <c r="D71" i="6"/>
  <c r="B79" i="6"/>
  <c r="D47" i="30"/>
  <c r="D48" i="30"/>
  <c r="G29" i="30"/>
  <c r="I29" i="30"/>
  <c r="I30" i="30"/>
  <c r="G30" i="30"/>
  <c r="F31" i="30"/>
  <c r="B40" i="30" s="1"/>
  <c r="E40" i="30" s="1"/>
  <c r="B53" i="30" s="1"/>
  <c r="H31" i="30"/>
  <c r="G41" i="28"/>
  <c r="E23" i="30"/>
  <c r="G35" i="30"/>
  <c r="G43" i="6"/>
  <c r="G47" i="6" s="1"/>
  <c r="B58" i="6"/>
  <c r="B43" i="6"/>
  <c r="B44" i="6" s="1"/>
  <c r="J30" i="6"/>
  <c r="D17" i="1"/>
  <c r="E26" i="24"/>
  <c r="E3" i="28"/>
  <c r="F3" i="28"/>
  <c r="E5" i="28"/>
  <c r="F5" i="28"/>
  <c r="C34" i="28"/>
  <c r="E4" i="28"/>
  <c r="I4" i="28" s="1"/>
  <c r="D10" i="1"/>
  <c r="B30" i="35" l="1"/>
  <c r="B8" i="35"/>
  <c r="B12" i="21" s="1"/>
  <c r="I31" i="30"/>
  <c r="G31" i="30"/>
  <c r="B35" i="30"/>
  <c r="D46" i="28"/>
  <c r="C46" i="28"/>
  <c r="E46" i="28" s="1"/>
  <c r="H46" i="28" s="1"/>
  <c r="I46" i="28" s="1"/>
  <c r="J46" i="28" s="1"/>
  <c r="D58" i="6"/>
  <c r="C58" i="6"/>
  <c r="E58" i="6" s="1"/>
  <c r="F8" i="28"/>
  <c r="I5" i="28"/>
  <c r="I3" i="28"/>
  <c r="E8" i="28"/>
  <c r="I15" i="6"/>
  <c r="B25" i="6" s="1"/>
  <c r="C11" i="6"/>
  <c r="C10" i="6"/>
  <c r="H53" i="6" l="1"/>
  <c r="I53" i="6" s="1"/>
  <c r="J53" i="6" s="1"/>
  <c r="H52" i="6"/>
  <c r="H51" i="6"/>
  <c r="H50" i="6"/>
  <c r="D35" i="30"/>
  <c r="C35" i="30"/>
  <c r="E35" i="30" s="1"/>
  <c r="H35" i="30" s="1"/>
  <c r="I35" i="30" s="1"/>
  <c r="J35" i="30" s="1"/>
  <c r="K35" i="30" s="1"/>
  <c r="B52" i="30" s="1"/>
  <c r="B77" i="35" s="1"/>
  <c r="B81" i="35" s="1"/>
  <c r="B64" i="28"/>
  <c r="B11" i="22"/>
  <c r="B5" i="22"/>
  <c r="B9" i="22" s="1"/>
  <c r="B2" i="22"/>
  <c r="J3" i="11"/>
  <c r="F18" i="6"/>
  <c r="I18" i="6" s="1"/>
  <c r="F11" i="6"/>
  <c r="I11" i="6" s="1"/>
  <c r="F4" i="6"/>
  <c r="D15" i="1"/>
  <c r="D14" i="1"/>
  <c r="D13" i="1"/>
  <c r="D12" i="1"/>
  <c r="D11" i="1"/>
  <c r="B82" i="35" l="1"/>
  <c r="B83" i="35"/>
  <c r="B54" i="35"/>
  <c r="I51" i="6"/>
  <c r="J51" i="6" s="1"/>
  <c r="I52" i="6"/>
  <c r="J52" i="6" s="1"/>
  <c r="I4" i="6"/>
  <c r="D31" i="28"/>
  <c r="F31" i="28" s="1"/>
  <c r="F10" i="6"/>
  <c r="D25" i="6"/>
  <c r="D29" i="6"/>
  <c r="C28" i="6"/>
  <c r="D28" i="6" s="1"/>
  <c r="E6" i="14"/>
  <c r="B45" i="6"/>
  <c r="B84" i="35" l="1"/>
  <c r="E35" i="28"/>
  <c r="B63" i="28" s="1"/>
  <c r="B77" i="6"/>
  <c r="B6" i="35" s="1"/>
  <c r="B11" i="21" s="1"/>
  <c r="B10" i="11"/>
  <c r="I10" i="6"/>
  <c r="F45" i="21"/>
  <c r="G6" i="14"/>
  <c r="F84" i="35" l="1"/>
  <c r="B87" i="35"/>
  <c r="B85" i="35"/>
  <c r="B86" i="35" s="1"/>
  <c r="B53" i="35"/>
  <c r="B58" i="35" s="1"/>
  <c r="B67" i="28"/>
  <c r="F41" i="21"/>
  <c r="C10" i="11"/>
  <c r="D10" i="11"/>
  <c r="E10" i="11" s="1"/>
  <c r="E30" i="6"/>
  <c r="F46" i="21"/>
  <c r="G84" i="35" l="1"/>
  <c r="B88" i="35"/>
  <c r="B60" i="35"/>
  <c r="B59" i="35"/>
  <c r="B5" i="35"/>
  <c r="B76" i="6"/>
  <c r="I10" i="11"/>
  <c r="J10" i="11" s="1"/>
  <c r="K10" i="11" s="1"/>
  <c r="L10" i="11" s="1"/>
  <c r="B36" i="11" s="1"/>
  <c r="G7" i="14"/>
  <c r="H84" i="35" l="1"/>
  <c r="B89" i="35"/>
  <c r="B61" i="35"/>
  <c r="B29" i="35"/>
  <c r="B33" i="35" s="1"/>
  <c r="B4" i="21"/>
  <c r="F61" i="35" l="1"/>
  <c r="B64" i="35"/>
  <c r="I84" i="35"/>
  <c r="B91" i="35" s="1"/>
  <c r="B90" i="35"/>
  <c r="F93" i="35" s="1"/>
  <c r="B62" i="35"/>
  <c r="B63" i="35" s="1"/>
  <c r="B7" i="21"/>
  <c r="B13" i="21" s="1"/>
  <c r="B15" i="21" s="1"/>
  <c r="B35" i="35"/>
  <c r="B34" i="35"/>
  <c r="B9" i="35"/>
  <c r="B10" i="35" s="1"/>
  <c r="F44" i="21"/>
  <c r="B6" i="22"/>
  <c r="G61" i="35" l="1"/>
  <c r="B65" i="35"/>
  <c r="B92" i="35"/>
  <c r="B36" i="35"/>
  <c r="B11" i="35"/>
  <c r="B18" i="21"/>
  <c r="F48" i="21" s="1"/>
  <c r="F40" i="21"/>
  <c r="B93" i="35" l="1"/>
  <c r="B95" i="35" s="1"/>
  <c r="B94" i="35"/>
  <c r="H61" i="35"/>
  <c r="B66" i="35"/>
  <c r="F36" i="35"/>
  <c r="B39" i="35"/>
  <c r="B37" i="35"/>
  <c r="B38" i="35" s="1"/>
  <c r="B12" i="35"/>
  <c r="B17" i="21"/>
  <c r="F47" i="21" s="1"/>
  <c r="I61" i="35" l="1"/>
  <c r="B68" i="35" s="1"/>
  <c r="B67" i="35"/>
  <c r="G36" i="35"/>
  <c r="B40" i="35"/>
  <c r="B15" i="35"/>
  <c r="B13" i="35"/>
  <c r="B14" i="35" s="1"/>
  <c r="D97" i="35"/>
  <c r="P78" i="35" s="1"/>
  <c r="F12" i="35"/>
  <c r="B16" i="35" s="1"/>
  <c r="B19" i="21"/>
  <c r="B28" i="21" s="1"/>
  <c r="B29" i="21" l="1"/>
  <c r="B69" i="35"/>
  <c r="B70" i="35" s="1"/>
  <c r="F66" i="35"/>
  <c r="H36" i="35"/>
  <c r="B41" i="35"/>
  <c r="F97" i="35"/>
  <c r="P79" i="35" s="1"/>
  <c r="G12" i="35"/>
  <c r="B17" i="35" s="1"/>
  <c r="B20" i="21"/>
  <c r="B21" i="21" s="1"/>
  <c r="B24" i="21" s="1"/>
  <c r="B30" i="21"/>
  <c r="B31" i="21" s="1"/>
  <c r="B38" i="21" l="1"/>
  <c r="F41" i="35"/>
  <c r="I36" i="35"/>
  <c r="B42" i="35"/>
  <c r="B44" i="35"/>
  <c r="B43" i="35"/>
  <c r="G97" i="35"/>
  <c r="P80" i="35" s="1"/>
  <c r="H12" i="35"/>
  <c r="B18" i="35" s="1"/>
  <c r="D28" i="21"/>
  <c r="B40" i="21" l="1"/>
  <c r="B42" i="21" s="1"/>
  <c r="B46" i="35"/>
  <c r="B45" i="35"/>
  <c r="B47" i="35" s="1"/>
  <c r="B20" i="35"/>
  <c r="B22" i="35" s="1"/>
  <c r="H97" i="35"/>
  <c r="P81" i="35" s="1"/>
  <c r="P83" i="35" s="1"/>
  <c r="I12" i="35"/>
  <c r="P85" i="35" l="1"/>
  <c r="R83" i="35"/>
  <c r="B21" i="35"/>
  <c r="B23" i="35" s="1"/>
  <c r="B99" i="35" s="1"/>
  <c r="I97" i="35"/>
  <c r="P82" i="35" s="1"/>
  <c r="P84" i="35" s="1"/>
  <c r="B19" i="35"/>
  <c r="F17" i="35" s="1"/>
  <c r="F95" i="35" s="1"/>
  <c r="I95" i="35" s="1"/>
  <c r="B101" i="35" l="1"/>
  <c r="P86" i="35"/>
  <c r="P88" i="35" s="1"/>
  <c r="R84" i="3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Elena Fernández</author>
  </authors>
  <commentList>
    <comment ref="C41" authorId="0" shapeId="0" xr:uid="{EDE00924-9A38-4FCD-9113-4D392EE45620}">
      <text>
        <r>
          <rPr>
            <b/>
            <sz val="9"/>
            <color indexed="81"/>
            <rFont val="Tahoma"/>
            <family val="2"/>
          </rPr>
          <t>Elena Fernández:</t>
        </r>
        <r>
          <rPr>
            <sz val="9"/>
            <color indexed="81"/>
            <rFont val="Tahoma"/>
            <family val="2"/>
          </rPr>
          <t xml:space="preserve">
Santos Jorge (Cabrera)</t>
        </r>
      </text>
    </comment>
  </commentList>
</comments>
</file>

<file path=xl/sharedStrings.xml><?xml version="1.0" encoding="utf-8"?>
<sst xmlns="http://schemas.openxmlformats.org/spreadsheetml/2006/main" count="697" uniqueCount="355">
  <si>
    <t>Concepte</t>
  </si>
  <si>
    <t>Recollides/anuals</t>
  </si>
  <si>
    <t>dies de servei</t>
  </si>
  <si>
    <t>hores/dia</t>
  </si>
  <si>
    <t>hores any</t>
  </si>
  <si>
    <t>hores servei</t>
  </si>
  <si>
    <t>Baixes i absentisme</t>
  </si>
  <si>
    <t>Total hores</t>
  </si>
  <si>
    <t>Servei</t>
  </si>
  <si>
    <t>Distància</t>
  </si>
  <si>
    <t>Fracció vegetal (conductor)</t>
  </si>
  <si>
    <t>Voluminosos</t>
  </si>
  <si>
    <t>Fracció vegetal (peó)</t>
  </si>
  <si>
    <t>Fracció vegetal</t>
  </si>
  <si>
    <t>Reforç recollida (conductor)</t>
  </si>
  <si>
    <t>Oli</t>
  </si>
  <si>
    <t>Voluminosos (conductor)</t>
  </si>
  <si>
    <t>Tèxtil</t>
  </si>
  <si>
    <t>Voluminosos (peó)</t>
  </si>
  <si>
    <t>Vidre</t>
  </si>
  <si>
    <t>Oli (peó)</t>
  </si>
  <si>
    <t>Deixalleria mòbil</t>
  </si>
  <si>
    <t>Tèxtil (peó)</t>
  </si>
  <si>
    <t>Banyeres</t>
  </si>
  <si>
    <t>BANYERES</t>
  </si>
  <si>
    <t>Reforç recollida</t>
  </si>
  <si>
    <t>VIDRE</t>
  </si>
  <si>
    <t>MUNICIPI</t>
  </si>
  <si>
    <t>M CARRERS</t>
  </si>
  <si>
    <t>HABITANTS</t>
  </si>
  <si>
    <t>M/HABITANT</t>
  </si>
  <si>
    <t>àrees contenidors</t>
  </si>
  <si>
    <t>Nucli</t>
  </si>
  <si>
    <t>Habitatge</t>
  </si>
  <si>
    <t>PUIG REIG</t>
  </si>
  <si>
    <t>PUIG REIG CENTRE</t>
  </si>
  <si>
    <t>CAL PRAT</t>
  </si>
  <si>
    <t>URBANITZACIÓ LAXA</t>
  </si>
  <si>
    <t>CAL PONS</t>
  </si>
  <si>
    <t>DISSEMINATS</t>
  </si>
  <si>
    <t>CAL MARÇAL</t>
  </si>
  <si>
    <t>CAL VIDAL</t>
  </si>
  <si>
    <t>CAL RIERA</t>
  </si>
  <si>
    <t>L'ATMELLA DE MEROLA</t>
  </si>
  <si>
    <t>COMBUSTIBLE</t>
  </si>
  <si>
    <t>Preu Litre</t>
  </si>
  <si>
    <t>Consum L /100Km</t>
  </si>
  <si>
    <t xml:space="preserve">Hores Conveni </t>
  </si>
  <si>
    <t>Conductor 1a dia</t>
  </si>
  <si>
    <t>Peó de recollida dia</t>
  </si>
  <si>
    <t>Encarregat del servei</t>
  </si>
  <si>
    <t>Agent Acompanyament</t>
  </si>
  <si>
    <t>Personal auxiliar (Vol)</t>
  </si>
  <si>
    <t>TRACTAMENT</t>
  </si>
  <si>
    <t>PREU TN</t>
  </si>
  <si>
    <t>Tn 2023</t>
  </si>
  <si>
    <t>PODA</t>
  </si>
  <si>
    <t>RUNES</t>
  </si>
  <si>
    <t>VOLUMINSOSOS</t>
  </si>
  <si>
    <t>BANALS</t>
  </si>
  <si>
    <t>SERVEIS</t>
  </si>
  <si>
    <t>Fracció Vegetal</t>
  </si>
  <si>
    <t>Textil</t>
  </si>
  <si>
    <t>RECOLLIDA SELECTIVA ANY 2023</t>
  </si>
  <si>
    <t>Codi INE</t>
  </si>
  <si>
    <t>Població</t>
  </si>
  <si>
    <t>Autocompostatge</t>
  </si>
  <si>
    <t>Matèria orgànica</t>
  </si>
  <si>
    <t>Poda i jardineria</t>
  </si>
  <si>
    <t>Paper i cartró</t>
  </si>
  <si>
    <t>Envasos lleugers</t>
  </si>
  <si>
    <t>Residus voluminosos + fusta</t>
  </si>
  <si>
    <t>RAEE</t>
  </si>
  <si>
    <t>Ferralla</t>
  </si>
  <si>
    <t>Olis vegetals</t>
  </si>
  <si>
    <t>Residus en petites quantitats (RPQ)</t>
  </si>
  <si>
    <t>Altres recollides selectives</t>
  </si>
  <si>
    <t>Total Recollida Selectiva</t>
  </si>
  <si>
    <t>R.S. / R.M. % total</t>
  </si>
  <si>
    <t>Kg / hab / any total</t>
  </si>
  <si>
    <t>Resta destinada a tractament previ (TMB+FIRM)</t>
  </si>
  <si>
    <t>Resta sense tractar a dipòsit controlat</t>
  </si>
  <si>
    <t>Resta sense tractar a valorització energètica</t>
  </si>
  <si>
    <t>Suma Fracció Resta</t>
  </si>
  <si>
    <t>F.R. / R.M. %</t>
  </si>
  <si>
    <t>Generació Residus Municipal Totals</t>
  </si>
  <si>
    <t>Kg / hab / dia</t>
  </si>
  <si>
    <t>Kg / hab / any</t>
  </si>
  <si>
    <t>0.95</t>
  </si>
  <si>
    <t>Personal</t>
  </si>
  <si>
    <t>FRACCIÓ VEGETAL</t>
  </si>
  <si>
    <t>VOLUMINOSOS</t>
  </si>
  <si>
    <t>OLI</t>
  </si>
  <si>
    <t>peó</t>
  </si>
  <si>
    <t>TÈXTIL</t>
  </si>
  <si>
    <t xml:space="preserve">COST RECOLLIDA PERSONAL </t>
  </si>
  <si>
    <t>Categoria</t>
  </si>
  <si>
    <t>Total Jornades</t>
  </si>
  <si>
    <t>Hores any</t>
  </si>
  <si>
    <t>Temps diari</t>
  </si>
  <si>
    <t>Habitatges</t>
  </si>
  <si>
    <t>temps recollida (min)</t>
  </si>
  <si>
    <t>m carrer</t>
  </si>
  <si>
    <t>m ruta</t>
  </si>
  <si>
    <t>hores jornada</t>
  </si>
  <si>
    <t>Urbanització laxa</t>
  </si>
  <si>
    <t>CATEGORIA</t>
  </si>
  <si>
    <t>Cost/any brut (€)</t>
  </si>
  <si>
    <t>36% SS (€)</t>
  </si>
  <si>
    <t>COST Total unitari (€)</t>
  </si>
  <si>
    <t>Total (€)</t>
  </si>
  <si>
    <t>Disseminat</t>
  </si>
  <si>
    <t>XOFER</t>
  </si>
  <si>
    <t>TOTAL HABITATGES PRINCIPALS</t>
  </si>
  <si>
    <t>PEÓ</t>
  </si>
  <si>
    <t>TOTAL HABITATGES</t>
  </si>
  <si>
    <t>TOTAL</t>
  </si>
  <si>
    <t>Adminitratiu</t>
  </si>
  <si>
    <t xml:space="preserve">Km </t>
  </si>
  <si>
    <t>m totals</t>
  </si>
  <si>
    <t>m entre rutes</t>
  </si>
  <si>
    <t xml:space="preserve">total m </t>
  </si>
  <si>
    <t>Administratiu</t>
  </si>
  <si>
    <t>COST COMBUSTIBLE RECOLLIDA</t>
  </si>
  <si>
    <t>Combustible</t>
  </si>
  <si>
    <t>Km/any</t>
  </si>
  <si>
    <t>HORES TOTALS SETMANA</t>
  </si>
  <si>
    <t>HORES TOTALS / ANY</t>
  </si>
  <si>
    <t>HORES XOFER/ANY (1 XOFER)</t>
  </si>
  <si>
    <t>Litres/any</t>
  </si>
  <si>
    <t>Euros/any</t>
  </si>
  <si>
    <t>COST PERSONAL TRANSPORT PLANTA</t>
  </si>
  <si>
    <t>Fraccions</t>
  </si>
  <si>
    <t>km (anar i tornar)</t>
  </si>
  <si>
    <t>min</t>
  </si>
  <si>
    <t>Hores de desplaçament</t>
  </si>
  <si>
    <t>Desplaçaments anuals</t>
  </si>
  <si>
    <t>Sou unitari brut/any</t>
  </si>
  <si>
    <t>%SS</t>
  </si>
  <si>
    <t>Cost total/any</t>
  </si>
  <si>
    <t>% SS</t>
  </si>
  <si>
    <t>FV</t>
  </si>
  <si>
    <t>S_01_01_PERSONAL</t>
  </si>
  <si>
    <t>Places directes</t>
  </si>
  <si>
    <t>% baixes (8%)</t>
  </si>
  <si>
    <t>% absentisme (5%)</t>
  </si>
  <si>
    <t>Places totals</t>
  </si>
  <si>
    <t>COST COMBUTIBLE TRANSPORT PLANTA</t>
  </si>
  <si>
    <t>Km /any</t>
  </si>
  <si>
    <t>Consum L/100Km</t>
  </si>
  <si>
    <t>Preu/L</t>
  </si>
  <si>
    <t>Cost combustible</t>
  </si>
  <si>
    <t>Consum dels camions</t>
  </si>
  <si>
    <t>LLOGUER i MANTENIMENT VEHICLES I MAQUINÀRIA APORTADA PER L'EMPRESA</t>
  </si>
  <si>
    <t>Unitats</t>
  </si>
  <si>
    <t xml:space="preserve">Cost unitari lloguer €/dia </t>
  </si>
  <si>
    <t xml:space="preserve">Cost unitari manteniment €/dia </t>
  </si>
  <si>
    <t>Dies anuals</t>
  </si>
  <si>
    <t>Cost total anual</t>
  </si>
  <si>
    <t>Camió caixa oberta grua</t>
  </si>
  <si>
    <t>COST TRACTAMENT</t>
  </si>
  <si>
    <t>Preu Tn</t>
  </si>
  <si>
    <t xml:space="preserve">Cost </t>
  </si>
  <si>
    <t>RESTES VEGETALS</t>
  </si>
  <si>
    <t>TOTAL LOT 1</t>
  </si>
  <si>
    <t xml:space="preserve">COST PERSONAL </t>
  </si>
  <si>
    <t xml:space="preserve">COST COMBUSTIBLE </t>
  </si>
  <si>
    <t>MANTENIMENTS I ALTRES</t>
  </si>
  <si>
    <t>TRACTAMENT RESIDUS</t>
  </si>
  <si>
    <t>DEIXALLERIA</t>
  </si>
  <si>
    <t>POBLACIÓ</t>
  </si>
  <si>
    <t>Temps manteniment / any</t>
  </si>
  <si>
    <t>Temps antenció/any</t>
  </si>
  <si>
    <t>Temps desplaçament</t>
  </si>
  <si>
    <t>Temps total/any</t>
  </si>
  <si>
    <t>PUIG_REIG</t>
  </si>
  <si>
    <t>PLACES XOFER</t>
  </si>
  <si>
    <t>PERSONAL</t>
  </si>
  <si>
    <t>Sous Total</t>
  </si>
  <si>
    <t>Xofer recollida</t>
  </si>
  <si>
    <t>NETEJA MANTENIMENT</t>
  </si>
  <si>
    <t>Manteniment</t>
  </si>
  <si>
    <t>Horari deixalleria</t>
  </si>
  <si>
    <t>Hores obertura</t>
  </si>
  <si>
    <t>Centre</t>
  </si>
  <si>
    <t>15-17</t>
  </si>
  <si>
    <t>Nuclis</t>
  </si>
  <si>
    <t>11-12 / 12-13</t>
  </si>
  <si>
    <t>Preu lloguer deixalleria</t>
  </si>
  <si>
    <t>Lloguer  i altres</t>
  </si>
  <si>
    <t>LLOGUER I ALTRES</t>
  </si>
  <si>
    <t>DEIXALLERIA MOBIL</t>
  </si>
  <si>
    <t>TOTAL LOT 2</t>
  </si>
  <si>
    <t>COST PERSONAL</t>
  </si>
  <si>
    <t>COST COMBUSTIBLE</t>
  </si>
  <si>
    <t>MANENIMENT I ALTRES</t>
  </si>
  <si>
    <t>LLOGUER MAQUINÀRIA</t>
  </si>
  <si>
    <t xml:space="preserve">Àrees vidre </t>
  </si>
  <si>
    <t>temps ruta (min)</t>
  </si>
  <si>
    <t>total temps</t>
  </si>
  <si>
    <t>Puig Reig centre</t>
  </si>
  <si>
    <t>Urbanització compacta</t>
  </si>
  <si>
    <t>Km diaris</t>
  </si>
  <si>
    <t>m anada i tornada</t>
  </si>
  <si>
    <t>Freqüències</t>
  </si>
  <si>
    <t>RES</t>
  </si>
  <si>
    <t>ENV</t>
  </si>
  <si>
    <t>P/C</t>
  </si>
  <si>
    <t>ORG</t>
  </si>
  <si>
    <t>VID</t>
  </si>
  <si>
    <t>recollides setmanals</t>
  </si>
  <si>
    <t>setmanes</t>
  </si>
  <si>
    <t>Temps jornada diari (h)</t>
  </si>
  <si>
    <t>Horari diari</t>
  </si>
  <si>
    <t>Jornades</t>
  </si>
  <si>
    <t>recollides</t>
  </si>
  <si>
    <t>Hores/any</t>
  </si>
  <si>
    <t>hores any CONVENI</t>
  </si>
  <si>
    <t>xòfer</t>
  </si>
  <si>
    <t>total km anuals</t>
  </si>
  <si>
    <t>total benzina any</t>
  </si>
  <si>
    <t>necessito 80 litres per fer 100 km</t>
  </si>
  <si>
    <t>total cost/any</t>
  </si>
  <si>
    <t>preu litre 1,5</t>
  </si>
  <si>
    <t xml:space="preserve">COST DEL PERSONAL </t>
  </si>
  <si>
    <t>Total Hores</t>
  </si>
  <si>
    <t>Total personal necessari</t>
  </si>
  <si>
    <t>COST COMBUSTIBLE TRANSPORT A PLANTA</t>
  </si>
  <si>
    <t>S_01_04_COMBUSTIBLE</t>
  </si>
  <si>
    <t xml:space="preserve">Camió grua pel vidre </t>
  </si>
  <si>
    <t>COST MANT. CONTENIDORS</t>
  </si>
  <si>
    <t>Concepte:</t>
  </si>
  <si>
    <t>Servei associat</t>
  </si>
  <si>
    <t>Valor unitari (IVA exclòs)</t>
  </si>
  <si>
    <t>Cost total inversió (IVA exclòs)</t>
  </si>
  <si>
    <t>Anys amortització</t>
  </si>
  <si>
    <t>Cost amortització capital anual (IVA exclòs)</t>
  </si>
  <si>
    <t>Cost manteniment</t>
  </si>
  <si>
    <t xml:space="preserve">Contneidors vidre </t>
  </si>
  <si>
    <t>Recollida vidre</t>
  </si>
  <si>
    <t>TOTAL LOT 3</t>
  </si>
  <si>
    <t>MANTENIMENT I ALTRES</t>
  </si>
  <si>
    <t xml:space="preserve">TOTAL PERSONAL </t>
  </si>
  <si>
    <t xml:space="preserve">TOTAL COMBUSTIBLE </t>
  </si>
  <si>
    <t>INVERSIONS  INTERESSOS</t>
  </si>
  <si>
    <t>I.- INVERSIONS</t>
  </si>
  <si>
    <t>Tipus interès</t>
  </si>
  <si>
    <t>Quota anual inclòs finançament</t>
  </si>
  <si>
    <t>Contenidor de vidre càrrega SUP 2500-3000</t>
  </si>
  <si>
    <t>Recollida de residus amb contenidors</t>
  </si>
  <si>
    <t>Runes</t>
  </si>
  <si>
    <t>Xòfer</t>
  </si>
  <si>
    <t>Banals</t>
  </si>
  <si>
    <t>Cementiri</t>
  </si>
  <si>
    <t>BANYERES CEMENTIRI</t>
  </si>
  <si>
    <t>BANYERA BANALS</t>
  </si>
  <si>
    <t>BANYERA RUNES</t>
  </si>
  <si>
    <t>Xofer C</t>
  </si>
  <si>
    <t>Cost unitari lloguer mes</t>
  </si>
  <si>
    <t xml:space="preserve">Cost total anual </t>
  </si>
  <si>
    <t>Lloguer contenidors</t>
  </si>
  <si>
    <t>CEMENTIRI</t>
  </si>
  <si>
    <t>TOTAL LOT 4</t>
  </si>
  <si>
    <t>LLOGUER</t>
  </si>
  <si>
    <t>COST TRACTAMENTS</t>
  </si>
  <si>
    <t>RECOLLIDA VOL FV OLI TEXTIL</t>
  </si>
  <si>
    <t>LOT1</t>
  </si>
  <si>
    <t xml:space="preserve">TOTAL LOT 2 </t>
  </si>
  <si>
    <t>RECOLLIDA VIDRE</t>
  </si>
  <si>
    <t>LOT 3</t>
  </si>
  <si>
    <t xml:space="preserve">MANTENIMENT </t>
  </si>
  <si>
    <t>INVERSIONS</t>
  </si>
  <si>
    <t>DESPESES FINACERES</t>
  </si>
  <si>
    <t>COST TRACTAMENT RESIDUS</t>
  </si>
  <si>
    <t>PUIG-REIG</t>
  </si>
  <si>
    <t>COST TOTAL INVERSIÓ (CAPITAL AMORTITZAT ANUAL)</t>
  </si>
  <si>
    <t>II.- DESPESA CORRENT</t>
  </si>
  <si>
    <t>DESPESES FINANCERES INVERSIONS APARTAT I</t>
  </si>
  <si>
    <t>MANTENIMENT VEHICLES I ALTRES INVERSIÓ</t>
  </si>
  <si>
    <t>COMBUSTIBLE VEHICLES I MAQUINÀRIA</t>
  </si>
  <si>
    <t>II.- COST TOTAL DESPESA CORRENT</t>
  </si>
  <si>
    <t>TOTAL COSTOS:  SUMA SUBTOTALS APARTATS I + II</t>
  </si>
  <si>
    <t>DESPESES GENERALS 5%</t>
  </si>
  <si>
    <t>BENEFICI INDUSTRIAL 8 %</t>
  </si>
  <si>
    <t>TOTAL COST ANUAL DEL SERVEI (IVA exclòs)</t>
  </si>
  <si>
    <t xml:space="preserve">10% IVA </t>
  </si>
  <si>
    <t>COST TOTAL ANUAL DEL SERVEI (IVA inclòs)</t>
  </si>
  <si>
    <t>Habitants servits empadronats</t>
  </si>
  <si>
    <t>Euro/habitant empadronat</t>
  </si>
  <si>
    <t>COST MIG ANUAL SERVEI AMB CONTRACTE</t>
  </si>
  <si>
    <t>PREVISIÓ ANY 1 (IVA EXCLÒS)</t>
  </si>
  <si>
    <t>PREVISIÓ ANY 2 (IVA EXCLÒS)</t>
  </si>
  <si>
    <t>PREVISIÓ ANY 3 (IVA EXCLÒS)</t>
  </si>
  <si>
    <t>Tots els serveis</t>
  </si>
  <si>
    <t>PREVISIÓ ANY 4 (IVA EXCLÒS)</t>
  </si>
  <si>
    <t>RECOLLIDA VOLUMINOSOS</t>
  </si>
  <si>
    <t>PREVISIÓ ANY 5 (IVA EXCLÒS)</t>
  </si>
  <si>
    <t>RECOLLIDA FRACCIO VEGETAL</t>
  </si>
  <si>
    <t>REVOLLIDA OLI</t>
  </si>
  <si>
    <t>RECOLLIDA TEXTIL</t>
  </si>
  <si>
    <t>DEIXALLERIA MÒBIL</t>
  </si>
  <si>
    <t>VALOR PER 4 ANYS</t>
  </si>
  <si>
    <t>INVERSIÓ</t>
  </si>
  <si>
    <t>VALOR PER 4 ANYS + 1 POSSIBLE PRÒRROGA</t>
  </si>
  <si>
    <t>VEC</t>
  </si>
  <si>
    <t>DESPESES ASSEGURANCES A TOT RISC INVERSIÓ</t>
  </si>
  <si>
    <t>ALTRES ASSEGURANCES</t>
  </si>
  <si>
    <t>DESPESES GENERALS</t>
  </si>
  <si>
    <t>BENEFICI INDUSTRIAL</t>
  </si>
  <si>
    <t>PREUS UNITARIS (COST TOTAL INCLOSES DESPESES GENERALS I BENEFICI IND. SENSE IVA)</t>
  </si>
  <si>
    <t>Preu</t>
  </si>
  <si>
    <t>Unitat</t>
  </si>
  <si>
    <t>Durada</t>
  </si>
  <si>
    <t>JORNADA DE RECOLLIDA DE VOLUMINOSOS. Xòfer + Peó + Camió plataforma</t>
  </si>
  <si>
    <t>Euro/jornada</t>
  </si>
  <si>
    <t>6,5h</t>
  </si>
  <si>
    <t>Hora de treball xofer</t>
  </si>
  <si>
    <t>Euro/hora</t>
  </si>
  <si>
    <t>Hora de treball peó</t>
  </si>
  <si>
    <t>Hora camió recollida de residus (compactador recol·lector)</t>
  </si>
  <si>
    <t>Serveis extraordinaris: Hora de treball de xofer</t>
  </si>
  <si>
    <t>Serveis extraordinaris: hora de treball de peó</t>
  </si>
  <si>
    <t>Serveis extraordinaris: hora de camió de càrrega superior</t>
  </si>
  <si>
    <t>Serveis extraordinaris: hora de camió de càrrega posterior</t>
  </si>
  <si>
    <t>Serveis extraordinaris: hora de camió de caixa oberta amb plataforma i grua</t>
  </si>
  <si>
    <t>Serveis extraordinaris: jornada de deixalleria mòbil</t>
  </si>
  <si>
    <t>6,5 h</t>
  </si>
  <si>
    <t>COST</t>
  </si>
  <si>
    <t>DG 5%</t>
  </si>
  <si>
    <t>BI8%</t>
  </si>
  <si>
    <t>COST Anual</t>
  </si>
  <si>
    <t>10%IVA</t>
  </si>
  <si>
    <t>Cost anual amb IVA</t>
  </si>
  <si>
    <t>ANY 2</t>
  </si>
  <si>
    <t>ANY 3</t>
  </si>
  <si>
    <t xml:space="preserve">ANY 4 </t>
  </si>
  <si>
    <t>ANY 5</t>
  </si>
  <si>
    <t>ANY 1</t>
  </si>
  <si>
    <t>TOTAL VEC</t>
  </si>
  <si>
    <t>TOTAL VEC LOT 1</t>
  </si>
  <si>
    <t>TOTAL VEC LOT 2</t>
  </si>
  <si>
    <t>TOTAL VEC LOT 3</t>
  </si>
  <si>
    <t>TOTAL VEC LOT 4</t>
  </si>
  <si>
    <t>MITJANA</t>
  </si>
  <si>
    <t>TOTAL ANUALITATS</t>
  </si>
  <si>
    <t>SUMA MITJANES</t>
  </si>
  <si>
    <t>VEC TOTAL</t>
  </si>
  <si>
    <t xml:space="preserve">TOTAL VEC </t>
  </si>
  <si>
    <t>VALOR PER 5 ANYS</t>
  </si>
  <si>
    <t>VIDRE PREVISIÓ ANY 5 (IVA EXCLÒS)</t>
  </si>
  <si>
    <t>TOTAL SENSE PRORROGUES</t>
  </si>
  <si>
    <t>PREVISIO PRORROGUES</t>
  </si>
  <si>
    <t>TOTAL SENSE PRÒRROGUES</t>
  </si>
  <si>
    <t>POSSIBLE PRÒRROGA ANY 5 (LOT 1-2-4)</t>
  </si>
  <si>
    <t>20% POSSIBLES MODIFICACIONS (AMPLIACIÓ DE SERVEI) IMPORT SENSE PRORROGUES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</si>
</sst>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"/>
    <numFmt numFmtId="165" formatCode="000000"/>
    <numFmt numFmtId="166" formatCode="#,##0.00\ &quot;€&quot;"/>
    <numFmt numFmtId="167" formatCode="0.000"/>
    <numFmt numFmtId="168" formatCode="#,##0.00\ [$€-1]"/>
    <numFmt numFmtId="169" formatCode="0.0000"/>
    <numFmt numFmtId="170" formatCode="0.00000"/>
  </numFmts>
  <fonts count="3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8"/>
      <color rgb="FF000000"/>
      <name val="Tahoma"/>
      <family val="2"/>
    </font>
    <font>
      <sz val="8"/>
      <color theme="1"/>
      <name val="Tahoma"/>
      <family val="2"/>
    </font>
    <font>
      <b/>
      <sz val="10"/>
      <color rgb="FF008000"/>
      <name val="Tahoma"/>
      <family val="2"/>
    </font>
    <font>
      <sz val="8"/>
      <color rgb="FFFFFFFF"/>
      <name val="Tahoma"/>
      <family val="2"/>
    </font>
    <font>
      <sz val="10"/>
      <color theme="1"/>
      <name val="Calibri"/>
      <family val="2"/>
    </font>
    <font>
      <sz val="11"/>
      <name val="Calibri"/>
      <family val="2"/>
    </font>
    <font>
      <b/>
      <sz val="14"/>
      <color theme="1"/>
      <name val="Calibri"/>
      <family val="2"/>
    </font>
    <font>
      <b/>
      <sz val="11"/>
      <color rgb="FFFFFFFF"/>
      <name val="Calibri"/>
      <family val="2"/>
    </font>
    <font>
      <b/>
      <sz val="12"/>
      <color rgb="FFFFFFFF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006100"/>
      <name val="Calibri"/>
      <family val="2"/>
    </font>
    <font>
      <b/>
      <sz val="22"/>
      <color theme="1"/>
      <name val="Calibri"/>
      <family val="2"/>
    </font>
    <font>
      <sz val="11"/>
      <color rgb="FF9C57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u/>
      <sz val="11"/>
      <color theme="1"/>
      <name val="Calibri"/>
      <family val="2"/>
    </font>
    <font>
      <sz val="11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scheme val="minor"/>
    </font>
    <font>
      <sz val="11"/>
      <color rgb="FFFF0000"/>
      <name val="Calibri"/>
      <scheme val="minor"/>
    </font>
    <font>
      <sz val="11"/>
      <color theme="0"/>
      <name val="Calibri"/>
      <scheme val="minor"/>
    </font>
    <font>
      <sz val="11"/>
      <color rgb="FF000000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7EC29B"/>
        <bgColor rgb="FF7EC29B"/>
      </patternFill>
    </fill>
    <fill>
      <patternFill patternType="solid">
        <fgColor rgb="FF079946"/>
        <bgColor rgb="FF079946"/>
      </patternFill>
    </fill>
    <fill>
      <patternFill patternType="solid">
        <fgColor rgb="FF7EACC2"/>
        <bgColor rgb="FF7EACC2"/>
      </patternFill>
    </fill>
    <fill>
      <patternFill patternType="solid">
        <fgColor rgb="FF31AFE9"/>
        <bgColor rgb="FF31AFE9"/>
      </patternFill>
    </fill>
    <fill>
      <patternFill patternType="solid">
        <fgColor rgb="FFF4B73C"/>
        <bgColor rgb="FFF4B73C"/>
      </patternFill>
    </fill>
    <fill>
      <patternFill patternType="solid">
        <fgColor rgb="FF4472C4"/>
        <bgColor rgb="FF4472C4"/>
      </patternFill>
    </fill>
    <fill>
      <patternFill patternType="solid">
        <fgColor rgb="FFD9E2F3"/>
        <bgColor rgb="FFD9E2F3"/>
      </patternFill>
    </fill>
    <fill>
      <patternFill patternType="solid">
        <fgColor rgb="FF92CDDC"/>
        <bgColor rgb="FF92CDDC"/>
      </patternFill>
    </fill>
    <fill>
      <patternFill patternType="solid">
        <fgColor rgb="FFDAEEF3"/>
        <bgColor rgb="FFDAEEF3"/>
      </patternFill>
    </fill>
    <fill>
      <patternFill patternType="solid">
        <fgColor rgb="FFB6DDE8"/>
        <bgColor rgb="FFB6DDE8"/>
      </patternFill>
    </fill>
    <fill>
      <patternFill patternType="solid">
        <fgColor rgb="FFFDE9D9"/>
        <bgColor rgb="FFFDE9D9"/>
      </patternFill>
    </fill>
    <fill>
      <patternFill patternType="solid">
        <fgColor rgb="FFC6EFCE"/>
        <bgColor rgb="FFC6EFCE"/>
      </patternFill>
    </fill>
    <fill>
      <patternFill patternType="solid">
        <fgColor theme="6"/>
        <bgColor theme="6"/>
      </patternFill>
    </fill>
    <fill>
      <patternFill patternType="solid">
        <fgColor rgb="FFD9D9D9"/>
        <bgColor rgb="FFD9D9D9"/>
      </patternFill>
    </fill>
    <fill>
      <patternFill patternType="solid">
        <fgColor rgb="FFFFEB9C"/>
        <bgColor rgb="FFFFEB9C"/>
      </patternFill>
    </fill>
    <fill>
      <patternFill patternType="solid">
        <fgColor rgb="FFA9D18E"/>
        <bgColor rgb="FFA9D18E"/>
      </patternFill>
    </fill>
    <fill>
      <patternFill patternType="solid">
        <fgColor rgb="FF8989EB"/>
        <bgColor rgb="FF8989EB"/>
      </patternFill>
    </fill>
    <fill>
      <patternFill patternType="solid">
        <fgColor rgb="FFE8E7FC"/>
        <bgColor rgb="FFE8E7FC"/>
      </patternFill>
    </fill>
    <fill>
      <patternFill patternType="solid">
        <fgColor rgb="FFEAF1DD"/>
        <bgColor rgb="FFEAF1DD"/>
      </patternFill>
    </fill>
    <fill>
      <patternFill patternType="solid">
        <fgColor rgb="FFD6E3BC"/>
        <bgColor rgb="FFD6E3BC"/>
      </patternFill>
    </fill>
    <fill>
      <patternFill patternType="solid">
        <fgColor rgb="FF76923C"/>
        <bgColor rgb="FF76923C"/>
      </patternFill>
    </fill>
    <fill>
      <patternFill patternType="solid">
        <fgColor theme="0"/>
        <bgColor theme="0"/>
      </patternFill>
    </fill>
    <fill>
      <patternFill patternType="solid">
        <fgColor rgb="FF63D297"/>
        <bgColor rgb="FF63D297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9EAD3"/>
        <bgColor rgb="FFD9EAD3"/>
      </patternFill>
    </fill>
    <fill>
      <patternFill patternType="solid">
        <fgColor theme="9"/>
        <bgColor rgb="FFFFEB9C"/>
      </patternFill>
    </fill>
    <fill>
      <patternFill patternType="solid">
        <fgColor rgb="FF00B050"/>
        <bgColor indexed="64"/>
      </patternFill>
    </fill>
    <fill>
      <patternFill patternType="solid">
        <fgColor rgb="FFE7F9EF"/>
        <bgColor rgb="FFE7F9EF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4472C4"/>
      </right>
      <top style="medium">
        <color rgb="FF4472C4"/>
      </top>
      <bottom/>
      <diagonal/>
    </border>
    <border>
      <left/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rgb="FF4472C4"/>
      </left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/>
      <right style="medium">
        <color rgb="FF8EAADB"/>
      </right>
      <top/>
      <bottom style="medium">
        <color rgb="FF8EAADB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4472C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44" fontId="16" fillId="0" borderId="0" applyFont="0" applyFill="0" applyBorder="0" applyAlignment="0" applyProtection="0"/>
    <xf numFmtId="43" fontId="33" fillId="0" borderId="0" applyFont="0" applyFill="0" applyBorder="0" applyAlignment="0" applyProtection="0"/>
  </cellStyleXfs>
  <cellXfs count="35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5" xfId="0" applyFont="1" applyBorder="1" applyAlignment="1">
      <alignment horizontal="center" wrapText="1"/>
    </xf>
    <xf numFmtId="164" fontId="5" fillId="0" borderId="5" xfId="0" applyNumberFormat="1" applyFont="1" applyBorder="1"/>
    <xf numFmtId="0" fontId="5" fillId="0" borderId="5" xfId="0" applyFont="1" applyBorder="1"/>
    <xf numFmtId="0" fontId="5" fillId="0" borderId="0" xfId="0" applyFont="1" applyAlignment="1">
      <alignment horizontal="center" wrapText="1"/>
    </xf>
    <xf numFmtId="0" fontId="6" fillId="2" borderId="5" xfId="0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left" vertical="center" wrapText="1"/>
    </xf>
    <xf numFmtId="165" fontId="6" fillId="0" borderId="5" xfId="0" applyNumberFormat="1" applyFont="1" applyBorder="1" applyAlignment="1">
      <alignment horizontal="right" vertical="center" wrapText="1"/>
    </xf>
    <xf numFmtId="3" fontId="6" fillId="0" borderId="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9" fillId="4" borderId="5" xfId="0" applyFont="1" applyFill="1" applyBorder="1" applyAlignment="1">
      <alignment horizontal="center" vertical="top" wrapText="1"/>
    </xf>
    <xf numFmtId="0" fontId="9" fillId="5" borderId="5" xfId="0" applyFont="1" applyFill="1" applyBorder="1" applyAlignment="1">
      <alignment horizontal="center" vertical="top" wrapText="1"/>
    </xf>
    <xf numFmtId="0" fontId="9" fillId="6" borderId="5" xfId="0" applyFont="1" applyFill="1" applyBorder="1" applyAlignment="1">
      <alignment horizontal="center" vertical="top" wrapText="1"/>
    </xf>
    <xf numFmtId="0" fontId="9" fillId="7" borderId="5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4" fontId="6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13" fillId="8" borderId="5" xfId="0" applyFont="1" applyFill="1" applyBorder="1" applyAlignment="1">
      <alignment horizontal="center" vertical="center" wrapText="1"/>
    </xf>
    <xf numFmtId="0" fontId="4" fillId="0" borderId="5" xfId="0" applyFont="1" applyBorder="1"/>
    <xf numFmtId="2" fontId="4" fillId="0" borderId="5" xfId="0" applyNumberFormat="1" applyFont="1" applyBorder="1"/>
    <xf numFmtId="2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/>
    <xf numFmtId="2" fontId="4" fillId="0" borderId="0" xfId="0" applyNumberFormat="1" applyFont="1"/>
    <xf numFmtId="2" fontId="5" fillId="0" borderId="0" xfId="0" applyNumberFormat="1" applyFont="1"/>
    <xf numFmtId="0" fontId="13" fillId="8" borderId="14" xfId="0" applyFont="1" applyFill="1" applyBorder="1" applyAlignment="1">
      <alignment horizontal="center" vertical="center" wrapText="1"/>
    </xf>
    <xf numFmtId="0" fontId="14" fillId="8" borderId="15" xfId="0" applyFont="1" applyFill="1" applyBorder="1" applyAlignment="1">
      <alignment vertical="center" wrapText="1"/>
    </xf>
    <xf numFmtId="0" fontId="14" fillId="8" borderId="5" xfId="0" applyFont="1" applyFill="1" applyBorder="1" applyAlignment="1">
      <alignment vertical="center" wrapText="1"/>
    </xf>
    <xf numFmtId="167" fontId="15" fillId="9" borderId="5" xfId="0" applyNumberFormat="1" applyFont="1" applyFill="1" applyBorder="1" applyAlignment="1">
      <alignment horizontal="center" vertical="center" wrapText="1"/>
    </xf>
    <xf numFmtId="166" fontId="10" fillId="0" borderId="0" xfId="0" applyNumberFormat="1" applyFont="1"/>
    <xf numFmtId="0" fontId="5" fillId="10" borderId="5" xfId="0" applyFont="1" applyFill="1" applyBorder="1"/>
    <xf numFmtId="2" fontId="5" fillId="10" borderId="5" xfId="0" applyNumberFormat="1" applyFont="1" applyFill="1" applyBorder="1"/>
    <xf numFmtId="2" fontId="5" fillId="10" borderId="5" xfId="0" applyNumberFormat="1" applyFont="1" applyFill="1" applyBorder="1" applyAlignment="1">
      <alignment wrapText="1"/>
    </xf>
    <xf numFmtId="0" fontId="5" fillId="0" borderId="4" xfId="0" applyFont="1" applyBorder="1"/>
    <xf numFmtId="0" fontId="5" fillId="11" borderId="4" xfId="0" applyFont="1" applyFill="1" applyBorder="1" applyAlignment="1">
      <alignment wrapText="1"/>
    </xf>
    <xf numFmtId="2" fontId="5" fillId="11" borderId="5" xfId="0" applyNumberFormat="1" applyFont="1" applyFill="1" applyBorder="1"/>
    <xf numFmtId="0" fontId="5" fillId="11" borderId="5" xfId="0" applyFont="1" applyFill="1" applyBorder="1"/>
    <xf numFmtId="0" fontId="5" fillId="12" borderId="5" xfId="0" applyFont="1" applyFill="1" applyBorder="1"/>
    <xf numFmtId="0" fontId="5" fillId="12" borderId="5" xfId="0" applyFont="1" applyFill="1" applyBorder="1" applyAlignment="1">
      <alignment wrapText="1"/>
    </xf>
    <xf numFmtId="166" fontId="5" fillId="0" borderId="5" xfId="0" applyNumberFormat="1" applyFont="1" applyBorder="1" applyAlignment="1">
      <alignment horizontal="center"/>
    </xf>
    <xf numFmtId="166" fontId="4" fillId="10" borderId="5" xfId="0" applyNumberFormat="1" applyFont="1" applyFill="1" applyBorder="1"/>
    <xf numFmtId="0" fontId="5" fillId="0" borderId="5" xfId="0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166" fontId="5" fillId="0" borderId="0" xfId="0" applyNumberFormat="1" applyFont="1"/>
    <xf numFmtId="1" fontId="5" fillId="0" borderId="5" xfId="0" applyNumberFormat="1" applyFont="1" applyBorder="1" applyAlignment="1">
      <alignment horizontal="center"/>
    </xf>
    <xf numFmtId="2" fontId="17" fillId="15" borderId="5" xfId="0" applyNumberFormat="1" applyFont="1" applyFill="1" applyBorder="1"/>
    <xf numFmtId="0" fontId="5" fillId="0" borderId="0" xfId="0" applyFont="1" applyAlignment="1">
      <alignment wrapText="1"/>
    </xf>
    <xf numFmtId="2" fontId="17" fillId="0" borderId="0" xfId="0" applyNumberFormat="1" applyFont="1"/>
    <xf numFmtId="2" fontId="17" fillId="0" borderId="19" xfId="0" applyNumberFormat="1" applyFont="1" applyBorder="1"/>
    <xf numFmtId="0" fontId="19" fillId="14" borderId="5" xfId="0" applyFont="1" applyFill="1" applyBorder="1"/>
    <xf numFmtId="0" fontId="5" fillId="16" borderId="2" xfId="0" applyFont="1" applyFill="1" applyBorder="1" applyAlignment="1">
      <alignment horizontal="center" wrapText="1"/>
    </xf>
    <xf numFmtId="164" fontId="5" fillId="0" borderId="5" xfId="0" applyNumberFormat="1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2" fontId="5" fillId="0" borderId="5" xfId="0" applyNumberFormat="1" applyFont="1" applyBorder="1" applyAlignment="1">
      <alignment horizontal="right"/>
    </xf>
    <xf numFmtId="167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0" fontId="21" fillId="17" borderId="5" xfId="0" applyFont="1" applyFill="1" applyBorder="1" applyAlignment="1">
      <alignment horizontal="center"/>
    </xf>
    <xf numFmtId="0" fontId="5" fillId="0" borderId="10" xfId="0" applyFont="1" applyBorder="1" applyAlignment="1">
      <alignment horizontal="center" wrapText="1"/>
    </xf>
    <xf numFmtId="0" fontId="5" fillId="18" borderId="20" xfId="0" applyFont="1" applyFill="1" applyBorder="1" applyAlignment="1">
      <alignment horizontal="center" wrapText="1"/>
    </xf>
    <xf numFmtId="164" fontId="5" fillId="0" borderId="17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168" fontId="4" fillId="18" borderId="21" xfId="0" applyNumberFormat="1" applyFont="1" applyFill="1" applyBorder="1" applyAlignment="1">
      <alignment horizontal="center"/>
    </xf>
    <xf numFmtId="8" fontId="5" fillId="18" borderId="22" xfId="0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5" fillId="18" borderId="23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1" xfId="0" applyFont="1" applyBorder="1"/>
    <xf numFmtId="0" fontId="5" fillId="0" borderId="2" xfId="0" applyFont="1" applyBorder="1" applyAlignment="1">
      <alignment horizontal="center" wrapText="1"/>
    </xf>
    <xf numFmtId="0" fontId="5" fillId="18" borderId="2" xfId="0" applyFont="1" applyFill="1" applyBorder="1" applyAlignment="1">
      <alignment horizontal="center" wrapText="1"/>
    </xf>
    <xf numFmtId="168" fontId="4" fillId="18" borderId="8" xfId="0" applyNumberFormat="1" applyFont="1" applyFill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/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22" borderId="5" xfId="0" applyFont="1" applyFill="1" applyBorder="1" applyAlignment="1">
      <alignment vertical="center" wrapText="1"/>
    </xf>
    <xf numFmtId="0" fontId="4" fillId="22" borderId="5" xfId="0" applyFont="1" applyFill="1" applyBorder="1" applyAlignment="1">
      <alignment horizontal="center" vertical="center" wrapText="1"/>
    </xf>
    <xf numFmtId="166" fontId="4" fillId="22" borderId="5" xfId="0" applyNumberFormat="1" applyFont="1" applyFill="1" applyBorder="1" applyAlignment="1">
      <alignment horizontal="center"/>
    </xf>
    <xf numFmtId="0" fontId="4" fillId="13" borderId="5" xfId="0" applyFont="1" applyFill="1" applyBorder="1" applyAlignment="1">
      <alignment wrapText="1"/>
    </xf>
    <xf numFmtId="0" fontId="4" fillId="13" borderId="5" xfId="0" applyFont="1" applyFill="1" applyBorder="1"/>
    <xf numFmtId="0" fontId="4" fillId="13" borderId="5" xfId="0" applyFont="1" applyFill="1" applyBorder="1" applyAlignment="1">
      <alignment horizontal="center"/>
    </xf>
    <xf numFmtId="168" fontId="4" fillId="13" borderId="5" xfId="0" applyNumberFormat="1" applyFont="1" applyFill="1" applyBorder="1" applyAlignment="1">
      <alignment horizontal="center"/>
    </xf>
    <xf numFmtId="166" fontId="4" fillId="13" borderId="5" xfId="0" applyNumberFormat="1" applyFont="1" applyFill="1" applyBorder="1" applyAlignment="1">
      <alignment horizontal="center"/>
    </xf>
    <xf numFmtId="166" fontId="18" fillId="23" borderId="19" xfId="0" applyNumberFormat="1" applyFont="1" applyFill="1" applyBorder="1" applyAlignment="1">
      <alignment horizontal="center" vertical="center"/>
    </xf>
    <xf numFmtId="164" fontId="5" fillId="0" borderId="0" xfId="0" applyNumberFormat="1" applyFont="1"/>
    <xf numFmtId="0" fontId="4" fillId="10" borderId="5" xfId="0" applyFont="1" applyFill="1" applyBorder="1" applyAlignment="1">
      <alignment vertical="center" wrapText="1"/>
    </xf>
    <xf numFmtId="0" fontId="4" fillId="10" borderId="5" xfId="0" applyFont="1" applyFill="1" applyBorder="1" applyAlignment="1">
      <alignment horizontal="center" vertical="center" wrapText="1"/>
    </xf>
    <xf numFmtId="166" fontId="5" fillId="22" borderId="5" xfId="0" applyNumberFormat="1" applyFont="1" applyFill="1" applyBorder="1"/>
    <xf numFmtId="166" fontId="5" fillId="0" borderId="9" xfId="0" applyNumberFormat="1" applyFont="1" applyBorder="1"/>
    <xf numFmtId="0" fontId="5" fillId="0" borderId="10" xfId="0" applyFont="1" applyBorder="1"/>
    <xf numFmtId="0" fontId="12" fillId="21" borderId="1" xfId="0" applyFont="1" applyFill="1" applyBorder="1"/>
    <xf numFmtId="0" fontId="5" fillId="21" borderId="3" xfId="0" applyFont="1" applyFill="1" applyBorder="1"/>
    <xf numFmtId="0" fontId="12" fillId="0" borderId="7" xfId="0" applyFont="1" applyBorder="1"/>
    <xf numFmtId="166" fontId="4" fillId="0" borderId="9" xfId="0" applyNumberFormat="1" applyFont="1" applyBorder="1"/>
    <xf numFmtId="0" fontId="12" fillId="0" borderId="11" xfId="0" applyFont="1" applyBorder="1"/>
    <xf numFmtId="0" fontId="5" fillId="0" borderId="11" xfId="0" applyFont="1" applyBorder="1"/>
    <xf numFmtId="0" fontId="4" fillId="0" borderId="4" xfId="0" applyFont="1" applyBorder="1"/>
    <xf numFmtId="166" fontId="4" fillId="24" borderId="6" xfId="0" applyNumberFormat="1" applyFont="1" applyFill="1" applyBorder="1"/>
    <xf numFmtId="0" fontId="4" fillId="0" borderId="4" xfId="0" applyFont="1" applyBorder="1" applyAlignment="1">
      <alignment vertical="center"/>
    </xf>
    <xf numFmtId="166" fontId="4" fillId="0" borderId="6" xfId="0" applyNumberFormat="1" applyFont="1" applyBorder="1"/>
    <xf numFmtId="166" fontId="5" fillId="0" borderId="11" xfId="0" applyNumberFormat="1" applyFont="1" applyBorder="1"/>
    <xf numFmtId="0" fontId="12" fillId="0" borderId="1" xfId="0" applyFont="1" applyBorder="1"/>
    <xf numFmtId="166" fontId="4" fillId="0" borderId="3" xfId="0" applyNumberFormat="1" applyFont="1" applyBorder="1"/>
    <xf numFmtId="166" fontId="5" fillId="0" borderId="6" xfId="0" applyNumberFormat="1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164" fontId="5" fillId="0" borderId="6" xfId="0" applyNumberFormat="1" applyFont="1" applyBorder="1"/>
    <xf numFmtId="0" fontId="12" fillId="0" borderId="7" xfId="0" applyFont="1" applyBorder="1" applyAlignment="1">
      <alignment horizontal="right"/>
    </xf>
    <xf numFmtId="0" fontId="5" fillId="0" borderId="12" xfId="0" applyFont="1" applyBorder="1"/>
    <xf numFmtId="166" fontId="5" fillId="0" borderId="3" xfId="0" applyNumberFormat="1" applyFont="1" applyBorder="1"/>
    <xf numFmtId="166" fontId="24" fillId="0" borderId="0" xfId="0" applyNumberFormat="1" applyFont="1"/>
    <xf numFmtId="0" fontId="5" fillId="0" borderId="26" xfId="0" applyFont="1" applyBorder="1" applyAlignment="1">
      <alignment horizontal="right"/>
    </xf>
    <xf numFmtId="164" fontId="25" fillId="17" borderId="5" xfId="0" applyNumberFormat="1" applyFont="1" applyFill="1" applyBorder="1" applyAlignment="1">
      <alignment horizontal="center"/>
    </xf>
    <xf numFmtId="0" fontId="5" fillId="20" borderId="27" xfId="0" applyFont="1" applyFill="1" applyBorder="1"/>
    <xf numFmtId="0" fontId="5" fillId="2" borderId="27" xfId="0" applyFont="1" applyFill="1" applyBorder="1"/>
    <xf numFmtId="49" fontId="5" fillId="20" borderId="27" xfId="0" applyNumberFormat="1" applyFont="1" applyFill="1" applyBorder="1"/>
    <xf numFmtId="2" fontId="5" fillId="20" borderId="27" xfId="0" applyNumberFormat="1" applyFont="1" applyFill="1" applyBorder="1"/>
    <xf numFmtId="0" fontId="5" fillId="0" borderId="27" xfId="0" applyFont="1" applyBorder="1"/>
    <xf numFmtId="49" fontId="5" fillId="0" borderId="27" xfId="0" applyNumberFormat="1" applyFont="1" applyBorder="1"/>
    <xf numFmtId="0" fontId="5" fillId="0" borderId="17" xfId="0" applyFont="1" applyBorder="1" applyAlignment="1">
      <alignment horizontal="center" wrapText="1"/>
    </xf>
    <xf numFmtId="0" fontId="5" fillId="0" borderId="32" xfId="0" applyFont="1" applyBorder="1" applyAlignment="1">
      <alignment horizont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1" fontId="5" fillId="0" borderId="5" xfId="0" applyNumberFormat="1" applyFont="1" applyBorder="1" applyAlignment="1">
      <alignment horizontal="right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wrapText="1"/>
    </xf>
    <xf numFmtId="0" fontId="5" fillId="0" borderId="8" xfId="0" applyFont="1" applyBorder="1" applyAlignment="1">
      <alignment horizontal="right" wrapText="1"/>
    </xf>
    <xf numFmtId="2" fontId="17" fillId="15" borderId="17" xfId="0" applyNumberFormat="1" applyFont="1" applyFill="1" applyBorder="1"/>
    <xf numFmtId="2" fontId="5" fillId="0" borderId="10" xfId="0" applyNumberFormat="1" applyFont="1" applyBorder="1"/>
    <xf numFmtId="2" fontId="17" fillId="15" borderId="10" xfId="0" applyNumberFormat="1" applyFont="1" applyFill="1" applyBorder="1"/>
    <xf numFmtId="2" fontId="17" fillId="15" borderId="28" xfId="0" applyNumberFormat="1" applyFont="1" applyFill="1" applyBorder="1"/>
    <xf numFmtId="0" fontId="5" fillId="0" borderId="18" xfId="0" applyFont="1" applyBorder="1"/>
    <xf numFmtId="0" fontId="5" fillId="0" borderId="30" xfId="0" applyFont="1" applyBorder="1"/>
    <xf numFmtId="0" fontId="13" fillId="8" borderId="12" xfId="0" applyFont="1" applyFill="1" applyBorder="1" applyAlignment="1">
      <alignment horizontal="center" vertical="center" wrapText="1"/>
    </xf>
    <xf numFmtId="0" fontId="19" fillId="0" borderId="30" xfId="0" applyFont="1" applyBorder="1"/>
    <xf numFmtId="44" fontId="5" fillId="0" borderId="5" xfId="1" applyFont="1" applyBorder="1"/>
    <xf numFmtId="3" fontId="0" fillId="0" borderId="0" xfId="0" applyNumberFormat="1"/>
    <xf numFmtId="0" fontId="13" fillId="8" borderId="10" xfId="0" applyFont="1" applyFill="1" applyBorder="1" applyAlignment="1">
      <alignment horizontal="center" vertical="center" wrapText="1"/>
    </xf>
    <xf numFmtId="0" fontId="0" fillId="0" borderId="35" xfId="0" applyBorder="1"/>
    <xf numFmtId="0" fontId="5" fillId="0" borderId="36" xfId="0" applyFont="1" applyBorder="1"/>
    <xf numFmtId="0" fontId="5" fillId="0" borderId="37" xfId="0" applyFont="1" applyBorder="1"/>
    <xf numFmtId="2" fontId="5" fillId="0" borderId="37" xfId="0" applyNumberFormat="1" applyFont="1" applyBorder="1"/>
    <xf numFmtId="2" fontId="17" fillId="15" borderId="38" xfId="0" applyNumberFormat="1" applyFont="1" applyFill="1" applyBorder="1"/>
    <xf numFmtId="0" fontId="0" fillId="0" borderId="39" xfId="0" applyBorder="1"/>
    <xf numFmtId="2" fontId="17" fillId="15" borderId="40" xfId="0" applyNumberFormat="1" applyFont="1" applyFill="1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5" fillId="0" borderId="18" xfId="0" applyFont="1" applyBorder="1" applyAlignment="1">
      <alignment horizontal="center" wrapText="1"/>
    </xf>
    <xf numFmtId="0" fontId="5" fillId="0" borderId="18" xfId="0" applyFont="1" applyBorder="1" applyAlignment="1">
      <alignment horizontal="left" wrapText="1"/>
    </xf>
    <xf numFmtId="2" fontId="4" fillId="0" borderId="5" xfId="0" applyNumberFormat="1" applyFont="1" applyBorder="1" applyAlignment="1">
      <alignment horizontal="center"/>
    </xf>
    <xf numFmtId="0" fontId="15" fillId="9" borderId="16" xfId="0" applyFont="1" applyFill="1" applyBorder="1" applyAlignment="1">
      <alignment horizontal="center" vertical="center" wrapText="1"/>
    </xf>
    <xf numFmtId="167" fontId="15" fillId="9" borderId="16" xfId="0" applyNumberFormat="1" applyFont="1" applyFill="1" applyBorder="1" applyAlignment="1">
      <alignment horizontal="center" vertical="center" wrapText="1"/>
    </xf>
    <xf numFmtId="168" fontId="5" fillId="0" borderId="5" xfId="0" applyNumberFormat="1" applyFont="1" applyBorder="1"/>
    <xf numFmtId="167" fontId="5" fillId="0" borderId="5" xfId="0" applyNumberFormat="1" applyFont="1" applyBorder="1"/>
    <xf numFmtId="2" fontId="4" fillId="0" borderId="5" xfId="0" applyNumberFormat="1" applyFont="1" applyBorder="1" applyAlignment="1">
      <alignment horizontal="right"/>
    </xf>
    <xf numFmtId="0" fontId="0" fillId="27" borderId="47" xfId="0" applyFill="1" applyBorder="1"/>
    <xf numFmtId="0" fontId="0" fillId="0" borderId="47" xfId="0" applyBorder="1"/>
    <xf numFmtId="166" fontId="5" fillId="28" borderId="5" xfId="0" applyNumberFormat="1" applyFont="1" applyFill="1" applyBorder="1" applyAlignment="1">
      <alignment horizontal="center"/>
    </xf>
    <xf numFmtId="166" fontId="5" fillId="2" borderId="8" xfId="0" applyNumberFormat="1" applyFont="1" applyFill="1" applyBorder="1" applyAlignment="1">
      <alignment horizontal="center"/>
    </xf>
    <xf numFmtId="166" fontId="5" fillId="2" borderId="5" xfId="0" applyNumberFormat="1" applyFont="1" applyFill="1" applyBorder="1" applyAlignment="1">
      <alignment horizontal="center"/>
    </xf>
    <xf numFmtId="166" fontId="5" fillId="0" borderId="5" xfId="1" applyNumberFormat="1" applyFont="1" applyBorder="1"/>
    <xf numFmtId="0" fontId="5" fillId="0" borderId="5" xfId="0" applyFont="1" applyBorder="1" applyAlignment="1">
      <alignment horizontal="right"/>
    </xf>
    <xf numFmtId="2" fontId="21" fillId="29" borderId="5" xfId="0" applyNumberFormat="1" applyFont="1" applyFill="1" applyBorder="1"/>
    <xf numFmtId="0" fontId="18" fillId="26" borderId="30" xfId="0" applyFont="1" applyFill="1" applyBorder="1"/>
    <xf numFmtId="0" fontId="4" fillId="0" borderId="25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wrapText="1"/>
    </xf>
    <xf numFmtId="0" fontId="5" fillId="0" borderId="19" xfId="0" applyFont="1" applyBorder="1" applyAlignment="1">
      <alignment horizontal="center" wrapText="1"/>
    </xf>
    <xf numFmtId="164" fontId="5" fillId="0" borderId="19" xfId="0" applyNumberFormat="1" applyFont="1" applyBorder="1" applyAlignment="1">
      <alignment horizontal="center" vertical="center" wrapText="1"/>
    </xf>
    <xf numFmtId="0" fontId="13" fillId="8" borderId="25" xfId="0" applyFont="1" applyFill="1" applyBorder="1" applyAlignment="1">
      <alignment horizontal="center" vertical="center" wrapText="1"/>
    </xf>
    <xf numFmtId="0" fontId="13" fillId="8" borderId="33" xfId="0" applyFont="1" applyFill="1" applyBorder="1" applyAlignment="1">
      <alignment horizontal="center" vertical="center" wrapText="1"/>
    </xf>
    <xf numFmtId="0" fontId="17" fillId="0" borderId="34" xfId="0" applyFont="1" applyBorder="1"/>
    <xf numFmtId="0" fontId="18" fillId="26" borderId="34" xfId="0" applyFont="1" applyFill="1" applyBorder="1"/>
    <xf numFmtId="0" fontId="20" fillId="16" borderId="19" xfId="0" applyFont="1" applyFill="1" applyBorder="1"/>
    <xf numFmtId="0" fontId="12" fillId="21" borderId="19" xfId="0" applyFont="1" applyFill="1" applyBorder="1"/>
    <xf numFmtId="0" fontId="5" fillId="21" borderId="19" xfId="0" applyFont="1" applyFill="1" applyBorder="1" applyAlignment="1">
      <alignment horizontal="center"/>
    </xf>
    <xf numFmtId="166" fontId="23" fillId="0" borderId="19" xfId="0" applyNumberFormat="1" applyFont="1" applyBorder="1" applyAlignment="1">
      <alignment horizontal="center" vertical="center"/>
    </xf>
    <xf numFmtId="0" fontId="0" fillId="0" borderId="5" xfId="0" applyBorder="1"/>
    <xf numFmtId="0" fontId="0" fillId="0" borderId="19" xfId="0" applyBorder="1"/>
    <xf numFmtId="2" fontId="5" fillId="0" borderId="19" xfId="0" applyNumberFormat="1" applyFont="1" applyBorder="1" applyAlignment="1">
      <alignment horizontal="right"/>
    </xf>
    <xf numFmtId="164" fontId="4" fillId="0" borderId="19" xfId="0" applyNumberFormat="1" applyFont="1" applyBorder="1" applyAlignment="1">
      <alignment horizontal="right"/>
    </xf>
    <xf numFmtId="164" fontId="5" fillId="0" borderId="19" xfId="0" applyNumberFormat="1" applyFont="1" applyBorder="1" applyAlignment="1">
      <alignment horizontal="right"/>
    </xf>
    <xf numFmtId="0" fontId="5" fillId="0" borderId="19" xfId="0" applyFont="1" applyBorder="1" applyAlignment="1">
      <alignment horizontal="right"/>
    </xf>
    <xf numFmtId="167" fontId="0" fillId="0" borderId="5" xfId="0" applyNumberFormat="1" applyBorder="1"/>
    <xf numFmtId="2" fontId="0" fillId="0" borderId="5" xfId="0" applyNumberFormat="1" applyBorder="1"/>
    <xf numFmtId="0" fontId="5" fillId="0" borderId="24" xfId="0" applyFont="1" applyBorder="1" applyAlignment="1">
      <alignment horizontal="center" wrapText="1"/>
    </xf>
    <xf numFmtId="0" fontId="5" fillId="0" borderId="48" xfId="0" applyFont="1" applyBorder="1" applyAlignment="1">
      <alignment horizontal="center" wrapText="1"/>
    </xf>
    <xf numFmtId="2" fontId="21" fillId="0" borderId="19" xfId="0" applyNumberFormat="1" applyFont="1" applyBorder="1"/>
    <xf numFmtId="2" fontId="5" fillId="0" borderId="10" xfId="0" applyNumberFormat="1" applyFont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0" fontId="28" fillId="0" borderId="5" xfId="0" applyFont="1" applyBorder="1"/>
    <xf numFmtId="0" fontId="5" fillId="16" borderId="12" xfId="0" applyFont="1" applyFill="1" applyBorder="1" applyAlignment="1">
      <alignment horizontal="center"/>
    </xf>
    <xf numFmtId="0" fontId="5" fillId="16" borderId="12" xfId="0" applyFont="1" applyFill="1" applyBorder="1" applyAlignment="1">
      <alignment horizontal="center" wrapText="1"/>
    </xf>
    <xf numFmtId="2" fontId="5" fillId="0" borderId="19" xfId="0" applyNumberFormat="1" applyFont="1" applyBorder="1" applyAlignment="1">
      <alignment horizontal="center"/>
    </xf>
    <xf numFmtId="2" fontId="5" fillId="0" borderId="19" xfId="0" applyNumberFormat="1" applyFont="1" applyBorder="1"/>
    <xf numFmtId="0" fontId="5" fillId="0" borderId="19" xfId="0" applyFont="1" applyBorder="1" applyAlignment="1">
      <alignment horizontal="center"/>
    </xf>
    <xf numFmtId="0" fontId="5" fillId="16" borderId="49" xfId="0" applyFont="1" applyFill="1" applyBorder="1" applyAlignment="1">
      <alignment horizontal="center" wrapText="1"/>
    </xf>
    <xf numFmtId="2" fontId="5" fillId="0" borderId="17" xfId="0" applyNumberFormat="1" applyFont="1" applyBorder="1"/>
    <xf numFmtId="2" fontId="5" fillId="0" borderId="17" xfId="0" applyNumberFormat="1" applyFont="1" applyBorder="1" applyAlignment="1">
      <alignment horizontal="center"/>
    </xf>
    <xf numFmtId="0" fontId="5" fillId="0" borderId="19" xfId="0" applyFont="1" applyBorder="1"/>
    <xf numFmtId="0" fontId="5" fillId="16" borderId="5" xfId="0" applyFont="1" applyFill="1" applyBorder="1" applyAlignment="1">
      <alignment horizontal="center" wrapText="1"/>
    </xf>
    <xf numFmtId="164" fontId="5" fillId="0" borderId="17" xfId="0" applyNumberFormat="1" applyFont="1" applyBorder="1"/>
    <xf numFmtId="0" fontId="5" fillId="0" borderId="17" xfId="0" applyFont="1" applyBorder="1"/>
    <xf numFmtId="0" fontId="5" fillId="0" borderId="32" xfId="0" applyFont="1" applyBorder="1"/>
    <xf numFmtId="2" fontId="21" fillId="29" borderId="17" xfId="0" applyNumberFormat="1" applyFont="1" applyFill="1" applyBorder="1"/>
    <xf numFmtId="169" fontId="5" fillId="0" borderId="19" xfId="0" applyNumberFormat="1" applyFont="1" applyBorder="1"/>
    <xf numFmtId="164" fontId="4" fillId="0" borderId="18" xfId="0" applyNumberFormat="1" applyFont="1" applyBorder="1" applyAlignment="1">
      <alignment horizontal="right"/>
    </xf>
    <xf numFmtId="0" fontId="5" fillId="16" borderId="11" xfId="0" applyFont="1" applyFill="1" applyBorder="1" applyAlignment="1">
      <alignment horizontal="center"/>
    </xf>
    <xf numFmtId="0" fontId="5" fillId="16" borderId="11" xfId="0" applyFont="1" applyFill="1" applyBorder="1" applyAlignment="1">
      <alignment horizontal="center" wrapText="1"/>
    </xf>
    <xf numFmtId="169" fontId="0" fillId="0" borderId="5" xfId="0" applyNumberFormat="1" applyBorder="1"/>
    <xf numFmtId="170" fontId="0" fillId="0" borderId="5" xfId="0" applyNumberFormat="1" applyBorder="1"/>
    <xf numFmtId="2" fontId="0" fillId="0" borderId="12" xfId="0" applyNumberFormat="1" applyBorder="1"/>
    <xf numFmtId="0" fontId="4" fillId="25" borderId="5" xfId="0" applyFont="1" applyFill="1" applyBorder="1" applyAlignment="1">
      <alignment vertical="center" wrapText="1"/>
    </xf>
    <xf numFmtId="0" fontId="4" fillId="25" borderId="5" xfId="0" applyFont="1" applyFill="1" applyBorder="1" applyAlignment="1">
      <alignment horizontal="center" vertical="center" wrapText="1"/>
    </xf>
    <xf numFmtId="0" fontId="5" fillId="31" borderId="5" xfId="0" applyFont="1" applyFill="1" applyBorder="1" applyAlignment="1">
      <alignment wrapText="1"/>
    </xf>
    <xf numFmtId="0" fontId="4" fillId="31" borderId="5" xfId="0" applyFont="1" applyFill="1" applyBorder="1" applyAlignment="1">
      <alignment horizontal="center" vertical="center" wrapText="1"/>
    </xf>
    <xf numFmtId="2" fontId="22" fillId="31" borderId="5" xfId="0" applyNumberFormat="1" applyFont="1" applyFill="1" applyBorder="1" applyAlignment="1">
      <alignment horizontal="center" vertical="center" wrapText="1"/>
    </xf>
    <xf numFmtId="2" fontId="22" fillId="31" borderId="17" xfId="0" applyNumberFormat="1" applyFont="1" applyFill="1" applyBorder="1" applyAlignment="1">
      <alignment horizontal="center" vertical="center" wrapText="1"/>
    </xf>
    <xf numFmtId="0" fontId="4" fillId="25" borderId="10" xfId="0" applyFont="1" applyFill="1" applyBorder="1" applyAlignment="1">
      <alignment horizontal="center" vertical="center" wrapText="1"/>
    </xf>
    <xf numFmtId="0" fontId="5" fillId="16" borderId="24" xfId="0" applyFont="1" applyFill="1" applyBorder="1" applyAlignment="1">
      <alignment horizontal="center" wrapText="1"/>
    </xf>
    <xf numFmtId="2" fontId="0" fillId="0" borderId="19" xfId="0" applyNumberFormat="1" applyBorder="1"/>
    <xf numFmtId="0" fontId="5" fillId="2" borderId="4" xfId="0" applyFont="1" applyFill="1" applyBorder="1"/>
    <xf numFmtId="0" fontId="5" fillId="28" borderId="4" xfId="0" applyFont="1" applyFill="1" applyBorder="1" applyAlignment="1">
      <alignment wrapText="1"/>
    </xf>
    <xf numFmtId="0" fontId="5" fillId="28" borderId="4" xfId="0" applyFont="1" applyFill="1" applyBorder="1"/>
    <xf numFmtId="0" fontId="5" fillId="2" borderId="7" xfId="0" applyFont="1" applyFill="1" applyBorder="1"/>
    <xf numFmtId="2" fontId="5" fillId="0" borderId="50" xfId="0" applyNumberFormat="1" applyFont="1" applyBorder="1"/>
    <xf numFmtId="2" fontId="17" fillId="15" borderId="51" xfId="0" applyNumberFormat="1" applyFont="1" applyFill="1" applyBorder="1"/>
    <xf numFmtId="1" fontId="5" fillId="0" borderId="5" xfId="0" applyNumberFormat="1" applyFont="1" applyBorder="1"/>
    <xf numFmtId="0" fontId="0" fillId="0" borderId="10" xfId="0" applyBorder="1"/>
    <xf numFmtId="44" fontId="0" fillId="0" borderId="5" xfId="0" applyNumberFormat="1" applyBorder="1"/>
    <xf numFmtId="44" fontId="0" fillId="0" borderId="10" xfId="0" applyNumberFormat="1" applyBorder="1"/>
    <xf numFmtId="167" fontId="5" fillId="0" borderId="5" xfId="0" applyNumberFormat="1" applyFont="1" applyBorder="1" applyAlignment="1">
      <alignment horizontal="right"/>
    </xf>
    <xf numFmtId="0" fontId="0" fillId="0" borderId="12" xfId="0" applyBorder="1"/>
    <xf numFmtId="0" fontId="29" fillId="0" borderId="5" xfId="0" applyFont="1" applyBorder="1"/>
    <xf numFmtId="0" fontId="0" fillId="0" borderId="17" xfId="0" applyBorder="1"/>
    <xf numFmtId="0" fontId="0" fillId="0" borderId="28" xfId="0" applyBorder="1"/>
    <xf numFmtId="0" fontId="29" fillId="0" borderId="12" xfId="0" applyFont="1" applyBorder="1"/>
    <xf numFmtId="0" fontId="5" fillId="2" borderId="5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25" borderId="17" xfId="0" applyFont="1" applyFill="1" applyBorder="1" applyAlignment="1">
      <alignment horizontal="center" vertical="center" wrapText="1"/>
    </xf>
    <xf numFmtId="2" fontId="4" fillId="2" borderId="12" xfId="0" applyNumberFormat="1" applyFont="1" applyFill="1" applyBorder="1" applyAlignment="1">
      <alignment horizontal="center" vertical="center" wrapText="1"/>
    </xf>
    <xf numFmtId="166" fontId="0" fillId="0" borderId="5" xfId="0" applyNumberFormat="1" applyBorder="1"/>
    <xf numFmtId="0" fontId="29" fillId="0" borderId="19" xfId="0" applyFont="1" applyBorder="1"/>
    <xf numFmtId="0" fontId="29" fillId="0" borderId="10" xfId="0" applyFont="1" applyBorder="1"/>
    <xf numFmtId="0" fontId="0" fillId="30" borderId="28" xfId="0" applyFill="1" applyBorder="1"/>
    <xf numFmtId="0" fontId="0" fillId="30" borderId="5" xfId="0" applyFill="1" applyBorder="1"/>
    <xf numFmtId="0" fontId="4" fillId="10" borderId="12" xfId="0" applyFont="1" applyFill="1" applyBorder="1" applyAlignment="1">
      <alignment vertical="center" wrapText="1"/>
    </xf>
    <xf numFmtId="0" fontId="0" fillId="32" borderId="5" xfId="0" applyFill="1" applyBorder="1"/>
    <xf numFmtId="0" fontId="28" fillId="33" borderId="5" xfId="0" applyFont="1" applyFill="1" applyBorder="1"/>
    <xf numFmtId="0" fontId="28" fillId="34" borderId="5" xfId="0" applyFont="1" applyFill="1" applyBorder="1"/>
    <xf numFmtId="0" fontId="0" fillId="35" borderId="19" xfId="0" applyFill="1" applyBorder="1"/>
    <xf numFmtId="0" fontId="0" fillId="35" borderId="5" xfId="0" applyFill="1" applyBorder="1"/>
    <xf numFmtId="0" fontId="30" fillId="36" borderId="5" xfId="0" applyFont="1" applyFill="1" applyBorder="1"/>
    <xf numFmtId="0" fontId="30" fillId="36" borderId="17" xfId="0" applyFont="1" applyFill="1" applyBorder="1"/>
    <xf numFmtId="44" fontId="0" fillId="0" borderId="0" xfId="0" applyNumberFormat="1"/>
    <xf numFmtId="0" fontId="0" fillId="38" borderId="5" xfId="0" applyFill="1" applyBorder="1"/>
    <xf numFmtId="168" fontId="5" fillId="18" borderId="5" xfId="0" applyNumberFormat="1" applyFont="1" applyFill="1" applyBorder="1" applyAlignment="1">
      <alignment horizontal="center"/>
    </xf>
    <xf numFmtId="9" fontId="0" fillId="39" borderId="5" xfId="0" applyNumberFormat="1" applyFill="1" applyBorder="1"/>
    <xf numFmtId="166" fontId="0" fillId="39" borderId="5" xfId="0" applyNumberFormat="1" applyFill="1" applyBorder="1"/>
    <xf numFmtId="166" fontId="4" fillId="13" borderId="17" xfId="0" applyNumberFormat="1" applyFont="1" applyFill="1" applyBorder="1" applyAlignment="1">
      <alignment horizontal="center"/>
    </xf>
    <xf numFmtId="0" fontId="4" fillId="0" borderId="19" xfId="0" applyFont="1" applyBorder="1" applyAlignment="1">
      <alignment vertical="center" wrapText="1"/>
    </xf>
    <xf numFmtId="2" fontId="21" fillId="0" borderId="17" xfId="0" applyNumberFormat="1" applyFont="1" applyBorder="1"/>
    <xf numFmtId="2" fontId="5" fillId="0" borderId="5" xfId="0" applyNumberFormat="1" applyFont="1" applyBorder="1" applyAlignment="1">
      <alignment horizontal="center" wrapText="1"/>
    </xf>
    <xf numFmtId="2" fontId="5" fillId="0" borderId="5" xfId="0" applyNumberFormat="1" applyFont="1" applyBorder="1" applyAlignment="1">
      <alignment horizontal="right" wrapText="1"/>
    </xf>
    <xf numFmtId="2" fontId="0" fillId="0" borderId="5" xfId="0" applyNumberFormat="1" applyBorder="1" applyAlignment="1">
      <alignment horizontal="right"/>
    </xf>
    <xf numFmtId="0" fontId="5" fillId="18" borderId="5" xfId="0" applyFont="1" applyFill="1" applyBorder="1" applyAlignment="1">
      <alignment horizontal="center" wrapText="1"/>
    </xf>
    <xf numFmtId="0" fontId="5" fillId="0" borderId="17" xfId="0" applyFont="1" applyBorder="1" applyAlignment="1">
      <alignment horizontal="center"/>
    </xf>
    <xf numFmtId="0" fontId="31" fillId="0" borderId="5" xfId="0" applyFont="1" applyBorder="1"/>
    <xf numFmtId="168" fontId="0" fillId="0" borderId="5" xfId="0" applyNumberFormat="1" applyBorder="1"/>
    <xf numFmtId="8" fontId="0" fillId="0" borderId="10" xfId="0" applyNumberFormat="1" applyBorder="1"/>
    <xf numFmtId="44" fontId="0" fillId="0" borderId="19" xfId="0" applyNumberFormat="1" applyBorder="1"/>
    <xf numFmtId="0" fontId="4" fillId="0" borderId="53" xfId="0" applyFont="1" applyBorder="1" applyAlignment="1">
      <alignment vertical="center"/>
    </xf>
    <xf numFmtId="166" fontId="4" fillId="0" borderId="54" xfId="0" applyNumberFormat="1" applyFont="1" applyBorder="1"/>
    <xf numFmtId="0" fontId="4" fillId="40" borderId="0" xfId="0" applyFont="1" applyFill="1"/>
    <xf numFmtId="0" fontId="5" fillId="40" borderId="0" xfId="0" applyFont="1" applyFill="1"/>
    <xf numFmtId="0" fontId="0" fillId="41" borderId="0" xfId="0" applyFill="1"/>
    <xf numFmtId="0" fontId="0" fillId="38" borderId="28" xfId="0" applyFill="1" applyBorder="1"/>
    <xf numFmtId="0" fontId="31" fillId="33" borderId="5" xfId="0" applyFont="1" applyFill="1" applyBorder="1" applyAlignment="1">
      <alignment vertical="center"/>
    </xf>
    <xf numFmtId="0" fontId="4" fillId="33" borderId="10" xfId="0" applyFont="1" applyFill="1" applyBorder="1" applyAlignment="1">
      <alignment vertical="center" wrapText="1"/>
    </xf>
    <xf numFmtId="0" fontId="4" fillId="33" borderId="10" xfId="0" applyFont="1" applyFill="1" applyBorder="1" applyAlignment="1">
      <alignment horizontal="center" vertical="center" wrapText="1"/>
    </xf>
    <xf numFmtId="0" fontId="4" fillId="33" borderId="28" xfId="0" applyFont="1" applyFill="1" applyBorder="1" applyAlignment="1">
      <alignment horizontal="center" vertical="center" wrapText="1"/>
    </xf>
    <xf numFmtId="168" fontId="5" fillId="0" borderId="5" xfId="0" applyNumberFormat="1" applyFont="1" applyBorder="1" applyAlignment="1">
      <alignment horizontal="center"/>
    </xf>
    <xf numFmtId="0" fontId="0" fillId="39" borderId="12" xfId="0" applyFill="1" applyBorder="1"/>
    <xf numFmtId="0" fontId="0" fillId="37" borderId="19" xfId="0" applyFill="1" applyBorder="1"/>
    <xf numFmtId="0" fontId="0" fillId="35" borderId="12" xfId="0" applyFill="1" applyBorder="1"/>
    <xf numFmtId="0" fontId="0" fillId="38" borderId="12" xfId="0" applyFill="1" applyBorder="1"/>
    <xf numFmtId="44" fontId="28" fillId="0" borderId="19" xfId="0" applyNumberFormat="1" applyFont="1" applyBorder="1"/>
    <xf numFmtId="44" fontId="28" fillId="0" borderId="5" xfId="0" applyNumberFormat="1" applyFont="1" applyBorder="1"/>
    <xf numFmtId="166" fontId="28" fillId="0" borderId="5" xfId="0" applyNumberFormat="1" applyFont="1" applyBorder="1"/>
    <xf numFmtId="0" fontId="5" fillId="42" borderId="5" xfId="0" applyFont="1" applyFill="1" applyBorder="1"/>
    <xf numFmtId="0" fontId="3" fillId="0" borderId="0" xfId="0" applyFont="1"/>
    <xf numFmtId="3" fontId="15" fillId="0" borderId="5" xfId="0" applyNumberFormat="1" applyFont="1" applyBorder="1"/>
    <xf numFmtId="4" fontId="15" fillId="0" borderId="5" xfId="0" applyNumberFormat="1" applyFont="1" applyBorder="1"/>
    <xf numFmtId="4" fontId="22" fillId="0" borderId="5" xfId="0" applyNumberFormat="1" applyFont="1" applyBorder="1"/>
    <xf numFmtId="164" fontId="15" fillId="0" borderId="5" xfId="0" applyNumberFormat="1" applyFont="1" applyBorder="1"/>
    <xf numFmtId="0" fontId="3" fillId="0" borderId="5" xfId="0" applyFont="1" applyBorder="1"/>
    <xf numFmtId="0" fontId="3" fillId="0" borderId="19" xfId="0" applyFont="1" applyBorder="1"/>
    <xf numFmtId="0" fontId="3" fillId="19" borderId="10" xfId="0" applyFont="1" applyFill="1" applyBorder="1"/>
    <xf numFmtId="0" fontId="3" fillId="2" borderId="27" xfId="0" applyFont="1" applyFill="1" applyBorder="1"/>
    <xf numFmtId="0" fontId="3" fillId="20" borderId="27" xfId="0" applyFont="1" applyFill="1" applyBorder="1"/>
    <xf numFmtId="166" fontId="3" fillId="0" borderId="0" xfId="0" applyNumberFormat="1" applyFont="1"/>
    <xf numFmtId="0" fontId="3" fillId="0" borderId="0" xfId="0" applyFont="1" applyAlignment="1">
      <alignment horizontal="right"/>
    </xf>
    <xf numFmtId="168" fontId="3" fillId="0" borderId="0" xfId="0" applyNumberFormat="1" applyFont="1"/>
    <xf numFmtId="10" fontId="3" fillId="0" borderId="0" xfId="0" applyNumberFormat="1" applyFont="1"/>
    <xf numFmtId="0" fontId="13" fillId="8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31" fillId="0" borderId="17" xfId="0" applyFont="1" applyBorder="1"/>
    <xf numFmtId="0" fontId="31" fillId="0" borderId="28" xfId="0" applyFont="1" applyBorder="1"/>
    <xf numFmtId="0" fontId="2" fillId="0" borderId="0" xfId="0" applyFont="1"/>
    <xf numFmtId="166" fontId="0" fillId="0" borderId="19" xfId="0" applyNumberFormat="1" applyBorder="1"/>
    <xf numFmtId="0" fontId="19" fillId="14" borderId="10" xfId="0" applyFont="1" applyFill="1" applyBorder="1" applyAlignment="1">
      <alignment vertical="center"/>
    </xf>
    <xf numFmtId="0" fontId="11" fillId="0" borderId="12" xfId="0" applyFont="1" applyBorder="1"/>
    <xf numFmtId="0" fontId="13" fillId="8" borderId="13" xfId="0" applyFont="1" applyFill="1" applyBorder="1" applyAlignment="1">
      <alignment horizontal="center" vertical="center" wrapText="1"/>
    </xf>
    <xf numFmtId="0" fontId="11" fillId="0" borderId="52" xfId="0" applyFont="1" applyBorder="1"/>
    <xf numFmtId="0" fontId="5" fillId="19" borderId="28" xfId="0" applyFont="1" applyFill="1" applyBorder="1"/>
    <xf numFmtId="0" fontId="11" fillId="19" borderId="29" xfId="0" applyFont="1" applyFill="1" applyBorder="1"/>
    <xf numFmtId="0" fontId="11" fillId="19" borderId="30" xfId="0" applyFont="1" applyFill="1" applyBorder="1"/>
    <xf numFmtId="0" fontId="12" fillId="0" borderId="0" xfId="0" applyFont="1" applyAlignment="1">
      <alignment horizontal="center" wrapText="1"/>
    </xf>
    <xf numFmtId="0" fontId="0" fillId="0" borderId="0" xfId="0"/>
    <xf numFmtId="0" fontId="0" fillId="0" borderId="27" xfId="0" applyBorder="1"/>
    <xf numFmtId="44" fontId="28" fillId="0" borderId="27" xfId="0" applyNumberFormat="1" applyFont="1" applyBorder="1"/>
    <xf numFmtId="44" fontId="2" fillId="0" borderId="27" xfId="0" applyNumberFormat="1" applyFont="1" applyBorder="1"/>
    <xf numFmtId="44" fontId="32" fillId="0" borderId="27" xfId="0" applyNumberFormat="1" applyFont="1" applyBorder="1"/>
    <xf numFmtId="166" fontId="28" fillId="0" borderId="27" xfId="0" applyNumberFormat="1" applyFont="1" applyBorder="1"/>
    <xf numFmtId="0" fontId="1" fillId="0" borderId="0" xfId="0" applyFont="1"/>
    <xf numFmtId="44" fontId="1" fillId="0" borderId="0" xfId="0" applyNumberFormat="1" applyFont="1"/>
    <xf numFmtId="0" fontId="5" fillId="0" borderId="55" xfId="0" applyFont="1" applyBorder="1"/>
    <xf numFmtId="0" fontId="5" fillId="0" borderId="56" xfId="0" applyFont="1" applyBorder="1"/>
    <xf numFmtId="44" fontId="1" fillId="0" borderId="27" xfId="0" applyNumberFormat="1" applyFont="1" applyBorder="1"/>
    <xf numFmtId="9" fontId="5" fillId="0" borderId="19" xfId="0" applyNumberFormat="1" applyFont="1" applyBorder="1"/>
    <xf numFmtId="9" fontId="5" fillId="0" borderId="57" xfId="0" applyNumberFormat="1" applyFont="1" applyBorder="1"/>
    <xf numFmtId="0" fontId="5" fillId="0" borderId="58" xfId="0" applyFont="1" applyBorder="1"/>
    <xf numFmtId="44" fontId="28" fillId="0" borderId="41" xfId="0" applyNumberFormat="1" applyFont="1" applyBorder="1"/>
    <xf numFmtId="9" fontId="5" fillId="0" borderId="27" xfId="0" applyNumberFormat="1" applyFont="1" applyBorder="1"/>
    <xf numFmtId="0" fontId="0" fillId="0" borderId="0" xfId="0" applyNumberFormat="1"/>
    <xf numFmtId="44" fontId="0" fillId="43" borderId="0" xfId="0" applyNumberFormat="1" applyFill="1"/>
    <xf numFmtId="0" fontId="5" fillId="0" borderId="19" xfId="0" applyFont="1" applyFill="1" applyBorder="1"/>
    <xf numFmtId="9" fontId="0" fillId="0" borderId="0" xfId="0" applyNumberFormat="1"/>
    <xf numFmtId="43" fontId="0" fillId="0" borderId="0" xfId="2" applyFont="1"/>
  </cellXfs>
  <cellStyles count="3">
    <cellStyle name="Millares" xfId="2" builtinId="3"/>
    <cellStyle name="Moneda" xfId="1" builtinId="4"/>
    <cellStyle name="Normal" xfId="0" builtinId="0"/>
  </cellStyles>
  <dxfs count="1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2" formatCode="0.00"/>
      <fill>
        <patternFill patternType="solid">
          <fgColor theme="6"/>
          <bgColor theme="6"/>
        </patternFill>
      </fill>
      <border diagonalUp="0" diagonalDown="0">
        <left style="thin">
          <color rgb="FF000000"/>
        </left>
        <right/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2" formatCode="0.00"/>
      <fill>
        <patternFill patternType="solid">
          <fgColor theme="6"/>
          <bgColor theme="6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2" formatCode="0.0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rgb="FF000000"/>
        </right>
        <top style="thin">
          <color rgb="FF000000"/>
        </top>
        <bottom/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2" formatCode="0.00"/>
      <fill>
        <patternFill patternType="solid">
          <fgColor theme="6"/>
          <bgColor theme="6"/>
        </patternFill>
      </fill>
      <border diagonalUp="0" diagonalDown="0">
        <left style="thin">
          <color rgb="FF000000"/>
        </left>
        <right/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2" formatCode="0.00"/>
      <fill>
        <patternFill patternType="solid">
          <fgColor theme="6"/>
          <bgColor theme="6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2" formatCode="0.0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rgb="FF000000"/>
        </right>
        <top style="thin">
          <color rgb="FF000000"/>
        </top>
        <bottom/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2" formatCode="0.00"/>
      <fill>
        <patternFill patternType="solid">
          <fgColor theme="6"/>
          <bgColor theme="6"/>
        </patternFill>
      </fill>
      <border diagonalUp="0" diagonalDown="0">
        <left style="thin">
          <color rgb="FF000000"/>
        </left>
        <right/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2" formatCode="0.00"/>
      <fill>
        <patternFill patternType="solid">
          <fgColor theme="6"/>
          <bgColor theme="6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2" formatCode="0.0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rgb="FF000000"/>
        </right>
        <top style="thin">
          <color rgb="FF000000"/>
        </top>
        <bottom/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2" formatCode="0.00"/>
      <fill>
        <patternFill patternType="solid">
          <fgColor theme="6"/>
          <bgColor theme="6"/>
        </patternFill>
      </fill>
      <border diagonalUp="0" diagonalDown="0">
        <left style="thin">
          <color rgb="FF000000"/>
        </left>
        <right/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2" formatCode="0.00"/>
      <fill>
        <patternFill patternType="solid">
          <fgColor theme="6"/>
          <bgColor theme="6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2" formatCode="0.0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rgb="FF000000"/>
        </right>
        <top style="thin">
          <color rgb="FF000000"/>
        </top>
        <bottom/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2" formatCode="0.00"/>
      <fill>
        <patternFill patternType="solid">
          <fgColor theme="6"/>
          <bgColor theme="6"/>
        </patternFill>
      </fill>
      <border diagonalUp="0" diagonalDown="0">
        <left style="thin">
          <color rgb="FF000000"/>
        </left>
        <right/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2" formatCode="0.00"/>
      <fill>
        <patternFill patternType="solid">
          <fgColor theme="6"/>
          <bgColor theme="6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2" formatCode="0.0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rgb="FF000000"/>
        </right>
        <top style="thin">
          <color rgb="FF000000"/>
        </top>
        <bottom/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2" formatCode="0.00"/>
      <fill>
        <patternFill patternType="solid">
          <fgColor theme="6"/>
          <bgColor theme="6"/>
        </patternFill>
      </fill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2" formatCode="0.00"/>
      <fill>
        <patternFill patternType="solid">
          <fgColor theme="6"/>
          <bgColor theme="6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2" formatCode="0.0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2" formatCode="0.00"/>
      <fill>
        <patternFill patternType="solid">
          <fgColor theme="6"/>
          <bgColor theme="6"/>
        </patternFill>
      </fill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2" formatCode="0.00"/>
      <fill>
        <patternFill patternType="solid">
          <fgColor theme="6"/>
          <bgColor theme="6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2" formatCode="0.0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rgb="FF4472C4"/>
          <bgColor rgb="FF4472C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right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right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right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right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3" formatCode="#,##0"/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  <dxf>
      <fill>
        <patternFill patternType="solid">
          <fgColor rgb="FFFFE6DD"/>
          <bgColor rgb="FFFFE6D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ABF8F"/>
          <bgColor rgb="FFFABF8F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3C47D"/>
          <bgColor rgb="FF93C47D"/>
        </patternFill>
      </fill>
    </dxf>
  </dxfs>
  <tableStyles count="6" defaultTableStyle="TableStyleMedium2" defaultPivotStyle="PivotStyleLight16">
    <tableStyle name="II- DESPESES_PERSONAL-style" pivot="0" count="3" xr9:uid="{00000000-0011-0000-FFFF-FFFF00000000}">
      <tableStyleElement type="headerRow" dxfId="127"/>
      <tableStyleElement type="firstRowStripe" dxfId="126"/>
      <tableStyleElement type="secondRowStripe" dxfId="125"/>
    </tableStyle>
    <tableStyle name="II - DESPESES (6-7)-style" pivot="0" count="3" xr9:uid="{00000000-0011-0000-FFFF-FFFF01000000}">
      <tableStyleElement type="headerRow" dxfId="124"/>
      <tableStyleElement type="firstRowStripe" dxfId="123"/>
      <tableStyleElement type="secondRowStripe" dxfId="122"/>
    </tableStyle>
    <tableStyle name="II - DESPESES (8-9)-style" pivot="0" count="3" xr9:uid="{00000000-0011-0000-FFFF-FFFF02000000}">
      <tableStyleElement type="headerRow" dxfId="121"/>
      <tableStyleElement type="firstRowStripe" dxfId="120"/>
      <tableStyleElement type="secondRowStripe" dxfId="119"/>
    </tableStyle>
    <tableStyle name="II - DESPESES (10-13)-style" pivot="0" count="3" xr9:uid="{00000000-0011-0000-FFFF-FFFF03000000}">
      <tableStyleElement type="headerRow" dxfId="118"/>
      <tableStyleElement type="firstRowStripe" dxfId="117"/>
      <tableStyleElement type="secondRowStripe" dxfId="116"/>
    </tableStyle>
    <tableStyle name="II - DESPESES (10-13)-style 2" pivot="0" count="3" xr9:uid="{00000000-0011-0000-FFFF-FFFF04000000}">
      <tableStyleElement type="headerRow" dxfId="115"/>
      <tableStyleElement type="firstRowStripe" dxfId="114"/>
      <tableStyleElement type="secondRowStripe" dxfId="113"/>
    </tableStyle>
    <tableStyle name="II - DESPESES (10-13)-style 3" pivot="0" count="3" xr9:uid="{00000000-0011-0000-FFFF-FFFF05000000}">
      <tableStyleElement type="headerRow" dxfId="112"/>
      <tableStyleElement type="firstRowStripe" dxfId="111"/>
      <tableStyleElement type="secondRowStripe" dxfId="1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2400" b="0">
                <a:solidFill>
                  <a:srgbClr val="B7B7B7"/>
                </a:solidFill>
                <a:latin typeface="serif"/>
              </a:defRPr>
            </a:pPr>
            <a:r>
              <a:rPr lang="es-ES" sz="2400" b="0">
                <a:solidFill>
                  <a:srgbClr val="B7B7B7"/>
                </a:solidFill>
                <a:latin typeface="serif"/>
              </a:rPr>
              <a:t>Despesa corrent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1-0C85-4D52-B8B2-A47F68B9A71D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</c:spPr>
            <c:extLst>
              <c:ext xmlns:c16="http://schemas.microsoft.com/office/drawing/2014/chart" uri="{C3380CC4-5D6E-409C-BE32-E72D297353CC}">
                <c16:uniqueId val="{00000003-0C85-4D52-B8B2-A47F68B9A71D}"/>
              </c:ext>
            </c:extLst>
          </c:dPt>
          <c:dPt>
            <c:idx val="2"/>
            <c:bubble3D val="0"/>
            <c:spPr>
              <a:solidFill>
                <a:srgbClr val="4BACC6"/>
              </a:solidFill>
            </c:spPr>
            <c:extLst>
              <c:ext xmlns:c16="http://schemas.microsoft.com/office/drawing/2014/chart" uri="{C3380CC4-5D6E-409C-BE32-E72D297353CC}">
                <c16:uniqueId val="{00000005-0C85-4D52-B8B2-A47F68B9A71D}"/>
              </c:ext>
            </c:extLst>
          </c:dPt>
          <c:dPt>
            <c:idx val="3"/>
            <c:bubble3D val="0"/>
            <c:spPr>
              <a:solidFill>
                <a:srgbClr val="F79646"/>
              </a:solidFill>
            </c:spPr>
            <c:extLst>
              <c:ext xmlns:c16="http://schemas.microsoft.com/office/drawing/2014/chart" uri="{C3380CC4-5D6E-409C-BE32-E72D297353CC}">
                <c16:uniqueId val="{00000007-0C85-4D52-B8B2-A47F68B9A71D}"/>
              </c:ext>
            </c:extLst>
          </c:dPt>
          <c:dPt>
            <c:idx val="4"/>
            <c:bubble3D val="0"/>
            <c:spPr>
              <a:solidFill>
                <a:srgbClr val="FFE599"/>
              </a:solidFill>
            </c:spPr>
            <c:extLst>
              <c:ext xmlns:c16="http://schemas.microsoft.com/office/drawing/2014/chart" uri="{C3380CC4-5D6E-409C-BE32-E72D297353CC}">
                <c16:uniqueId val="{00000009-0C85-4D52-B8B2-A47F68B9A71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'III - PRESSUPOST TOTAL'!$A$7:$A$11</c:f>
              <c:strCache>
                <c:ptCount val="5"/>
                <c:pt idx="0">
                  <c:v>COST PERSONAL</c:v>
                </c:pt>
                <c:pt idx="1">
                  <c:v>DESPESES FINANCERES INVERSIONS APARTAT I</c:v>
                </c:pt>
                <c:pt idx="2">
                  <c:v>MANTENIMENT VEHICLES I ALTRES INVERSIÓ</c:v>
                </c:pt>
                <c:pt idx="3">
                  <c:v>LLOGUER i MANTENIMENT VEHICLES I MAQUINÀRIA APORTADA PER L'EMPRESA</c:v>
                </c:pt>
                <c:pt idx="4">
                  <c:v>COMBUSTIBLE VEHICLES I MAQUINÀRIA</c:v>
                </c:pt>
              </c:strCache>
            </c:strRef>
          </c:cat>
          <c:val>
            <c:numRef>
              <c:f>'III - PRESSUPOST TOTAL'!$B$7:$B$11</c:f>
              <c:numCache>
                <c:formatCode>#,##0.00\ "€"</c:formatCode>
                <c:ptCount val="5"/>
                <c:pt idx="0">
                  <c:v>42883.368418229649</c:v>
                </c:pt>
                <c:pt idx="1">
                  <c:v>2044.5</c:v>
                </c:pt>
                <c:pt idx="2">
                  <c:v>7667.88</c:v>
                </c:pt>
                <c:pt idx="3">
                  <c:v>5176.08</c:v>
                </c:pt>
                <c:pt idx="4">
                  <c:v>9216.5472000000009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C85-4D52-B8B2-A47F68B9A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 rtl="0">
            <a:defRPr b="0">
              <a:solidFill>
                <a:srgbClr val="1A1A1A"/>
              </a:solidFill>
              <a:latin typeface="+mn-lt"/>
            </a:defRPr>
          </a:pPr>
          <a:endParaRPr lang="es-E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s-ES" b="0">
                <a:solidFill>
                  <a:srgbClr val="757575"/>
                </a:solidFill>
                <a:latin typeface="+mn-lt"/>
              </a:rPr>
              <a:t>Cost sevei+ Despeses+be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1-5571-4025-9EBD-0C7CEA4DDBF0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</c:spPr>
            <c:extLst>
              <c:ext xmlns:c16="http://schemas.microsoft.com/office/drawing/2014/chart" uri="{C3380CC4-5D6E-409C-BE32-E72D297353CC}">
                <c16:uniqueId val="{00000003-5571-4025-9EBD-0C7CEA4DDBF0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</c:spPr>
            <c:extLst>
              <c:ext xmlns:c16="http://schemas.microsoft.com/office/drawing/2014/chart" uri="{C3380CC4-5D6E-409C-BE32-E72D297353CC}">
                <c16:uniqueId val="{00000005-5571-4025-9EBD-0C7CEA4DDBF0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</c:spPr>
            <c:extLst>
              <c:ext xmlns:c16="http://schemas.microsoft.com/office/drawing/2014/chart" uri="{C3380CC4-5D6E-409C-BE32-E72D297353CC}">
                <c16:uniqueId val="{00000007-5571-4025-9EBD-0C7CEA4DDBF0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</c:spPr>
            <c:extLst>
              <c:ext xmlns:c16="http://schemas.microsoft.com/office/drawing/2014/chart" uri="{C3380CC4-5D6E-409C-BE32-E72D297353CC}">
                <c16:uniqueId val="{00000009-5571-4025-9EBD-0C7CEA4DDBF0}"/>
              </c:ext>
            </c:extLst>
          </c:dPt>
          <c:dPt>
            <c:idx val="5"/>
            <c:bubble3D val="0"/>
            <c:spPr>
              <a:solidFill>
                <a:srgbClr val="F79646"/>
              </a:solidFill>
            </c:spPr>
            <c:extLst>
              <c:ext xmlns:c16="http://schemas.microsoft.com/office/drawing/2014/chart" uri="{C3380CC4-5D6E-409C-BE32-E72D297353CC}">
                <c16:uniqueId val="{0000000B-5571-4025-9EBD-0C7CEA4DDBF0}"/>
              </c:ext>
            </c:extLst>
          </c:dPt>
          <c:dPt>
            <c:idx val="6"/>
            <c:bubble3D val="0"/>
            <c:spPr>
              <a:solidFill>
                <a:srgbClr val="84A7D1"/>
              </a:solidFill>
            </c:spPr>
            <c:extLst>
              <c:ext xmlns:c16="http://schemas.microsoft.com/office/drawing/2014/chart" uri="{C3380CC4-5D6E-409C-BE32-E72D297353CC}">
                <c16:uniqueId val="{0000000D-5571-4025-9EBD-0C7CEA4DDBF0}"/>
              </c:ext>
            </c:extLst>
          </c:dPt>
          <c:dPt>
            <c:idx val="7"/>
            <c:bubble3D val="0"/>
            <c:spPr>
              <a:solidFill>
                <a:srgbClr val="D38582"/>
              </a:solidFill>
            </c:spPr>
            <c:extLst>
              <c:ext xmlns:c16="http://schemas.microsoft.com/office/drawing/2014/chart" uri="{C3380CC4-5D6E-409C-BE32-E72D297353CC}">
                <c16:uniqueId val="{0000000F-5571-4025-9EBD-0C7CEA4DDBF0}"/>
              </c:ext>
            </c:extLst>
          </c:dPt>
          <c:dPt>
            <c:idx val="8"/>
            <c:bubble3D val="0"/>
            <c:spPr>
              <a:solidFill>
                <a:srgbClr val="B9CF8B"/>
              </a:solidFill>
            </c:spPr>
            <c:extLst>
              <c:ext xmlns:c16="http://schemas.microsoft.com/office/drawing/2014/chart" uri="{C3380CC4-5D6E-409C-BE32-E72D297353CC}">
                <c16:uniqueId val="{00000011-5571-4025-9EBD-0C7CEA4DDBF0}"/>
              </c:ext>
            </c:extLst>
          </c:dPt>
          <c:dPt>
            <c:idx val="9"/>
            <c:bubble3D val="0"/>
            <c:spPr>
              <a:solidFill>
                <a:srgbClr val="A693BE"/>
              </a:solidFill>
            </c:spPr>
            <c:extLst>
              <c:ext xmlns:c16="http://schemas.microsoft.com/office/drawing/2014/chart" uri="{C3380CC4-5D6E-409C-BE32-E72D297353CC}">
                <c16:uniqueId val="{00000013-5571-4025-9EBD-0C7CEA4DDBF0}"/>
              </c:ext>
            </c:extLst>
          </c:dPt>
          <c:dPt>
            <c:idx val="10"/>
            <c:bubble3D val="0"/>
            <c:spPr>
              <a:solidFill>
                <a:srgbClr val="81C5D7"/>
              </a:solidFill>
            </c:spPr>
            <c:extLst>
              <c:ext xmlns:c16="http://schemas.microsoft.com/office/drawing/2014/chart" uri="{C3380CC4-5D6E-409C-BE32-E72D297353CC}">
                <c16:uniqueId val="{00000015-5571-4025-9EBD-0C7CEA4DDBF0}"/>
              </c:ext>
            </c:extLst>
          </c:dPt>
          <c:dPt>
            <c:idx val="11"/>
            <c:bubble3D val="0"/>
            <c:spPr>
              <a:solidFill>
                <a:srgbClr val="F9B67E"/>
              </a:solidFill>
            </c:spPr>
            <c:extLst>
              <c:ext xmlns:c16="http://schemas.microsoft.com/office/drawing/2014/chart" uri="{C3380CC4-5D6E-409C-BE32-E72D297353CC}">
                <c16:uniqueId val="{00000017-5571-4025-9EBD-0C7CEA4DDBF0}"/>
              </c:ext>
            </c:extLst>
          </c:dPt>
          <c:dPt>
            <c:idx val="12"/>
            <c:bubble3D val="0"/>
            <c:spPr>
              <a:solidFill>
                <a:srgbClr val="B9CDE5"/>
              </a:solidFill>
            </c:spPr>
            <c:extLst>
              <c:ext xmlns:c16="http://schemas.microsoft.com/office/drawing/2014/chart" uri="{C3380CC4-5D6E-409C-BE32-E72D297353CC}">
                <c16:uniqueId val="{00000019-5571-4025-9EBD-0C7CEA4DDBF0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71-4025-9EBD-0C7CEA4DDBF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571-4025-9EBD-0C7CEA4DDBF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'III - PRESSUPOST TOTAL'!$E$39:$E$51</c:f>
              <c:strCache>
                <c:ptCount val="10"/>
                <c:pt idx="0">
                  <c:v>INVERSIÓ</c:v>
                </c:pt>
                <c:pt idx="1">
                  <c:v>COST PERSONAL</c:v>
                </c:pt>
                <c:pt idx="2">
                  <c:v>DESPESES FINANCERES INVERSIONS APARTAT I</c:v>
                </c:pt>
                <c:pt idx="3">
                  <c:v>DESPESES ASSEGURANCES A TOT RISC INVERSIÓ</c:v>
                </c:pt>
                <c:pt idx="4">
                  <c:v>ALTRES ASSEGURANCES</c:v>
                </c:pt>
                <c:pt idx="5">
                  <c:v>MANTENIMENT VEHICLES I ALTRES INVERSIÓ</c:v>
                </c:pt>
                <c:pt idx="6">
                  <c:v>LLOGUER i MANTENIMENT VEHICLES I MAQUINÀRIA APORTADA PER L'EMPRESA</c:v>
                </c:pt>
                <c:pt idx="7">
                  <c:v>COMBUSTIBLE VEHICLES I MAQUINÀRIA</c:v>
                </c:pt>
                <c:pt idx="8">
                  <c:v>DESPESES GENERALS</c:v>
                </c:pt>
                <c:pt idx="9">
                  <c:v>BENEFICI INDUSTRIAL</c:v>
                </c:pt>
              </c:strCache>
            </c:strRef>
          </c:cat>
          <c:val>
            <c:numRef>
              <c:f>'III - PRESSUPOST TOTAL'!$F$39:$F$51</c:f>
              <c:numCache>
                <c:formatCode>#,##0.00\ "€"</c:formatCode>
                <c:ptCount val="13"/>
                <c:pt idx="1">
                  <c:v>42883.368418229649</c:v>
                </c:pt>
                <c:pt idx="2">
                  <c:v>2044.5</c:v>
                </c:pt>
                <c:pt idx="3">
                  <c:v>0</c:v>
                </c:pt>
                <c:pt idx="4">
                  <c:v>0</c:v>
                </c:pt>
                <c:pt idx="5">
                  <c:v>7667.88</c:v>
                </c:pt>
                <c:pt idx="6">
                  <c:v>5176.08</c:v>
                </c:pt>
                <c:pt idx="7">
                  <c:v>9216.5472000000009</c:v>
                </c:pt>
                <c:pt idx="8">
                  <c:v>3862.5362809114831</c:v>
                </c:pt>
                <c:pt idx="9">
                  <c:v>6180.0580494583728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571-4025-9EBD-0C7CEA4DD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E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2830-4F42-8BAD-4200E903805F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2830-4F42-8BAD-4200E903805F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</c:spPr>
            <c:extLst>
              <c:ext xmlns:c16="http://schemas.microsoft.com/office/drawing/2014/chart" uri="{C3380CC4-5D6E-409C-BE32-E72D297353CC}">
                <c16:uniqueId val="{00000005-2830-4F42-8BAD-4200E903805F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</c:spPr>
            <c:extLst>
              <c:ext xmlns:c16="http://schemas.microsoft.com/office/drawing/2014/chart" uri="{C3380CC4-5D6E-409C-BE32-E72D297353CC}">
                <c16:uniqueId val="{00000007-2830-4F42-8BAD-4200E903805F}"/>
              </c:ext>
            </c:extLst>
          </c:dPt>
          <c:dPt>
            <c:idx val="4"/>
            <c:bubble3D val="0"/>
            <c:spPr>
              <a:solidFill>
                <a:srgbClr val="5B95F9"/>
              </a:solidFill>
            </c:spPr>
            <c:extLst>
              <c:ext xmlns:c16="http://schemas.microsoft.com/office/drawing/2014/chart" uri="{C3380CC4-5D6E-409C-BE32-E72D297353CC}">
                <c16:uniqueId val="{00000009-2830-4F42-8BAD-4200E903805F}"/>
              </c:ext>
            </c:extLst>
          </c:dPt>
          <c:dPt>
            <c:idx val="5"/>
            <c:bubble3D val="0"/>
            <c:spPr>
              <a:solidFill>
                <a:srgbClr val="F79646"/>
              </a:solidFill>
            </c:spPr>
            <c:extLst>
              <c:ext xmlns:c16="http://schemas.microsoft.com/office/drawing/2014/chart" uri="{C3380CC4-5D6E-409C-BE32-E72D297353CC}">
                <c16:uniqueId val="{0000000B-2830-4F42-8BAD-4200E903805F}"/>
              </c:ext>
            </c:extLst>
          </c:dPt>
          <c:dPt>
            <c:idx val="6"/>
            <c:bubble3D val="0"/>
            <c:spPr>
              <a:solidFill>
                <a:srgbClr val="8E7CC3"/>
              </a:solidFill>
            </c:spPr>
            <c:extLst>
              <c:ext xmlns:c16="http://schemas.microsoft.com/office/drawing/2014/chart" uri="{C3380CC4-5D6E-409C-BE32-E72D297353CC}">
                <c16:uniqueId val="{0000000D-2830-4F42-8BAD-4200E903805F}"/>
              </c:ext>
            </c:extLst>
          </c:dPt>
          <c:dPt>
            <c:idx val="7"/>
            <c:bubble3D val="0"/>
            <c:spPr>
              <a:solidFill>
                <a:srgbClr val="D38582"/>
              </a:solidFill>
            </c:spPr>
            <c:extLst>
              <c:ext xmlns:c16="http://schemas.microsoft.com/office/drawing/2014/chart" uri="{C3380CC4-5D6E-409C-BE32-E72D297353CC}">
                <c16:uniqueId val="{0000000F-2830-4F42-8BAD-4200E903805F}"/>
              </c:ext>
            </c:extLst>
          </c:dPt>
          <c:dPt>
            <c:idx val="8"/>
            <c:bubble3D val="0"/>
            <c:spPr>
              <a:solidFill>
                <a:srgbClr val="B9CF8B"/>
              </a:solidFill>
            </c:spPr>
            <c:extLst>
              <c:ext xmlns:c16="http://schemas.microsoft.com/office/drawing/2014/chart" uri="{C3380CC4-5D6E-409C-BE32-E72D297353CC}">
                <c16:uniqueId val="{00000011-2830-4F42-8BAD-4200E903805F}"/>
              </c:ext>
            </c:extLst>
          </c:dPt>
          <c:dPt>
            <c:idx val="9"/>
            <c:bubble3D val="0"/>
            <c:spPr>
              <a:solidFill>
                <a:srgbClr val="A64D79"/>
              </a:solidFill>
            </c:spPr>
            <c:extLst>
              <c:ext xmlns:c16="http://schemas.microsoft.com/office/drawing/2014/chart" uri="{C3380CC4-5D6E-409C-BE32-E72D297353CC}">
                <c16:uniqueId val="{00000013-2830-4F42-8BAD-4200E903805F}"/>
              </c:ext>
            </c:extLst>
          </c:dPt>
          <c:dPt>
            <c:idx val="10"/>
            <c:bubble3D val="0"/>
            <c:spPr>
              <a:solidFill>
                <a:srgbClr val="FFD966"/>
              </a:solidFill>
            </c:spPr>
            <c:extLst>
              <c:ext xmlns:c16="http://schemas.microsoft.com/office/drawing/2014/chart" uri="{C3380CC4-5D6E-409C-BE32-E72D297353CC}">
                <c16:uniqueId val="{00000015-2830-4F42-8BAD-4200E903805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'III - PRESSUPOST TOTAL'!$E$39:$E$49</c:f>
              <c:strCache>
                <c:ptCount val="10"/>
                <c:pt idx="0">
                  <c:v>INVERSIÓ</c:v>
                </c:pt>
                <c:pt idx="1">
                  <c:v>COST PERSONAL</c:v>
                </c:pt>
                <c:pt idx="2">
                  <c:v>DESPESES FINANCERES INVERSIONS APARTAT I</c:v>
                </c:pt>
                <c:pt idx="3">
                  <c:v>DESPESES ASSEGURANCES A TOT RISC INVERSIÓ</c:v>
                </c:pt>
                <c:pt idx="4">
                  <c:v>ALTRES ASSEGURANCES</c:v>
                </c:pt>
                <c:pt idx="5">
                  <c:v>MANTENIMENT VEHICLES I ALTRES INVERSIÓ</c:v>
                </c:pt>
                <c:pt idx="6">
                  <c:v>LLOGUER i MANTENIMENT VEHICLES I MAQUINÀRIA APORTADA PER L'EMPRESA</c:v>
                </c:pt>
                <c:pt idx="7">
                  <c:v>COMBUSTIBLE VEHICLES I MAQUINÀRIA</c:v>
                </c:pt>
                <c:pt idx="8">
                  <c:v>DESPESES GENERALS</c:v>
                </c:pt>
                <c:pt idx="9">
                  <c:v>BENEFICI INDUSTRIAL</c:v>
                </c:pt>
              </c:strCache>
            </c:strRef>
          </c:cat>
          <c:val>
            <c:numRef>
              <c:f>'III - PRESSUPOST TOTAL'!$F$39:$F$49</c:f>
              <c:numCache>
                <c:formatCode>#,##0.00\ "€"</c:formatCode>
                <c:ptCount val="11"/>
                <c:pt idx="1">
                  <c:v>42883.368418229649</c:v>
                </c:pt>
                <c:pt idx="2">
                  <c:v>2044.5</c:v>
                </c:pt>
                <c:pt idx="3">
                  <c:v>0</c:v>
                </c:pt>
                <c:pt idx="4">
                  <c:v>0</c:v>
                </c:pt>
                <c:pt idx="5">
                  <c:v>7667.88</c:v>
                </c:pt>
                <c:pt idx="6">
                  <c:v>5176.08</c:v>
                </c:pt>
                <c:pt idx="7">
                  <c:v>9216.5472000000009</c:v>
                </c:pt>
                <c:pt idx="8">
                  <c:v>3862.5362809114831</c:v>
                </c:pt>
                <c:pt idx="9">
                  <c:v>6180.0580494583728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830-4F42-8BAD-4200E9038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E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581025</xdr:colOff>
      <xdr:row>0</xdr:row>
      <xdr:rowOff>0</xdr:rowOff>
    </xdr:from>
    <xdr:ext cx="9572625" cy="5915025"/>
    <xdr:graphicFrame macro="">
      <xdr:nvGraphicFramePr>
        <xdr:cNvPr id="879499258" name="Chart 1" title="Gràfic">
          <a:extLst>
            <a:ext uri="{FF2B5EF4-FFF2-40B4-BE49-F238E27FC236}">
              <a16:creationId xmlns:a16="http://schemas.microsoft.com/office/drawing/2014/main" id="{00000000-0008-0000-1400-0000FA176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13</xdr:col>
      <xdr:colOff>409575</xdr:colOff>
      <xdr:row>0</xdr:row>
      <xdr:rowOff>0</xdr:rowOff>
    </xdr:from>
    <xdr:ext cx="9572625" cy="5915025"/>
    <xdr:graphicFrame macro="">
      <xdr:nvGraphicFramePr>
        <xdr:cNvPr id="1037301936" name="Chart 2" title="Gràfic">
          <a:extLst>
            <a:ext uri="{FF2B5EF4-FFF2-40B4-BE49-F238E27FC236}">
              <a16:creationId xmlns:a16="http://schemas.microsoft.com/office/drawing/2014/main" id="{00000000-0008-0000-1400-0000B0F8D33D}"/>
            </a:ext>
            <a:ext uri="{147F2762-F138-4A5C-976F-8EAC2B608ADB}">
              <a16:predDERef xmlns:a16="http://schemas.microsoft.com/office/drawing/2014/main" pred="{00000000-0008-0000-1400-0000FA176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6</xdr:col>
      <xdr:colOff>466725</xdr:colOff>
      <xdr:row>25</xdr:row>
      <xdr:rowOff>104775</xdr:rowOff>
    </xdr:from>
    <xdr:ext cx="9572625" cy="6534150"/>
    <xdr:graphicFrame macro="">
      <xdr:nvGraphicFramePr>
        <xdr:cNvPr id="2030701643" name="Chart 3" title="Gràfic">
          <a:extLst>
            <a:ext uri="{FF2B5EF4-FFF2-40B4-BE49-F238E27FC236}">
              <a16:creationId xmlns:a16="http://schemas.microsoft.com/office/drawing/2014/main" id="{00000000-0008-0000-1400-00004B0C0A79}"/>
            </a:ext>
            <a:ext uri="{147F2762-F138-4A5C-976F-8EAC2B608ADB}">
              <a16:predDERef xmlns:a16="http://schemas.microsoft.com/office/drawing/2014/main" pred="{00000000-0008-0000-1400-0000B0F8D3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6294055-C176-49D9-815F-1191957C325C}" name="Distàncies" displayName="Distàncies" ref="B5:C13" totalsRowShown="0">
  <autoFilter ref="B5:C13" xr:uid="{F6294055-C176-49D9-815F-1191957C325C}">
    <filterColumn colId="0" hiddenButton="1"/>
    <filterColumn colId="1" hiddenButton="1"/>
  </autoFilter>
  <tableColumns count="2">
    <tableColumn id="1" xr3:uid="{DA5FC44D-98D7-433B-8682-9EBAA7204D1C}" name="Servei"/>
    <tableColumn id="2" xr3:uid="{76018E44-200A-422A-B345-CB8DA1B1D40E}" name="Distància" dataDxfId="109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7BF82B8-C9DE-45CC-8E54-EFA76EA9947F}" name="Oli_20" displayName="Oli_20" ref="B3:I4" totalsRowShown="0" headerRowBorderDxfId="32" tableBorderDxfId="31" totalsRowBorderDxfId="30">
  <autoFilter ref="B3:I4" xr:uid="{27BF82B8-C9DE-45CC-8E54-EFA76EA9947F}"/>
  <tableColumns count="8">
    <tableColumn id="1" xr3:uid="{8CD60069-B05E-4E36-A065-E187C61104FB}" name="Recollides/anuals" dataDxfId="29"/>
    <tableColumn id="2" xr3:uid="{CB25D08E-366C-40C6-8CFF-1AFBFBFA8F6B}" name="dies de servei" dataDxfId="28"/>
    <tableColumn id="3" xr3:uid="{5E66371D-CC1D-4BE3-8BB7-578A10E9FCA4}" name="hores/dia" dataDxfId="27"/>
    <tableColumn id="4" xr3:uid="{36FBB2CB-B770-42DD-8F87-8CADDF436FB5}" name="hores any" dataDxfId="26"/>
    <tableColumn id="5" xr3:uid="{64B7F988-F7A0-4928-BE04-69A9B7CD3183}" name="hores servei" dataDxfId="25">
      <calculatedColumnFormula>C4*D4/E4</calculatedColumnFormula>
    </tableColumn>
    <tableColumn id="6" xr3:uid="{6133BF36-00A9-4AE7-AAC6-EE853EC26034}" name="Baixes i absentisme" dataDxfId="24"/>
    <tableColumn id="7" xr3:uid="{72A42536-8410-45AA-90C6-44F737A83FD6}" name="Personal" dataDxfId="23"/>
    <tableColumn id="8" xr3:uid="{B451182A-A9F8-4FBC-BE61-356558604AED}" name="Total hores" dataDxfId="22">
      <calculatedColumnFormula>F4*G4</calculatedColumnFormula>
    </tableColumn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ED439F5-89C8-42C9-A17B-495FD58958C2}" name="Oli_2021" displayName="Oli_2021" ref="B7:I8" totalsRowShown="0" headerRowBorderDxfId="21" tableBorderDxfId="20" totalsRowBorderDxfId="19">
  <autoFilter ref="B7:I8" xr:uid="{5ED439F5-89C8-42C9-A17B-495FD58958C2}"/>
  <tableColumns count="8">
    <tableColumn id="1" xr3:uid="{E4EE80DE-9290-48E1-8E55-8DBA0179F1CF}" name="Recollides/anuals" dataDxfId="18"/>
    <tableColumn id="2" xr3:uid="{508569FA-4664-490F-A61D-083D988D27CB}" name="dies de servei" dataDxfId="17"/>
    <tableColumn id="3" xr3:uid="{2FA36903-3BAE-4AA5-B9DF-8CCF0B120AD6}" name="hores/dia" dataDxfId="16"/>
    <tableColumn id="4" xr3:uid="{4CE88106-17B4-4E29-8187-875F5A171902}" name="hores any" dataDxfId="15"/>
    <tableColumn id="5" xr3:uid="{BD46FF12-8AB6-4BE7-AA3B-EC3508F5B61F}" name="hores servei" dataDxfId="14">
      <calculatedColumnFormula>C8*D8/E8</calculatedColumnFormula>
    </tableColumn>
    <tableColumn id="6" xr3:uid="{A68C48BB-4BAE-488D-93B8-8F6E31AB86EC}" name="Baixes i absentisme" dataDxfId="13"/>
    <tableColumn id="7" xr3:uid="{37955AEE-0E9F-4711-A1FF-D95A385FE937}" name="Personal" dataDxfId="12"/>
    <tableColumn id="8" xr3:uid="{5D87E3AA-0699-4F1E-96E6-46ABBB431217}" name="Total hores" dataDxfId="11">
      <calculatedColumnFormula>F8*G8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90B37B86-6579-4E5E-935E-BD182D17F9CE}" name="Oli_202122" displayName="Oli_202122" ref="B11:I12" totalsRowShown="0" headerRowBorderDxfId="10" tableBorderDxfId="9" totalsRowBorderDxfId="8">
  <autoFilter ref="B11:I12" xr:uid="{90B37B86-6579-4E5E-935E-BD182D17F9CE}"/>
  <tableColumns count="8">
    <tableColumn id="1" xr3:uid="{92D4CF42-2EFE-43D9-ACC0-7A4A16504CC2}" name="Recollides/anuals" dataDxfId="7"/>
    <tableColumn id="2" xr3:uid="{30FD131E-E7A1-4360-BE4C-F73B42A225D9}" name="dies de servei" dataDxfId="6"/>
    <tableColumn id="3" xr3:uid="{E85FC1AA-1549-4BAC-AD2D-45A925913297}" name="hores/dia" dataDxfId="5"/>
    <tableColumn id="4" xr3:uid="{013A90F0-22C8-41CF-8301-E74A197C3212}" name="hores any" dataDxfId="4"/>
    <tableColumn id="5" xr3:uid="{97419AEC-ECB2-4C90-BB6D-C184F5D312A2}" name="hores servei" dataDxfId="3">
      <calculatedColumnFormula>C12*D12/E12</calculatedColumnFormula>
    </tableColumn>
    <tableColumn id="6" xr3:uid="{7C1C2361-9B7F-455F-B99F-4671893728D3}" name="Baixes i absentisme" dataDxfId="2"/>
    <tableColumn id="7" xr3:uid="{5F043A12-BE53-4E7F-8250-C535990275C2}" name="Personal" dataDxfId="1"/>
    <tableColumn id="8" xr3:uid="{11779226-310B-4B2F-8726-8EE50BF24FD6}" name="Total hores" dataDxfId="0">
      <calculatedColumnFormula>F12*G12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20B5C4C-0B4D-4357-8ED5-3853B5672848}" name="Tabla811" displayName="Tabla811" ref="B18:F26" totalsRowShown="0" headerRowDxfId="108" headerRowBorderDxfId="107" tableBorderDxfId="106" totalsRowBorderDxfId="105">
  <autoFilter ref="B18:F26" xr:uid="{320B5C4C-0B4D-4357-8ED5-3853B5672848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C92EEB14-79A0-4176-8592-C20E0B7C9FE7}" name="MUNICIPI" dataDxfId="104" totalsRowDxfId="103"/>
    <tableColumn id="2" xr3:uid="{845856D1-6C63-41F8-9A4A-50E4296EFF3D}" name="M CARRERS" dataDxfId="102" totalsRowDxfId="101"/>
    <tableColumn id="3" xr3:uid="{6DA5CC4B-01FF-4236-BC9F-E24971D343AA}" name="HABITANTS" dataDxfId="100" totalsRowDxfId="99"/>
    <tableColumn id="4" xr3:uid="{49787DCA-44AD-4BA5-98D5-3ED67336A8B2}" name="M/HABITANT" dataDxfId="98" totalsRowDxfId="97">
      <calculatedColumnFormula>C19/D19</calculatedColumnFormula>
    </tableColumn>
    <tableColumn id="5" xr3:uid="{8995B5DA-8080-4730-A48F-5C1286AEE95E}" name="àrees contenidors" dataDxfId="96" totalsRowDxfId="95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268FA4EE-C14D-43CF-BA46-74E36FDAF419}" name="Tabla17" displayName="Tabla17" ref="H18:I22" totalsRowCount="1">
  <autoFilter ref="H18:I21" xr:uid="{268FA4EE-C14D-43CF-BA46-74E36FDAF419}">
    <filterColumn colId="0" hiddenButton="1"/>
    <filterColumn colId="1" hiddenButton="1"/>
  </autoFilter>
  <tableColumns count="2">
    <tableColumn id="1" xr3:uid="{2AE51530-08D6-48C0-AF5D-D14E815FB7CD}" name="Nucli"/>
    <tableColumn id="2" xr3:uid="{1A4FF877-5831-4A76-8CA8-5976B7317261}" name="Habitatge" totalsRowFunction="custom">
      <totalsRowFormula>SUM(I19:I21)</totalsRow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77C5F3D-CD4D-4878-9EAD-B1C6FBBB5184}" name="Tabla8" displayName="Tabla8" ref="A9:E17" totalsRowShown="0" headerRowDxfId="94" headerRowBorderDxfId="93" tableBorderDxfId="92" totalsRowBorderDxfId="91">
  <autoFilter ref="A9:E17" xr:uid="{E77C5F3D-CD4D-4878-9EAD-B1C6FBBB5184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0989CAA-84F7-4C98-ABF7-73E0EFF873BF}" name="MUNICIPI" dataDxfId="90" totalsRowDxfId="89"/>
    <tableColumn id="2" xr3:uid="{4E538528-5646-48DF-8791-AC40EE9ED29A}" name="M CARRERS" dataDxfId="88" totalsRowDxfId="87"/>
    <tableColumn id="3" xr3:uid="{45067F7C-CDCC-4A9C-ABFF-C373518DFDD8}" name="HABITANTS" dataDxfId="86" totalsRowDxfId="85"/>
    <tableColumn id="4" xr3:uid="{954688EF-B52E-47CE-B62E-D52BAFAEF4A7}" name="M/HABITANT" dataDxfId="84" totalsRowDxfId="83">
      <calculatedColumnFormula>B10/C10</calculatedColumnFormula>
    </tableColumn>
    <tableColumn id="5" xr3:uid="{D584DD86-B870-44FA-9715-784CE2816198}" name="àrees contenidors" dataDxfId="82" totalsRowDxfId="8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799A8CE-5C07-403D-B299-BCBA7C25F8DC}" name="Tabla9" displayName="Tabla9" ref="A1:A7" totalsRowShown="0" headerRowDxfId="80" dataDxfId="79">
  <autoFilter ref="A1:A7" xr:uid="{B799A8CE-5C07-403D-B299-BCBA7C25F8DC}">
    <filterColumn colId="0" hiddenButton="1"/>
  </autoFilter>
  <tableColumns count="1">
    <tableColumn id="1" xr3:uid="{03BEAC19-352F-45EA-9FEE-0D9344A595B0}" name="SERVEIS" dataDxfId="78"/>
  </tableColumns>
  <tableStyleInfo name="TableStyleMedium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F4C3A74-8A35-4997-A70A-EFA7205F05E6}" name="FraccioVegetal" displayName="FraccioVegetal" ref="B2:I4" totalsRowShown="0" headerRowDxfId="77" headerRowBorderDxfId="76" tableBorderDxfId="75" totalsRowBorderDxfId="74">
  <autoFilter ref="B2:I4" xr:uid="{3F4C3A74-8A35-4997-A70A-EFA7205F05E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CF173F46-A6ED-4B4F-89C5-C7DD7BD2C533}" name="Recollides/anuals" dataDxfId="73"/>
    <tableColumn id="2" xr3:uid="{23EB5DF7-4B9D-44D4-9EF0-2C167E1A6EE8}" name="dies de servei" dataDxfId="72"/>
    <tableColumn id="3" xr3:uid="{00AE1619-D09B-4CBE-898D-C77E5A709F31}" name="hores/dia" dataDxfId="71"/>
    <tableColumn id="4" xr3:uid="{6BEF5F72-4C49-4AD3-9AC8-FEAC9644166F}" name="hores any" dataDxfId="70"/>
    <tableColumn id="5" xr3:uid="{8642D4E0-70BC-4899-84DE-0F1106DD1171}" name="hores servei" dataDxfId="69">
      <calculatedColumnFormula>C3*D3/E3</calculatedColumnFormula>
    </tableColumn>
    <tableColumn id="6" xr3:uid="{DAE22039-80A9-4040-8702-507C5E41153A}" name="Baixes i absentisme" dataDxfId="68"/>
    <tableColumn id="7" xr3:uid="{A6A3B751-9836-4EF0-A43A-890E35AA9D71}" name="Personal" dataDxfId="67"/>
    <tableColumn id="8" xr3:uid="{034633A1-9922-4806-9819-15D242BB332A}" name="Total hores" dataDxfId="66">
      <calculatedColumnFormula>F3*G3</calculatedColumnFormula>
    </tableColumn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A02B5523-4E62-49D2-A0BC-86A72AE4FB7B}" name="Voluminosos" displayName="Voluminosos" ref="B9:I11" totalsRowShown="0" headerRowBorderDxfId="65" tableBorderDxfId="64" totalsRowBorderDxfId="63">
  <autoFilter ref="B9:I11" xr:uid="{A02B5523-4E62-49D2-A0BC-86A72AE4FB7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59F95160-7D79-4088-83BD-C9E120766EFF}" name="Recollides/anuals" dataDxfId="62"/>
    <tableColumn id="2" xr3:uid="{4FF6FEB9-82FD-4A07-A92F-55FBA325B2F5}" name="dies de servei" dataDxfId="61">
      <calculatedColumnFormula>B10</calculatedColumnFormula>
    </tableColumn>
    <tableColumn id="3" xr3:uid="{634D8626-00BA-41C3-9D0B-BBFEDBA0454B}" name="hores/dia" dataDxfId="60"/>
    <tableColumn id="4" xr3:uid="{65A3C091-CF55-4156-B632-7854BEE44434}" name="hores any" dataDxfId="59"/>
    <tableColumn id="5" xr3:uid="{863F43D5-B47F-414D-92F5-F478847D479F}" name="hores servei" dataDxfId="58">
      <calculatedColumnFormula>C10*D10/E10</calculatedColumnFormula>
    </tableColumn>
    <tableColumn id="6" xr3:uid="{B936378E-922B-405D-B680-8A318D6713DF}" name="Baixes i absentisme" dataDxfId="57"/>
    <tableColumn id="7" xr3:uid="{D2C8A423-8673-44B5-A06F-7A7C9B1AD420}" name="Personal" dataDxfId="56"/>
    <tableColumn id="8" xr3:uid="{D53E9D93-14C5-4490-81B6-A9C0F54167F2}" name="Total hores" dataDxfId="55">
      <calculatedColumnFormula>F10*G10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80071C41-F7CD-4FEC-9F08-2CF4EBEC3D59}" name="Oli" displayName="Oli" ref="B14:I15" totalsRowShown="0" headerRowBorderDxfId="54" tableBorderDxfId="53" totalsRowBorderDxfId="52">
  <autoFilter ref="B14:I15" xr:uid="{80071C41-F7CD-4FEC-9F08-2CF4EBEC3D5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F04498BA-A03A-4858-B03B-F4C00156AB0F}" name="Recollides/anuals" dataDxfId="51"/>
    <tableColumn id="2" xr3:uid="{7493AA2D-26D2-4B4B-A79D-1BB7B2BC84DF}" name="dies de servei" dataDxfId="50"/>
    <tableColumn id="3" xr3:uid="{A71A351C-94AA-48A1-A850-B0BF724E64F3}" name="hores/dia" dataDxfId="49"/>
    <tableColumn id="4" xr3:uid="{B22574EE-5069-4679-92B3-1D9BA8D835B3}" name="hores any" dataDxfId="48"/>
    <tableColumn id="5" xr3:uid="{71B997A1-A1FD-4ED9-852B-9A4FBEB9079B}" name="hores servei" dataDxfId="47">
      <calculatedColumnFormula>C15*D15/E15</calculatedColumnFormula>
    </tableColumn>
    <tableColumn id="6" xr3:uid="{08037A09-3123-497B-B01D-4D53D45162D1}" name="Baixes i absentisme" dataDxfId="46"/>
    <tableColumn id="7" xr3:uid="{738BDC97-29BF-4B10-892C-15EFADC46B6D}" name="Personal" dataDxfId="45"/>
    <tableColumn id="8" xr3:uid="{78C6AAF3-22C9-4484-B45D-7F66082CBDE4}" name="Total hores" dataDxfId="44">
      <calculatedColumnFormula>F15*G15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8C834FB-ED21-4C00-8726-46407229596F}" name="Textil" displayName="Textil" ref="B17:I18" totalsRowShown="0" headerRowBorderDxfId="43" tableBorderDxfId="42" totalsRowBorderDxfId="41">
  <autoFilter ref="B17:I18" xr:uid="{08C834FB-ED21-4C00-8726-46407229596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ED9512B-587E-45FA-BA97-D7B00EDA40BD}" name="Recollides/anuals" dataDxfId="40"/>
    <tableColumn id="2" xr3:uid="{D1BB1C81-0B1E-4156-B631-50E1489BCC84}" name="dies de servei" dataDxfId="39"/>
    <tableColumn id="3" xr3:uid="{31B45516-35E9-40AA-AD77-9794C12528C0}" name="hores/dia" dataDxfId="38"/>
    <tableColumn id="4" xr3:uid="{1A90AA7B-74BF-4EA0-B119-8029FBE02C01}" name="hores any" dataDxfId="37"/>
    <tableColumn id="5" xr3:uid="{6DF42D04-11D6-418D-A5E8-E9B60E9FF91F}" name="hores servei" dataDxfId="36">
      <calculatedColumnFormula>C18*D18/E18</calculatedColumnFormula>
    </tableColumn>
    <tableColumn id="6" xr3:uid="{FC4C948E-3659-45CA-AF8B-948959A6C70C}" name="Baixes i absentisme" dataDxfId="35"/>
    <tableColumn id="7" xr3:uid="{B268684B-87B2-48C1-8E20-35C2A5DD3416}" name="Personal" dataDxfId="34"/>
    <tableColumn id="8" xr3:uid="{8F4506C0-63D1-4CD6-BCD7-AB186E8F07CB}" name="Total hores" dataDxfId="33">
      <calculatedColumnFormula>F18*G18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table" Target="../tables/table1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BA555-7708-4B21-9B7F-CEDBC0EEF1FA}">
  <dimension ref="A4:N45"/>
  <sheetViews>
    <sheetView topLeftCell="A24" workbookViewId="0">
      <selection activeCell="D44" sqref="D44"/>
    </sheetView>
  </sheetViews>
  <sheetFormatPr baseColWidth="10" defaultColWidth="11.44140625" defaultRowHeight="14.4" x14ac:dyDescent="0.3"/>
  <cols>
    <col min="2" max="2" width="19.44140625" customWidth="1"/>
    <col min="6" max="6" width="22.109375" bestFit="1" customWidth="1"/>
    <col min="7" max="7" width="9.77734375" customWidth="1"/>
    <col min="8" max="8" width="16.5546875" customWidth="1"/>
  </cols>
  <sheetData>
    <row r="4" spans="2:14" ht="29.4" thickBot="1" x14ac:dyDescent="0.35">
      <c r="F4" s="145" t="s">
        <v>0</v>
      </c>
      <c r="G4" s="145" t="s">
        <v>1</v>
      </c>
      <c r="H4" s="145" t="s">
        <v>2</v>
      </c>
      <c r="I4" s="145" t="s">
        <v>3</v>
      </c>
      <c r="J4" s="145" t="s">
        <v>4</v>
      </c>
      <c r="K4" s="145" t="s">
        <v>5</v>
      </c>
      <c r="L4" s="145" t="s">
        <v>6</v>
      </c>
      <c r="M4" s="175" t="s">
        <v>7</v>
      </c>
    </row>
    <row r="5" spans="2:14" x14ac:dyDescent="0.3">
      <c r="B5" t="s">
        <v>8</v>
      </c>
      <c r="C5" t="s">
        <v>9</v>
      </c>
      <c r="F5" s="146" t="s">
        <v>10</v>
      </c>
      <c r="G5" s="147">
        <v>26</v>
      </c>
      <c r="H5" s="148">
        <v>52</v>
      </c>
      <c r="I5" s="148">
        <v>7.5</v>
      </c>
      <c r="J5" s="148">
        <v>1680</v>
      </c>
      <c r="K5" s="149">
        <f>H5*I5/J5</f>
        <v>0.23214285714285715</v>
      </c>
      <c r="L5" s="148">
        <v>1.07</v>
      </c>
      <c r="M5" s="150">
        <f>K5*L5</f>
        <v>0.24839285714285717</v>
      </c>
    </row>
    <row r="6" spans="2:14" x14ac:dyDescent="0.3">
      <c r="B6" t="s">
        <v>11</v>
      </c>
      <c r="C6" s="144">
        <v>52000</v>
      </c>
      <c r="F6" s="151" t="s">
        <v>12</v>
      </c>
      <c r="G6" s="96">
        <v>26</v>
      </c>
      <c r="H6" s="96">
        <v>52</v>
      </c>
      <c r="I6" s="96">
        <v>7.5</v>
      </c>
      <c r="J6" s="96">
        <v>1680</v>
      </c>
      <c r="K6" s="136">
        <f>H6*I6/J6</f>
        <v>0.23214285714285715</v>
      </c>
      <c r="L6" s="96">
        <v>1.07</v>
      </c>
      <c r="M6" s="152">
        <f>K6*L6</f>
        <v>0.24839285714285717</v>
      </c>
    </row>
    <row r="7" spans="2:14" ht="15" thickBot="1" x14ac:dyDescent="0.35">
      <c r="B7" t="s">
        <v>13</v>
      </c>
      <c r="C7" s="144">
        <v>52000</v>
      </c>
      <c r="F7" s="153" t="s">
        <v>14</v>
      </c>
      <c r="G7" s="153"/>
      <c r="H7" s="153"/>
      <c r="I7" s="153"/>
      <c r="J7" s="153"/>
      <c r="K7" s="153"/>
      <c r="L7" s="153"/>
      <c r="M7" s="153"/>
    </row>
    <row r="8" spans="2:14" ht="15" thickBot="1" x14ac:dyDescent="0.35">
      <c r="B8" t="s">
        <v>15</v>
      </c>
      <c r="C8" s="144">
        <v>65000</v>
      </c>
      <c r="F8" s="146" t="s">
        <v>16</v>
      </c>
      <c r="G8" s="155">
        <v>26</v>
      </c>
      <c r="H8" s="155">
        <v>52</v>
      </c>
      <c r="I8" s="155">
        <v>7.5</v>
      </c>
      <c r="J8" s="155">
        <v>1680</v>
      </c>
      <c r="K8" s="136">
        <f>H8*I8/J8</f>
        <v>0.23214285714285715</v>
      </c>
      <c r="L8" s="96">
        <v>1.07</v>
      </c>
      <c r="M8" s="152">
        <f>K8*L8</f>
        <v>0.24839285714285717</v>
      </c>
    </row>
    <row r="9" spans="2:14" ht="15" thickBot="1" x14ac:dyDescent="0.35">
      <c r="B9" t="s">
        <v>17</v>
      </c>
      <c r="C9" s="144">
        <v>65000</v>
      </c>
      <c r="F9" s="156" t="s">
        <v>18</v>
      </c>
      <c r="G9" s="157">
        <v>26</v>
      </c>
      <c r="H9" s="157">
        <v>52</v>
      </c>
      <c r="I9" s="157">
        <v>7.5</v>
      </c>
      <c r="J9" s="157">
        <v>1680</v>
      </c>
      <c r="K9" s="149">
        <f>H9*I9/J9</f>
        <v>0.23214285714285715</v>
      </c>
      <c r="L9" s="157"/>
      <c r="M9" s="158"/>
    </row>
    <row r="10" spans="2:14" ht="15" thickBot="1" x14ac:dyDescent="0.35">
      <c r="B10" t="s">
        <v>19</v>
      </c>
      <c r="C10" s="144">
        <v>65000</v>
      </c>
      <c r="F10" s="154" t="s">
        <v>20</v>
      </c>
      <c r="G10" s="154">
        <v>12</v>
      </c>
      <c r="H10" s="154">
        <v>12</v>
      </c>
      <c r="I10" s="154">
        <v>7.5</v>
      </c>
      <c r="J10" s="154">
        <v>1680</v>
      </c>
      <c r="K10" s="149">
        <f>H10*I10/J10</f>
        <v>5.3571428571428568E-2</v>
      </c>
      <c r="L10" s="154">
        <v>1.07</v>
      </c>
      <c r="M10" s="150">
        <f>K10*L10</f>
        <v>5.7321428571428572E-2</v>
      </c>
    </row>
    <row r="11" spans="2:14" x14ac:dyDescent="0.3">
      <c r="B11" t="s">
        <v>21</v>
      </c>
      <c r="C11" s="144">
        <v>3000</v>
      </c>
      <c r="F11" s="153" t="s">
        <v>22</v>
      </c>
      <c r="G11" s="153">
        <v>12</v>
      </c>
      <c r="H11" s="153">
        <v>12</v>
      </c>
      <c r="I11" s="153">
        <v>7.5</v>
      </c>
      <c r="J11" s="153">
        <v>1680</v>
      </c>
      <c r="K11" s="237">
        <f>H11*I11/J11</f>
        <v>5.3571428571428568E-2</v>
      </c>
      <c r="L11" s="153">
        <v>1.07</v>
      </c>
      <c r="M11" s="238">
        <f>K11*L11</f>
        <v>5.7321428571428572E-2</v>
      </c>
    </row>
    <row r="12" spans="2:14" x14ac:dyDescent="0.3">
      <c r="B12" t="s">
        <v>23</v>
      </c>
      <c r="C12" s="144">
        <v>3000</v>
      </c>
      <c r="E12" s="190"/>
      <c r="F12" s="189" t="s">
        <v>24</v>
      </c>
      <c r="G12" s="189">
        <v>12</v>
      </c>
      <c r="H12" s="189">
        <v>12</v>
      </c>
      <c r="I12" s="189"/>
      <c r="J12" s="189"/>
      <c r="K12" s="189"/>
      <c r="L12" s="189"/>
      <c r="M12" s="189"/>
      <c r="N12" s="190"/>
    </row>
    <row r="13" spans="2:14" x14ac:dyDescent="0.3">
      <c r="B13" s="304" t="s">
        <v>25</v>
      </c>
      <c r="C13" s="144">
        <v>0</v>
      </c>
      <c r="E13" s="190"/>
      <c r="F13" s="189" t="s">
        <v>26</v>
      </c>
      <c r="G13" s="189">
        <v>26</v>
      </c>
      <c r="H13" s="189">
        <v>26</v>
      </c>
      <c r="I13" s="189"/>
      <c r="J13" s="189"/>
      <c r="K13" s="189"/>
      <c r="L13" s="189"/>
      <c r="M13" s="189"/>
      <c r="N13" s="190"/>
    </row>
    <row r="14" spans="2:14" x14ac:dyDescent="0.3">
      <c r="F14" s="190"/>
      <c r="G14" s="190"/>
      <c r="H14" s="190"/>
      <c r="I14" s="190"/>
      <c r="J14" s="190"/>
      <c r="K14" s="190"/>
      <c r="L14" s="190"/>
      <c r="M14" s="190"/>
    </row>
    <row r="18" spans="1:9" ht="28.8" x14ac:dyDescent="0.3">
      <c r="B18" s="176" t="s">
        <v>27</v>
      </c>
      <c r="C18" s="129" t="s">
        <v>28</v>
      </c>
      <c r="D18" s="129" t="s">
        <v>29</v>
      </c>
      <c r="E18" s="129" t="s">
        <v>30</v>
      </c>
      <c r="F18" s="128" t="s">
        <v>31</v>
      </c>
      <c r="H18" t="s">
        <v>32</v>
      </c>
      <c r="I18" t="s">
        <v>33</v>
      </c>
    </row>
    <row r="19" spans="1:9" x14ac:dyDescent="0.3">
      <c r="B19" s="177" t="s">
        <v>34</v>
      </c>
      <c r="C19" s="130">
        <v>8900</v>
      </c>
      <c r="D19" s="131">
        <v>4000</v>
      </c>
      <c r="E19" s="132">
        <f t="shared" ref="E19:E24" si="0">C19/D19</f>
        <v>2.2250000000000001</v>
      </c>
      <c r="F19" s="80"/>
      <c r="H19" t="s">
        <v>35</v>
      </c>
      <c r="I19">
        <v>1591</v>
      </c>
    </row>
    <row r="20" spans="1:9" x14ac:dyDescent="0.3">
      <c r="B20" s="160" t="s">
        <v>36</v>
      </c>
      <c r="C20" s="133">
        <v>816</v>
      </c>
      <c r="D20" s="131">
        <v>55</v>
      </c>
      <c r="E20" s="132">
        <f t="shared" si="0"/>
        <v>14.836363636363636</v>
      </c>
      <c r="F20" s="126"/>
      <c r="H20" t="s">
        <v>37</v>
      </c>
      <c r="I20">
        <v>1073</v>
      </c>
    </row>
    <row r="21" spans="1:9" x14ac:dyDescent="0.3">
      <c r="B21" s="160" t="s">
        <v>38</v>
      </c>
      <c r="C21" s="133">
        <v>3200</v>
      </c>
      <c r="D21" s="131">
        <v>115</v>
      </c>
      <c r="E21" s="132">
        <f t="shared" si="0"/>
        <v>27.826086956521738</v>
      </c>
      <c r="F21" s="126"/>
      <c r="H21" t="s">
        <v>39</v>
      </c>
      <c r="I21">
        <v>40</v>
      </c>
    </row>
    <row r="22" spans="1:9" x14ac:dyDescent="0.3">
      <c r="B22" s="160" t="s">
        <v>40</v>
      </c>
      <c r="C22" s="133">
        <v>1700</v>
      </c>
      <c r="D22" s="131">
        <v>130</v>
      </c>
      <c r="E22" s="132">
        <f t="shared" si="0"/>
        <v>13.076923076923077</v>
      </c>
      <c r="F22" s="126"/>
      <c r="I22">
        <f>SUM(I19:I21)</f>
        <v>2704</v>
      </c>
    </row>
    <row r="23" spans="1:9" x14ac:dyDescent="0.3">
      <c r="B23" s="160" t="s">
        <v>41</v>
      </c>
      <c r="C23" s="133">
        <v>800</v>
      </c>
      <c r="D23" s="131">
        <v>59</v>
      </c>
      <c r="E23" s="132">
        <f t="shared" si="0"/>
        <v>13.559322033898304</v>
      </c>
      <c r="F23" s="126"/>
    </row>
    <row r="24" spans="1:9" ht="15" thickBot="1" x14ac:dyDescent="0.35">
      <c r="B24" s="178" t="s">
        <v>42</v>
      </c>
      <c r="C24" s="134">
        <v>700</v>
      </c>
      <c r="D24" s="131">
        <v>61</v>
      </c>
      <c r="E24" s="132">
        <f t="shared" si="0"/>
        <v>11.475409836065573</v>
      </c>
      <c r="F24" s="127"/>
    </row>
    <row r="25" spans="1:9" ht="28.8" x14ac:dyDescent="0.3">
      <c r="B25" s="160" t="s">
        <v>43</v>
      </c>
      <c r="C25" s="133">
        <v>1300</v>
      </c>
      <c r="D25" s="132">
        <v>192</v>
      </c>
      <c r="E25" s="132">
        <f>C25/D25</f>
        <v>6.770833333333333</v>
      </c>
      <c r="F25" s="126"/>
    </row>
    <row r="26" spans="1:9" x14ac:dyDescent="0.3">
      <c r="B26" s="159"/>
      <c r="C26" s="133">
        <f>SUM(C19:C25)</f>
        <v>17416</v>
      </c>
      <c r="D26" s="132">
        <f>SUM(D19:D25)</f>
        <v>4612</v>
      </c>
      <c r="E26" s="132">
        <f>C26/D26</f>
        <v>3.7762359063313098</v>
      </c>
      <c r="F26" s="126"/>
    </row>
    <row r="27" spans="1:9" x14ac:dyDescent="0.3">
      <c r="B27" s="190"/>
    </row>
    <row r="28" spans="1:9" x14ac:dyDescent="0.3">
      <c r="A28" s="190"/>
      <c r="B28" s="266" t="s">
        <v>44</v>
      </c>
      <c r="C28" s="190"/>
    </row>
    <row r="29" spans="1:9" x14ac:dyDescent="0.3">
      <c r="A29" s="190"/>
      <c r="B29" s="244" t="s">
        <v>45</v>
      </c>
      <c r="C29" s="189">
        <v>1.5</v>
      </c>
      <c r="D29" s="190"/>
    </row>
    <row r="30" spans="1:9" x14ac:dyDescent="0.3">
      <c r="A30" s="190"/>
      <c r="B30" s="189" t="s">
        <v>46</v>
      </c>
      <c r="C30" s="189">
        <v>50</v>
      </c>
      <c r="D30" s="190"/>
    </row>
    <row r="31" spans="1:9" x14ac:dyDescent="0.3">
      <c r="A31" s="190"/>
      <c r="B31" s="189" t="s">
        <v>47</v>
      </c>
      <c r="C31" s="189">
        <v>1680</v>
      </c>
      <c r="D31" s="190"/>
    </row>
    <row r="32" spans="1:9" x14ac:dyDescent="0.3">
      <c r="B32" s="190"/>
      <c r="C32" s="190"/>
    </row>
    <row r="34" spans="1:5" x14ac:dyDescent="0.3">
      <c r="B34" s="233" t="s">
        <v>48</v>
      </c>
      <c r="C34" s="171">
        <v>28737.13</v>
      </c>
    </row>
    <row r="35" spans="1:5" x14ac:dyDescent="0.3">
      <c r="B35" s="234" t="s">
        <v>49</v>
      </c>
      <c r="C35" s="169">
        <v>23379.360000000001</v>
      </c>
    </row>
    <row r="36" spans="1:5" x14ac:dyDescent="0.3">
      <c r="B36" s="233" t="s">
        <v>50</v>
      </c>
      <c r="C36" s="171">
        <v>37100</v>
      </c>
    </row>
    <row r="37" spans="1:5" x14ac:dyDescent="0.3">
      <c r="B37" s="235" t="s">
        <v>51</v>
      </c>
      <c r="C37" s="169">
        <v>24380</v>
      </c>
    </row>
    <row r="38" spans="1:5" x14ac:dyDescent="0.3">
      <c r="B38" s="236" t="s">
        <v>52</v>
      </c>
      <c r="C38" s="170">
        <v>23000</v>
      </c>
    </row>
    <row r="39" spans="1:5" x14ac:dyDescent="0.3">
      <c r="B39" s="190"/>
      <c r="C39" s="190"/>
      <c r="D39" s="190"/>
    </row>
    <row r="40" spans="1:5" x14ac:dyDescent="0.3">
      <c r="A40" s="190"/>
      <c r="B40" s="266" t="s">
        <v>53</v>
      </c>
      <c r="C40" s="267" t="s">
        <v>54</v>
      </c>
      <c r="D40" s="266" t="s">
        <v>55</v>
      </c>
      <c r="E40" s="190"/>
    </row>
    <row r="41" spans="1:5" x14ac:dyDescent="0.3">
      <c r="A41" s="190"/>
      <c r="B41" s="189" t="s">
        <v>56</v>
      </c>
      <c r="C41" s="246">
        <v>30</v>
      </c>
      <c r="D41" s="248">
        <v>3.5</v>
      </c>
      <c r="E41" s="190"/>
    </row>
    <row r="42" spans="1:5" x14ac:dyDescent="0.3">
      <c r="A42" s="190"/>
      <c r="B42" s="189" t="s">
        <v>57</v>
      </c>
      <c r="C42" s="246">
        <v>16</v>
      </c>
      <c r="D42" s="245">
        <v>10</v>
      </c>
      <c r="E42" s="190"/>
    </row>
    <row r="43" spans="1:5" x14ac:dyDescent="0.3">
      <c r="A43" s="190"/>
      <c r="B43" s="240" t="s">
        <v>58</v>
      </c>
      <c r="C43" s="247">
        <v>75</v>
      </c>
      <c r="D43" s="189">
        <v>11.65</v>
      </c>
      <c r="E43" s="190"/>
    </row>
    <row r="44" spans="1:5" x14ac:dyDescent="0.3">
      <c r="A44" s="190"/>
      <c r="B44" s="189" t="s">
        <v>59</v>
      </c>
      <c r="C44" s="246">
        <v>82</v>
      </c>
      <c r="D44" s="245">
        <v>3</v>
      </c>
      <c r="E44" s="190"/>
    </row>
    <row r="45" spans="1:5" x14ac:dyDescent="0.3">
      <c r="B45" s="190"/>
      <c r="C45" s="190"/>
      <c r="D45" s="190"/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1000"/>
  <sheetViews>
    <sheetView workbookViewId="0">
      <selection activeCell="D5" sqref="D5"/>
    </sheetView>
  </sheetViews>
  <sheetFormatPr baseColWidth="10" defaultColWidth="14.44140625" defaultRowHeight="15" customHeight="1" x14ac:dyDescent="0.3"/>
  <cols>
    <col min="1" max="1" width="78" customWidth="1"/>
    <col min="2" max="2" width="12.5546875" customWidth="1"/>
    <col min="3" max="3" width="14.44140625" customWidth="1"/>
    <col min="4" max="6" width="10.77734375" customWidth="1"/>
  </cols>
  <sheetData>
    <row r="1" spans="1:4" ht="14.4" x14ac:dyDescent="0.3">
      <c r="A1" s="3" t="s">
        <v>309</v>
      </c>
      <c r="B1" s="2" t="s">
        <v>310</v>
      </c>
      <c r="C1" s="3" t="s">
        <v>311</v>
      </c>
      <c r="D1" s="3" t="s">
        <v>312</v>
      </c>
    </row>
    <row r="2" spans="1:4" ht="14.4" x14ac:dyDescent="0.3">
      <c r="A2" s="3" t="s">
        <v>313</v>
      </c>
      <c r="B2" s="2">
        <f>65*6.5</f>
        <v>422.5</v>
      </c>
      <c r="C2" s="3" t="s">
        <v>314</v>
      </c>
      <c r="D2" s="3" t="s">
        <v>315</v>
      </c>
    </row>
    <row r="3" spans="1:4" ht="14.4" x14ac:dyDescent="0.3">
      <c r="A3" s="3" t="s">
        <v>316</v>
      </c>
      <c r="B3" s="46">
        <v>23.24</v>
      </c>
      <c r="C3" s="3" t="s">
        <v>317</v>
      </c>
    </row>
    <row r="4" spans="1:4" ht="14.4" x14ac:dyDescent="0.3">
      <c r="A4" s="3" t="s">
        <v>318</v>
      </c>
      <c r="B4" s="46">
        <v>18.899999999999999</v>
      </c>
      <c r="C4" s="3" t="s">
        <v>317</v>
      </c>
    </row>
    <row r="5" spans="1:4" ht="14.4" x14ac:dyDescent="0.3">
      <c r="A5" s="3" t="s">
        <v>319</v>
      </c>
      <c r="B5" s="46">
        <f>((135000/8)/(210*8))+6.5</f>
        <v>16.544642857142858</v>
      </c>
      <c r="C5" s="3" t="s">
        <v>317</v>
      </c>
    </row>
    <row r="6" spans="1:4" ht="14.4" x14ac:dyDescent="0.3">
      <c r="A6" s="3" t="s">
        <v>320</v>
      </c>
      <c r="B6" s="46">
        <f>B3*1.1</f>
        <v>25.564</v>
      </c>
      <c r="C6" s="3" t="s">
        <v>317</v>
      </c>
    </row>
    <row r="7" spans="1:4" ht="14.4" x14ac:dyDescent="0.3">
      <c r="A7" s="3" t="s">
        <v>321</v>
      </c>
      <c r="B7" s="46">
        <v>20.79</v>
      </c>
      <c r="C7" s="3" t="s">
        <v>317</v>
      </c>
    </row>
    <row r="8" spans="1:4" ht="14.4" x14ac:dyDescent="0.3">
      <c r="A8" s="3" t="s">
        <v>322</v>
      </c>
      <c r="B8" s="46">
        <v>21.2</v>
      </c>
      <c r="C8" s="3" t="s">
        <v>317</v>
      </c>
    </row>
    <row r="9" spans="1:4" ht="14.4" x14ac:dyDescent="0.3">
      <c r="A9" s="3" t="s">
        <v>323</v>
      </c>
      <c r="B9" s="46">
        <f>B5*1.1</f>
        <v>18.199107142857144</v>
      </c>
      <c r="C9" s="3" t="s">
        <v>317</v>
      </c>
    </row>
    <row r="10" spans="1:4" ht="14.4" x14ac:dyDescent="0.3">
      <c r="A10" s="3" t="s">
        <v>324</v>
      </c>
      <c r="B10" s="46">
        <v>14.5</v>
      </c>
      <c r="C10" s="3" t="s">
        <v>317</v>
      </c>
    </row>
    <row r="11" spans="1:4" ht="14.4" x14ac:dyDescent="0.3">
      <c r="A11" s="3" t="s">
        <v>325</v>
      </c>
      <c r="B11" s="2">
        <f>(18.62+15)*6.5</f>
        <v>218.53000000000003</v>
      </c>
      <c r="C11" s="3" t="s">
        <v>314</v>
      </c>
      <c r="D11" s="3" t="s">
        <v>326</v>
      </c>
    </row>
    <row r="12" spans="1:4" ht="14.4" x14ac:dyDescent="0.3">
      <c r="A12" s="3"/>
      <c r="B12" s="46"/>
      <c r="C12" s="3"/>
    </row>
    <row r="13" spans="1:4" ht="14.4" x14ac:dyDescent="0.3">
      <c r="A13" s="3"/>
      <c r="B13" s="46"/>
      <c r="C13" s="3"/>
    </row>
    <row r="14" spans="1:4" ht="14.4" x14ac:dyDescent="0.3">
      <c r="B14" s="2"/>
    </row>
    <row r="15" spans="1:4" ht="14.4" x14ac:dyDescent="0.3">
      <c r="B15" s="2"/>
    </row>
    <row r="16" spans="1:4" ht="14.4" x14ac:dyDescent="0.3">
      <c r="B16" s="2"/>
    </row>
    <row r="17" spans="2:2" ht="14.4" x14ac:dyDescent="0.3">
      <c r="B17" s="2"/>
    </row>
    <row r="18" spans="2:2" ht="14.4" x14ac:dyDescent="0.3">
      <c r="B18" s="2"/>
    </row>
    <row r="19" spans="2:2" ht="14.4" x14ac:dyDescent="0.3">
      <c r="B19" s="2"/>
    </row>
    <row r="20" spans="2:2" ht="14.4" x14ac:dyDescent="0.3">
      <c r="B20" s="2"/>
    </row>
    <row r="21" spans="2:2" ht="15.75" customHeight="1" x14ac:dyDescent="0.3">
      <c r="B21" s="2"/>
    </row>
    <row r="22" spans="2:2" ht="15.75" customHeight="1" x14ac:dyDescent="0.3">
      <c r="B22" s="2"/>
    </row>
    <row r="23" spans="2:2" ht="15.75" customHeight="1" x14ac:dyDescent="0.3">
      <c r="B23" s="2"/>
    </row>
    <row r="24" spans="2:2" ht="15.75" customHeight="1" x14ac:dyDescent="0.3">
      <c r="B24" s="2"/>
    </row>
    <row r="25" spans="2:2" ht="15.75" customHeight="1" x14ac:dyDescent="0.3">
      <c r="B25" s="2"/>
    </row>
    <row r="26" spans="2:2" ht="15.75" customHeight="1" x14ac:dyDescent="0.3">
      <c r="B26" s="2"/>
    </row>
    <row r="27" spans="2:2" ht="15.75" customHeight="1" x14ac:dyDescent="0.3">
      <c r="B27" s="2"/>
    </row>
    <row r="28" spans="2:2" ht="15.75" customHeight="1" x14ac:dyDescent="0.3">
      <c r="B28" s="2"/>
    </row>
    <row r="29" spans="2:2" ht="15.75" customHeight="1" x14ac:dyDescent="0.3">
      <c r="B29" s="2"/>
    </row>
    <row r="30" spans="2:2" ht="15.75" customHeight="1" x14ac:dyDescent="0.3">
      <c r="B30" s="2"/>
    </row>
    <row r="31" spans="2:2" ht="15.75" customHeight="1" x14ac:dyDescent="0.3">
      <c r="B31" s="2"/>
    </row>
    <row r="32" spans="2:2" ht="15.75" customHeight="1" x14ac:dyDescent="0.3">
      <c r="B32" s="2"/>
    </row>
    <row r="33" spans="2:2" ht="15.75" customHeight="1" x14ac:dyDescent="0.3">
      <c r="B33" s="2"/>
    </row>
    <row r="34" spans="2:2" ht="15.75" customHeight="1" x14ac:dyDescent="0.3">
      <c r="B34" s="2"/>
    </row>
    <row r="35" spans="2:2" ht="15.75" customHeight="1" x14ac:dyDescent="0.3">
      <c r="B35" s="2"/>
    </row>
    <row r="36" spans="2:2" ht="15.75" customHeight="1" x14ac:dyDescent="0.3">
      <c r="B36" s="2"/>
    </row>
    <row r="37" spans="2:2" ht="15.75" customHeight="1" x14ac:dyDescent="0.3">
      <c r="B37" s="2"/>
    </row>
    <row r="38" spans="2:2" ht="15.75" customHeight="1" x14ac:dyDescent="0.3">
      <c r="B38" s="2"/>
    </row>
    <row r="39" spans="2:2" ht="15.75" customHeight="1" x14ac:dyDescent="0.3">
      <c r="B39" s="2"/>
    </row>
    <row r="40" spans="2:2" ht="15.75" customHeight="1" x14ac:dyDescent="0.3">
      <c r="B40" s="2"/>
    </row>
    <row r="41" spans="2:2" ht="15.75" customHeight="1" x14ac:dyDescent="0.3">
      <c r="B41" s="2"/>
    </row>
    <row r="42" spans="2:2" ht="15.75" customHeight="1" x14ac:dyDescent="0.3">
      <c r="B42" s="2"/>
    </row>
    <row r="43" spans="2:2" ht="15.75" customHeight="1" x14ac:dyDescent="0.3">
      <c r="B43" s="2"/>
    </row>
    <row r="44" spans="2:2" ht="15.75" customHeight="1" x14ac:dyDescent="0.3">
      <c r="B44" s="2"/>
    </row>
    <row r="45" spans="2:2" ht="15.75" customHeight="1" x14ac:dyDescent="0.3">
      <c r="B45" s="2"/>
    </row>
    <row r="46" spans="2:2" ht="15.75" customHeight="1" x14ac:dyDescent="0.3">
      <c r="B46" s="2"/>
    </row>
    <row r="47" spans="2:2" ht="15.75" customHeight="1" x14ac:dyDescent="0.3">
      <c r="B47" s="2"/>
    </row>
    <row r="48" spans="2:2" ht="15.75" customHeight="1" x14ac:dyDescent="0.3">
      <c r="B48" s="2"/>
    </row>
    <row r="49" spans="2:2" ht="15.75" customHeight="1" x14ac:dyDescent="0.3">
      <c r="B49" s="2"/>
    </row>
    <row r="50" spans="2:2" ht="15.75" customHeight="1" x14ac:dyDescent="0.3">
      <c r="B50" s="2"/>
    </row>
    <row r="51" spans="2:2" ht="15.75" customHeight="1" x14ac:dyDescent="0.3">
      <c r="B51" s="2"/>
    </row>
    <row r="52" spans="2:2" ht="15.75" customHeight="1" x14ac:dyDescent="0.3">
      <c r="B52" s="2"/>
    </row>
    <row r="53" spans="2:2" ht="15.75" customHeight="1" x14ac:dyDescent="0.3">
      <c r="B53" s="2"/>
    </row>
    <row r="54" spans="2:2" ht="15.75" customHeight="1" x14ac:dyDescent="0.3">
      <c r="B54" s="2"/>
    </row>
    <row r="55" spans="2:2" ht="15.75" customHeight="1" x14ac:dyDescent="0.3">
      <c r="B55" s="2"/>
    </row>
    <row r="56" spans="2:2" ht="15.75" customHeight="1" x14ac:dyDescent="0.3">
      <c r="B56" s="2"/>
    </row>
    <row r="57" spans="2:2" ht="15.75" customHeight="1" x14ac:dyDescent="0.3">
      <c r="B57" s="2"/>
    </row>
    <row r="58" spans="2:2" ht="15.75" customHeight="1" x14ac:dyDescent="0.3">
      <c r="B58" s="2"/>
    </row>
    <row r="59" spans="2:2" ht="15.75" customHeight="1" x14ac:dyDescent="0.3">
      <c r="B59" s="2"/>
    </row>
    <row r="60" spans="2:2" ht="15.75" customHeight="1" x14ac:dyDescent="0.3">
      <c r="B60" s="2"/>
    </row>
    <row r="61" spans="2:2" ht="15.75" customHeight="1" x14ac:dyDescent="0.3">
      <c r="B61" s="2"/>
    </row>
    <row r="62" spans="2:2" ht="15.75" customHeight="1" x14ac:dyDescent="0.3">
      <c r="B62" s="2"/>
    </row>
    <row r="63" spans="2:2" ht="15.75" customHeight="1" x14ac:dyDescent="0.3">
      <c r="B63" s="2"/>
    </row>
    <row r="64" spans="2:2" ht="15.75" customHeight="1" x14ac:dyDescent="0.3">
      <c r="B64" s="2"/>
    </row>
    <row r="65" spans="2:2" ht="15.75" customHeight="1" x14ac:dyDescent="0.3">
      <c r="B65" s="2"/>
    </row>
    <row r="66" spans="2:2" ht="15.75" customHeight="1" x14ac:dyDescent="0.3">
      <c r="B66" s="2"/>
    </row>
    <row r="67" spans="2:2" ht="15.75" customHeight="1" x14ac:dyDescent="0.3">
      <c r="B67" s="2"/>
    </row>
    <row r="68" spans="2:2" ht="15.75" customHeight="1" x14ac:dyDescent="0.3">
      <c r="B68" s="2"/>
    </row>
    <row r="69" spans="2:2" ht="15.75" customHeight="1" x14ac:dyDescent="0.3">
      <c r="B69" s="2"/>
    </row>
    <row r="70" spans="2:2" ht="15.75" customHeight="1" x14ac:dyDescent="0.3">
      <c r="B70" s="2"/>
    </row>
    <row r="71" spans="2:2" ht="15.75" customHeight="1" x14ac:dyDescent="0.3">
      <c r="B71" s="2"/>
    </row>
    <row r="72" spans="2:2" ht="15.75" customHeight="1" x14ac:dyDescent="0.3">
      <c r="B72" s="2"/>
    </row>
    <row r="73" spans="2:2" ht="15.75" customHeight="1" x14ac:dyDescent="0.3">
      <c r="B73" s="2"/>
    </row>
    <row r="74" spans="2:2" ht="15.75" customHeight="1" x14ac:dyDescent="0.3">
      <c r="B74" s="2"/>
    </row>
    <row r="75" spans="2:2" ht="15.75" customHeight="1" x14ac:dyDescent="0.3">
      <c r="B75" s="2"/>
    </row>
    <row r="76" spans="2:2" ht="15.75" customHeight="1" x14ac:dyDescent="0.3">
      <c r="B76" s="2"/>
    </row>
    <row r="77" spans="2:2" ht="15.75" customHeight="1" x14ac:dyDescent="0.3">
      <c r="B77" s="2"/>
    </row>
    <row r="78" spans="2:2" ht="15.75" customHeight="1" x14ac:dyDescent="0.3">
      <c r="B78" s="2"/>
    </row>
    <row r="79" spans="2:2" ht="15.75" customHeight="1" x14ac:dyDescent="0.3">
      <c r="B79" s="2"/>
    </row>
    <row r="80" spans="2:2" ht="15.75" customHeight="1" x14ac:dyDescent="0.3">
      <c r="B80" s="2"/>
    </row>
    <row r="81" spans="2:2" ht="15.75" customHeight="1" x14ac:dyDescent="0.3">
      <c r="B81" s="2"/>
    </row>
    <row r="82" spans="2:2" ht="15.75" customHeight="1" x14ac:dyDescent="0.3">
      <c r="B82" s="2"/>
    </row>
    <row r="83" spans="2:2" ht="15.75" customHeight="1" x14ac:dyDescent="0.3">
      <c r="B83" s="2"/>
    </row>
    <row r="84" spans="2:2" ht="15.75" customHeight="1" x14ac:dyDescent="0.3">
      <c r="B84" s="2"/>
    </row>
    <row r="85" spans="2:2" ht="15.75" customHeight="1" x14ac:dyDescent="0.3">
      <c r="B85" s="2"/>
    </row>
    <row r="86" spans="2:2" ht="15.75" customHeight="1" x14ac:dyDescent="0.3">
      <c r="B86" s="2"/>
    </row>
    <row r="87" spans="2:2" ht="15.75" customHeight="1" x14ac:dyDescent="0.3">
      <c r="B87" s="2"/>
    </row>
    <row r="88" spans="2:2" ht="15.75" customHeight="1" x14ac:dyDescent="0.3">
      <c r="B88" s="2"/>
    </row>
    <row r="89" spans="2:2" ht="15.75" customHeight="1" x14ac:dyDescent="0.3">
      <c r="B89" s="2"/>
    </row>
    <row r="90" spans="2:2" ht="15.75" customHeight="1" x14ac:dyDescent="0.3">
      <c r="B90" s="2"/>
    </row>
    <row r="91" spans="2:2" ht="15.75" customHeight="1" x14ac:dyDescent="0.3">
      <c r="B91" s="2"/>
    </row>
    <row r="92" spans="2:2" ht="15.75" customHeight="1" x14ac:dyDescent="0.3">
      <c r="B92" s="2"/>
    </row>
    <row r="93" spans="2:2" ht="15.75" customHeight="1" x14ac:dyDescent="0.3">
      <c r="B93" s="2"/>
    </row>
    <row r="94" spans="2:2" ht="15.75" customHeight="1" x14ac:dyDescent="0.3">
      <c r="B94" s="2"/>
    </row>
    <row r="95" spans="2:2" ht="15.75" customHeight="1" x14ac:dyDescent="0.3">
      <c r="B95" s="2"/>
    </row>
    <row r="96" spans="2:2" ht="15.75" customHeight="1" x14ac:dyDescent="0.3">
      <c r="B96" s="2"/>
    </row>
    <row r="97" spans="2:2" ht="15.75" customHeight="1" x14ac:dyDescent="0.3">
      <c r="B97" s="2"/>
    </row>
    <row r="98" spans="2:2" ht="15.75" customHeight="1" x14ac:dyDescent="0.3">
      <c r="B98" s="2"/>
    </row>
    <row r="99" spans="2:2" ht="15.75" customHeight="1" x14ac:dyDescent="0.3">
      <c r="B99" s="2"/>
    </row>
    <row r="100" spans="2:2" ht="15.75" customHeight="1" x14ac:dyDescent="0.3">
      <c r="B100" s="2"/>
    </row>
    <row r="101" spans="2:2" ht="15.75" customHeight="1" x14ac:dyDescent="0.3">
      <c r="B101" s="2"/>
    </row>
    <row r="102" spans="2:2" ht="15.75" customHeight="1" x14ac:dyDescent="0.3">
      <c r="B102" s="2"/>
    </row>
    <row r="103" spans="2:2" ht="15.75" customHeight="1" x14ac:dyDescent="0.3">
      <c r="B103" s="2"/>
    </row>
    <row r="104" spans="2:2" ht="15.75" customHeight="1" x14ac:dyDescent="0.3">
      <c r="B104" s="2"/>
    </row>
    <row r="105" spans="2:2" ht="15.75" customHeight="1" x14ac:dyDescent="0.3">
      <c r="B105" s="2"/>
    </row>
    <row r="106" spans="2:2" ht="15.75" customHeight="1" x14ac:dyDescent="0.3">
      <c r="B106" s="2"/>
    </row>
    <row r="107" spans="2:2" ht="15.75" customHeight="1" x14ac:dyDescent="0.3">
      <c r="B107" s="2"/>
    </row>
    <row r="108" spans="2:2" ht="15.75" customHeight="1" x14ac:dyDescent="0.3">
      <c r="B108" s="2"/>
    </row>
    <row r="109" spans="2:2" ht="15.75" customHeight="1" x14ac:dyDescent="0.3">
      <c r="B109" s="2"/>
    </row>
    <row r="110" spans="2:2" ht="15.75" customHeight="1" x14ac:dyDescent="0.3">
      <c r="B110" s="2"/>
    </row>
    <row r="111" spans="2:2" ht="15.75" customHeight="1" x14ac:dyDescent="0.3">
      <c r="B111" s="2"/>
    </row>
    <row r="112" spans="2:2" ht="15.75" customHeight="1" x14ac:dyDescent="0.3">
      <c r="B112" s="2"/>
    </row>
    <row r="113" spans="2:2" ht="15.75" customHeight="1" x14ac:dyDescent="0.3">
      <c r="B113" s="2"/>
    </row>
    <row r="114" spans="2:2" ht="15.75" customHeight="1" x14ac:dyDescent="0.3">
      <c r="B114" s="2"/>
    </row>
    <row r="115" spans="2:2" ht="15.75" customHeight="1" x14ac:dyDescent="0.3">
      <c r="B115" s="2"/>
    </row>
    <row r="116" spans="2:2" ht="15.75" customHeight="1" x14ac:dyDescent="0.3">
      <c r="B116" s="2"/>
    </row>
    <row r="117" spans="2:2" ht="15.75" customHeight="1" x14ac:dyDescent="0.3">
      <c r="B117" s="2"/>
    </row>
    <row r="118" spans="2:2" ht="15.75" customHeight="1" x14ac:dyDescent="0.3">
      <c r="B118" s="2"/>
    </row>
    <row r="119" spans="2:2" ht="15.75" customHeight="1" x14ac:dyDescent="0.3">
      <c r="B119" s="2"/>
    </row>
    <row r="120" spans="2:2" ht="15.75" customHeight="1" x14ac:dyDescent="0.3">
      <c r="B120" s="2"/>
    </row>
    <row r="121" spans="2:2" ht="15.75" customHeight="1" x14ac:dyDescent="0.3">
      <c r="B121" s="2"/>
    </row>
    <row r="122" spans="2:2" ht="15.75" customHeight="1" x14ac:dyDescent="0.3">
      <c r="B122" s="2"/>
    </row>
    <row r="123" spans="2:2" ht="15.75" customHeight="1" x14ac:dyDescent="0.3">
      <c r="B123" s="2"/>
    </row>
    <row r="124" spans="2:2" ht="15.75" customHeight="1" x14ac:dyDescent="0.3">
      <c r="B124" s="2"/>
    </row>
    <row r="125" spans="2:2" ht="15.75" customHeight="1" x14ac:dyDescent="0.3">
      <c r="B125" s="2"/>
    </row>
    <row r="126" spans="2:2" ht="15.75" customHeight="1" x14ac:dyDescent="0.3">
      <c r="B126" s="2"/>
    </row>
    <row r="127" spans="2:2" ht="15.75" customHeight="1" x14ac:dyDescent="0.3">
      <c r="B127" s="2"/>
    </row>
    <row r="128" spans="2:2" ht="15.75" customHeight="1" x14ac:dyDescent="0.3">
      <c r="B128" s="2"/>
    </row>
    <row r="129" spans="2:2" ht="15.75" customHeight="1" x14ac:dyDescent="0.3">
      <c r="B129" s="2"/>
    </row>
    <row r="130" spans="2:2" ht="15.75" customHeight="1" x14ac:dyDescent="0.3">
      <c r="B130" s="2"/>
    </row>
    <row r="131" spans="2:2" ht="15.75" customHeight="1" x14ac:dyDescent="0.3">
      <c r="B131" s="2"/>
    </row>
    <row r="132" spans="2:2" ht="15.75" customHeight="1" x14ac:dyDescent="0.3">
      <c r="B132" s="2"/>
    </row>
    <row r="133" spans="2:2" ht="15.75" customHeight="1" x14ac:dyDescent="0.3">
      <c r="B133" s="2"/>
    </row>
    <row r="134" spans="2:2" ht="15.75" customHeight="1" x14ac:dyDescent="0.3">
      <c r="B134" s="2"/>
    </row>
    <row r="135" spans="2:2" ht="15.75" customHeight="1" x14ac:dyDescent="0.3">
      <c r="B135" s="2"/>
    </row>
    <row r="136" spans="2:2" ht="15.75" customHeight="1" x14ac:dyDescent="0.3">
      <c r="B136" s="2"/>
    </row>
    <row r="137" spans="2:2" ht="15.75" customHeight="1" x14ac:dyDescent="0.3">
      <c r="B137" s="2"/>
    </row>
    <row r="138" spans="2:2" ht="15.75" customHeight="1" x14ac:dyDescent="0.3">
      <c r="B138" s="2"/>
    </row>
    <row r="139" spans="2:2" ht="15.75" customHeight="1" x14ac:dyDescent="0.3">
      <c r="B139" s="2"/>
    </row>
    <row r="140" spans="2:2" ht="15.75" customHeight="1" x14ac:dyDescent="0.3">
      <c r="B140" s="2"/>
    </row>
    <row r="141" spans="2:2" ht="15.75" customHeight="1" x14ac:dyDescent="0.3">
      <c r="B141" s="2"/>
    </row>
    <row r="142" spans="2:2" ht="15.75" customHeight="1" x14ac:dyDescent="0.3">
      <c r="B142" s="2"/>
    </row>
    <row r="143" spans="2:2" ht="15.75" customHeight="1" x14ac:dyDescent="0.3">
      <c r="B143" s="2"/>
    </row>
    <row r="144" spans="2:2" ht="15.75" customHeight="1" x14ac:dyDescent="0.3">
      <c r="B144" s="2"/>
    </row>
    <row r="145" spans="2:2" ht="15.75" customHeight="1" x14ac:dyDescent="0.3">
      <c r="B145" s="2"/>
    </row>
    <row r="146" spans="2:2" ht="15.75" customHeight="1" x14ac:dyDescent="0.3">
      <c r="B146" s="2"/>
    </row>
    <row r="147" spans="2:2" ht="15.75" customHeight="1" x14ac:dyDescent="0.3">
      <c r="B147" s="2"/>
    </row>
    <row r="148" spans="2:2" ht="15.75" customHeight="1" x14ac:dyDescent="0.3">
      <c r="B148" s="2"/>
    </row>
    <row r="149" spans="2:2" ht="15.75" customHeight="1" x14ac:dyDescent="0.3">
      <c r="B149" s="2"/>
    </row>
    <row r="150" spans="2:2" ht="15.75" customHeight="1" x14ac:dyDescent="0.3">
      <c r="B150" s="2"/>
    </row>
    <row r="151" spans="2:2" ht="15.75" customHeight="1" x14ac:dyDescent="0.3">
      <c r="B151" s="2"/>
    </row>
    <row r="152" spans="2:2" ht="15.75" customHeight="1" x14ac:dyDescent="0.3">
      <c r="B152" s="2"/>
    </row>
    <row r="153" spans="2:2" ht="15.75" customHeight="1" x14ac:dyDescent="0.3">
      <c r="B153" s="2"/>
    </row>
    <row r="154" spans="2:2" ht="15.75" customHeight="1" x14ac:dyDescent="0.3">
      <c r="B154" s="2"/>
    </row>
    <row r="155" spans="2:2" ht="15.75" customHeight="1" x14ac:dyDescent="0.3">
      <c r="B155" s="2"/>
    </row>
    <row r="156" spans="2:2" ht="15.75" customHeight="1" x14ac:dyDescent="0.3">
      <c r="B156" s="2"/>
    </row>
    <row r="157" spans="2:2" ht="15.75" customHeight="1" x14ac:dyDescent="0.3">
      <c r="B157" s="2"/>
    </row>
    <row r="158" spans="2:2" ht="15.75" customHeight="1" x14ac:dyDescent="0.3">
      <c r="B158" s="2"/>
    </row>
    <row r="159" spans="2:2" ht="15.75" customHeight="1" x14ac:dyDescent="0.3">
      <c r="B159" s="2"/>
    </row>
    <row r="160" spans="2:2" ht="15.75" customHeight="1" x14ac:dyDescent="0.3">
      <c r="B160" s="2"/>
    </row>
    <row r="161" spans="2:2" ht="15.75" customHeight="1" x14ac:dyDescent="0.3">
      <c r="B161" s="2"/>
    </row>
    <row r="162" spans="2:2" ht="15.75" customHeight="1" x14ac:dyDescent="0.3">
      <c r="B162" s="2"/>
    </row>
    <row r="163" spans="2:2" ht="15.75" customHeight="1" x14ac:dyDescent="0.3">
      <c r="B163" s="2"/>
    </row>
    <row r="164" spans="2:2" ht="15.75" customHeight="1" x14ac:dyDescent="0.3">
      <c r="B164" s="2"/>
    </row>
    <row r="165" spans="2:2" ht="15.75" customHeight="1" x14ac:dyDescent="0.3">
      <c r="B165" s="2"/>
    </row>
    <row r="166" spans="2:2" ht="15.75" customHeight="1" x14ac:dyDescent="0.3">
      <c r="B166" s="2"/>
    </row>
    <row r="167" spans="2:2" ht="15.75" customHeight="1" x14ac:dyDescent="0.3">
      <c r="B167" s="2"/>
    </row>
    <row r="168" spans="2:2" ht="15.75" customHeight="1" x14ac:dyDescent="0.3">
      <c r="B168" s="2"/>
    </row>
    <row r="169" spans="2:2" ht="15.75" customHeight="1" x14ac:dyDescent="0.3">
      <c r="B169" s="2"/>
    </row>
    <row r="170" spans="2:2" ht="15.75" customHeight="1" x14ac:dyDescent="0.3">
      <c r="B170" s="2"/>
    </row>
    <row r="171" spans="2:2" ht="15.75" customHeight="1" x14ac:dyDescent="0.3">
      <c r="B171" s="2"/>
    </row>
    <row r="172" spans="2:2" ht="15.75" customHeight="1" x14ac:dyDescent="0.3">
      <c r="B172" s="2"/>
    </row>
    <row r="173" spans="2:2" ht="15.75" customHeight="1" x14ac:dyDescent="0.3">
      <c r="B173" s="2"/>
    </row>
    <row r="174" spans="2:2" ht="15.75" customHeight="1" x14ac:dyDescent="0.3">
      <c r="B174" s="2"/>
    </row>
    <row r="175" spans="2:2" ht="15.75" customHeight="1" x14ac:dyDescent="0.3">
      <c r="B175" s="2"/>
    </row>
    <row r="176" spans="2:2" ht="15.75" customHeight="1" x14ac:dyDescent="0.3">
      <c r="B176" s="2"/>
    </row>
    <row r="177" spans="2:2" ht="15.75" customHeight="1" x14ac:dyDescent="0.3">
      <c r="B177" s="2"/>
    </row>
    <row r="178" spans="2:2" ht="15.75" customHeight="1" x14ac:dyDescent="0.3">
      <c r="B178" s="2"/>
    </row>
    <row r="179" spans="2:2" ht="15.75" customHeight="1" x14ac:dyDescent="0.3">
      <c r="B179" s="2"/>
    </row>
    <row r="180" spans="2:2" ht="15.75" customHeight="1" x14ac:dyDescent="0.3">
      <c r="B180" s="2"/>
    </row>
    <row r="181" spans="2:2" ht="15.75" customHeight="1" x14ac:dyDescent="0.3">
      <c r="B181" s="2"/>
    </row>
    <row r="182" spans="2:2" ht="15.75" customHeight="1" x14ac:dyDescent="0.3">
      <c r="B182" s="2"/>
    </row>
    <row r="183" spans="2:2" ht="15.75" customHeight="1" x14ac:dyDescent="0.3">
      <c r="B183" s="2"/>
    </row>
    <row r="184" spans="2:2" ht="15.75" customHeight="1" x14ac:dyDescent="0.3">
      <c r="B184" s="2"/>
    </row>
    <row r="185" spans="2:2" ht="15.75" customHeight="1" x14ac:dyDescent="0.3">
      <c r="B185" s="2"/>
    </row>
    <row r="186" spans="2:2" ht="15.75" customHeight="1" x14ac:dyDescent="0.3">
      <c r="B186" s="2"/>
    </row>
    <row r="187" spans="2:2" ht="15.75" customHeight="1" x14ac:dyDescent="0.3">
      <c r="B187" s="2"/>
    </row>
    <row r="188" spans="2:2" ht="15.75" customHeight="1" x14ac:dyDescent="0.3">
      <c r="B188" s="2"/>
    </row>
    <row r="189" spans="2:2" ht="15.75" customHeight="1" x14ac:dyDescent="0.3">
      <c r="B189" s="2"/>
    </row>
    <row r="190" spans="2:2" ht="15.75" customHeight="1" x14ac:dyDescent="0.3">
      <c r="B190" s="2"/>
    </row>
    <row r="191" spans="2:2" ht="15.75" customHeight="1" x14ac:dyDescent="0.3">
      <c r="B191" s="2"/>
    </row>
    <row r="192" spans="2:2" ht="15.75" customHeight="1" x14ac:dyDescent="0.3">
      <c r="B192" s="2"/>
    </row>
    <row r="193" spans="2:2" ht="15.75" customHeight="1" x14ac:dyDescent="0.3">
      <c r="B193" s="2"/>
    </row>
    <row r="194" spans="2:2" ht="15.75" customHeight="1" x14ac:dyDescent="0.3">
      <c r="B194" s="2"/>
    </row>
    <row r="195" spans="2:2" ht="15.75" customHeight="1" x14ac:dyDescent="0.3">
      <c r="B195" s="2"/>
    </row>
    <row r="196" spans="2:2" ht="15.75" customHeight="1" x14ac:dyDescent="0.3">
      <c r="B196" s="2"/>
    </row>
    <row r="197" spans="2:2" ht="15.75" customHeight="1" x14ac:dyDescent="0.3">
      <c r="B197" s="2"/>
    </row>
    <row r="198" spans="2:2" ht="15.75" customHeight="1" x14ac:dyDescent="0.3">
      <c r="B198" s="2"/>
    </row>
    <row r="199" spans="2:2" ht="15.75" customHeight="1" x14ac:dyDescent="0.3">
      <c r="B199" s="2"/>
    </row>
    <row r="200" spans="2:2" ht="15.75" customHeight="1" x14ac:dyDescent="0.3">
      <c r="B200" s="2"/>
    </row>
    <row r="201" spans="2:2" ht="15.75" customHeight="1" x14ac:dyDescent="0.3">
      <c r="B201" s="2"/>
    </row>
    <row r="202" spans="2:2" ht="15.75" customHeight="1" x14ac:dyDescent="0.3">
      <c r="B202" s="2"/>
    </row>
    <row r="203" spans="2:2" ht="15.75" customHeight="1" x14ac:dyDescent="0.3">
      <c r="B203" s="2"/>
    </row>
    <row r="204" spans="2:2" ht="15.75" customHeight="1" x14ac:dyDescent="0.3">
      <c r="B204" s="2"/>
    </row>
    <row r="205" spans="2:2" ht="15.75" customHeight="1" x14ac:dyDescent="0.3">
      <c r="B205" s="2"/>
    </row>
    <row r="206" spans="2:2" ht="15.75" customHeight="1" x14ac:dyDescent="0.3">
      <c r="B206" s="2"/>
    </row>
    <row r="207" spans="2:2" ht="15.75" customHeight="1" x14ac:dyDescent="0.3">
      <c r="B207" s="2"/>
    </row>
    <row r="208" spans="2:2" ht="15.75" customHeight="1" x14ac:dyDescent="0.3">
      <c r="B208" s="2"/>
    </row>
    <row r="209" spans="2:2" ht="15.75" customHeight="1" x14ac:dyDescent="0.3">
      <c r="B209" s="2"/>
    </row>
    <row r="210" spans="2:2" ht="15.75" customHeight="1" x14ac:dyDescent="0.3">
      <c r="B210" s="2"/>
    </row>
    <row r="211" spans="2:2" ht="15.75" customHeight="1" x14ac:dyDescent="0.3">
      <c r="B211" s="2"/>
    </row>
    <row r="212" spans="2:2" ht="15.75" customHeight="1" x14ac:dyDescent="0.3">
      <c r="B212" s="2"/>
    </row>
    <row r="213" spans="2:2" ht="15.75" customHeight="1" x14ac:dyDescent="0.3">
      <c r="B213" s="2"/>
    </row>
    <row r="214" spans="2:2" ht="15.75" customHeight="1" x14ac:dyDescent="0.3">
      <c r="B214" s="2"/>
    </row>
    <row r="215" spans="2:2" ht="15.75" customHeight="1" x14ac:dyDescent="0.3">
      <c r="B215" s="2"/>
    </row>
    <row r="216" spans="2:2" ht="15.75" customHeight="1" x14ac:dyDescent="0.3">
      <c r="B216" s="2"/>
    </row>
    <row r="217" spans="2:2" ht="15.75" customHeight="1" x14ac:dyDescent="0.3">
      <c r="B217" s="2"/>
    </row>
    <row r="218" spans="2:2" ht="15.75" customHeight="1" x14ac:dyDescent="0.3">
      <c r="B218" s="2"/>
    </row>
    <row r="219" spans="2:2" ht="15.75" customHeight="1" x14ac:dyDescent="0.3">
      <c r="B219" s="2"/>
    </row>
    <row r="220" spans="2:2" ht="15.75" customHeight="1" x14ac:dyDescent="0.3">
      <c r="B220" s="2"/>
    </row>
    <row r="221" spans="2:2" ht="15.75" customHeight="1" x14ac:dyDescent="0.3"/>
    <row r="222" spans="2:2" ht="15.75" customHeight="1" x14ac:dyDescent="0.3"/>
    <row r="223" spans="2:2" ht="15.75" customHeight="1" x14ac:dyDescent="0.3"/>
    <row r="224" spans="2:2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0"/>
  <sheetViews>
    <sheetView topLeftCell="A5" workbookViewId="0"/>
  </sheetViews>
  <sheetFormatPr baseColWidth="10" defaultColWidth="14.44140625" defaultRowHeight="15" customHeight="1" x14ac:dyDescent="0.3"/>
  <cols>
    <col min="1" max="1" width="34.44140625" customWidth="1"/>
    <col min="2" max="2" width="12" customWidth="1"/>
    <col min="3" max="3" width="11.88671875" customWidth="1"/>
    <col min="4" max="4" width="13.44140625" customWidth="1"/>
    <col min="5" max="5" width="17.109375" customWidth="1"/>
    <col min="6" max="16" width="10.77734375" customWidth="1"/>
  </cols>
  <sheetData>
    <row r="1" spans="1:5" ht="14.4" x14ac:dyDescent="0.3">
      <c r="A1" s="1" t="s">
        <v>60</v>
      </c>
      <c r="B1" s="2"/>
      <c r="C1" s="2"/>
      <c r="D1" s="2"/>
    </row>
    <row r="2" spans="1:5" ht="14.4" x14ac:dyDescent="0.3">
      <c r="A2" s="3" t="s">
        <v>61</v>
      </c>
      <c r="B2" s="2"/>
      <c r="C2" s="2"/>
      <c r="D2" s="2"/>
    </row>
    <row r="3" spans="1:5" ht="14.4" x14ac:dyDescent="0.3">
      <c r="A3" s="3" t="s">
        <v>11</v>
      </c>
      <c r="B3" s="2"/>
      <c r="C3" s="2"/>
      <c r="D3" s="2"/>
    </row>
    <row r="4" spans="1:5" ht="14.4" x14ac:dyDescent="0.3">
      <c r="A4" s="3" t="s">
        <v>62</v>
      </c>
      <c r="B4" s="2"/>
      <c r="C4" s="2"/>
      <c r="D4" s="2"/>
    </row>
    <row r="5" spans="1:5" ht="14.4" x14ac:dyDescent="0.3">
      <c r="A5" s="3" t="s">
        <v>15</v>
      </c>
      <c r="B5" s="2"/>
      <c r="C5" s="2"/>
      <c r="D5" s="2"/>
    </row>
    <row r="6" spans="1:5" ht="14.4" x14ac:dyDescent="0.3">
      <c r="A6" s="3" t="s">
        <v>21</v>
      </c>
      <c r="B6" s="2"/>
      <c r="C6" s="2"/>
      <c r="D6" s="2"/>
    </row>
    <row r="7" spans="1:5" ht="14.4" x14ac:dyDescent="0.3">
      <c r="A7" s="3" t="s">
        <v>23</v>
      </c>
      <c r="B7" s="2"/>
      <c r="C7" s="2"/>
      <c r="D7" s="2"/>
    </row>
    <row r="8" spans="1:5" ht="14.4" x14ac:dyDescent="0.3">
      <c r="B8" s="2"/>
      <c r="C8" s="2"/>
      <c r="D8" s="2"/>
    </row>
    <row r="9" spans="1:5" ht="14.4" x14ac:dyDescent="0.3">
      <c r="A9" s="176" t="s">
        <v>27</v>
      </c>
      <c r="B9" s="129" t="s">
        <v>28</v>
      </c>
      <c r="C9" s="129" t="s">
        <v>29</v>
      </c>
      <c r="D9" s="129" t="s">
        <v>30</v>
      </c>
      <c r="E9" s="128" t="s">
        <v>31</v>
      </c>
    </row>
    <row r="10" spans="1:5" ht="14.4" x14ac:dyDescent="0.3">
      <c r="A10" s="177" t="s">
        <v>34</v>
      </c>
      <c r="B10" s="130">
        <v>8900</v>
      </c>
      <c r="C10" s="131">
        <v>4000</v>
      </c>
      <c r="D10" s="132">
        <f t="shared" ref="D10:D15" si="0">B10/C10</f>
        <v>2.2250000000000001</v>
      </c>
      <c r="E10" s="80"/>
    </row>
    <row r="11" spans="1:5" ht="14.4" x14ac:dyDescent="0.3">
      <c r="A11" s="160" t="s">
        <v>36</v>
      </c>
      <c r="B11" s="133">
        <v>816</v>
      </c>
      <c r="C11" s="131">
        <v>55</v>
      </c>
      <c r="D11" s="132">
        <f t="shared" si="0"/>
        <v>14.836363636363636</v>
      </c>
      <c r="E11" s="126"/>
    </row>
    <row r="12" spans="1:5" ht="14.4" x14ac:dyDescent="0.3">
      <c r="A12" s="160" t="s">
        <v>38</v>
      </c>
      <c r="B12" s="133">
        <v>3200</v>
      </c>
      <c r="C12" s="131">
        <v>115</v>
      </c>
      <c r="D12" s="132">
        <f t="shared" si="0"/>
        <v>27.826086956521738</v>
      </c>
      <c r="E12" s="126"/>
    </row>
    <row r="13" spans="1:5" ht="14.4" x14ac:dyDescent="0.3">
      <c r="A13" s="160" t="s">
        <v>40</v>
      </c>
      <c r="B13" s="133">
        <v>1700</v>
      </c>
      <c r="C13" s="131">
        <v>130</v>
      </c>
      <c r="D13" s="132">
        <f t="shared" si="0"/>
        <v>13.076923076923077</v>
      </c>
      <c r="E13" s="126"/>
    </row>
    <row r="14" spans="1:5" ht="14.4" x14ac:dyDescent="0.3">
      <c r="A14" s="160" t="s">
        <v>41</v>
      </c>
      <c r="B14" s="133">
        <v>800</v>
      </c>
      <c r="C14" s="131">
        <v>59</v>
      </c>
      <c r="D14" s="132">
        <f t="shared" si="0"/>
        <v>13.559322033898304</v>
      </c>
      <c r="E14" s="126"/>
    </row>
    <row r="15" spans="1:5" thickBot="1" x14ac:dyDescent="0.35">
      <c r="A15" s="178" t="s">
        <v>42</v>
      </c>
      <c r="B15" s="134">
        <v>700</v>
      </c>
      <c r="C15" s="131">
        <v>61</v>
      </c>
      <c r="D15" s="132">
        <f t="shared" si="0"/>
        <v>11.475409836065573</v>
      </c>
      <c r="E15" s="127"/>
    </row>
    <row r="16" spans="1:5" ht="14.4" x14ac:dyDescent="0.3">
      <c r="A16" s="160" t="s">
        <v>43</v>
      </c>
      <c r="B16" s="133">
        <v>1300</v>
      </c>
      <c r="C16" s="132">
        <v>192</v>
      </c>
      <c r="D16" s="132">
        <f>B16/C16</f>
        <v>6.770833333333333</v>
      </c>
      <c r="E16" s="126"/>
    </row>
    <row r="17" spans="1:16" ht="14.4" x14ac:dyDescent="0.3">
      <c r="A17" s="159"/>
      <c r="B17" s="133">
        <f>SUM(B10:B16)</f>
        <v>17416</v>
      </c>
      <c r="C17" s="132">
        <f>SUM(C10:C16)</f>
        <v>4612</v>
      </c>
      <c r="D17" s="132">
        <f>B17/C17</f>
        <v>3.7762359063313098</v>
      </c>
      <c r="E17" s="126"/>
    </row>
    <row r="18" spans="1:16" ht="14.4" x14ac:dyDescent="0.3">
      <c r="A18" s="179"/>
      <c r="B18" s="179"/>
      <c r="C18" s="180"/>
      <c r="D18" s="180"/>
      <c r="E18" s="179"/>
    </row>
    <row r="19" spans="1:16" ht="14.4" x14ac:dyDescent="0.3">
      <c r="A19" s="7" t="s">
        <v>63</v>
      </c>
      <c r="B19" s="7"/>
      <c r="C19" s="7"/>
      <c r="D19" s="7"/>
      <c r="E19" s="7"/>
    </row>
    <row r="20" spans="1:16" ht="47.25" customHeight="1" x14ac:dyDescent="0.3">
      <c r="A20" s="6" t="s">
        <v>27</v>
      </c>
      <c r="B20" s="8" t="s">
        <v>64</v>
      </c>
      <c r="C20" s="8" t="s">
        <v>65</v>
      </c>
      <c r="D20" s="9" t="s">
        <v>66</v>
      </c>
      <c r="E20" s="9" t="s">
        <v>67</v>
      </c>
      <c r="F20" s="9" t="s">
        <v>68</v>
      </c>
      <c r="G20" s="9" t="s">
        <v>69</v>
      </c>
      <c r="H20" s="9" t="s">
        <v>19</v>
      </c>
      <c r="I20" s="9" t="s">
        <v>70</v>
      </c>
      <c r="J20" s="9" t="s">
        <v>71</v>
      </c>
      <c r="K20" s="9" t="s">
        <v>72</v>
      </c>
      <c r="L20" s="9" t="s">
        <v>73</v>
      </c>
      <c r="M20" s="9" t="s">
        <v>74</v>
      </c>
      <c r="N20" s="9" t="s">
        <v>17</v>
      </c>
      <c r="O20" s="9" t="s">
        <v>75</v>
      </c>
      <c r="P20" s="9" t="s">
        <v>76</v>
      </c>
    </row>
    <row r="21" spans="1:16" ht="15.75" customHeight="1" x14ac:dyDescent="0.3">
      <c r="A21" s="10" t="s">
        <v>34</v>
      </c>
      <c r="B21" s="11">
        <v>81751</v>
      </c>
      <c r="C21" s="12">
        <v>4612</v>
      </c>
      <c r="D21" s="13">
        <v>2.5</v>
      </c>
      <c r="E21" s="13">
        <v>475.67</v>
      </c>
      <c r="F21" s="13">
        <v>3.4</v>
      </c>
      <c r="G21" s="13">
        <v>156.75</v>
      </c>
      <c r="H21" s="13">
        <v>114.51</v>
      </c>
      <c r="I21" s="13">
        <v>209.68</v>
      </c>
      <c r="J21" s="13">
        <v>94.27</v>
      </c>
      <c r="K21" s="13">
        <v>9.66</v>
      </c>
      <c r="L21" s="13">
        <v>5.42</v>
      </c>
      <c r="M21" s="13">
        <v>1.74</v>
      </c>
      <c r="N21" s="13">
        <v>22.4</v>
      </c>
      <c r="O21" s="13">
        <v>0.7</v>
      </c>
      <c r="P21" s="13">
        <v>3.09</v>
      </c>
    </row>
    <row r="22" spans="1:16" ht="31.95" customHeight="1" x14ac:dyDescent="0.3">
      <c r="A22" s="14"/>
      <c r="B22" s="15" t="s">
        <v>77</v>
      </c>
      <c r="C22" s="15" t="s">
        <v>78</v>
      </c>
      <c r="D22" s="15" t="s">
        <v>79</v>
      </c>
      <c r="E22" s="16" t="s">
        <v>80</v>
      </c>
      <c r="F22" s="16" t="s">
        <v>81</v>
      </c>
      <c r="G22" s="16" t="s">
        <v>82</v>
      </c>
      <c r="H22" s="17" t="s">
        <v>83</v>
      </c>
      <c r="I22" s="17" t="s">
        <v>84</v>
      </c>
      <c r="J22" s="18" t="s">
        <v>85</v>
      </c>
      <c r="K22" s="18" t="s">
        <v>86</v>
      </c>
      <c r="L22" s="18" t="s">
        <v>87</v>
      </c>
      <c r="M22" s="6"/>
      <c r="N22" s="6"/>
      <c r="O22" s="6"/>
      <c r="P22" s="6"/>
    </row>
    <row r="23" spans="1:16" ht="15.75" customHeight="1" x14ac:dyDescent="0.3">
      <c r="A23" s="6"/>
      <c r="B23" s="13">
        <v>1099.77</v>
      </c>
      <c r="C23" s="13">
        <v>72.319999999999993</v>
      </c>
      <c r="D23" s="13">
        <v>250.52</v>
      </c>
      <c r="E23" s="13">
        <v>0</v>
      </c>
      <c r="F23" s="13">
        <v>420.93</v>
      </c>
      <c r="G23" s="13">
        <v>0</v>
      </c>
      <c r="H23" s="13">
        <v>420.93</v>
      </c>
      <c r="I23" s="13">
        <v>27.68</v>
      </c>
      <c r="J23" s="13">
        <v>1520.7</v>
      </c>
      <c r="K23" s="13" t="s">
        <v>88</v>
      </c>
      <c r="L23" s="13">
        <v>346.4</v>
      </c>
      <c r="M23" s="6"/>
      <c r="N23" s="6"/>
      <c r="O23" s="6"/>
      <c r="P23" s="6"/>
    </row>
    <row r="24" spans="1:16" ht="15.75" customHeight="1" x14ac:dyDescent="0.3">
      <c r="B24" s="2"/>
      <c r="C24" s="2"/>
      <c r="D24" s="2"/>
    </row>
    <row r="25" spans="1:16" ht="15.75" customHeight="1" x14ac:dyDescent="0.3">
      <c r="B25" s="2"/>
      <c r="C25" s="2"/>
      <c r="D25" s="2"/>
    </row>
    <row r="26" spans="1:16" ht="15.75" customHeight="1" x14ac:dyDescent="0.3">
      <c r="B26" s="2"/>
      <c r="C26" s="2"/>
      <c r="D26" s="2"/>
    </row>
    <row r="27" spans="1:16" ht="15.75" customHeight="1" x14ac:dyDescent="0.3">
      <c r="B27" s="2"/>
      <c r="C27" s="2"/>
      <c r="D27" s="2"/>
      <c r="F27" s="19"/>
      <c r="G27" s="20"/>
    </row>
    <row r="28" spans="1:16" ht="15.75" customHeight="1" x14ac:dyDescent="0.3">
      <c r="B28" s="2"/>
      <c r="C28" s="2"/>
      <c r="D28" s="2"/>
      <c r="F28" s="19"/>
      <c r="G28" s="20"/>
    </row>
    <row r="29" spans="1:16" ht="15.75" customHeight="1" x14ac:dyDescent="0.3">
      <c r="B29" s="2"/>
      <c r="C29" s="2"/>
      <c r="D29" s="2"/>
      <c r="F29" s="19"/>
      <c r="G29" s="20"/>
    </row>
    <row r="30" spans="1:16" ht="15.75" customHeight="1" x14ac:dyDescent="0.3">
      <c r="B30" s="2"/>
      <c r="C30" s="2"/>
      <c r="D30" s="2"/>
      <c r="F30" s="19"/>
      <c r="G30" s="20"/>
    </row>
    <row r="31" spans="1:16" ht="15.75" customHeight="1" x14ac:dyDescent="0.3">
      <c r="B31" s="2"/>
      <c r="C31" s="2"/>
      <c r="D31" s="2"/>
      <c r="F31" s="19"/>
      <c r="G31" s="20"/>
    </row>
    <row r="32" spans="1:16" ht="15.75" customHeight="1" x14ac:dyDescent="0.3">
      <c r="B32" s="2"/>
      <c r="C32" s="2"/>
      <c r="D32" s="2"/>
      <c r="F32" s="19"/>
      <c r="G32" s="20"/>
    </row>
    <row r="33" spans="2:4" ht="15.75" customHeight="1" x14ac:dyDescent="0.3">
      <c r="B33" s="2"/>
      <c r="C33" s="2"/>
      <c r="D33" s="2"/>
    </row>
    <row r="34" spans="2:4" ht="15.75" customHeight="1" x14ac:dyDescent="0.3">
      <c r="B34" s="2"/>
      <c r="C34" s="2"/>
      <c r="D34" s="2"/>
    </row>
    <row r="35" spans="2:4" ht="15.75" customHeight="1" x14ac:dyDescent="0.3">
      <c r="B35" s="2"/>
      <c r="C35" s="2"/>
      <c r="D35" s="2"/>
    </row>
    <row r="36" spans="2:4" ht="15.75" customHeight="1" x14ac:dyDescent="0.3">
      <c r="B36" s="2"/>
      <c r="C36" s="2"/>
      <c r="D36" s="2"/>
    </row>
    <row r="37" spans="2:4" ht="15.75" customHeight="1" x14ac:dyDescent="0.3">
      <c r="B37" s="2"/>
      <c r="C37" s="2"/>
      <c r="D37" s="2"/>
    </row>
    <row r="38" spans="2:4" ht="15.75" customHeight="1" x14ac:dyDescent="0.3">
      <c r="B38" s="2"/>
      <c r="C38" s="2"/>
      <c r="D38" s="2"/>
    </row>
    <row r="39" spans="2:4" ht="15.75" customHeight="1" x14ac:dyDescent="0.3">
      <c r="B39" s="2"/>
      <c r="C39" s="2"/>
      <c r="D39" s="2"/>
    </row>
    <row r="40" spans="2:4" ht="15.75" customHeight="1" x14ac:dyDescent="0.3">
      <c r="B40" s="2"/>
      <c r="C40" s="2"/>
      <c r="D40" s="2"/>
    </row>
    <row r="41" spans="2:4" ht="15.75" customHeight="1" x14ac:dyDescent="0.3">
      <c r="B41" s="2"/>
      <c r="C41" s="2"/>
      <c r="D41" s="2"/>
    </row>
    <row r="42" spans="2:4" ht="15.75" customHeight="1" x14ac:dyDescent="0.3">
      <c r="B42" s="2"/>
      <c r="C42" s="2"/>
      <c r="D42" s="2"/>
    </row>
    <row r="43" spans="2:4" ht="15.75" customHeight="1" x14ac:dyDescent="0.3">
      <c r="B43" s="2"/>
      <c r="C43" s="2"/>
      <c r="D43" s="2"/>
    </row>
    <row r="44" spans="2:4" ht="15.75" customHeight="1" x14ac:dyDescent="0.3">
      <c r="B44" s="2"/>
      <c r="C44" s="2"/>
      <c r="D44" s="2"/>
    </row>
    <row r="45" spans="2:4" ht="15.75" customHeight="1" x14ac:dyDescent="0.3">
      <c r="B45" s="2"/>
      <c r="C45" s="2"/>
      <c r="D45" s="2"/>
    </row>
    <row r="46" spans="2:4" ht="15.75" customHeight="1" x14ac:dyDescent="0.3">
      <c r="B46" s="2"/>
      <c r="C46" s="2"/>
      <c r="D46" s="2"/>
    </row>
    <row r="47" spans="2:4" ht="15.75" customHeight="1" x14ac:dyDescent="0.3">
      <c r="B47" s="2"/>
      <c r="C47" s="2"/>
      <c r="D47" s="2"/>
    </row>
    <row r="48" spans="2:4" ht="15.75" customHeight="1" x14ac:dyDescent="0.3">
      <c r="B48" s="2"/>
      <c r="C48" s="2"/>
      <c r="D48" s="2"/>
    </row>
    <row r="49" spans="2:4" ht="15.75" customHeight="1" x14ac:dyDescent="0.3">
      <c r="B49" s="2"/>
      <c r="C49" s="2"/>
      <c r="D49" s="2"/>
    </row>
    <row r="50" spans="2:4" ht="15.75" customHeight="1" x14ac:dyDescent="0.3">
      <c r="B50" s="2"/>
      <c r="C50" s="2"/>
      <c r="D50" s="2"/>
    </row>
    <row r="51" spans="2:4" ht="15.75" customHeight="1" x14ac:dyDescent="0.3">
      <c r="B51" s="2"/>
      <c r="C51" s="2"/>
      <c r="D51" s="2"/>
    </row>
    <row r="52" spans="2:4" ht="15.75" customHeight="1" x14ac:dyDescent="0.3">
      <c r="B52" s="2"/>
      <c r="C52" s="2"/>
      <c r="D52" s="2"/>
    </row>
    <row r="53" spans="2:4" ht="15.75" customHeight="1" x14ac:dyDescent="0.3">
      <c r="B53" s="2"/>
      <c r="C53" s="2"/>
      <c r="D53" s="2"/>
    </row>
    <row r="54" spans="2:4" ht="15.75" customHeight="1" x14ac:dyDescent="0.3">
      <c r="B54" s="2"/>
      <c r="C54" s="2"/>
      <c r="D54" s="2"/>
    </row>
    <row r="55" spans="2:4" ht="15.75" customHeight="1" x14ac:dyDescent="0.3">
      <c r="B55" s="2"/>
      <c r="C55" s="2"/>
      <c r="D55" s="2"/>
    </row>
    <row r="56" spans="2:4" ht="15.75" customHeight="1" x14ac:dyDescent="0.3">
      <c r="B56" s="2"/>
      <c r="C56" s="2"/>
      <c r="D56" s="2"/>
    </row>
    <row r="57" spans="2:4" ht="15.75" customHeight="1" x14ac:dyDescent="0.3">
      <c r="B57" s="2"/>
      <c r="C57" s="2"/>
      <c r="D57" s="2"/>
    </row>
    <row r="58" spans="2:4" ht="15.75" customHeight="1" x14ac:dyDescent="0.3">
      <c r="B58" s="2"/>
      <c r="C58" s="2"/>
      <c r="D58" s="2"/>
    </row>
    <row r="59" spans="2:4" ht="15.75" customHeight="1" x14ac:dyDescent="0.3">
      <c r="B59" s="2"/>
      <c r="C59" s="2"/>
      <c r="D59" s="2"/>
    </row>
    <row r="60" spans="2:4" ht="15.75" customHeight="1" x14ac:dyDescent="0.3">
      <c r="B60" s="2"/>
      <c r="C60" s="2"/>
      <c r="D60" s="2"/>
    </row>
    <row r="61" spans="2:4" ht="15.75" customHeight="1" x14ac:dyDescent="0.3">
      <c r="B61" s="2"/>
      <c r="C61" s="2"/>
      <c r="D61" s="2"/>
    </row>
    <row r="62" spans="2:4" ht="15.75" customHeight="1" x14ac:dyDescent="0.3">
      <c r="B62" s="2"/>
      <c r="C62" s="2"/>
      <c r="D62" s="2"/>
    </row>
    <row r="63" spans="2:4" ht="15.75" customHeight="1" x14ac:dyDescent="0.3">
      <c r="B63" s="2"/>
      <c r="C63" s="2"/>
      <c r="D63" s="2"/>
    </row>
    <row r="64" spans="2:4" ht="15.75" customHeight="1" x14ac:dyDescent="0.3">
      <c r="B64" s="2"/>
      <c r="C64" s="2"/>
      <c r="D64" s="2"/>
    </row>
    <row r="65" spans="2:4" ht="15.75" customHeight="1" x14ac:dyDescent="0.3">
      <c r="B65" s="2"/>
      <c r="C65" s="2"/>
      <c r="D65" s="2"/>
    </row>
    <row r="66" spans="2:4" ht="15.75" customHeight="1" x14ac:dyDescent="0.3">
      <c r="B66" s="2"/>
      <c r="C66" s="2"/>
      <c r="D66" s="2"/>
    </row>
    <row r="67" spans="2:4" ht="15.75" customHeight="1" x14ac:dyDescent="0.3">
      <c r="B67" s="2"/>
      <c r="C67" s="2"/>
      <c r="D67" s="2"/>
    </row>
    <row r="68" spans="2:4" ht="15.75" customHeight="1" x14ac:dyDescent="0.3">
      <c r="B68" s="2"/>
      <c r="C68" s="2"/>
      <c r="D68" s="2"/>
    </row>
    <row r="69" spans="2:4" ht="15.75" customHeight="1" x14ac:dyDescent="0.3">
      <c r="B69" s="2"/>
      <c r="C69" s="2"/>
      <c r="D69" s="2"/>
    </row>
    <row r="70" spans="2:4" ht="15.75" customHeight="1" x14ac:dyDescent="0.3">
      <c r="B70" s="2"/>
      <c r="C70" s="2"/>
      <c r="D70" s="2"/>
    </row>
    <row r="71" spans="2:4" ht="15.75" customHeight="1" x14ac:dyDescent="0.3">
      <c r="B71" s="2"/>
      <c r="C71" s="2"/>
      <c r="D71" s="2"/>
    </row>
    <row r="72" spans="2:4" ht="15.75" customHeight="1" x14ac:dyDescent="0.3">
      <c r="B72" s="2"/>
      <c r="C72" s="2"/>
      <c r="D72" s="2"/>
    </row>
    <row r="73" spans="2:4" ht="15.75" customHeight="1" x14ac:dyDescent="0.3">
      <c r="B73" s="2"/>
      <c r="C73" s="2"/>
      <c r="D73" s="2"/>
    </row>
    <row r="74" spans="2:4" ht="15.75" customHeight="1" x14ac:dyDescent="0.3">
      <c r="B74" s="2"/>
      <c r="C74" s="2"/>
      <c r="D74" s="2"/>
    </row>
    <row r="75" spans="2:4" ht="15.75" customHeight="1" x14ac:dyDescent="0.3">
      <c r="B75" s="2"/>
      <c r="C75" s="2"/>
      <c r="D75" s="2"/>
    </row>
    <row r="76" spans="2:4" ht="15.75" customHeight="1" x14ac:dyDescent="0.3">
      <c r="B76" s="2"/>
      <c r="C76" s="2"/>
      <c r="D76" s="2"/>
    </row>
    <row r="77" spans="2:4" ht="15.75" customHeight="1" x14ac:dyDescent="0.3">
      <c r="B77" s="2"/>
      <c r="C77" s="2"/>
      <c r="D77" s="2"/>
    </row>
    <row r="78" spans="2:4" ht="15.75" customHeight="1" x14ac:dyDescent="0.3">
      <c r="B78" s="2"/>
      <c r="C78" s="2"/>
      <c r="D78" s="2"/>
    </row>
    <row r="79" spans="2:4" ht="15.75" customHeight="1" x14ac:dyDescent="0.3">
      <c r="B79" s="2"/>
      <c r="C79" s="2"/>
      <c r="D79" s="2"/>
    </row>
    <row r="80" spans="2:4" ht="15.75" customHeight="1" x14ac:dyDescent="0.3">
      <c r="B80" s="2"/>
      <c r="C80" s="2"/>
      <c r="D80" s="2"/>
    </row>
    <row r="81" spans="2:4" ht="15.75" customHeight="1" x14ac:dyDescent="0.3">
      <c r="B81" s="2"/>
      <c r="C81" s="2"/>
      <c r="D81" s="2"/>
    </row>
    <row r="82" spans="2:4" ht="15.75" customHeight="1" x14ac:dyDescent="0.3">
      <c r="B82" s="2"/>
      <c r="C82" s="2"/>
      <c r="D82" s="2"/>
    </row>
    <row r="83" spans="2:4" ht="15.75" customHeight="1" x14ac:dyDescent="0.3">
      <c r="B83" s="2"/>
      <c r="C83" s="2"/>
      <c r="D83" s="2"/>
    </row>
    <row r="84" spans="2:4" ht="15.75" customHeight="1" x14ac:dyDescent="0.3">
      <c r="B84" s="2"/>
      <c r="C84" s="2"/>
      <c r="D84" s="2"/>
    </row>
    <row r="85" spans="2:4" ht="15.75" customHeight="1" x14ac:dyDescent="0.3">
      <c r="B85" s="2"/>
      <c r="C85" s="2"/>
      <c r="D85" s="2"/>
    </row>
    <row r="86" spans="2:4" ht="15.75" customHeight="1" x14ac:dyDescent="0.3">
      <c r="B86" s="2"/>
      <c r="C86" s="2"/>
      <c r="D86" s="2"/>
    </row>
    <row r="87" spans="2:4" ht="15.75" customHeight="1" x14ac:dyDescent="0.3">
      <c r="B87" s="2"/>
      <c r="C87" s="2"/>
      <c r="D87" s="2"/>
    </row>
    <row r="88" spans="2:4" ht="15.75" customHeight="1" x14ac:dyDescent="0.3">
      <c r="B88" s="2"/>
      <c r="C88" s="2"/>
      <c r="D88" s="2"/>
    </row>
    <row r="89" spans="2:4" ht="15.75" customHeight="1" x14ac:dyDescent="0.3">
      <c r="B89" s="2"/>
      <c r="C89" s="2"/>
      <c r="D89" s="2"/>
    </row>
    <row r="90" spans="2:4" ht="15.75" customHeight="1" x14ac:dyDescent="0.3">
      <c r="B90" s="2"/>
      <c r="C90" s="2"/>
      <c r="D90" s="2"/>
    </row>
    <row r="91" spans="2:4" ht="15.75" customHeight="1" x14ac:dyDescent="0.3">
      <c r="B91" s="2"/>
      <c r="C91" s="2"/>
      <c r="D91" s="2"/>
    </row>
    <row r="92" spans="2:4" ht="15.75" customHeight="1" x14ac:dyDescent="0.3">
      <c r="B92" s="2"/>
      <c r="C92" s="2"/>
      <c r="D92" s="2"/>
    </row>
    <row r="93" spans="2:4" ht="15.75" customHeight="1" x14ac:dyDescent="0.3">
      <c r="B93" s="2"/>
      <c r="C93" s="2"/>
      <c r="D93" s="2"/>
    </row>
    <row r="94" spans="2:4" ht="15.75" customHeight="1" x14ac:dyDescent="0.3">
      <c r="B94" s="2"/>
      <c r="C94" s="2"/>
      <c r="D94" s="2"/>
    </row>
    <row r="95" spans="2:4" ht="15.75" customHeight="1" x14ac:dyDescent="0.3">
      <c r="B95" s="2"/>
      <c r="C95" s="2"/>
      <c r="D95" s="2"/>
    </row>
    <row r="96" spans="2:4" ht="15.75" customHeight="1" x14ac:dyDescent="0.3">
      <c r="B96" s="2"/>
      <c r="C96" s="2"/>
      <c r="D96" s="2"/>
    </row>
    <row r="97" spans="2:4" ht="15.75" customHeight="1" x14ac:dyDescent="0.3">
      <c r="B97" s="2"/>
      <c r="C97" s="2"/>
      <c r="D97" s="2"/>
    </row>
    <row r="98" spans="2:4" ht="15.75" customHeight="1" x14ac:dyDescent="0.3">
      <c r="B98" s="2"/>
      <c r="C98" s="2"/>
      <c r="D98" s="2"/>
    </row>
    <row r="99" spans="2:4" ht="15.75" customHeight="1" x14ac:dyDescent="0.3">
      <c r="B99" s="2"/>
      <c r="C99" s="2"/>
      <c r="D99" s="2"/>
    </row>
    <row r="100" spans="2:4" ht="15.75" customHeight="1" x14ac:dyDescent="0.3">
      <c r="B100" s="2"/>
      <c r="C100" s="2"/>
      <c r="D100" s="2"/>
    </row>
    <row r="101" spans="2:4" ht="15.75" customHeight="1" x14ac:dyDescent="0.3">
      <c r="B101" s="2"/>
      <c r="C101" s="2"/>
      <c r="D101" s="2"/>
    </row>
    <row r="102" spans="2:4" ht="15.75" customHeight="1" x14ac:dyDescent="0.3">
      <c r="B102" s="2"/>
      <c r="C102" s="2"/>
      <c r="D102" s="2"/>
    </row>
    <row r="103" spans="2:4" ht="15.75" customHeight="1" x14ac:dyDescent="0.3">
      <c r="B103" s="2"/>
      <c r="C103" s="2"/>
      <c r="D103" s="2"/>
    </row>
    <row r="104" spans="2:4" ht="15.75" customHeight="1" x14ac:dyDescent="0.3">
      <c r="B104" s="2"/>
      <c r="C104" s="2"/>
      <c r="D104" s="2"/>
    </row>
    <row r="105" spans="2:4" ht="15.75" customHeight="1" x14ac:dyDescent="0.3">
      <c r="B105" s="2"/>
      <c r="C105" s="2"/>
      <c r="D105" s="2"/>
    </row>
    <row r="106" spans="2:4" ht="15.75" customHeight="1" x14ac:dyDescent="0.3">
      <c r="B106" s="2"/>
      <c r="C106" s="2"/>
      <c r="D106" s="2"/>
    </row>
    <row r="107" spans="2:4" ht="15.75" customHeight="1" x14ac:dyDescent="0.3">
      <c r="B107" s="2"/>
      <c r="C107" s="2"/>
      <c r="D107" s="2"/>
    </row>
    <row r="108" spans="2:4" ht="15.75" customHeight="1" x14ac:dyDescent="0.3">
      <c r="B108" s="2"/>
      <c r="C108" s="2"/>
      <c r="D108" s="2"/>
    </row>
    <row r="109" spans="2:4" ht="15.75" customHeight="1" x14ac:dyDescent="0.3">
      <c r="B109" s="2"/>
      <c r="C109" s="2"/>
      <c r="D109" s="2"/>
    </row>
    <row r="110" spans="2:4" ht="15.75" customHeight="1" x14ac:dyDescent="0.3">
      <c r="B110" s="2"/>
      <c r="C110" s="2"/>
      <c r="D110" s="2"/>
    </row>
    <row r="111" spans="2:4" ht="15.75" customHeight="1" x14ac:dyDescent="0.3">
      <c r="B111" s="2"/>
      <c r="C111" s="2"/>
      <c r="D111" s="2"/>
    </row>
    <row r="112" spans="2:4" ht="15.75" customHeight="1" x14ac:dyDescent="0.3">
      <c r="B112" s="2"/>
      <c r="C112" s="2"/>
      <c r="D112" s="2"/>
    </row>
    <row r="113" spans="2:4" ht="15.75" customHeight="1" x14ac:dyDescent="0.3">
      <c r="B113" s="2"/>
      <c r="C113" s="2"/>
      <c r="D113" s="2"/>
    </row>
    <row r="114" spans="2:4" ht="15.75" customHeight="1" x14ac:dyDescent="0.3">
      <c r="B114" s="2"/>
      <c r="C114" s="2"/>
      <c r="D114" s="2"/>
    </row>
    <row r="115" spans="2:4" ht="15.75" customHeight="1" x14ac:dyDescent="0.3">
      <c r="B115" s="2"/>
      <c r="C115" s="2"/>
      <c r="D115" s="2"/>
    </row>
    <row r="116" spans="2:4" ht="15.75" customHeight="1" x14ac:dyDescent="0.3">
      <c r="B116" s="2"/>
      <c r="C116" s="2"/>
      <c r="D116" s="2"/>
    </row>
    <row r="117" spans="2:4" ht="15.75" customHeight="1" x14ac:dyDescent="0.3">
      <c r="B117" s="2"/>
      <c r="C117" s="2"/>
      <c r="D117" s="2"/>
    </row>
    <row r="118" spans="2:4" ht="15.75" customHeight="1" x14ac:dyDescent="0.3">
      <c r="B118" s="2"/>
      <c r="C118" s="2"/>
      <c r="D118" s="2"/>
    </row>
    <row r="119" spans="2:4" ht="15.75" customHeight="1" x14ac:dyDescent="0.3">
      <c r="B119" s="2"/>
      <c r="C119" s="2"/>
      <c r="D119" s="2"/>
    </row>
    <row r="120" spans="2:4" ht="15.75" customHeight="1" x14ac:dyDescent="0.3">
      <c r="B120" s="2"/>
      <c r="C120" s="2"/>
      <c r="D120" s="2"/>
    </row>
    <row r="121" spans="2:4" ht="15.75" customHeight="1" x14ac:dyDescent="0.3">
      <c r="B121" s="2"/>
      <c r="C121" s="2"/>
      <c r="D121" s="2"/>
    </row>
    <row r="122" spans="2:4" ht="15.75" customHeight="1" x14ac:dyDescent="0.3">
      <c r="B122" s="2"/>
      <c r="C122" s="2"/>
      <c r="D122" s="2"/>
    </row>
    <row r="123" spans="2:4" ht="15.75" customHeight="1" x14ac:dyDescent="0.3">
      <c r="B123" s="2"/>
      <c r="C123" s="2"/>
      <c r="D123" s="2"/>
    </row>
    <row r="124" spans="2:4" ht="15.75" customHeight="1" x14ac:dyDescent="0.3">
      <c r="B124" s="2"/>
      <c r="C124" s="2"/>
      <c r="D124" s="2"/>
    </row>
    <row r="125" spans="2:4" ht="15.75" customHeight="1" x14ac:dyDescent="0.3">
      <c r="B125" s="2"/>
      <c r="C125" s="2"/>
      <c r="D125" s="2"/>
    </row>
    <row r="126" spans="2:4" ht="15.75" customHeight="1" x14ac:dyDescent="0.3">
      <c r="B126" s="2"/>
      <c r="C126" s="2"/>
      <c r="D126" s="2"/>
    </row>
    <row r="127" spans="2:4" ht="15.75" customHeight="1" x14ac:dyDescent="0.3">
      <c r="B127" s="2"/>
      <c r="C127" s="2"/>
      <c r="D127" s="2"/>
    </row>
    <row r="128" spans="2:4" ht="15.75" customHeight="1" x14ac:dyDescent="0.3">
      <c r="B128" s="2"/>
      <c r="C128" s="2"/>
      <c r="D128" s="2"/>
    </row>
    <row r="129" spans="2:4" ht="15.75" customHeight="1" x14ac:dyDescent="0.3">
      <c r="B129" s="2"/>
      <c r="C129" s="2"/>
      <c r="D129" s="2"/>
    </row>
    <row r="130" spans="2:4" ht="15.75" customHeight="1" x14ac:dyDescent="0.3">
      <c r="B130" s="2"/>
      <c r="C130" s="2"/>
      <c r="D130" s="2"/>
    </row>
    <row r="131" spans="2:4" ht="15.75" customHeight="1" x14ac:dyDescent="0.3">
      <c r="B131" s="2"/>
      <c r="C131" s="2"/>
      <c r="D131" s="2"/>
    </row>
    <row r="132" spans="2:4" ht="15.75" customHeight="1" x14ac:dyDescent="0.3">
      <c r="B132" s="2"/>
      <c r="C132" s="2"/>
      <c r="D132" s="2"/>
    </row>
    <row r="133" spans="2:4" ht="15.75" customHeight="1" x14ac:dyDescent="0.3">
      <c r="B133" s="2"/>
      <c r="C133" s="2"/>
      <c r="D133" s="2"/>
    </row>
    <row r="134" spans="2:4" ht="15.75" customHeight="1" x14ac:dyDescent="0.3">
      <c r="B134" s="2"/>
      <c r="C134" s="2"/>
      <c r="D134" s="2"/>
    </row>
    <row r="135" spans="2:4" ht="15.75" customHeight="1" x14ac:dyDescent="0.3">
      <c r="B135" s="2"/>
      <c r="C135" s="2"/>
      <c r="D135" s="2"/>
    </row>
    <row r="136" spans="2:4" ht="15.75" customHeight="1" x14ac:dyDescent="0.3">
      <c r="B136" s="2"/>
      <c r="C136" s="2"/>
      <c r="D136" s="2"/>
    </row>
    <row r="137" spans="2:4" ht="15.75" customHeight="1" x14ac:dyDescent="0.3">
      <c r="B137" s="2"/>
      <c r="C137" s="2"/>
      <c r="D137" s="2"/>
    </row>
    <row r="138" spans="2:4" ht="15.75" customHeight="1" x14ac:dyDescent="0.3">
      <c r="B138" s="2"/>
      <c r="C138" s="2"/>
      <c r="D138" s="2"/>
    </row>
    <row r="139" spans="2:4" ht="15.75" customHeight="1" x14ac:dyDescent="0.3">
      <c r="B139" s="2"/>
      <c r="C139" s="2"/>
      <c r="D139" s="2"/>
    </row>
    <row r="140" spans="2:4" ht="15.75" customHeight="1" x14ac:dyDescent="0.3">
      <c r="B140" s="2"/>
      <c r="C140" s="2"/>
      <c r="D140" s="2"/>
    </row>
    <row r="141" spans="2:4" ht="15.75" customHeight="1" x14ac:dyDescent="0.3">
      <c r="B141" s="2"/>
      <c r="C141" s="2"/>
      <c r="D141" s="2"/>
    </row>
    <row r="142" spans="2:4" ht="15.75" customHeight="1" x14ac:dyDescent="0.3">
      <c r="B142" s="2"/>
      <c r="C142" s="2"/>
      <c r="D142" s="2"/>
    </row>
    <row r="143" spans="2:4" ht="15.75" customHeight="1" x14ac:dyDescent="0.3">
      <c r="B143" s="2"/>
      <c r="C143" s="2"/>
      <c r="D143" s="2"/>
    </row>
    <row r="144" spans="2:4" ht="15.75" customHeight="1" x14ac:dyDescent="0.3">
      <c r="B144" s="2"/>
      <c r="C144" s="2"/>
      <c r="D144" s="2"/>
    </row>
    <row r="145" spans="2:4" ht="15.75" customHeight="1" x14ac:dyDescent="0.3">
      <c r="B145" s="2"/>
      <c r="C145" s="2"/>
      <c r="D145" s="2"/>
    </row>
    <row r="146" spans="2:4" ht="15.75" customHeight="1" x14ac:dyDescent="0.3">
      <c r="B146" s="2"/>
      <c r="C146" s="2"/>
      <c r="D146" s="2"/>
    </row>
    <row r="147" spans="2:4" ht="15.75" customHeight="1" x14ac:dyDescent="0.3">
      <c r="B147" s="2"/>
      <c r="C147" s="2"/>
      <c r="D147" s="2"/>
    </row>
    <row r="148" spans="2:4" ht="15.75" customHeight="1" x14ac:dyDescent="0.3">
      <c r="B148" s="2"/>
      <c r="C148" s="2"/>
      <c r="D148" s="2"/>
    </row>
    <row r="149" spans="2:4" ht="15.75" customHeight="1" x14ac:dyDescent="0.3">
      <c r="B149" s="2"/>
      <c r="C149" s="2"/>
      <c r="D149" s="2"/>
    </row>
    <row r="150" spans="2:4" ht="15.75" customHeight="1" x14ac:dyDescent="0.3">
      <c r="B150" s="2"/>
      <c r="C150" s="2"/>
      <c r="D150" s="2"/>
    </row>
    <row r="151" spans="2:4" ht="15.75" customHeight="1" x14ac:dyDescent="0.3">
      <c r="B151" s="2"/>
      <c r="C151" s="2"/>
      <c r="D151" s="2"/>
    </row>
    <row r="152" spans="2:4" ht="15.75" customHeight="1" x14ac:dyDescent="0.3">
      <c r="B152" s="2"/>
      <c r="C152" s="2"/>
      <c r="D152" s="2"/>
    </row>
    <row r="153" spans="2:4" ht="15.75" customHeight="1" x14ac:dyDescent="0.3">
      <c r="B153" s="2"/>
      <c r="C153" s="2"/>
      <c r="D153" s="2"/>
    </row>
    <row r="154" spans="2:4" ht="15.75" customHeight="1" x14ac:dyDescent="0.3">
      <c r="B154" s="2"/>
      <c r="C154" s="2"/>
      <c r="D154" s="2"/>
    </row>
    <row r="155" spans="2:4" ht="15.75" customHeight="1" x14ac:dyDescent="0.3">
      <c r="B155" s="2"/>
      <c r="C155" s="2"/>
      <c r="D155" s="2"/>
    </row>
    <row r="156" spans="2:4" ht="15.75" customHeight="1" x14ac:dyDescent="0.3">
      <c r="B156" s="2"/>
      <c r="C156" s="2"/>
      <c r="D156" s="2"/>
    </row>
    <row r="157" spans="2:4" ht="15.75" customHeight="1" x14ac:dyDescent="0.3">
      <c r="B157" s="2"/>
      <c r="C157" s="2"/>
      <c r="D157" s="2"/>
    </row>
    <row r="158" spans="2:4" ht="15.75" customHeight="1" x14ac:dyDescent="0.3">
      <c r="B158" s="2"/>
      <c r="C158" s="2"/>
      <c r="D158" s="2"/>
    </row>
    <row r="159" spans="2:4" ht="15.75" customHeight="1" x14ac:dyDescent="0.3">
      <c r="B159" s="2"/>
      <c r="C159" s="2"/>
      <c r="D159" s="2"/>
    </row>
    <row r="160" spans="2:4" ht="15.75" customHeight="1" x14ac:dyDescent="0.3">
      <c r="B160" s="2"/>
      <c r="C160" s="2"/>
      <c r="D160" s="2"/>
    </row>
    <row r="161" spans="2:4" ht="15.75" customHeight="1" x14ac:dyDescent="0.3">
      <c r="B161" s="2"/>
      <c r="C161" s="2"/>
      <c r="D161" s="2"/>
    </row>
    <row r="162" spans="2:4" ht="15.75" customHeight="1" x14ac:dyDescent="0.3">
      <c r="B162" s="2"/>
      <c r="C162" s="2"/>
      <c r="D162" s="2"/>
    </row>
    <row r="163" spans="2:4" ht="15.75" customHeight="1" x14ac:dyDescent="0.3">
      <c r="B163" s="2"/>
      <c r="C163" s="2"/>
      <c r="D163" s="2"/>
    </row>
    <row r="164" spans="2:4" ht="15.75" customHeight="1" x14ac:dyDescent="0.3">
      <c r="B164" s="2"/>
      <c r="C164" s="2"/>
      <c r="D164" s="2"/>
    </row>
    <row r="165" spans="2:4" ht="15.75" customHeight="1" x14ac:dyDescent="0.3">
      <c r="B165" s="2"/>
      <c r="C165" s="2"/>
      <c r="D165" s="2"/>
    </row>
    <row r="166" spans="2:4" ht="15.75" customHeight="1" x14ac:dyDescent="0.3">
      <c r="B166" s="2"/>
      <c r="C166" s="2"/>
      <c r="D166" s="2"/>
    </row>
    <row r="167" spans="2:4" ht="15.75" customHeight="1" x14ac:dyDescent="0.3">
      <c r="B167" s="2"/>
      <c r="C167" s="2"/>
      <c r="D167" s="2"/>
    </row>
    <row r="168" spans="2:4" ht="15.75" customHeight="1" x14ac:dyDescent="0.3">
      <c r="B168" s="2"/>
      <c r="C168" s="2"/>
      <c r="D168" s="2"/>
    </row>
    <row r="169" spans="2:4" ht="15.75" customHeight="1" x14ac:dyDescent="0.3">
      <c r="B169" s="2"/>
      <c r="C169" s="2"/>
      <c r="D169" s="2"/>
    </row>
    <row r="170" spans="2:4" ht="15.75" customHeight="1" x14ac:dyDescent="0.3">
      <c r="B170" s="2"/>
      <c r="C170" s="2"/>
      <c r="D170" s="2"/>
    </row>
    <row r="171" spans="2:4" ht="15.75" customHeight="1" x14ac:dyDescent="0.3">
      <c r="B171" s="2"/>
      <c r="C171" s="2"/>
      <c r="D171" s="2"/>
    </row>
    <row r="172" spans="2:4" ht="15.75" customHeight="1" x14ac:dyDescent="0.3">
      <c r="B172" s="2"/>
      <c r="C172" s="2"/>
      <c r="D172" s="2"/>
    </row>
    <row r="173" spans="2:4" ht="15.75" customHeight="1" x14ac:dyDescent="0.3">
      <c r="B173" s="2"/>
      <c r="C173" s="2"/>
      <c r="D173" s="2"/>
    </row>
    <row r="174" spans="2:4" ht="15.75" customHeight="1" x14ac:dyDescent="0.3">
      <c r="B174" s="2"/>
      <c r="C174" s="2"/>
      <c r="D174" s="2"/>
    </row>
    <row r="175" spans="2:4" ht="15.75" customHeight="1" x14ac:dyDescent="0.3">
      <c r="B175" s="2"/>
      <c r="C175" s="2"/>
      <c r="D175" s="2"/>
    </row>
    <row r="176" spans="2:4" ht="15.75" customHeight="1" x14ac:dyDescent="0.3">
      <c r="B176" s="2"/>
      <c r="C176" s="2"/>
      <c r="D176" s="2"/>
    </row>
    <row r="177" spans="2:4" ht="15.75" customHeight="1" x14ac:dyDescent="0.3">
      <c r="B177" s="2"/>
      <c r="C177" s="2"/>
      <c r="D177" s="2"/>
    </row>
    <row r="178" spans="2:4" ht="15.75" customHeight="1" x14ac:dyDescent="0.3">
      <c r="B178" s="2"/>
      <c r="C178" s="2"/>
      <c r="D178" s="2"/>
    </row>
    <row r="179" spans="2:4" ht="15.75" customHeight="1" x14ac:dyDescent="0.3">
      <c r="B179" s="2"/>
      <c r="C179" s="2"/>
      <c r="D179" s="2"/>
    </row>
    <row r="180" spans="2:4" ht="15.75" customHeight="1" x14ac:dyDescent="0.3">
      <c r="B180" s="2"/>
      <c r="C180" s="2"/>
      <c r="D180" s="2"/>
    </row>
    <row r="181" spans="2:4" ht="15.75" customHeight="1" x14ac:dyDescent="0.3">
      <c r="B181" s="2"/>
      <c r="C181" s="2"/>
      <c r="D181" s="2"/>
    </row>
    <row r="182" spans="2:4" ht="15.75" customHeight="1" x14ac:dyDescent="0.3">
      <c r="B182" s="2"/>
      <c r="C182" s="2"/>
      <c r="D182" s="2"/>
    </row>
    <row r="183" spans="2:4" ht="15.75" customHeight="1" x14ac:dyDescent="0.3">
      <c r="B183" s="2"/>
      <c r="C183" s="2"/>
      <c r="D183" s="2"/>
    </row>
    <row r="184" spans="2:4" ht="15.75" customHeight="1" x14ac:dyDescent="0.3">
      <c r="B184" s="2"/>
      <c r="C184" s="2"/>
      <c r="D184" s="2"/>
    </row>
    <row r="185" spans="2:4" ht="15.75" customHeight="1" x14ac:dyDescent="0.3">
      <c r="B185" s="2"/>
      <c r="C185" s="2"/>
      <c r="D185" s="2"/>
    </row>
    <row r="186" spans="2:4" ht="15.75" customHeight="1" x14ac:dyDescent="0.3">
      <c r="B186" s="2"/>
      <c r="C186" s="2"/>
      <c r="D186" s="2"/>
    </row>
    <row r="187" spans="2:4" ht="15.75" customHeight="1" x14ac:dyDescent="0.3">
      <c r="B187" s="2"/>
      <c r="C187" s="2"/>
      <c r="D187" s="2"/>
    </row>
    <row r="188" spans="2:4" ht="15.75" customHeight="1" x14ac:dyDescent="0.3">
      <c r="B188" s="2"/>
      <c r="C188" s="2"/>
      <c r="D188" s="2"/>
    </row>
    <row r="189" spans="2:4" ht="15.75" customHeight="1" x14ac:dyDescent="0.3">
      <c r="B189" s="2"/>
      <c r="C189" s="2"/>
      <c r="D189" s="2"/>
    </row>
    <row r="190" spans="2:4" ht="15.75" customHeight="1" x14ac:dyDescent="0.3">
      <c r="B190" s="2"/>
      <c r="C190" s="2"/>
      <c r="D190" s="2"/>
    </row>
    <row r="191" spans="2:4" ht="15.75" customHeight="1" x14ac:dyDescent="0.3">
      <c r="B191" s="2"/>
      <c r="C191" s="2"/>
      <c r="D191" s="2"/>
    </row>
    <row r="192" spans="2:4" ht="15.75" customHeight="1" x14ac:dyDescent="0.3">
      <c r="B192" s="2"/>
      <c r="C192" s="2"/>
      <c r="D192" s="2"/>
    </row>
    <row r="193" spans="2:4" ht="15.75" customHeight="1" x14ac:dyDescent="0.3">
      <c r="B193" s="2"/>
      <c r="C193" s="2"/>
      <c r="D193" s="2"/>
    </row>
    <row r="194" spans="2:4" ht="15.75" customHeight="1" x14ac:dyDescent="0.3">
      <c r="B194" s="2"/>
      <c r="C194" s="2"/>
      <c r="D194" s="2"/>
    </row>
    <row r="195" spans="2:4" ht="15.75" customHeight="1" x14ac:dyDescent="0.3">
      <c r="B195" s="2"/>
      <c r="C195" s="2"/>
      <c r="D195" s="2"/>
    </row>
    <row r="196" spans="2:4" ht="15.75" customHeight="1" x14ac:dyDescent="0.3">
      <c r="B196" s="2"/>
      <c r="C196" s="2"/>
      <c r="D196" s="2"/>
    </row>
    <row r="197" spans="2:4" ht="15.75" customHeight="1" x14ac:dyDescent="0.3">
      <c r="B197" s="2"/>
      <c r="C197" s="2"/>
      <c r="D197" s="2"/>
    </row>
    <row r="198" spans="2:4" ht="15.75" customHeight="1" x14ac:dyDescent="0.3">
      <c r="B198" s="2"/>
      <c r="C198" s="2"/>
      <c r="D198" s="2"/>
    </row>
    <row r="199" spans="2:4" ht="15.75" customHeight="1" x14ac:dyDescent="0.3">
      <c r="B199" s="2"/>
      <c r="C199" s="2"/>
      <c r="D199" s="2"/>
    </row>
    <row r="200" spans="2:4" ht="15.75" customHeight="1" x14ac:dyDescent="0.3">
      <c r="B200" s="2"/>
      <c r="C200" s="2"/>
      <c r="D200" s="2"/>
    </row>
    <row r="201" spans="2:4" ht="15.75" customHeight="1" x14ac:dyDescent="0.3">
      <c r="B201" s="2"/>
      <c r="C201" s="2"/>
      <c r="D201" s="2"/>
    </row>
    <row r="202" spans="2:4" ht="15.75" customHeight="1" x14ac:dyDescent="0.3">
      <c r="B202" s="2"/>
      <c r="C202" s="2"/>
      <c r="D202" s="2"/>
    </row>
    <row r="203" spans="2:4" ht="15.75" customHeight="1" x14ac:dyDescent="0.3">
      <c r="B203" s="2"/>
      <c r="C203" s="2"/>
      <c r="D203" s="2"/>
    </row>
    <row r="204" spans="2:4" ht="15.75" customHeight="1" x14ac:dyDescent="0.3">
      <c r="B204" s="2"/>
      <c r="C204" s="2"/>
      <c r="D204" s="2"/>
    </row>
    <row r="205" spans="2:4" ht="15.75" customHeight="1" x14ac:dyDescent="0.3">
      <c r="B205" s="2"/>
      <c r="C205" s="2"/>
      <c r="D205" s="2"/>
    </row>
    <row r="206" spans="2:4" ht="15.75" customHeight="1" x14ac:dyDescent="0.3">
      <c r="B206" s="2"/>
      <c r="C206" s="2"/>
      <c r="D206" s="2"/>
    </row>
    <row r="207" spans="2:4" ht="15.75" customHeight="1" x14ac:dyDescent="0.3">
      <c r="B207" s="2"/>
      <c r="C207" s="2"/>
      <c r="D207" s="2"/>
    </row>
    <row r="208" spans="2:4" ht="15.75" customHeight="1" x14ac:dyDescent="0.3">
      <c r="B208" s="2"/>
      <c r="C208" s="2"/>
      <c r="D208" s="2"/>
    </row>
    <row r="209" spans="2:4" ht="15.75" customHeight="1" x14ac:dyDescent="0.3">
      <c r="B209" s="2"/>
      <c r="C209" s="2"/>
      <c r="D209" s="2"/>
    </row>
    <row r="210" spans="2:4" ht="15.75" customHeight="1" x14ac:dyDescent="0.3">
      <c r="B210" s="2"/>
      <c r="C210" s="2"/>
      <c r="D210" s="2"/>
    </row>
    <row r="211" spans="2:4" ht="15.75" customHeight="1" x14ac:dyDescent="0.3">
      <c r="B211" s="2"/>
      <c r="C211" s="2"/>
      <c r="D211" s="2"/>
    </row>
    <row r="212" spans="2:4" ht="15.75" customHeight="1" x14ac:dyDescent="0.3">
      <c r="B212" s="2"/>
      <c r="C212" s="2"/>
      <c r="D212" s="2"/>
    </row>
    <row r="213" spans="2:4" ht="15.75" customHeight="1" x14ac:dyDescent="0.3">
      <c r="B213" s="2"/>
      <c r="C213" s="2"/>
      <c r="D213" s="2"/>
    </row>
    <row r="214" spans="2:4" ht="15.75" customHeight="1" x14ac:dyDescent="0.3">
      <c r="B214" s="2"/>
      <c r="C214" s="2"/>
      <c r="D214" s="2"/>
    </row>
    <row r="215" spans="2:4" ht="15.75" customHeight="1" x14ac:dyDescent="0.3">
      <c r="B215" s="2"/>
      <c r="C215" s="2"/>
      <c r="D215" s="2"/>
    </row>
    <row r="216" spans="2:4" ht="15.75" customHeight="1" x14ac:dyDescent="0.3">
      <c r="B216" s="2"/>
      <c r="C216" s="2"/>
      <c r="D216" s="2"/>
    </row>
    <row r="217" spans="2:4" ht="15.75" customHeight="1" x14ac:dyDescent="0.3">
      <c r="B217" s="2"/>
      <c r="C217" s="2"/>
      <c r="D217" s="2"/>
    </row>
    <row r="218" spans="2:4" ht="15.75" customHeight="1" x14ac:dyDescent="0.3">
      <c r="B218" s="2"/>
      <c r="C218" s="2"/>
      <c r="D218" s="2"/>
    </row>
    <row r="219" spans="2:4" ht="15.75" customHeight="1" x14ac:dyDescent="0.3">
      <c r="B219" s="2"/>
      <c r="C219" s="2"/>
      <c r="D219" s="2"/>
    </row>
    <row r="220" spans="2:4" ht="15.75" customHeight="1" x14ac:dyDescent="0.3">
      <c r="B220" s="2"/>
      <c r="C220" s="2"/>
      <c r="D220" s="2"/>
    </row>
    <row r="221" spans="2:4" ht="15.75" customHeight="1" x14ac:dyDescent="0.3">
      <c r="B221" s="2"/>
      <c r="C221" s="2"/>
      <c r="D221" s="2"/>
    </row>
    <row r="222" spans="2:4" ht="15.75" customHeight="1" x14ac:dyDescent="0.3">
      <c r="B222" s="2"/>
      <c r="C222" s="2"/>
      <c r="D222" s="2"/>
    </row>
    <row r="223" spans="2:4" ht="15.75" customHeight="1" x14ac:dyDescent="0.3">
      <c r="B223" s="2"/>
      <c r="C223" s="2"/>
      <c r="D223" s="2"/>
    </row>
    <row r="224" spans="2: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paperSize="9" orientation="portrait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969"/>
  <sheetViews>
    <sheetView topLeftCell="A50" zoomScale="55" zoomScaleNormal="55" workbookViewId="0">
      <selection activeCell="H89" sqref="H89"/>
    </sheetView>
  </sheetViews>
  <sheetFormatPr baseColWidth="10" defaultColWidth="14.44140625" defaultRowHeight="15" customHeight="1" x14ac:dyDescent="0.3"/>
  <cols>
    <col min="1" max="1" width="42.109375" customWidth="1"/>
    <col min="2" max="2" width="22.109375" customWidth="1"/>
    <col min="3" max="3" width="13.88671875" customWidth="1"/>
    <col min="4" max="4" width="17.77734375" bestFit="1" customWidth="1"/>
    <col min="5" max="5" width="15" customWidth="1"/>
    <col min="6" max="6" width="15.88671875" customWidth="1"/>
    <col min="7" max="7" width="18.5546875" customWidth="1"/>
    <col min="8" max="8" width="23.5546875" customWidth="1"/>
    <col min="9" max="9" width="11.77734375" customWidth="1"/>
    <col min="10" max="10" width="17" customWidth="1"/>
    <col min="12" max="12" width="8.21875" customWidth="1"/>
    <col min="13" max="13" width="9.44140625" customWidth="1"/>
  </cols>
  <sheetData>
    <row r="1" spans="1:10" ht="14.4" x14ac:dyDescent="0.3">
      <c r="A1" s="3"/>
    </row>
    <row r="2" spans="1:10" ht="14.4" x14ac:dyDescent="0.3">
      <c r="B2" s="181" t="s">
        <v>1</v>
      </c>
      <c r="C2" s="141" t="s">
        <v>2</v>
      </c>
      <c r="D2" s="141" t="s">
        <v>3</v>
      </c>
      <c r="E2" s="141" t="s">
        <v>4</v>
      </c>
      <c r="F2" s="141" t="s">
        <v>5</v>
      </c>
      <c r="G2" s="141" t="s">
        <v>6</v>
      </c>
      <c r="H2" s="182" t="s">
        <v>89</v>
      </c>
      <c r="I2" s="183" t="s">
        <v>7</v>
      </c>
    </row>
    <row r="3" spans="1:10" ht="14.4" x14ac:dyDescent="0.3">
      <c r="A3" s="324" t="s">
        <v>90</v>
      </c>
      <c r="B3" s="139">
        <v>26</v>
      </c>
      <c r="C3" s="6">
        <v>26</v>
      </c>
      <c r="D3" s="6">
        <v>7.5</v>
      </c>
      <c r="E3" s="6">
        <v>1680</v>
      </c>
      <c r="F3" s="26">
        <f>C3*D3/E3</f>
        <v>0.11607142857142858</v>
      </c>
      <c r="G3" s="6">
        <v>1.07</v>
      </c>
      <c r="H3" s="49" t="s">
        <v>48</v>
      </c>
      <c r="I3" s="135">
        <f>F3*G3</f>
        <v>0.12419642857142858</v>
      </c>
      <c r="J3" s="3"/>
    </row>
    <row r="4" spans="1:10" ht="14.4" x14ac:dyDescent="0.3">
      <c r="A4" s="325"/>
      <c r="B4" s="140"/>
      <c r="C4" s="96">
        <v>26</v>
      </c>
      <c r="D4" s="96">
        <v>7.5</v>
      </c>
      <c r="E4" s="96">
        <v>1680</v>
      </c>
      <c r="F4" s="136">
        <f>C4*D4/E4</f>
        <v>0.11607142857142858</v>
      </c>
      <c r="G4" s="96">
        <v>1.07</v>
      </c>
      <c r="H4" s="137" t="s">
        <v>49</v>
      </c>
      <c r="I4" s="138">
        <f>F4*G4</f>
        <v>0.12419642857142858</v>
      </c>
      <c r="J4" s="3"/>
    </row>
    <row r="5" spans="1:10" ht="14.4" x14ac:dyDescent="0.3">
      <c r="D5" s="3"/>
      <c r="E5" s="3"/>
      <c r="F5" s="28"/>
      <c r="G5" s="3"/>
      <c r="H5" s="3"/>
      <c r="I5" s="3"/>
    </row>
    <row r="7" spans="1:10" ht="14.4" x14ac:dyDescent="0.3">
      <c r="F7" s="28"/>
      <c r="H7" s="51"/>
      <c r="J7" s="3"/>
    </row>
    <row r="8" spans="1:10" ht="15.75" customHeight="1" x14ac:dyDescent="0.3"/>
    <row r="9" spans="1:10" ht="14.4" x14ac:dyDescent="0.3">
      <c r="B9" s="181" t="s">
        <v>1</v>
      </c>
      <c r="C9" s="141" t="s">
        <v>2</v>
      </c>
      <c r="D9" s="141" t="s">
        <v>3</v>
      </c>
      <c r="E9" s="141" t="s">
        <v>4</v>
      </c>
      <c r="F9" s="141" t="s">
        <v>5</v>
      </c>
      <c r="G9" s="141" t="s">
        <v>6</v>
      </c>
      <c r="H9" s="182" t="s">
        <v>89</v>
      </c>
      <c r="I9" s="184" t="s">
        <v>7</v>
      </c>
      <c r="J9" s="3"/>
    </row>
    <row r="10" spans="1:10" ht="15.75" customHeight="1" x14ac:dyDescent="0.3">
      <c r="A10" s="324" t="s">
        <v>91</v>
      </c>
      <c r="B10" s="139">
        <v>26</v>
      </c>
      <c r="C10" s="6">
        <f>B10</f>
        <v>26</v>
      </c>
      <c r="D10" s="6">
        <v>7.5</v>
      </c>
      <c r="E10" s="6">
        <v>1680</v>
      </c>
      <c r="F10" s="26">
        <f>C10*D10/E10</f>
        <v>0.11607142857142858</v>
      </c>
      <c r="G10" s="6">
        <v>1.07</v>
      </c>
      <c r="H10" s="49" t="s">
        <v>48</v>
      </c>
      <c r="I10" s="135">
        <f>F10*G10</f>
        <v>0.12419642857142858</v>
      </c>
    </row>
    <row r="11" spans="1:10" ht="15.75" customHeight="1" x14ac:dyDescent="0.3">
      <c r="A11" s="325"/>
      <c r="B11" s="140">
        <v>26</v>
      </c>
      <c r="C11" s="96">
        <f>B11</f>
        <v>26</v>
      </c>
      <c r="D11" s="96">
        <v>7.5</v>
      </c>
      <c r="E11" s="96">
        <v>1680</v>
      </c>
      <c r="F11" s="136">
        <f>C11*D11/E11</f>
        <v>0.11607142857142858</v>
      </c>
      <c r="G11" s="96">
        <v>1.07</v>
      </c>
      <c r="H11" s="137" t="s">
        <v>49</v>
      </c>
      <c r="I11" s="138">
        <f>F11*G11</f>
        <v>0.12419642857142858</v>
      </c>
    </row>
    <row r="12" spans="1:10" ht="15.75" customHeight="1" x14ac:dyDescent="0.3">
      <c r="B12" s="3"/>
      <c r="C12" s="3"/>
      <c r="D12" s="3"/>
      <c r="E12" s="3"/>
      <c r="F12" s="28"/>
      <c r="G12" s="3"/>
      <c r="H12" s="52"/>
    </row>
    <row r="13" spans="1:10" ht="15.75" customHeight="1" x14ac:dyDescent="0.3">
      <c r="B13" s="3"/>
      <c r="C13" s="3"/>
    </row>
    <row r="14" spans="1:10" ht="14.4" x14ac:dyDescent="0.3">
      <c r="B14" s="181" t="s">
        <v>1</v>
      </c>
      <c r="C14" s="141" t="s">
        <v>2</v>
      </c>
      <c r="D14" s="141" t="s">
        <v>3</v>
      </c>
      <c r="E14" s="141" t="s">
        <v>4</v>
      </c>
      <c r="F14" s="141" t="s">
        <v>5</v>
      </c>
      <c r="G14" s="141" t="s">
        <v>6</v>
      </c>
      <c r="H14" s="182" t="s">
        <v>89</v>
      </c>
      <c r="I14" s="184" t="s">
        <v>7</v>
      </c>
    </row>
    <row r="15" spans="1:10" ht="15.75" customHeight="1" x14ac:dyDescent="0.3">
      <c r="A15" s="53" t="s">
        <v>92</v>
      </c>
      <c r="B15" s="142">
        <v>12</v>
      </c>
      <c r="C15" s="96">
        <v>12</v>
      </c>
      <c r="D15" s="96">
        <v>7.5</v>
      </c>
      <c r="E15" s="96">
        <v>1680</v>
      </c>
      <c r="F15" s="136">
        <f>C15*D15/E15</f>
        <v>5.3571428571428568E-2</v>
      </c>
      <c r="G15" s="96">
        <v>1.07</v>
      </c>
      <c r="H15" s="137" t="s">
        <v>49</v>
      </c>
      <c r="I15" s="138">
        <f>F15*G15</f>
        <v>5.7321428571428572E-2</v>
      </c>
      <c r="J15" s="3" t="s">
        <v>93</v>
      </c>
    </row>
    <row r="16" spans="1:10" ht="15.75" customHeight="1" x14ac:dyDescent="0.3">
      <c r="B16" s="3"/>
      <c r="C16" s="3"/>
      <c r="D16" s="3"/>
      <c r="E16" s="3"/>
      <c r="F16" s="28"/>
      <c r="G16" s="3"/>
    </row>
    <row r="17" spans="1:13" ht="25.2" customHeight="1" x14ac:dyDescent="0.3">
      <c r="B17" s="181" t="s">
        <v>1</v>
      </c>
      <c r="C17" s="141" t="s">
        <v>2</v>
      </c>
      <c r="D17" s="141" t="s">
        <v>3</v>
      </c>
      <c r="E17" s="141" t="s">
        <v>4</v>
      </c>
      <c r="F17" s="141" t="s">
        <v>5</v>
      </c>
      <c r="G17" s="141" t="s">
        <v>6</v>
      </c>
      <c r="H17" s="182" t="s">
        <v>89</v>
      </c>
      <c r="I17" s="184" t="s">
        <v>7</v>
      </c>
    </row>
    <row r="18" spans="1:13" ht="15.75" customHeight="1" x14ac:dyDescent="0.3">
      <c r="A18" s="53" t="s">
        <v>94</v>
      </c>
      <c r="B18" s="142">
        <v>12</v>
      </c>
      <c r="C18" s="96">
        <v>12</v>
      </c>
      <c r="D18" s="96">
        <v>7.5</v>
      </c>
      <c r="E18" s="96">
        <v>1680</v>
      </c>
      <c r="F18" s="136">
        <f>C18*D18/E18</f>
        <v>5.3571428571428568E-2</v>
      </c>
      <c r="G18" s="96">
        <v>1.07</v>
      </c>
      <c r="H18" s="137" t="s">
        <v>49</v>
      </c>
      <c r="I18" s="138">
        <f>F18*G18</f>
        <v>5.7321428571428572E-2</v>
      </c>
      <c r="J18" s="304" t="s">
        <v>93</v>
      </c>
    </row>
    <row r="19" spans="1:13" ht="15.75" customHeight="1" x14ac:dyDescent="0.3">
      <c r="B19" s="3"/>
      <c r="C19" s="3"/>
      <c r="D19" s="3"/>
      <c r="E19" s="3"/>
      <c r="F19" s="28"/>
      <c r="G19" s="3"/>
    </row>
    <row r="20" spans="1:13" ht="15.75" customHeight="1" x14ac:dyDescent="0.3">
      <c r="B20" s="3"/>
      <c r="C20" s="3"/>
      <c r="D20" s="3"/>
      <c r="E20" s="3"/>
      <c r="F20" s="28"/>
      <c r="G20" s="3"/>
    </row>
    <row r="21" spans="1:13" ht="15.75" customHeight="1" x14ac:dyDescent="0.3">
      <c r="A21" s="287" t="s">
        <v>95</v>
      </c>
      <c r="B21" s="288"/>
      <c r="C21" s="3"/>
      <c r="D21" s="3"/>
      <c r="E21" s="3"/>
    </row>
    <row r="22" spans="1:13" ht="15.75" customHeight="1" x14ac:dyDescent="0.3">
      <c r="B22" s="3"/>
      <c r="C22" s="3"/>
      <c r="D22" s="28"/>
      <c r="E22" s="3"/>
      <c r="F22" s="28"/>
    </row>
    <row r="23" spans="1:13" ht="25.2" customHeight="1" x14ac:dyDescent="0.3">
      <c r="A23" s="34" t="s">
        <v>96</v>
      </c>
      <c r="B23" s="34" t="s">
        <v>97</v>
      </c>
      <c r="C23" s="35" t="s">
        <v>98</v>
      </c>
      <c r="D23" s="34" t="s">
        <v>89</v>
      </c>
      <c r="H23" s="6" t="s">
        <v>99</v>
      </c>
      <c r="I23" s="22" t="s">
        <v>100</v>
      </c>
      <c r="J23" s="22" t="s">
        <v>101</v>
      </c>
      <c r="K23" s="22" t="s">
        <v>102</v>
      </c>
      <c r="L23" s="22" t="s">
        <v>103</v>
      </c>
      <c r="M23" s="22" t="s">
        <v>104</v>
      </c>
    </row>
    <row r="24" spans="1:13" ht="15.75" customHeight="1" x14ac:dyDescent="0.3">
      <c r="A24" s="37" t="s">
        <v>48</v>
      </c>
      <c r="B24" s="26">
        <f>(I3+I10)</f>
        <v>0.24839285714285717</v>
      </c>
      <c r="C24" s="6">
        <v>1680</v>
      </c>
      <c r="D24" s="26">
        <f>B24</f>
        <v>0.24839285714285717</v>
      </c>
      <c r="H24" s="23" t="s">
        <v>35</v>
      </c>
      <c r="I24" s="308">
        <v>1591</v>
      </c>
      <c r="J24" s="24">
        <f>I24/5</f>
        <v>318.2</v>
      </c>
      <c r="K24" s="130">
        <v>8900</v>
      </c>
      <c r="L24" s="6">
        <f>K24*2</f>
        <v>17800</v>
      </c>
      <c r="M24" s="6">
        <v>7.5</v>
      </c>
    </row>
    <row r="25" spans="1:13" ht="15.75" customHeight="1" x14ac:dyDescent="0.3">
      <c r="A25" s="38" t="s">
        <v>49</v>
      </c>
      <c r="B25" s="39">
        <f>I4+I11+I15+I18</f>
        <v>0.36303571428571429</v>
      </c>
      <c r="C25" s="40">
        <v>1680</v>
      </c>
      <c r="D25" s="26">
        <f>B25</f>
        <v>0.36303571428571429</v>
      </c>
      <c r="H25" s="23" t="s">
        <v>105</v>
      </c>
      <c r="I25" s="168">
        <v>1073</v>
      </c>
      <c r="J25" s="24">
        <f>I25/3</f>
        <v>357.66666666666669</v>
      </c>
      <c r="K25" s="6">
        <v>8516</v>
      </c>
      <c r="L25" s="6">
        <f>K25*2</f>
        <v>17032</v>
      </c>
      <c r="M25" s="6">
        <v>7.5</v>
      </c>
    </row>
    <row r="26" spans="1:13" ht="15.75" customHeight="1" x14ac:dyDescent="0.3">
      <c r="H26" s="23" t="s">
        <v>105</v>
      </c>
      <c r="I26" s="5"/>
      <c r="J26" s="24"/>
      <c r="K26" s="6"/>
      <c r="L26" s="6"/>
      <c r="M26" s="6"/>
    </row>
    <row r="27" spans="1:13" ht="15.75" customHeight="1" x14ac:dyDescent="0.3">
      <c r="A27" s="41" t="s">
        <v>106</v>
      </c>
      <c r="B27" s="41" t="s">
        <v>107</v>
      </c>
      <c r="C27" s="41" t="s">
        <v>108</v>
      </c>
      <c r="D27" s="42" t="s">
        <v>109</v>
      </c>
      <c r="E27" s="41" t="s">
        <v>110</v>
      </c>
      <c r="H27" s="23" t="s">
        <v>111</v>
      </c>
      <c r="I27" s="167">
        <v>40</v>
      </c>
      <c r="J27" s="24"/>
      <c r="K27" s="6"/>
      <c r="L27" s="6"/>
      <c r="M27" s="6"/>
    </row>
    <row r="28" spans="1:13" ht="15.75" customHeight="1" x14ac:dyDescent="0.3">
      <c r="A28" s="6" t="s">
        <v>112</v>
      </c>
      <c r="B28" s="43">
        <f>'Dades Referència'!C34</f>
        <v>28737.13</v>
      </c>
      <c r="C28" s="143">
        <f>B28*36%</f>
        <v>10345.3668</v>
      </c>
      <c r="D28" s="143">
        <f>B28+C28</f>
        <v>39082.496800000001</v>
      </c>
      <c r="E28" s="143">
        <f>D28*D24</f>
        <v>9707.8130444285725</v>
      </c>
      <c r="H28" s="23" t="s">
        <v>113</v>
      </c>
      <c r="I28" s="5">
        <f>SUM(I24:I27)</f>
        <v>2704</v>
      </c>
      <c r="J28" s="24"/>
      <c r="K28" s="6"/>
      <c r="L28" s="6"/>
      <c r="M28" s="6"/>
    </row>
    <row r="29" spans="1:13" ht="15.75" customHeight="1" x14ac:dyDescent="0.3">
      <c r="A29" s="6" t="s">
        <v>114</v>
      </c>
      <c r="B29" s="43">
        <f>'Dades Referència'!C35</f>
        <v>23379.360000000001</v>
      </c>
      <c r="C29" s="143">
        <f>B29*36%</f>
        <v>8416.5696000000007</v>
      </c>
      <c r="D29" s="143">
        <f>B29+C29</f>
        <v>31795.929600000003</v>
      </c>
      <c r="E29" s="143">
        <f>D29*D25</f>
        <v>11543.058013714288</v>
      </c>
      <c r="H29" s="23" t="s">
        <v>115</v>
      </c>
      <c r="I29" s="6"/>
      <c r="J29" s="24"/>
      <c r="K29" s="6"/>
      <c r="L29" s="6"/>
      <c r="M29" s="6"/>
    </row>
    <row r="30" spans="1:13" ht="15.75" customHeight="1" x14ac:dyDescent="0.3">
      <c r="A30" s="6"/>
      <c r="B30" s="6"/>
      <c r="C30" s="6"/>
      <c r="D30" s="44" t="s">
        <v>116</v>
      </c>
      <c r="E30" s="44">
        <f>E28+E29</f>
        <v>21250.87105814286</v>
      </c>
      <c r="J30" s="24">
        <f>J24+J25+J26+J27</f>
        <v>675.86666666666667</v>
      </c>
      <c r="K30" s="6">
        <f>SUM(K24:K29)</f>
        <v>17416</v>
      </c>
      <c r="L30" s="23">
        <f>SUM(L24:L27)</f>
        <v>34832</v>
      </c>
      <c r="M30" s="6"/>
    </row>
    <row r="31" spans="1:13" ht="15.75" customHeight="1" x14ac:dyDescent="0.3">
      <c r="H31" s="1"/>
      <c r="I31" s="3"/>
      <c r="J31" s="3"/>
      <c r="K31" s="28"/>
      <c r="L31" s="3"/>
      <c r="M31" s="28"/>
    </row>
    <row r="32" spans="1:13" ht="15.75" customHeight="1" x14ac:dyDescent="0.3">
      <c r="A32" s="3"/>
      <c r="H32" s="1"/>
      <c r="I32" s="3"/>
      <c r="J32" s="3"/>
      <c r="K32" s="28"/>
      <c r="L32" s="3"/>
      <c r="M32" s="28"/>
    </row>
    <row r="33" spans="1:13" ht="15.75" customHeight="1" x14ac:dyDescent="0.3">
      <c r="A33" s="34" t="s">
        <v>96</v>
      </c>
      <c r="B33" s="34" t="s">
        <v>97</v>
      </c>
      <c r="C33" s="35" t="s">
        <v>98</v>
      </c>
      <c r="D33" s="34" t="s">
        <v>89</v>
      </c>
      <c r="H33" s="1"/>
      <c r="I33" s="3"/>
      <c r="J33" s="3"/>
      <c r="K33" s="28"/>
      <c r="L33" s="3"/>
      <c r="M33" s="28"/>
    </row>
    <row r="34" spans="1:13" ht="26.25" customHeight="1" x14ac:dyDescent="0.3">
      <c r="A34" s="38" t="s">
        <v>117</v>
      </c>
      <c r="B34" s="39">
        <v>0.12</v>
      </c>
      <c r="C34" s="40">
        <v>1680</v>
      </c>
      <c r="D34" s="26">
        <f>B34</f>
        <v>0.12</v>
      </c>
      <c r="H34" s="326" t="s">
        <v>118</v>
      </c>
      <c r="I34" s="318" t="s">
        <v>119</v>
      </c>
      <c r="J34" s="318" t="s">
        <v>120</v>
      </c>
      <c r="K34" s="318" t="s">
        <v>121</v>
      </c>
    </row>
    <row r="35" spans="1:13" ht="15.75" customHeight="1" x14ac:dyDescent="0.3">
      <c r="H35" s="327"/>
      <c r="I35" s="6">
        <f>L30</f>
        <v>34832</v>
      </c>
      <c r="J35" s="6">
        <v>20000</v>
      </c>
      <c r="K35" s="239">
        <f>SUM(I35:J35)</f>
        <v>54832</v>
      </c>
      <c r="L35" s="190"/>
    </row>
    <row r="36" spans="1:13" ht="15.75" customHeight="1" x14ac:dyDescent="0.3">
      <c r="A36" s="41" t="s">
        <v>106</v>
      </c>
      <c r="B36" s="41" t="s">
        <v>107</v>
      </c>
      <c r="C36" s="41" t="s">
        <v>108</v>
      </c>
      <c r="D36" s="42" t="s">
        <v>109</v>
      </c>
      <c r="E36" s="41" t="s">
        <v>110</v>
      </c>
      <c r="I36" s="190"/>
      <c r="J36" s="190"/>
      <c r="K36" s="190"/>
    </row>
    <row r="37" spans="1:13" ht="15.75" customHeight="1" x14ac:dyDescent="0.3">
      <c r="A37" s="38" t="s">
        <v>122</v>
      </c>
      <c r="B37" s="170">
        <f>'Dades Referència'!C38</f>
        <v>23000</v>
      </c>
      <c r="C37" s="26">
        <f>B37*36%</f>
        <v>8280</v>
      </c>
      <c r="D37" s="26">
        <f>B37+C37</f>
        <v>31280</v>
      </c>
      <c r="E37" s="26">
        <f>D37*D34</f>
        <v>3753.6</v>
      </c>
    </row>
    <row r="38" spans="1:13" ht="15.75" customHeight="1" x14ac:dyDescent="0.3">
      <c r="A38" s="6"/>
      <c r="B38" s="6"/>
      <c r="C38" s="6"/>
      <c r="D38" s="44" t="s">
        <v>116</v>
      </c>
      <c r="E38" s="44">
        <f>E37</f>
        <v>3753.6</v>
      </c>
    </row>
    <row r="39" spans="1:13" ht="15.75" customHeight="1" x14ac:dyDescent="0.3"/>
    <row r="40" spans="1:13" ht="15.75" customHeight="1" x14ac:dyDescent="0.3"/>
    <row r="41" spans="1:13" ht="19.5" customHeight="1" x14ac:dyDescent="0.3">
      <c r="A41" s="289" t="s">
        <v>123</v>
      </c>
      <c r="B41" s="289"/>
    </row>
    <row r="42" spans="1:13" ht="15.75" customHeight="1" x14ac:dyDescent="0.3">
      <c r="A42" s="6" t="s">
        <v>124</v>
      </c>
      <c r="B42" s="239"/>
      <c r="F42" s="54" t="s">
        <v>125</v>
      </c>
      <c r="G42" s="54" t="s">
        <v>126</v>
      </c>
      <c r="H42" s="54" t="s">
        <v>127</v>
      </c>
      <c r="I42" s="54" t="s">
        <v>128</v>
      </c>
    </row>
    <row r="43" spans="1:13" ht="15.75" customHeight="1" x14ac:dyDescent="0.3">
      <c r="A43" s="6" t="s">
        <v>125</v>
      </c>
      <c r="B43" s="305">
        <f>(K35/1000)*76</f>
        <v>4167.232</v>
      </c>
      <c r="F43" s="58">
        <f t="shared" ref="F43:F46" si="0">B50*E50</f>
        <v>312</v>
      </c>
      <c r="G43" s="60">
        <f t="shared" ref="G43:G46" si="1">H43/52</f>
        <v>0.13333333333333333</v>
      </c>
      <c r="H43" s="58">
        <f>D50*E50</f>
        <v>6.9333333333333336</v>
      </c>
      <c r="I43" s="173">
        <v>1680</v>
      </c>
    </row>
    <row r="44" spans="1:13" ht="15.75" customHeight="1" x14ac:dyDescent="0.3">
      <c r="A44" s="6" t="s">
        <v>129</v>
      </c>
      <c r="B44" s="306">
        <f>B43*80/100</f>
        <v>3333.7856000000002</v>
      </c>
      <c r="F44" s="58">
        <f t="shared" si="0"/>
        <v>312</v>
      </c>
      <c r="G44" s="60">
        <f t="shared" si="1"/>
        <v>0.13333333333333333</v>
      </c>
      <c r="H44" s="58">
        <f t="shared" ref="H44:H46" si="2">D51*E51</f>
        <v>6.9333333333333336</v>
      </c>
      <c r="I44" s="58">
        <v>1680</v>
      </c>
    </row>
    <row r="45" spans="1:13" ht="15.75" customHeight="1" x14ac:dyDescent="0.3">
      <c r="A45" s="6" t="s">
        <v>130</v>
      </c>
      <c r="B45" s="307">
        <f>B44*1.5</f>
        <v>5000.6784000000007</v>
      </c>
      <c r="F45" s="58">
        <f t="shared" si="0"/>
        <v>144</v>
      </c>
      <c r="G45" s="60">
        <f t="shared" si="1"/>
        <v>6.1538461538461542E-2</v>
      </c>
      <c r="H45" s="58">
        <f t="shared" si="2"/>
        <v>3.2</v>
      </c>
      <c r="I45" s="173">
        <v>1680</v>
      </c>
    </row>
    <row r="46" spans="1:13" ht="15.75" customHeight="1" x14ac:dyDescent="0.3">
      <c r="F46" s="200">
        <f t="shared" si="0"/>
        <v>144</v>
      </c>
      <c r="G46" s="201">
        <f t="shared" si="1"/>
        <v>6.1538461538461542E-2</v>
      </c>
      <c r="H46" s="200">
        <f t="shared" si="2"/>
        <v>3.2</v>
      </c>
      <c r="I46" s="173">
        <v>1680</v>
      </c>
    </row>
    <row r="47" spans="1:13" ht="15.75" customHeight="1" x14ac:dyDescent="0.3">
      <c r="A47" s="190"/>
      <c r="B47" s="190"/>
      <c r="F47" s="58">
        <f>SUM(F43:F46)</f>
        <v>912</v>
      </c>
      <c r="G47" s="60">
        <f>SUM(G43:G46)</f>
        <v>0.38974358974358975</v>
      </c>
      <c r="H47" s="58">
        <f>SUM(H43:H46)</f>
        <v>20.266666666666666</v>
      </c>
      <c r="I47" s="194"/>
    </row>
    <row r="48" spans="1:13" ht="15.75" customHeight="1" x14ac:dyDescent="0.3">
      <c r="A48" s="262" t="s">
        <v>131</v>
      </c>
      <c r="B48" s="262"/>
      <c r="C48" s="190"/>
      <c r="F48" s="191"/>
      <c r="G48" s="193"/>
      <c r="H48" s="191"/>
      <c r="I48" s="194"/>
    </row>
    <row r="49" spans="1:11" ht="25.5" customHeight="1" x14ac:dyDescent="0.3">
      <c r="A49" s="203" t="s">
        <v>132</v>
      </c>
      <c r="B49" s="204" t="s">
        <v>133</v>
      </c>
      <c r="C49" s="54" t="s">
        <v>134</v>
      </c>
      <c r="D49" s="54" t="s">
        <v>135</v>
      </c>
      <c r="E49" s="54" t="s">
        <v>136</v>
      </c>
      <c r="F49" s="197" t="s">
        <v>137</v>
      </c>
      <c r="G49" s="197" t="s">
        <v>138</v>
      </c>
      <c r="H49" s="197" t="s">
        <v>139</v>
      </c>
      <c r="I49" s="198" t="s">
        <v>140</v>
      </c>
      <c r="J49" s="63" t="s">
        <v>116</v>
      </c>
    </row>
    <row r="50" spans="1:11" ht="15.75" customHeight="1" x14ac:dyDescent="0.3">
      <c r="A50" s="309" t="s">
        <v>91</v>
      </c>
      <c r="B50" s="58">
        <v>12</v>
      </c>
      <c r="C50" s="66">
        <f>B50/0.75</f>
        <v>16</v>
      </c>
      <c r="D50" s="66">
        <f>C50/60</f>
        <v>0.26666666666666666</v>
      </c>
      <c r="E50" s="275">
        <f>'Dades Referència'!G5</f>
        <v>26</v>
      </c>
      <c r="F50" s="126">
        <f>'Dades Referència'!C34</f>
        <v>28737.13</v>
      </c>
      <c r="G50" s="276">
        <f>F50*0.36</f>
        <v>10345.3668</v>
      </c>
      <c r="H50" s="277">
        <f>(F50+G50)*E58</f>
        <v>532.76267066412697</v>
      </c>
      <c r="I50" s="277">
        <f>H50*0.36</f>
        <v>191.7945614390857</v>
      </c>
      <c r="J50" s="277">
        <f>H50+I50</f>
        <v>724.55723210321264</v>
      </c>
      <c r="K50" s="190"/>
    </row>
    <row r="51" spans="1:11" ht="15.75" customHeight="1" x14ac:dyDescent="0.3">
      <c r="A51" s="309" t="s">
        <v>141</v>
      </c>
      <c r="B51" s="58">
        <v>12</v>
      </c>
      <c r="C51" s="66">
        <f>B51/0.75</f>
        <v>16</v>
      </c>
      <c r="D51" s="66">
        <f t="shared" ref="D51:D53" si="3">C51/60</f>
        <v>0.26666666666666666</v>
      </c>
      <c r="E51" s="275">
        <f>'Dades Referència'!G6</f>
        <v>26</v>
      </c>
      <c r="F51" s="171">
        <v>28737.13</v>
      </c>
      <c r="G51" s="276">
        <f>F51*0.36</f>
        <v>10345.3668</v>
      </c>
      <c r="H51" s="277">
        <f>(F51+G51)*E58</f>
        <v>532.76267066412697</v>
      </c>
      <c r="I51" s="278">
        <f>H51*0.36</f>
        <v>191.7945614390857</v>
      </c>
      <c r="J51" s="278">
        <f>H51+I51</f>
        <v>724.55723210321264</v>
      </c>
      <c r="K51" s="190"/>
    </row>
    <row r="52" spans="1:11" ht="15.75" customHeight="1" x14ac:dyDescent="0.3">
      <c r="A52" s="309" t="s">
        <v>92</v>
      </c>
      <c r="B52" s="58">
        <v>12</v>
      </c>
      <c r="C52" s="66">
        <f>B52/0.75</f>
        <v>16</v>
      </c>
      <c r="D52" s="66">
        <f t="shared" si="3"/>
        <v>0.26666666666666666</v>
      </c>
      <c r="E52" s="275">
        <f>'Dades Referència'!G10</f>
        <v>12</v>
      </c>
      <c r="F52" s="171">
        <v>28737.13</v>
      </c>
      <c r="G52" s="276">
        <f>F52*0.36</f>
        <v>10345.3668</v>
      </c>
      <c r="H52" s="278">
        <f>(F52+G52)*E58</f>
        <v>532.76267066412697</v>
      </c>
      <c r="I52" s="278">
        <f>H52*0.36</f>
        <v>191.7945614390857</v>
      </c>
      <c r="J52" s="278">
        <f>H52+I52</f>
        <v>724.55723210321264</v>
      </c>
      <c r="K52" s="190"/>
    </row>
    <row r="53" spans="1:11" ht="15.75" customHeight="1" x14ac:dyDescent="0.3">
      <c r="A53" s="309" t="s">
        <v>94</v>
      </c>
      <c r="B53" s="58">
        <v>12</v>
      </c>
      <c r="C53" s="66">
        <f>B53/0.75</f>
        <v>16</v>
      </c>
      <c r="D53" s="66">
        <f t="shared" si="3"/>
        <v>0.26666666666666666</v>
      </c>
      <c r="E53" s="275">
        <f>'Dades Referència'!G11</f>
        <v>12</v>
      </c>
      <c r="F53" s="171">
        <v>28737.13</v>
      </c>
      <c r="G53" s="276">
        <f>F53*0.36</f>
        <v>10345.3668</v>
      </c>
      <c r="H53" s="278">
        <f>(F53+G53)*E58</f>
        <v>532.76267066412697</v>
      </c>
      <c r="I53" s="278">
        <f>H53*0.36</f>
        <v>191.7945614390857</v>
      </c>
      <c r="J53" s="278">
        <f>B58+I53</f>
        <v>191.8066249311492</v>
      </c>
      <c r="K53" s="190"/>
    </row>
    <row r="54" spans="1:11" ht="15.75" customHeight="1" x14ac:dyDescent="0.3">
      <c r="A54" s="310"/>
      <c r="B54" s="191"/>
      <c r="C54" s="192"/>
      <c r="D54" s="192"/>
      <c r="E54" s="199"/>
      <c r="F54" s="190"/>
      <c r="G54" s="190"/>
      <c r="H54" s="190"/>
      <c r="I54" s="190"/>
      <c r="J54" s="232">
        <f>SUM(J50:J53)</f>
        <v>2365.478321240787</v>
      </c>
    </row>
    <row r="55" spans="1:11" ht="15.75" customHeight="1" x14ac:dyDescent="0.3">
      <c r="A55" s="310"/>
      <c r="B55" s="191"/>
      <c r="C55" s="192"/>
      <c r="D55" s="192"/>
      <c r="E55" s="199"/>
    </row>
    <row r="56" spans="1:11" ht="15.75" customHeight="1" x14ac:dyDescent="0.3"/>
    <row r="57" spans="1:11" ht="15.75" customHeight="1" x14ac:dyDescent="0.3">
      <c r="A57" s="72" t="s">
        <v>142</v>
      </c>
      <c r="B57" s="197" t="s">
        <v>143</v>
      </c>
      <c r="C57" s="197" t="s">
        <v>144</v>
      </c>
      <c r="D57" s="197" t="s">
        <v>145</v>
      </c>
      <c r="E57" s="197" t="s">
        <v>146</v>
      </c>
    </row>
    <row r="58" spans="1:11" ht="15.75" customHeight="1" x14ac:dyDescent="0.3">
      <c r="A58" s="190"/>
      <c r="B58" s="195">
        <f>(H47/I46)</f>
        <v>1.2063492063492063E-2</v>
      </c>
      <c r="C58" s="195">
        <f>B58*0.08</f>
        <v>9.6507936507936505E-4</v>
      </c>
      <c r="D58" s="195">
        <f>B58*0.05</f>
        <v>6.031746031746032E-4</v>
      </c>
      <c r="E58" s="195">
        <f>(B58+C58+D58)</f>
        <v>1.3631746031746031E-2</v>
      </c>
    </row>
    <row r="59" spans="1:11" ht="15.75" customHeight="1" x14ac:dyDescent="0.3">
      <c r="B59" s="190"/>
      <c r="C59" s="190"/>
      <c r="D59" s="190"/>
      <c r="E59" s="190"/>
      <c r="F59" s="190"/>
    </row>
    <row r="60" spans="1:11" ht="24.75" customHeight="1" x14ac:dyDescent="0.3">
      <c r="E60" s="190"/>
      <c r="F60" s="252"/>
      <c r="G60" s="190"/>
    </row>
    <row r="61" spans="1:11" ht="15.75" customHeight="1" x14ac:dyDescent="0.3">
      <c r="A61" s="190"/>
      <c r="B61" s="190"/>
      <c r="E61" s="190"/>
      <c r="F61" s="190"/>
      <c r="G61" s="190"/>
    </row>
    <row r="62" spans="1:11" ht="19.5" customHeight="1" x14ac:dyDescent="0.3">
      <c r="A62" s="263" t="s">
        <v>147</v>
      </c>
      <c r="B62" s="263"/>
      <c r="C62" s="190"/>
      <c r="E62" s="190"/>
      <c r="F62" s="190"/>
      <c r="G62" s="190"/>
    </row>
    <row r="63" spans="1:11" ht="15.75" customHeight="1" x14ac:dyDescent="0.3">
      <c r="A63" s="115" t="s">
        <v>44</v>
      </c>
      <c r="B63" s="115" t="s">
        <v>148</v>
      </c>
      <c r="C63" s="4" t="s">
        <v>149</v>
      </c>
      <c r="D63" s="126" t="s">
        <v>150</v>
      </c>
      <c r="E63" s="279" t="s">
        <v>151</v>
      </c>
      <c r="F63" s="190"/>
      <c r="G63" s="190"/>
    </row>
    <row r="64" spans="1:11" ht="15.75" customHeight="1" x14ac:dyDescent="0.3">
      <c r="A64" s="6" t="s">
        <v>152</v>
      </c>
      <c r="B64" s="25">
        <f>F47</f>
        <v>912</v>
      </c>
      <c r="C64" s="45">
        <v>50</v>
      </c>
      <c r="D64" s="280">
        <v>1.5</v>
      </c>
      <c r="E64" s="295">
        <f>(B64*(C64/100)*D64)</f>
        <v>684</v>
      </c>
      <c r="F64" s="190"/>
      <c r="G64" s="190"/>
    </row>
    <row r="65" spans="1:7" ht="15.75" customHeight="1" x14ac:dyDescent="0.3">
      <c r="E65" s="190"/>
      <c r="F65" s="190"/>
    </row>
    <row r="66" spans="1:7" ht="15.75" customHeight="1" x14ac:dyDescent="0.3">
      <c r="F66" s="190"/>
    </row>
    <row r="67" spans="1:7" ht="66" customHeight="1" x14ac:dyDescent="0.3">
      <c r="A67" s="292" t="s">
        <v>153</v>
      </c>
      <c r="B67" s="293" t="s">
        <v>154</v>
      </c>
      <c r="C67" s="293" t="s">
        <v>155</v>
      </c>
      <c r="D67" s="293" t="s">
        <v>156</v>
      </c>
      <c r="E67" s="294" t="s">
        <v>157</v>
      </c>
      <c r="F67" s="291" t="s">
        <v>158</v>
      </c>
      <c r="G67" s="190"/>
    </row>
    <row r="68" spans="1:7" ht="15.75" customHeight="1" x14ac:dyDescent="0.3">
      <c r="A68" s="189" t="s">
        <v>159</v>
      </c>
      <c r="B68" s="189">
        <v>1</v>
      </c>
      <c r="C68" s="189">
        <v>53.08</v>
      </c>
      <c r="D68" s="189">
        <v>26</v>
      </c>
      <c r="E68" s="246">
        <v>76</v>
      </c>
      <c r="F68" s="189">
        <f>(C68+D68)*E68</f>
        <v>6010.08</v>
      </c>
      <c r="G68" s="190"/>
    </row>
    <row r="69" spans="1:7" ht="15.75" customHeight="1" x14ac:dyDescent="0.3">
      <c r="A69" s="190"/>
      <c r="B69" s="190"/>
      <c r="C69" s="190"/>
      <c r="D69" s="190"/>
      <c r="E69" s="190"/>
      <c r="F69" s="190"/>
    </row>
    <row r="70" spans="1:7" ht="15.75" customHeight="1" x14ac:dyDescent="0.3">
      <c r="A70" s="290" t="s">
        <v>160</v>
      </c>
      <c r="B70" s="269" t="s">
        <v>55</v>
      </c>
      <c r="C70" s="269" t="s">
        <v>161</v>
      </c>
      <c r="D70" s="269" t="s">
        <v>162</v>
      </c>
      <c r="E70" s="190"/>
    </row>
    <row r="71" spans="1:7" ht="15.75" customHeight="1" x14ac:dyDescent="0.3">
      <c r="A71" s="246" t="s">
        <v>91</v>
      </c>
      <c r="B71" s="189">
        <f>'Dades Referència'!D43</f>
        <v>11.65</v>
      </c>
      <c r="C71" s="189">
        <f>'Dades Referència'!C43</f>
        <v>75</v>
      </c>
      <c r="D71" s="189">
        <f>(C71*B71)</f>
        <v>873.75</v>
      </c>
      <c r="E71" s="190"/>
    </row>
    <row r="72" spans="1:7" ht="15.75" customHeight="1" x14ac:dyDescent="0.3">
      <c r="A72" s="246" t="s">
        <v>163</v>
      </c>
      <c r="B72" s="245">
        <v>3.4</v>
      </c>
      <c r="C72" s="189">
        <f>'Dades Referència'!C41</f>
        <v>30</v>
      </c>
      <c r="D72" s="189">
        <f>(C72*B72)</f>
        <v>102</v>
      </c>
      <c r="E72" s="190"/>
    </row>
    <row r="73" spans="1:7" ht="15.75" customHeight="1" x14ac:dyDescent="0.3">
      <c r="A73" s="190"/>
      <c r="B73" s="190"/>
      <c r="C73" s="190"/>
      <c r="D73" s="190"/>
      <c r="E73" s="190"/>
    </row>
    <row r="74" spans="1:7" ht="15.75" customHeight="1" x14ac:dyDescent="0.3">
      <c r="A74" s="190"/>
      <c r="B74" s="190"/>
      <c r="C74" s="190"/>
      <c r="D74" s="190"/>
      <c r="E74" s="190"/>
    </row>
    <row r="75" spans="1:7" ht="15.75" customHeight="1" x14ac:dyDescent="0.3">
      <c r="A75" s="265" t="s">
        <v>164</v>
      </c>
      <c r="B75" s="190"/>
    </row>
    <row r="76" spans="1:7" ht="15.75" customHeight="1" x14ac:dyDescent="0.3">
      <c r="A76" s="244" t="s">
        <v>165</v>
      </c>
      <c r="B76" s="255">
        <f>E30+J54+E38</f>
        <v>27369.949379383645</v>
      </c>
      <c r="C76" s="190"/>
    </row>
    <row r="77" spans="1:7" ht="15.75" customHeight="1" x14ac:dyDescent="0.3">
      <c r="A77" s="240" t="s">
        <v>166</v>
      </c>
      <c r="B77" s="242">
        <f>B45+E64</f>
        <v>5684.6784000000007</v>
      </c>
      <c r="C77" s="190"/>
    </row>
    <row r="78" spans="1:7" ht="15.75" customHeight="1" x14ac:dyDescent="0.3">
      <c r="A78" s="240" t="s">
        <v>167</v>
      </c>
      <c r="B78" s="242">
        <f>F68</f>
        <v>6010.08</v>
      </c>
      <c r="C78" s="190"/>
    </row>
    <row r="79" spans="1:7" ht="15.75" customHeight="1" x14ac:dyDescent="0.3">
      <c r="A79" s="189" t="s">
        <v>168</v>
      </c>
      <c r="B79" s="241">
        <f>D71+D72</f>
        <v>975.75</v>
      </c>
      <c r="C79" s="190"/>
    </row>
    <row r="80" spans="1:7" ht="15.75" customHeight="1" x14ac:dyDescent="0.3">
      <c r="A80" s="190"/>
      <c r="B80" s="323">
        <f>SUM(B76:B79)</f>
        <v>40040.457779383651</v>
      </c>
    </row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</sheetData>
  <mergeCells count="3">
    <mergeCell ref="A10:A11"/>
    <mergeCell ref="A3:A4"/>
    <mergeCell ref="H34:H35"/>
  </mergeCells>
  <pageMargins left="0.7" right="0.7" top="0.75" bottom="0.75" header="0" footer="0"/>
  <pageSetup orientation="landscape"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L40"/>
  <sheetViews>
    <sheetView topLeftCell="A4" zoomScale="70" zoomScaleNormal="70" workbookViewId="0">
      <selection activeCell="H38" sqref="H38"/>
    </sheetView>
  </sheetViews>
  <sheetFormatPr baseColWidth="10" defaultColWidth="14.44140625" defaultRowHeight="15" customHeight="1" x14ac:dyDescent="0.3"/>
  <cols>
    <col min="1" max="1" width="34.109375" customWidth="1"/>
    <col min="2" max="2" width="18.109375" bestFit="1" customWidth="1"/>
    <col min="6" max="6" width="14.5546875" customWidth="1"/>
    <col min="7" max="7" width="12.109375" customWidth="1"/>
  </cols>
  <sheetData>
    <row r="1" spans="1:12" ht="46.2" x14ac:dyDescent="0.55000000000000004">
      <c r="A1" s="185" t="s">
        <v>169</v>
      </c>
      <c r="B1" s="54" t="s">
        <v>170</v>
      </c>
      <c r="C1" s="54"/>
      <c r="D1" s="54" t="s">
        <v>171</v>
      </c>
      <c r="E1" s="54" t="s">
        <v>172</v>
      </c>
      <c r="F1" s="54" t="s">
        <v>173</v>
      </c>
      <c r="G1" s="54" t="s">
        <v>174</v>
      </c>
      <c r="H1" s="54" t="s">
        <v>126</v>
      </c>
      <c r="I1" s="208" t="s">
        <v>127</v>
      </c>
      <c r="J1" s="212" t="s">
        <v>128</v>
      </c>
      <c r="K1" s="179"/>
      <c r="L1" s="190"/>
    </row>
    <row r="2" spans="1:12" ht="14.4" x14ac:dyDescent="0.3">
      <c r="A2" s="37" t="s">
        <v>175</v>
      </c>
      <c r="B2" s="61">
        <v>4612</v>
      </c>
      <c r="C2" s="55"/>
      <c r="D2" s="119">
        <f>1*1*12</f>
        <v>12</v>
      </c>
      <c r="E2" s="62">
        <f>(12*(H16+H17))</f>
        <v>48</v>
      </c>
      <c r="F2" s="62">
        <v>12</v>
      </c>
      <c r="G2" s="55">
        <f>E2+F2</f>
        <v>60</v>
      </c>
      <c r="H2" s="25">
        <f>G2/52</f>
        <v>1.1538461538461537</v>
      </c>
      <c r="I2" s="210">
        <f>D2+E2+F2</f>
        <v>72</v>
      </c>
      <c r="J2" s="48">
        <v>1680</v>
      </c>
      <c r="K2" s="205"/>
      <c r="L2" s="190"/>
    </row>
    <row r="3" spans="1:12" ht="14.4" x14ac:dyDescent="0.3">
      <c r="A3" s="37" t="s">
        <v>116</v>
      </c>
      <c r="B3" s="61">
        <f>SUM(B2)</f>
        <v>4612</v>
      </c>
      <c r="C3" s="6"/>
      <c r="D3" s="5"/>
      <c r="E3" s="5"/>
      <c r="F3" s="5"/>
      <c r="G3" s="5"/>
      <c r="H3" s="5"/>
      <c r="I3" s="209"/>
      <c r="J3" s="26">
        <f>I3</f>
        <v>0</v>
      </c>
      <c r="K3" s="205"/>
      <c r="L3" s="190"/>
    </row>
    <row r="4" spans="1:12" ht="14.4" x14ac:dyDescent="0.3">
      <c r="A4" s="37"/>
      <c r="B4" s="6"/>
      <c r="C4" s="6"/>
      <c r="D4" s="5"/>
      <c r="E4" s="5"/>
      <c r="F4" s="5"/>
      <c r="G4" s="5"/>
      <c r="H4" s="5"/>
      <c r="I4" s="213"/>
      <c r="J4" s="26"/>
      <c r="K4" s="206"/>
      <c r="L4" s="190"/>
    </row>
    <row r="5" spans="1:12" ht="14.4" x14ac:dyDescent="0.3">
      <c r="A5" s="37"/>
      <c r="B5" s="6"/>
      <c r="C5" s="6"/>
      <c r="D5" s="5"/>
      <c r="E5" s="5"/>
      <c r="F5" s="5"/>
      <c r="G5" s="5"/>
      <c r="H5" s="5"/>
      <c r="I5" s="213"/>
      <c r="J5" s="45">
        <v>1680</v>
      </c>
      <c r="K5" s="207"/>
      <c r="L5" s="190"/>
    </row>
    <row r="6" spans="1:12" ht="14.4" x14ac:dyDescent="0.3">
      <c r="A6" s="37"/>
      <c r="B6" s="6"/>
      <c r="C6" s="6"/>
      <c r="D6" s="6"/>
      <c r="E6" s="6"/>
      <c r="F6" s="6"/>
      <c r="G6" s="6"/>
      <c r="H6" s="6"/>
      <c r="I6" s="214"/>
      <c r="J6" s="25">
        <f>I2/J2</f>
        <v>4.2857142857142858E-2</v>
      </c>
      <c r="K6" s="205"/>
      <c r="L6" s="190"/>
    </row>
    <row r="7" spans="1:12" ht="14.4" x14ac:dyDescent="0.3">
      <c r="A7" s="56"/>
      <c r="B7" s="57"/>
      <c r="C7" s="57"/>
      <c r="D7" s="57"/>
      <c r="E7" s="57"/>
      <c r="F7" s="57"/>
      <c r="G7" s="57"/>
      <c r="H7" s="57"/>
      <c r="I7" s="215"/>
      <c r="J7" s="45" t="s">
        <v>176</v>
      </c>
      <c r="K7" s="207"/>
      <c r="L7" s="190"/>
    </row>
    <row r="8" spans="1:12" ht="14.4" x14ac:dyDescent="0.3">
      <c r="A8" s="3"/>
      <c r="B8" s="3"/>
      <c r="C8" s="3"/>
      <c r="D8" s="3"/>
      <c r="E8" s="3"/>
      <c r="F8" s="3"/>
      <c r="G8" s="3"/>
      <c r="H8" s="3"/>
      <c r="I8" s="3"/>
      <c r="J8" s="211"/>
      <c r="K8" s="211"/>
      <c r="L8" s="3"/>
    </row>
    <row r="9" spans="1:12" ht="28.8" x14ac:dyDescent="0.3">
      <c r="A9" s="6" t="s">
        <v>177</v>
      </c>
      <c r="B9" s="4" t="s">
        <v>143</v>
      </c>
      <c r="C9" s="4" t="s">
        <v>144</v>
      </c>
      <c r="D9" s="4" t="s">
        <v>145</v>
      </c>
      <c r="E9" s="4" t="s">
        <v>146</v>
      </c>
      <c r="F9" s="4"/>
      <c r="G9" s="4" t="s">
        <v>137</v>
      </c>
      <c r="H9" s="4" t="s">
        <v>138</v>
      </c>
      <c r="I9" s="4" t="s">
        <v>139</v>
      </c>
      <c r="J9" s="4" t="s">
        <v>140</v>
      </c>
      <c r="K9" s="63" t="s">
        <v>178</v>
      </c>
      <c r="L9" s="64" t="s">
        <v>116</v>
      </c>
    </row>
    <row r="10" spans="1:12" ht="14.4" x14ac:dyDescent="0.3">
      <c r="A10" s="6" t="s">
        <v>179</v>
      </c>
      <c r="B10" s="58">
        <f>J6</f>
        <v>4.2857142857142858E-2</v>
      </c>
      <c r="C10" s="59">
        <f>B10*0.08</f>
        <v>3.4285714285714288E-3</v>
      </c>
      <c r="D10" s="59">
        <f>B10*0.05</f>
        <v>2.142857142857143E-3</v>
      </c>
      <c r="E10" s="243">
        <f>SUM(B10+C10+D10)</f>
        <v>4.8428571428571425E-2</v>
      </c>
      <c r="F10" s="58"/>
      <c r="G10" s="43">
        <f>'Dades Referència'!C34</f>
        <v>28737.13</v>
      </c>
      <c r="H10" s="25">
        <f>G10*0.36</f>
        <v>10345.3668</v>
      </c>
      <c r="I10" s="55">
        <f>(G10+H10)*E10</f>
        <v>1892.7094878857142</v>
      </c>
      <c r="J10" s="65">
        <f>I10*0.36</f>
        <v>681.37541563885713</v>
      </c>
      <c r="K10" s="66">
        <f>I10+J10</f>
        <v>2574.0849035245715</v>
      </c>
      <c r="L10" s="67">
        <f>K10</f>
        <v>2574.0849035245715</v>
      </c>
    </row>
    <row r="11" spans="1:12" ht="14.4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2" ht="14.4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2" ht="14.4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2" ht="14.4" x14ac:dyDescent="0.3">
      <c r="A14" s="3"/>
      <c r="B14" s="3"/>
      <c r="C14" s="3"/>
      <c r="D14" s="3"/>
    </row>
    <row r="15" spans="1:12" ht="14.4" x14ac:dyDescent="0.3">
      <c r="A15" s="6" t="s">
        <v>180</v>
      </c>
      <c r="B15" s="45" t="s">
        <v>181</v>
      </c>
      <c r="C15" s="3"/>
      <c r="D15" s="328" t="s">
        <v>182</v>
      </c>
      <c r="E15" s="329"/>
      <c r="F15" s="329"/>
      <c r="G15" s="330"/>
      <c r="H15" s="311" t="s">
        <v>183</v>
      </c>
    </row>
    <row r="16" spans="1:12" ht="14.4" x14ac:dyDescent="0.3">
      <c r="A16" s="3"/>
      <c r="B16" s="68">
        <f>(70*D2)</f>
        <v>840</v>
      </c>
      <c r="D16" s="312" t="s">
        <v>184</v>
      </c>
      <c r="E16" s="120" t="s">
        <v>185</v>
      </c>
      <c r="F16" s="120"/>
      <c r="G16" s="121"/>
      <c r="H16" s="312">
        <v>2</v>
      </c>
    </row>
    <row r="17" spans="1:12" ht="14.4" x14ac:dyDescent="0.3">
      <c r="A17" s="3"/>
      <c r="B17" s="3"/>
      <c r="C17" s="3"/>
      <c r="D17" s="120" t="s">
        <v>186</v>
      </c>
      <c r="E17" s="122" t="s">
        <v>187</v>
      </c>
      <c r="F17" s="122"/>
      <c r="G17" s="123"/>
      <c r="H17" s="313">
        <v>2</v>
      </c>
      <c r="I17" s="3"/>
      <c r="J17" s="3"/>
    </row>
    <row r="18" spans="1:12" ht="14.4" x14ac:dyDescent="0.3">
      <c r="A18" s="3"/>
      <c r="B18" s="3"/>
      <c r="C18" s="3"/>
      <c r="D18" s="124"/>
      <c r="E18" s="125"/>
      <c r="F18" s="125"/>
      <c r="G18" s="124"/>
      <c r="H18" s="124"/>
      <c r="I18" s="3"/>
      <c r="J18" s="3"/>
    </row>
    <row r="19" spans="1:12" ht="14.4" x14ac:dyDescent="0.3">
      <c r="A19" s="3"/>
      <c r="B19" s="2"/>
      <c r="C19" s="69"/>
      <c r="D19" s="124"/>
      <c r="E19" s="125"/>
      <c r="F19" s="125"/>
      <c r="G19" s="124"/>
      <c r="H19" s="124"/>
      <c r="I19" s="3"/>
      <c r="J19" s="3"/>
      <c r="K19" s="3"/>
      <c r="L19" s="3"/>
    </row>
    <row r="20" spans="1:12" ht="15.75" customHeight="1" x14ac:dyDescent="0.3">
      <c r="A20" s="3" t="s">
        <v>188</v>
      </c>
      <c r="B20" s="3">
        <v>45</v>
      </c>
      <c r="C20" s="3"/>
      <c r="D20" s="124"/>
      <c r="E20" s="125"/>
      <c r="F20" s="125"/>
      <c r="G20" s="124"/>
      <c r="H20" s="124"/>
      <c r="I20" s="3"/>
      <c r="J20" s="3"/>
      <c r="K20" s="3"/>
      <c r="L20" s="3"/>
    </row>
    <row r="21" spans="1:12" ht="14.4" x14ac:dyDescent="0.3">
      <c r="A21" s="211"/>
      <c r="B21" s="70" t="s">
        <v>189</v>
      </c>
      <c r="C21" s="7"/>
      <c r="D21" s="7"/>
      <c r="E21" s="71"/>
      <c r="F21" s="71"/>
      <c r="G21" s="3"/>
      <c r="H21" s="3"/>
      <c r="I21" s="3"/>
      <c r="J21" s="3"/>
      <c r="K21" s="3"/>
      <c r="L21" s="3"/>
    </row>
    <row r="22" spans="1:12" ht="14.4" x14ac:dyDescent="0.3">
      <c r="A22" s="214" t="s">
        <v>190</v>
      </c>
      <c r="B22" s="270">
        <f>(G2*B20)</f>
        <v>2700</v>
      </c>
      <c r="C22" s="207"/>
      <c r="D22" s="2"/>
      <c r="E22" s="2"/>
      <c r="F22" s="2"/>
      <c r="G22" s="3"/>
      <c r="H22" s="3"/>
      <c r="I22" s="3"/>
      <c r="J22" s="3"/>
      <c r="K22" s="3"/>
      <c r="L22" s="3"/>
    </row>
    <row r="23" spans="1:12" ht="14.4" x14ac:dyDescent="0.3">
      <c r="A23" s="190"/>
      <c r="B23" s="190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ht="14.4" x14ac:dyDescent="0.3">
      <c r="C24" s="3"/>
      <c r="D24" s="3"/>
      <c r="E24" s="3"/>
      <c r="F24" s="3"/>
      <c r="G24" s="3"/>
      <c r="H24" s="3"/>
      <c r="I24" s="3"/>
      <c r="J24" s="3"/>
      <c r="K24" s="3"/>
      <c r="L24" s="3"/>
    </row>
    <row r="26" spans="1:12" ht="15" customHeight="1" x14ac:dyDescent="0.3">
      <c r="A26" s="202" t="s">
        <v>147</v>
      </c>
      <c r="B26" s="202"/>
      <c r="C26" s="190"/>
    </row>
    <row r="27" spans="1:12" ht="15" customHeight="1" x14ac:dyDescent="0.3">
      <c r="A27" s="115" t="s">
        <v>44</v>
      </c>
      <c r="B27" s="102" t="s">
        <v>148</v>
      </c>
      <c r="C27" s="63" t="s">
        <v>149</v>
      </c>
      <c r="D27" s="63" t="s">
        <v>150</v>
      </c>
      <c r="E27" s="64" t="s">
        <v>151</v>
      </c>
    </row>
    <row r="28" spans="1:12" ht="15" customHeight="1" x14ac:dyDescent="0.3">
      <c r="A28" s="214" t="s">
        <v>152</v>
      </c>
      <c r="B28" s="196">
        <f>F31</f>
        <v>144</v>
      </c>
      <c r="C28" s="189">
        <f>'Dades Referència'!C30</f>
        <v>50</v>
      </c>
      <c r="D28" s="189">
        <f>'Dades Referència'!C29</f>
        <v>1.5</v>
      </c>
      <c r="E28" s="189">
        <f>(B28*(C28/100)*D28)</f>
        <v>108</v>
      </c>
      <c r="F28" s="190"/>
    </row>
    <row r="29" spans="1:12" ht="15" customHeight="1" x14ac:dyDescent="0.3">
      <c r="A29" s="211"/>
      <c r="B29" s="190"/>
      <c r="C29" s="190"/>
      <c r="D29" s="190"/>
      <c r="E29" s="190"/>
      <c r="F29" s="190"/>
      <c r="G29" s="190"/>
      <c r="H29" s="190"/>
      <c r="I29" s="190"/>
      <c r="J29" s="190"/>
    </row>
    <row r="30" spans="1:12" ht="15" customHeight="1" x14ac:dyDescent="0.3">
      <c r="B30" s="54" t="s">
        <v>133</v>
      </c>
      <c r="C30" s="54" t="s">
        <v>134</v>
      </c>
      <c r="D30" s="54" t="s">
        <v>135</v>
      </c>
      <c r="E30" s="208" t="s">
        <v>136</v>
      </c>
      <c r="F30" s="212" t="s">
        <v>125</v>
      </c>
      <c r="G30" s="179"/>
      <c r="H30" s="179"/>
      <c r="I30" s="179"/>
      <c r="J30" s="190"/>
      <c r="K30" s="190"/>
    </row>
    <row r="31" spans="1:12" ht="15" customHeight="1" x14ac:dyDescent="0.3">
      <c r="A31" s="309" t="s">
        <v>191</v>
      </c>
      <c r="B31" s="58">
        <v>12</v>
      </c>
      <c r="C31" s="66">
        <v>60</v>
      </c>
      <c r="D31" s="66">
        <f t="shared" ref="D31" si="0">C31/60</f>
        <v>1</v>
      </c>
      <c r="E31" s="216">
        <v>12</v>
      </c>
      <c r="F31" s="58">
        <f>B31*E31</f>
        <v>144</v>
      </c>
      <c r="G31" s="193"/>
      <c r="H31" s="191"/>
      <c r="I31" s="194"/>
      <c r="J31" s="217"/>
      <c r="K31" s="190"/>
    </row>
    <row r="32" spans="1:12" ht="15" customHeight="1" x14ac:dyDescent="0.3">
      <c r="F32" s="190"/>
      <c r="G32" s="190"/>
      <c r="H32" s="190"/>
      <c r="I32" s="190"/>
      <c r="J32" s="190"/>
    </row>
    <row r="35" spans="1:3" ht="15" customHeight="1" x14ac:dyDescent="0.3">
      <c r="A35" s="264" t="s">
        <v>192</v>
      </c>
      <c r="B35" s="190"/>
    </row>
    <row r="36" spans="1:3" ht="15" customHeight="1" x14ac:dyDescent="0.3">
      <c r="A36" s="189" t="s">
        <v>193</v>
      </c>
      <c r="B36" s="241">
        <f>(L10)</f>
        <v>2574.0849035245715</v>
      </c>
      <c r="C36" s="190"/>
    </row>
    <row r="37" spans="1:3" ht="15" customHeight="1" x14ac:dyDescent="0.3">
      <c r="A37" s="189" t="s">
        <v>194</v>
      </c>
      <c r="B37" s="241">
        <f>(E28)</f>
        <v>108</v>
      </c>
      <c r="C37" s="190"/>
    </row>
    <row r="38" spans="1:3" ht="15" customHeight="1" x14ac:dyDescent="0.3">
      <c r="A38" s="240" t="s">
        <v>195</v>
      </c>
      <c r="B38" s="283">
        <f>B16</f>
        <v>840</v>
      </c>
      <c r="C38" s="190"/>
    </row>
    <row r="39" spans="1:3" ht="15" customHeight="1" x14ac:dyDescent="0.3">
      <c r="A39" s="189" t="s">
        <v>196</v>
      </c>
      <c r="B39" s="282">
        <f>B22</f>
        <v>2700</v>
      </c>
      <c r="C39" s="190"/>
    </row>
    <row r="40" spans="1:3" ht="15" customHeight="1" x14ac:dyDescent="0.3">
      <c r="A40" s="190"/>
      <c r="B40" s="284">
        <f>SUM(B36:B39)</f>
        <v>6222.0849035245719</v>
      </c>
    </row>
  </sheetData>
  <mergeCells count="1">
    <mergeCell ref="D15:G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19636-EB64-4CFB-9A5B-6D96D500553D}">
  <dimension ref="A1:L1003"/>
  <sheetViews>
    <sheetView topLeftCell="A52" workbookViewId="0">
      <selection activeCell="B65" sqref="B65"/>
    </sheetView>
  </sheetViews>
  <sheetFormatPr baseColWidth="10" defaultColWidth="14.44140625" defaultRowHeight="14.4" x14ac:dyDescent="0.3"/>
  <cols>
    <col min="1" max="1" width="29.21875" customWidth="1"/>
    <col min="2" max="2" width="16" customWidth="1"/>
    <col min="3" max="3" width="21.21875" customWidth="1"/>
    <col min="4" max="4" width="17.5546875" customWidth="1"/>
    <col min="5" max="5" width="18.77734375" customWidth="1"/>
    <col min="6" max="6" width="11.5546875" customWidth="1"/>
    <col min="7" max="7" width="19.77734375" customWidth="1"/>
    <col min="8" max="8" width="14.21875" customWidth="1"/>
    <col min="9" max="9" width="14" customWidth="1"/>
    <col min="10" max="10" width="8.21875" customWidth="1"/>
    <col min="11" max="11" width="5.77734375" customWidth="1"/>
    <col min="12" max="26" width="8.77734375" customWidth="1"/>
  </cols>
  <sheetData>
    <row r="1" spans="1:10" ht="30.75" customHeight="1" x14ac:dyDescent="0.3">
      <c r="A1" s="6" t="s">
        <v>99</v>
      </c>
      <c r="B1" s="22" t="s">
        <v>65</v>
      </c>
      <c r="C1" s="22" t="s">
        <v>100</v>
      </c>
      <c r="D1" s="22" t="s">
        <v>197</v>
      </c>
      <c r="E1" s="22" t="s">
        <v>101</v>
      </c>
      <c r="F1" s="22" t="s">
        <v>198</v>
      </c>
      <c r="G1" s="22" t="s">
        <v>103</v>
      </c>
      <c r="H1" s="22" t="s">
        <v>102</v>
      </c>
      <c r="I1" s="22" t="s">
        <v>199</v>
      </c>
      <c r="J1" s="22" t="s">
        <v>104</v>
      </c>
    </row>
    <row r="2" spans="1:10" ht="14.25" customHeight="1" x14ac:dyDescent="0.3">
      <c r="A2" s="23" t="s">
        <v>200</v>
      </c>
      <c r="B2" s="6">
        <v>4000</v>
      </c>
      <c r="C2" s="5">
        <v>1591</v>
      </c>
      <c r="D2" s="48">
        <v>35</v>
      </c>
      <c r="E2" s="161">
        <f>C2/4</f>
        <v>397.75</v>
      </c>
      <c r="F2" s="25">
        <v>25</v>
      </c>
      <c r="G2" s="6">
        <f>H2*0.5</f>
        <v>4450</v>
      </c>
      <c r="H2" s="130">
        <v>8900</v>
      </c>
      <c r="I2" s="26">
        <f>E2+F2</f>
        <v>422.75</v>
      </c>
      <c r="J2" s="6">
        <v>7.5</v>
      </c>
    </row>
    <row r="3" spans="1:10" ht="14.25" customHeight="1" x14ac:dyDescent="0.3">
      <c r="A3" s="23" t="s">
        <v>201</v>
      </c>
      <c r="B3" s="6"/>
      <c r="C3" s="5"/>
      <c r="D3" s="48"/>
      <c r="E3" s="161">
        <f>D3*5</f>
        <v>0</v>
      </c>
      <c r="F3" s="25">
        <f>D3*3</f>
        <v>0</v>
      </c>
      <c r="G3" s="6"/>
      <c r="H3" s="6"/>
      <c r="I3" s="26">
        <f>E3+F3</f>
        <v>0</v>
      </c>
      <c r="J3" s="6">
        <v>7.5</v>
      </c>
    </row>
    <row r="4" spans="1:10" ht="14.25" customHeight="1" x14ac:dyDescent="0.3">
      <c r="A4" s="23" t="s">
        <v>105</v>
      </c>
      <c r="B4" s="6">
        <v>486</v>
      </c>
      <c r="C4" s="5">
        <v>1073</v>
      </c>
      <c r="D4" s="48">
        <v>7</v>
      </c>
      <c r="E4" s="161">
        <f>D4*5</f>
        <v>35</v>
      </c>
      <c r="F4" s="25">
        <f>D4*3</f>
        <v>21</v>
      </c>
      <c r="G4" s="6">
        <f>H4*0.5</f>
        <v>4258</v>
      </c>
      <c r="H4" s="6">
        <f>'Dades Referència'!C20+'Dades Referència'!C21+'Dades Referència'!C22+'Dades Referència'!C23+'Dades Referència'!C24+'Dades Referència'!C25</f>
        <v>8516</v>
      </c>
      <c r="I4" s="26">
        <f>E4+F4</f>
        <v>56</v>
      </c>
      <c r="J4" s="6">
        <v>7.5</v>
      </c>
    </row>
    <row r="5" spans="1:10" ht="14.25" customHeight="1" x14ac:dyDescent="0.3">
      <c r="A5" s="23" t="s">
        <v>111</v>
      </c>
      <c r="B5" s="6">
        <v>126</v>
      </c>
      <c r="C5" s="6">
        <v>40</v>
      </c>
      <c r="D5" s="48">
        <v>2</v>
      </c>
      <c r="E5" s="161">
        <f>D5*5</f>
        <v>10</v>
      </c>
      <c r="F5" s="25">
        <f>D5*3</f>
        <v>6</v>
      </c>
      <c r="G5" s="6">
        <v>46000</v>
      </c>
      <c r="H5" s="6">
        <v>10000</v>
      </c>
      <c r="I5" s="26">
        <f>E5+F5</f>
        <v>16</v>
      </c>
      <c r="J5" s="6">
        <v>7.5</v>
      </c>
    </row>
    <row r="6" spans="1:10" ht="14.25" customHeight="1" x14ac:dyDescent="0.3">
      <c r="A6" s="23"/>
      <c r="B6" s="6"/>
      <c r="C6" s="6"/>
      <c r="E6" s="24"/>
      <c r="F6" s="25"/>
      <c r="G6" s="6"/>
      <c r="H6" s="6"/>
      <c r="I6" s="26"/>
      <c r="J6" s="6"/>
    </row>
    <row r="7" spans="1:10" ht="14.25" customHeight="1" x14ac:dyDescent="0.3">
      <c r="A7" s="23"/>
      <c r="B7" s="6"/>
      <c r="D7" s="6"/>
      <c r="E7" s="24"/>
      <c r="F7" s="25"/>
      <c r="G7" s="6"/>
      <c r="H7" s="6"/>
      <c r="I7" s="26"/>
      <c r="J7" s="6"/>
    </row>
    <row r="8" spans="1:10" ht="14.25" customHeight="1" x14ac:dyDescent="0.3">
      <c r="A8" s="23"/>
      <c r="B8" s="6">
        <f>SUM(B2:B7)</f>
        <v>4612</v>
      </c>
      <c r="C8" s="5">
        <f>SUM(C2:C5)</f>
        <v>2704</v>
      </c>
      <c r="D8" s="48">
        <f>SUM(D2:D5)</f>
        <v>44</v>
      </c>
      <c r="E8" s="161">
        <f>E2+E3+E4+E5</f>
        <v>442.75</v>
      </c>
      <c r="F8" s="161">
        <f>F2+F3+F4+F5</f>
        <v>52</v>
      </c>
      <c r="G8" s="166">
        <f>G2+G3+G4+G5</f>
        <v>54708</v>
      </c>
      <c r="H8" s="6">
        <f>SUM(H2:H7)</f>
        <v>27416</v>
      </c>
      <c r="I8" s="24">
        <f>I2+I3+I4+I5</f>
        <v>494.75</v>
      </c>
      <c r="J8" s="6"/>
    </row>
    <row r="9" spans="1:10" ht="14.25" customHeight="1" thickBot="1" x14ac:dyDescent="0.35">
      <c r="A9" s="1"/>
      <c r="B9" s="3"/>
      <c r="C9" s="3"/>
      <c r="D9" s="27"/>
      <c r="E9" s="28"/>
      <c r="F9" s="3"/>
      <c r="H9" s="28"/>
    </row>
    <row r="10" spans="1:10" ht="14.25" customHeight="1" thickBot="1" x14ac:dyDescent="0.35">
      <c r="A10" s="1" t="s">
        <v>202</v>
      </c>
      <c r="B10" s="29" t="s">
        <v>119</v>
      </c>
      <c r="C10" s="29" t="s">
        <v>120</v>
      </c>
      <c r="D10" s="29" t="s">
        <v>203</v>
      </c>
      <c r="E10" s="29" t="s">
        <v>121</v>
      </c>
    </row>
    <row r="11" spans="1:10" ht="14.25" customHeight="1" x14ac:dyDescent="0.3">
      <c r="B11" s="28">
        <f>G8+H8</f>
        <v>82124</v>
      </c>
      <c r="C11" s="3">
        <v>500</v>
      </c>
      <c r="D11" s="3">
        <v>2500</v>
      </c>
      <c r="E11" s="28">
        <f>SUM(B11:D11)</f>
        <v>85124</v>
      </c>
    </row>
    <row r="12" spans="1:10" ht="14.25" customHeight="1" thickBot="1" x14ac:dyDescent="0.35"/>
    <row r="13" spans="1:10" ht="23.25" customHeight="1" thickBot="1" x14ac:dyDescent="0.35">
      <c r="A13" s="3" t="s">
        <v>204</v>
      </c>
      <c r="B13" s="29" t="s">
        <v>205</v>
      </c>
      <c r="C13" s="29" t="s">
        <v>206</v>
      </c>
      <c r="D13" s="29" t="s">
        <v>207</v>
      </c>
      <c r="E13" s="29" t="s">
        <v>208</v>
      </c>
      <c r="F13" s="29" t="s">
        <v>209</v>
      </c>
      <c r="G13" s="29" t="s">
        <v>210</v>
      </c>
      <c r="H13" s="30" t="s">
        <v>211</v>
      </c>
    </row>
    <row r="14" spans="1:10" ht="14.25" customHeight="1" thickBot="1" x14ac:dyDescent="0.35">
      <c r="B14" s="162">
        <v>0</v>
      </c>
      <c r="C14" s="162">
        <v>0</v>
      </c>
      <c r="D14" s="162">
        <v>0</v>
      </c>
      <c r="E14" s="162">
        <v>0</v>
      </c>
      <c r="F14" s="162">
        <v>1</v>
      </c>
      <c r="G14" s="162">
        <v>0.5</v>
      </c>
      <c r="H14" s="162">
        <v>26</v>
      </c>
    </row>
    <row r="15" spans="1:10" ht="14.25" customHeight="1" x14ac:dyDescent="0.3">
      <c r="G15" s="3"/>
    </row>
    <row r="16" spans="1:10" ht="14.25" customHeight="1" x14ac:dyDescent="0.3"/>
    <row r="17" spans="1:10" ht="33.75" customHeight="1" x14ac:dyDescent="0.3">
      <c r="A17" s="6" t="s">
        <v>212</v>
      </c>
      <c r="B17" s="31" t="s">
        <v>213</v>
      </c>
      <c r="C17" s="31" t="s">
        <v>214</v>
      </c>
      <c r="D17" s="31" t="s">
        <v>215</v>
      </c>
      <c r="E17" s="31" t="s">
        <v>211</v>
      </c>
      <c r="F17" s="31" t="s">
        <v>216</v>
      </c>
      <c r="G17" s="31" t="s">
        <v>217</v>
      </c>
      <c r="H17" s="31" t="s">
        <v>89</v>
      </c>
      <c r="I17" s="31" t="s">
        <v>6</v>
      </c>
      <c r="J17" s="31" t="s">
        <v>218</v>
      </c>
    </row>
    <row r="18" spans="1:10" ht="14.25" customHeight="1" thickBot="1" x14ac:dyDescent="0.35">
      <c r="A18" s="163">
        <f>SUM(I8)/60</f>
        <v>8.2458333333333336</v>
      </c>
      <c r="B18" s="163">
        <v>7.5</v>
      </c>
      <c r="C18" s="163">
        <f>(A18)/B18</f>
        <v>1.0994444444444444</v>
      </c>
      <c r="D18" s="163">
        <v>1</v>
      </c>
      <c r="E18" s="163">
        <v>26</v>
      </c>
      <c r="F18" s="163">
        <f>A18*D18*E18</f>
        <v>214.39166666666668</v>
      </c>
      <c r="G18" s="163">
        <f>'Dades Referència'!C31</f>
        <v>1680</v>
      </c>
      <c r="H18" s="163">
        <f>F18/G18</f>
        <v>0.1276140873015873</v>
      </c>
      <c r="I18" s="163">
        <v>1.07</v>
      </c>
      <c r="J18" s="163">
        <f>H18*I18</f>
        <v>0.13654707341269842</v>
      </c>
    </row>
    <row r="19" spans="1:10" ht="14.25" customHeight="1" x14ac:dyDescent="0.3"/>
    <row r="20" spans="1:10" ht="37.5" customHeight="1" x14ac:dyDescent="0.3"/>
    <row r="21" spans="1:10" ht="14.25" customHeight="1" x14ac:dyDescent="0.3"/>
    <row r="22" spans="1:10" ht="14.25" customHeight="1" x14ac:dyDescent="0.3"/>
    <row r="23" spans="1:10" ht="14.25" customHeight="1" x14ac:dyDescent="0.3">
      <c r="B23" s="32" t="s">
        <v>124</v>
      </c>
      <c r="C23" s="6"/>
    </row>
    <row r="24" spans="1:10" ht="14.25" customHeight="1" x14ac:dyDescent="0.3">
      <c r="B24" s="26">
        <f>(E11/1000)*H14</f>
        <v>2213.2239999999997</v>
      </c>
      <c r="C24" s="22" t="s">
        <v>219</v>
      </c>
    </row>
    <row r="25" spans="1:10" ht="14.25" customHeight="1" x14ac:dyDescent="0.3">
      <c r="B25" s="26">
        <f>B24*80/100</f>
        <v>1770.5791999999999</v>
      </c>
      <c r="C25" s="22" t="s">
        <v>220</v>
      </c>
      <c r="D25" s="304" t="s">
        <v>221</v>
      </c>
    </row>
    <row r="26" spans="1:10" ht="14.25" customHeight="1" x14ac:dyDescent="0.3">
      <c r="B26" s="164">
        <f>B25*1.5</f>
        <v>2655.8687999999997</v>
      </c>
      <c r="C26" s="22" t="s">
        <v>222</v>
      </c>
      <c r="D26" s="304" t="s">
        <v>223</v>
      </c>
      <c r="I26" s="33"/>
    </row>
    <row r="27" spans="1:10" ht="14.25" customHeight="1" x14ac:dyDescent="0.3"/>
    <row r="28" spans="1:10" ht="14.25" customHeight="1" x14ac:dyDescent="0.3">
      <c r="A28" s="1" t="s">
        <v>224</v>
      </c>
      <c r="B28" s="3"/>
      <c r="C28" s="3"/>
      <c r="D28" s="3"/>
      <c r="E28" s="3"/>
    </row>
    <row r="29" spans="1:10" ht="14.25" customHeight="1" x14ac:dyDescent="0.3">
      <c r="B29" s="3"/>
      <c r="C29" s="3"/>
      <c r="D29" s="28"/>
      <c r="E29" s="3"/>
      <c r="F29" s="28"/>
    </row>
    <row r="30" spans="1:10" ht="14.25" customHeight="1" x14ac:dyDescent="0.3">
      <c r="A30" s="34" t="s">
        <v>96</v>
      </c>
      <c r="B30" s="34" t="s">
        <v>225</v>
      </c>
      <c r="C30" s="35" t="s">
        <v>98</v>
      </c>
      <c r="D30" s="34" t="s">
        <v>89</v>
      </c>
      <c r="E30" s="34" t="s">
        <v>6</v>
      </c>
      <c r="F30" s="36" t="s">
        <v>226</v>
      </c>
    </row>
    <row r="31" spans="1:10" ht="14.25" customHeight="1" x14ac:dyDescent="0.3">
      <c r="A31" s="37" t="s">
        <v>48</v>
      </c>
      <c r="B31" s="165">
        <f>F18</f>
        <v>214.39166666666668</v>
      </c>
      <c r="C31" s="6">
        <v>1680</v>
      </c>
      <c r="D31" s="26">
        <f>$B$31/$C$31</f>
        <v>0.1276140873015873</v>
      </c>
      <c r="E31" s="6">
        <v>1.07</v>
      </c>
      <c r="F31" s="26">
        <f>D31*E31</f>
        <v>0.13654707341269842</v>
      </c>
    </row>
    <row r="32" spans="1:10" ht="14.25" customHeight="1" x14ac:dyDescent="0.3"/>
    <row r="33" spans="1:12" ht="14.25" customHeight="1" x14ac:dyDescent="0.3">
      <c r="A33" s="41" t="s">
        <v>106</v>
      </c>
      <c r="B33" s="41" t="s">
        <v>107</v>
      </c>
      <c r="C33" s="41" t="s">
        <v>108</v>
      </c>
      <c r="D33" s="42" t="s">
        <v>109</v>
      </c>
      <c r="E33" s="41" t="s">
        <v>110</v>
      </c>
    </row>
    <row r="34" spans="1:12" ht="14.25" customHeight="1" x14ac:dyDescent="0.3">
      <c r="A34" s="6" t="s">
        <v>112</v>
      </c>
      <c r="B34" s="43">
        <f>'Dades Referència'!C34</f>
        <v>28737.13</v>
      </c>
      <c r="C34" s="26">
        <f>B34*36%</f>
        <v>10345.3668</v>
      </c>
      <c r="D34" s="26">
        <f>B34+C34</f>
        <v>39082.496800000001</v>
      </c>
      <c r="E34" s="26">
        <f>D34*F31</f>
        <v>5336.6005597011508</v>
      </c>
    </row>
    <row r="35" spans="1:12" ht="14.25" customHeight="1" x14ac:dyDescent="0.3">
      <c r="A35" s="6"/>
      <c r="B35" s="6"/>
      <c r="C35" s="6"/>
      <c r="D35" s="44" t="s">
        <v>116</v>
      </c>
      <c r="E35" s="44">
        <f>E34</f>
        <v>5336.6005597011508</v>
      </c>
    </row>
    <row r="36" spans="1:12" ht="14.25" customHeight="1" x14ac:dyDescent="0.3"/>
    <row r="37" spans="1:12" ht="14.25" customHeight="1" x14ac:dyDescent="0.3"/>
    <row r="38" spans="1:12" ht="14.25" customHeight="1" x14ac:dyDescent="0.3"/>
    <row r="39" spans="1:12" ht="14.25" customHeight="1" x14ac:dyDescent="0.3">
      <c r="A39" s="202" t="s">
        <v>131</v>
      </c>
      <c r="B39" s="202"/>
      <c r="C39" s="190"/>
    </row>
    <row r="40" spans="1:12" ht="14.25" customHeight="1" x14ac:dyDescent="0.3">
      <c r="A40" s="219" t="s">
        <v>132</v>
      </c>
      <c r="B40" s="220" t="s">
        <v>133</v>
      </c>
      <c r="C40" s="54" t="s">
        <v>134</v>
      </c>
      <c r="D40" s="54" t="s">
        <v>135</v>
      </c>
      <c r="E40" s="54" t="s">
        <v>136</v>
      </c>
      <c r="F40" s="54" t="s">
        <v>125</v>
      </c>
      <c r="G40" s="54" t="s">
        <v>126</v>
      </c>
      <c r="H40" s="54" t="s">
        <v>127</v>
      </c>
      <c r="I40" s="54" t="s">
        <v>128</v>
      </c>
    </row>
    <row r="41" spans="1:12" ht="14.25" customHeight="1" x14ac:dyDescent="0.3">
      <c r="A41" s="189" t="s">
        <v>26</v>
      </c>
      <c r="B41" s="189">
        <v>208</v>
      </c>
      <c r="C41" s="218">
        <v>130</v>
      </c>
      <c r="D41" s="66">
        <f t="shared" ref="D41" si="0">C41/60</f>
        <v>2.1666666666666665</v>
      </c>
      <c r="E41" s="174">
        <v>7</v>
      </c>
      <c r="F41" s="58">
        <f t="shared" ref="F41" si="1">B41*E41</f>
        <v>1456</v>
      </c>
      <c r="G41" s="60">
        <f t="shared" ref="G41" si="2">H41/52</f>
        <v>0.29166666666666663</v>
      </c>
      <c r="H41" s="58">
        <f t="shared" ref="H41" si="3">D41*E41</f>
        <v>15.166666666666666</v>
      </c>
      <c r="I41" s="173">
        <v>1680</v>
      </c>
    </row>
    <row r="42" spans="1:12" ht="14.25" customHeight="1" x14ac:dyDescent="0.3">
      <c r="A42" s="190"/>
      <c r="B42" s="190"/>
    </row>
    <row r="43" spans="1:12" ht="14.25" customHeight="1" x14ac:dyDescent="0.3"/>
    <row r="44" spans="1:12" ht="14.25" customHeight="1" x14ac:dyDescent="0.3">
      <c r="J44" s="190"/>
      <c r="K44" s="190"/>
    </row>
    <row r="45" spans="1:12" ht="14.25" customHeight="1" x14ac:dyDescent="0.3">
      <c r="A45" s="72" t="s">
        <v>142</v>
      </c>
      <c r="B45" s="197" t="s">
        <v>143</v>
      </c>
      <c r="C45" s="197" t="s">
        <v>144</v>
      </c>
      <c r="D45" s="197" t="s">
        <v>145</v>
      </c>
      <c r="E45" s="197" t="s">
        <v>146</v>
      </c>
      <c r="F45" s="197" t="s">
        <v>137</v>
      </c>
      <c r="G45" s="197" t="s">
        <v>138</v>
      </c>
      <c r="H45" s="197" t="s">
        <v>139</v>
      </c>
      <c r="I45" s="198" t="s">
        <v>140</v>
      </c>
      <c r="J45" s="4" t="s">
        <v>178</v>
      </c>
      <c r="K45" s="179"/>
      <c r="L45" s="190"/>
    </row>
    <row r="46" spans="1:12" ht="14.25" customHeight="1" x14ac:dyDescent="0.3">
      <c r="A46" s="190"/>
      <c r="B46" s="221">
        <f>(H41/I41)</f>
        <v>9.0277777777777769E-3</v>
      </c>
      <c r="C46" s="222">
        <f>(B46*0.08)</f>
        <v>7.2222222222222219E-4</v>
      </c>
      <c r="D46" s="222">
        <f>(B46*0.05)</f>
        <v>4.5138888888888887E-4</v>
      </c>
      <c r="E46" s="196">
        <f>(B46+C46+D46)</f>
        <v>1.0201388888888887E-2</v>
      </c>
      <c r="F46" s="196">
        <f>'Dades Referència'!C34</f>
        <v>28737.13</v>
      </c>
      <c r="G46" s="196">
        <f>(F46*0.36)</f>
        <v>10345.3668</v>
      </c>
      <c r="H46" s="196">
        <f>(F46*E46)</f>
        <v>293.1586386805555</v>
      </c>
      <c r="I46" s="196">
        <f>(H46*0.36)</f>
        <v>105.53710992499998</v>
      </c>
      <c r="J46" s="223">
        <f>H46+I46</f>
        <v>398.69574860555548</v>
      </c>
      <c r="K46" s="190"/>
    </row>
    <row r="47" spans="1:12" ht="14.25" customHeight="1" x14ac:dyDescent="0.3">
      <c r="B47" s="190"/>
      <c r="C47" s="190"/>
      <c r="D47" s="190"/>
      <c r="E47" s="190"/>
      <c r="F47" s="190"/>
      <c r="G47" s="190"/>
      <c r="H47" s="190"/>
      <c r="I47" s="190"/>
      <c r="J47" s="190"/>
    </row>
    <row r="48" spans="1:12" ht="14.25" customHeight="1" x14ac:dyDescent="0.3">
      <c r="A48" t="s">
        <v>227</v>
      </c>
    </row>
    <row r="49" spans="1:8" ht="14.25" customHeight="1" x14ac:dyDescent="0.3">
      <c r="A49" s="6" t="s">
        <v>228</v>
      </c>
      <c r="B49" s="96" t="s">
        <v>148</v>
      </c>
      <c r="C49" s="63" t="s">
        <v>149</v>
      </c>
      <c r="D49" s="63" t="s">
        <v>150</v>
      </c>
      <c r="E49" s="64" t="s">
        <v>151</v>
      </c>
    </row>
    <row r="50" spans="1:8" ht="14.25" customHeight="1" x14ac:dyDescent="0.3">
      <c r="A50" s="190"/>
      <c r="B50" s="189">
        <v>208</v>
      </c>
      <c r="C50" s="189">
        <v>50</v>
      </c>
      <c r="D50" s="189">
        <v>1.5</v>
      </c>
      <c r="E50" s="189">
        <f>(B50*(C50/100)*VIDRE!D50)</f>
        <v>156</v>
      </c>
      <c r="F50" s="190"/>
    </row>
    <row r="51" spans="1:8" ht="14.25" customHeight="1" x14ac:dyDescent="0.3">
      <c r="B51" s="190"/>
      <c r="C51" s="190"/>
      <c r="D51" s="190"/>
      <c r="E51" s="190"/>
    </row>
    <row r="52" spans="1:8" ht="14.25" customHeight="1" x14ac:dyDescent="0.3"/>
    <row r="53" spans="1:8" ht="43.5" customHeight="1" x14ac:dyDescent="0.3">
      <c r="A53" s="224" t="s">
        <v>153</v>
      </c>
      <c r="B53" s="225" t="s">
        <v>154</v>
      </c>
      <c r="C53" s="225" t="s">
        <v>155</v>
      </c>
      <c r="D53" s="225" t="s">
        <v>156</v>
      </c>
      <c r="E53" s="230" t="s">
        <v>157</v>
      </c>
      <c r="F53" s="230" t="s">
        <v>158</v>
      </c>
    </row>
    <row r="54" spans="1:8" ht="14.25" customHeight="1" x14ac:dyDescent="0.3">
      <c r="A54" s="226" t="s">
        <v>229</v>
      </c>
      <c r="B54" s="227">
        <v>1</v>
      </c>
      <c r="C54" s="228">
        <v>53.08</v>
      </c>
      <c r="D54" s="229">
        <v>26</v>
      </c>
      <c r="E54" s="196">
        <v>26</v>
      </c>
      <c r="F54" s="196">
        <f>(C54+D54)*E54</f>
        <v>2056.08</v>
      </c>
      <c r="G54" s="190"/>
    </row>
    <row r="55" spans="1:8" ht="14.25" customHeight="1" x14ac:dyDescent="0.3">
      <c r="E55" s="190"/>
      <c r="F55" s="190"/>
    </row>
    <row r="56" spans="1:8" ht="14.25" customHeight="1" x14ac:dyDescent="0.3">
      <c r="A56" s="190"/>
      <c r="E56" s="190"/>
      <c r="F56" s="190"/>
    </row>
    <row r="57" spans="1:8" ht="14.25" customHeight="1" x14ac:dyDescent="0.3">
      <c r="A57" s="261" t="s">
        <v>230</v>
      </c>
      <c r="B57" s="190"/>
      <c r="E57" s="190"/>
      <c r="F57" s="190"/>
    </row>
    <row r="58" spans="1:8" ht="33.75" customHeight="1" x14ac:dyDescent="0.3">
      <c r="A58" s="260" t="s">
        <v>231</v>
      </c>
      <c r="B58" s="92" t="s">
        <v>232</v>
      </c>
      <c r="C58" s="93" t="s">
        <v>154</v>
      </c>
      <c r="D58" s="93" t="s">
        <v>233</v>
      </c>
      <c r="E58" s="93" t="s">
        <v>234</v>
      </c>
      <c r="F58" s="93" t="s">
        <v>235</v>
      </c>
      <c r="G58" s="93" t="s">
        <v>236</v>
      </c>
      <c r="H58" s="93" t="s">
        <v>237</v>
      </c>
    </row>
    <row r="59" spans="1:8" ht="14.25" customHeight="1" x14ac:dyDescent="0.3">
      <c r="A59" s="82" t="s">
        <v>238</v>
      </c>
      <c r="B59" s="82" t="s">
        <v>239</v>
      </c>
      <c r="C59" s="83">
        <v>47</v>
      </c>
      <c r="D59" s="88">
        <v>870</v>
      </c>
      <c r="E59" s="84">
        <f t="shared" ref="E59" si="4">D59*C59</f>
        <v>40890</v>
      </c>
      <c r="F59" s="83">
        <v>5</v>
      </c>
      <c r="G59" s="84">
        <f t="shared" ref="G59" si="5">E59/F59</f>
        <v>8178</v>
      </c>
      <c r="H59" s="94">
        <f>G59*0.1</f>
        <v>817.80000000000007</v>
      </c>
    </row>
    <row r="60" spans="1:8" ht="14.25" customHeight="1" x14ac:dyDescent="0.3">
      <c r="A60" s="190"/>
      <c r="B60" s="190"/>
    </row>
    <row r="61" spans="1:8" ht="14.25" customHeight="1" x14ac:dyDescent="0.3">
      <c r="A61" s="265" t="s">
        <v>240</v>
      </c>
      <c r="B61" s="190"/>
    </row>
    <row r="62" spans="1:8" ht="14.25" customHeight="1" x14ac:dyDescent="0.3">
      <c r="A62" s="244" t="s">
        <v>241</v>
      </c>
      <c r="B62" s="241">
        <f>H59</f>
        <v>817.80000000000007</v>
      </c>
      <c r="C62" s="190"/>
    </row>
    <row r="63" spans="1:8" ht="14.25" customHeight="1" x14ac:dyDescent="0.3">
      <c r="A63" s="189" t="s">
        <v>242</v>
      </c>
      <c r="B63" s="241">
        <f>(E35+J46)</f>
        <v>5735.2963083067061</v>
      </c>
      <c r="C63" s="190"/>
    </row>
    <row r="64" spans="1:8" ht="14.25" customHeight="1" x14ac:dyDescent="0.3">
      <c r="A64" s="240" t="s">
        <v>243</v>
      </c>
      <c r="B64" s="242">
        <f>(B26+E50)</f>
        <v>2811.8687999999997</v>
      </c>
      <c r="C64" s="190"/>
    </row>
    <row r="65" spans="1:3" ht="14.25" customHeight="1" x14ac:dyDescent="0.3">
      <c r="A65" s="240" t="s">
        <v>244</v>
      </c>
      <c r="B65" s="242">
        <f>'INVERSIONS VIDRE'!G6+'INVERSIONS VIDRE'!I6</f>
        <v>10222.5</v>
      </c>
      <c r="C65" s="190"/>
    </row>
    <row r="66" spans="1:3" ht="14.25" customHeight="1" x14ac:dyDescent="0.3">
      <c r="A66" s="189" t="s">
        <v>196</v>
      </c>
      <c r="B66" s="242">
        <f>F54</f>
        <v>2056.08</v>
      </c>
      <c r="C66" s="190"/>
    </row>
    <row r="67" spans="1:3" ht="14.25" customHeight="1" x14ac:dyDescent="0.3">
      <c r="A67" s="190"/>
      <c r="B67" s="301">
        <f>SUM(B62:B66)</f>
        <v>21643.545108306709</v>
      </c>
      <c r="C67" s="190"/>
    </row>
    <row r="68" spans="1:3" ht="14.25" customHeight="1" x14ac:dyDescent="0.3">
      <c r="B68" s="190"/>
    </row>
    <row r="69" spans="1:3" ht="14.25" customHeight="1" x14ac:dyDescent="0.3"/>
    <row r="70" spans="1:3" ht="14.25" customHeight="1" x14ac:dyDescent="0.3"/>
    <row r="71" spans="1:3" ht="14.25" customHeight="1" x14ac:dyDescent="0.3"/>
    <row r="72" spans="1:3" ht="14.25" customHeight="1" x14ac:dyDescent="0.3"/>
    <row r="73" spans="1:3" ht="14.25" customHeight="1" x14ac:dyDescent="0.3"/>
    <row r="74" spans="1:3" ht="14.25" customHeight="1" x14ac:dyDescent="0.3"/>
    <row r="75" spans="1:3" ht="14.25" customHeight="1" x14ac:dyDescent="0.3"/>
    <row r="76" spans="1:3" ht="14.25" customHeight="1" x14ac:dyDescent="0.3"/>
    <row r="77" spans="1:3" ht="14.25" customHeight="1" x14ac:dyDescent="0.3"/>
    <row r="78" spans="1:3" ht="14.25" customHeight="1" x14ac:dyDescent="0.3"/>
    <row r="79" spans="1:3" ht="14.25" customHeight="1" x14ac:dyDescent="0.3"/>
    <row r="80" spans="1:3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978"/>
  <sheetViews>
    <sheetView zoomScale="85" zoomScaleNormal="85" workbookViewId="0">
      <pane ySplit="5" topLeftCell="A25" activePane="bottomLeft" state="frozen"/>
      <selection pane="bottomLeft" activeCell="C16" sqref="C16"/>
    </sheetView>
  </sheetViews>
  <sheetFormatPr baseColWidth="10" defaultColWidth="14.44140625" defaultRowHeight="15" customHeight="1" x14ac:dyDescent="0.3"/>
  <cols>
    <col min="1" max="1" width="40.109375" customWidth="1"/>
    <col min="2" max="2" width="34.109375" customWidth="1"/>
    <col min="3" max="3" width="10.77734375" customWidth="1"/>
    <col min="4" max="4" width="27.21875" customWidth="1"/>
    <col min="5" max="5" width="26.109375" customWidth="1"/>
    <col min="6" max="6" width="18.88671875" customWidth="1"/>
    <col min="7" max="7" width="33.109375" customWidth="1"/>
    <col min="8" max="24" width="10.77734375" customWidth="1"/>
  </cols>
  <sheetData>
    <row r="1" spans="1:24" ht="33" customHeight="1" x14ac:dyDescent="0.35">
      <c r="A1" s="331" t="s">
        <v>34</v>
      </c>
      <c r="B1" s="332"/>
      <c r="C1" s="332"/>
      <c r="D1" s="332"/>
      <c r="E1" s="332"/>
      <c r="F1" s="332"/>
      <c r="G1" s="332"/>
      <c r="H1" s="332"/>
      <c r="I1" s="76"/>
      <c r="J1" s="76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</row>
    <row r="2" spans="1:24" ht="21.75" customHeight="1" x14ac:dyDescent="0.35">
      <c r="A2" s="319"/>
      <c r="B2" s="319"/>
      <c r="C2" s="319"/>
      <c r="D2" s="319"/>
      <c r="E2" s="319"/>
      <c r="F2" s="319"/>
      <c r="G2" s="319"/>
      <c r="H2" s="319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</row>
    <row r="3" spans="1:24" ht="21.75" customHeight="1" x14ac:dyDescent="0.35">
      <c r="A3" s="186" t="s">
        <v>245</v>
      </c>
      <c r="B3" s="186"/>
      <c r="C3" s="187"/>
      <c r="D3" s="187"/>
      <c r="E3" s="187"/>
      <c r="F3" s="187"/>
      <c r="G3" s="187"/>
      <c r="H3" s="211"/>
    </row>
    <row r="4" spans="1:24" ht="21.75" customHeight="1" x14ac:dyDescent="0.35">
      <c r="A4" s="77"/>
      <c r="B4" s="77"/>
      <c r="C4" s="2"/>
      <c r="D4" s="2"/>
      <c r="E4" s="2"/>
      <c r="F4" s="2"/>
      <c r="G4" s="2"/>
      <c r="H4" s="190"/>
      <c r="I4" s="190"/>
    </row>
    <row r="5" spans="1:24" ht="31.5" customHeight="1" x14ac:dyDescent="0.3">
      <c r="A5" s="78" t="s">
        <v>231</v>
      </c>
      <c r="B5" s="78" t="s">
        <v>232</v>
      </c>
      <c r="C5" s="79" t="s">
        <v>154</v>
      </c>
      <c r="D5" s="79" t="s">
        <v>233</v>
      </c>
      <c r="E5" s="79" t="s">
        <v>234</v>
      </c>
      <c r="F5" s="79" t="s">
        <v>235</v>
      </c>
      <c r="G5" s="80" t="s">
        <v>236</v>
      </c>
      <c r="H5" s="78" t="s">
        <v>246</v>
      </c>
      <c r="I5" s="78" t="s">
        <v>247</v>
      </c>
      <c r="J5" s="274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</row>
    <row r="6" spans="1:24" ht="21.75" customHeight="1" x14ac:dyDescent="0.3">
      <c r="A6" s="85" t="s">
        <v>248</v>
      </c>
      <c r="B6" s="86" t="s">
        <v>249</v>
      </c>
      <c r="C6" s="87">
        <v>47</v>
      </c>
      <c r="D6" s="88">
        <v>870</v>
      </c>
      <c r="E6" s="89">
        <f>C6*D6</f>
        <v>40890</v>
      </c>
      <c r="F6" s="87">
        <v>5</v>
      </c>
      <c r="G6" s="273">
        <f t="shared" ref="G6" si="0">E6/F6</f>
        <v>8178</v>
      </c>
      <c r="H6" s="271">
        <v>0.05</v>
      </c>
      <c r="I6" s="272">
        <f>(E6*H6*F6)/5</f>
        <v>2044.5</v>
      </c>
      <c r="J6" s="190"/>
    </row>
    <row r="7" spans="1:24" ht="21.75" customHeight="1" x14ac:dyDescent="0.3">
      <c r="A7" s="1"/>
      <c r="B7" s="1"/>
      <c r="C7" s="21"/>
      <c r="D7" s="188"/>
      <c r="E7" s="90"/>
      <c r="F7" s="90"/>
      <c r="G7" s="90">
        <f>SUM(G6:G6)</f>
        <v>8178</v>
      </c>
      <c r="H7" s="190"/>
      <c r="I7" s="190"/>
    </row>
    <row r="8" spans="1:24" ht="21.75" customHeight="1" x14ac:dyDescent="0.3">
      <c r="C8" s="2"/>
      <c r="D8" s="188"/>
      <c r="E8" s="2"/>
      <c r="F8" s="2"/>
      <c r="G8" s="2"/>
    </row>
    <row r="9" spans="1:24" ht="21.75" customHeight="1" x14ac:dyDescent="0.3">
      <c r="C9" s="2"/>
      <c r="D9" s="188"/>
      <c r="E9" s="2"/>
      <c r="F9" s="2"/>
      <c r="G9" s="2"/>
    </row>
    <row r="10" spans="1:24" ht="21.75" customHeight="1" x14ac:dyDescent="0.3">
      <c r="C10" s="2"/>
      <c r="D10" s="2"/>
      <c r="E10" s="2"/>
      <c r="F10" s="2"/>
      <c r="G10" s="2"/>
    </row>
    <row r="11" spans="1:24" ht="21.75" customHeight="1" x14ac:dyDescent="0.3">
      <c r="C11" s="2"/>
      <c r="D11" s="2"/>
      <c r="E11" s="2"/>
      <c r="F11" s="2"/>
      <c r="G11" s="2"/>
    </row>
    <row r="12" spans="1:24" ht="21.75" customHeight="1" x14ac:dyDescent="0.3">
      <c r="C12" s="2"/>
      <c r="D12" s="2"/>
      <c r="E12" s="2"/>
      <c r="F12" s="2"/>
      <c r="G12" s="2"/>
    </row>
    <row r="13" spans="1:24" ht="21.75" customHeight="1" x14ac:dyDescent="0.3">
      <c r="C13" s="2"/>
      <c r="D13" s="2"/>
      <c r="E13" s="2"/>
      <c r="F13" s="2"/>
      <c r="G13" s="2"/>
    </row>
    <row r="14" spans="1:24" ht="21.75" customHeight="1" x14ac:dyDescent="0.3">
      <c r="C14" s="2"/>
      <c r="D14" s="2"/>
      <c r="E14" s="2"/>
      <c r="F14" s="2"/>
      <c r="G14" s="2"/>
    </row>
    <row r="15" spans="1:24" ht="21.75" customHeight="1" x14ac:dyDescent="0.3">
      <c r="C15" s="2"/>
      <c r="D15" s="2"/>
      <c r="E15" s="2"/>
      <c r="F15" s="2"/>
      <c r="G15" s="2"/>
    </row>
    <row r="16" spans="1:24" ht="21.75" customHeight="1" x14ac:dyDescent="0.3">
      <c r="C16" s="2"/>
      <c r="D16" s="2"/>
      <c r="E16" s="2"/>
      <c r="F16" s="2"/>
      <c r="G16" s="2"/>
    </row>
    <row r="17" spans="3:7" ht="21.75" customHeight="1" x14ac:dyDescent="0.3">
      <c r="C17" s="2"/>
      <c r="D17" s="2"/>
      <c r="E17" s="2"/>
      <c r="F17" s="2"/>
      <c r="G17" s="2"/>
    </row>
    <row r="18" spans="3:7" ht="21.75" customHeight="1" x14ac:dyDescent="0.3">
      <c r="C18" s="2"/>
      <c r="D18" s="2"/>
      <c r="E18" s="2"/>
      <c r="F18" s="2"/>
      <c r="G18" s="2"/>
    </row>
    <row r="19" spans="3:7" ht="21.75" customHeight="1" x14ac:dyDescent="0.3">
      <c r="C19" s="2"/>
      <c r="D19" s="2"/>
      <c r="E19" s="2"/>
      <c r="F19" s="2"/>
      <c r="G19" s="2"/>
    </row>
    <row r="20" spans="3:7" ht="21.75" customHeight="1" x14ac:dyDescent="0.3">
      <c r="C20" s="2"/>
      <c r="D20" s="2"/>
      <c r="E20" s="2"/>
      <c r="F20" s="2"/>
      <c r="G20" s="2"/>
    </row>
    <row r="21" spans="3:7" ht="21.75" customHeight="1" x14ac:dyDescent="0.3">
      <c r="C21" s="2"/>
      <c r="D21" s="2"/>
      <c r="E21" s="2"/>
      <c r="F21" s="2"/>
      <c r="G21" s="2"/>
    </row>
    <row r="22" spans="3:7" ht="21.75" customHeight="1" x14ac:dyDescent="0.3">
      <c r="C22" s="2"/>
      <c r="D22" s="2"/>
      <c r="E22" s="2"/>
      <c r="F22" s="2"/>
      <c r="G22" s="2"/>
    </row>
    <row r="23" spans="3:7" ht="21.75" customHeight="1" x14ac:dyDescent="0.3">
      <c r="C23" s="2"/>
      <c r="D23" s="2"/>
      <c r="E23" s="2"/>
      <c r="F23" s="2"/>
      <c r="G23" s="2"/>
    </row>
    <row r="24" spans="3:7" ht="21.75" customHeight="1" x14ac:dyDescent="0.3">
      <c r="C24" s="2"/>
      <c r="D24" s="2"/>
      <c r="E24" s="2"/>
      <c r="F24" s="2"/>
      <c r="G24" s="2"/>
    </row>
    <row r="25" spans="3:7" ht="21.75" customHeight="1" x14ac:dyDescent="0.3">
      <c r="C25" s="2"/>
      <c r="D25" s="2"/>
      <c r="E25" s="2"/>
      <c r="F25" s="2"/>
      <c r="G25" s="2"/>
    </row>
    <row r="26" spans="3:7" ht="21.75" customHeight="1" x14ac:dyDescent="0.3">
      <c r="C26" s="2"/>
      <c r="D26" s="2"/>
      <c r="E26" s="2"/>
      <c r="F26" s="2"/>
      <c r="G26" s="2"/>
    </row>
    <row r="27" spans="3:7" ht="21.75" customHeight="1" x14ac:dyDescent="0.3">
      <c r="C27" s="2"/>
      <c r="D27" s="2"/>
      <c r="E27" s="2"/>
      <c r="F27" s="2"/>
      <c r="G27" s="2"/>
    </row>
    <row r="28" spans="3:7" ht="21.75" customHeight="1" x14ac:dyDescent="0.3">
      <c r="C28" s="2"/>
      <c r="D28" s="2"/>
      <c r="E28" s="2"/>
      <c r="F28" s="2"/>
      <c r="G28" s="2"/>
    </row>
    <row r="29" spans="3:7" ht="21.75" customHeight="1" x14ac:dyDescent="0.3">
      <c r="C29" s="2"/>
      <c r="D29" s="2"/>
      <c r="E29" s="2"/>
      <c r="F29" s="2"/>
      <c r="G29" s="2"/>
    </row>
    <row r="30" spans="3:7" ht="21.75" customHeight="1" x14ac:dyDescent="0.3">
      <c r="C30" s="2"/>
      <c r="D30" s="2"/>
      <c r="E30" s="2"/>
      <c r="F30" s="2"/>
      <c r="G30" s="2"/>
    </row>
    <row r="31" spans="3:7" ht="21.75" customHeight="1" x14ac:dyDescent="0.3">
      <c r="C31" s="2"/>
      <c r="D31" s="2"/>
      <c r="E31" s="2"/>
      <c r="F31" s="2"/>
      <c r="G31" s="2"/>
    </row>
    <row r="32" spans="3:7" ht="21.75" customHeight="1" x14ac:dyDescent="0.3">
      <c r="C32" s="2"/>
      <c r="D32" s="2"/>
      <c r="E32" s="2"/>
      <c r="F32" s="2"/>
      <c r="G32" s="2"/>
    </row>
    <row r="33" spans="3:7" ht="21.75" customHeight="1" x14ac:dyDescent="0.3">
      <c r="C33" s="2"/>
      <c r="D33" s="2"/>
      <c r="E33" s="2"/>
      <c r="F33" s="2"/>
      <c r="G33" s="2"/>
    </row>
    <row r="34" spans="3:7" ht="21.75" customHeight="1" x14ac:dyDescent="0.3">
      <c r="C34" s="2"/>
      <c r="D34" s="2"/>
      <c r="E34" s="2"/>
      <c r="F34" s="2"/>
      <c r="G34" s="2"/>
    </row>
    <row r="35" spans="3:7" ht="21.75" customHeight="1" x14ac:dyDescent="0.3">
      <c r="C35" s="2"/>
      <c r="D35" s="2"/>
      <c r="E35" s="2"/>
      <c r="F35" s="2"/>
      <c r="G35" s="2"/>
    </row>
    <row r="36" spans="3:7" ht="21.75" customHeight="1" x14ac:dyDescent="0.3">
      <c r="C36" s="2"/>
      <c r="D36" s="2"/>
      <c r="E36" s="2"/>
      <c r="F36" s="2"/>
      <c r="G36" s="2"/>
    </row>
    <row r="37" spans="3:7" ht="21.75" customHeight="1" x14ac:dyDescent="0.3">
      <c r="C37" s="2"/>
      <c r="D37" s="2"/>
      <c r="E37" s="2"/>
      <c r="F37" s="2"/>
      <c r="G37" s="2"/>
    </row>
    <row r="38" spans="3:7" ht="21.75" customHeight="1" x14ac:dyDescent="0.3">
      <c r="C38" s="2"/>
      <c r="D38" s="2"/>
      <c r="E38" s="2"/>
      <c r="F38" s="2"/>
      <c r="G38" s="2"/>
    </row>
    <row r="39" spans="3:7" ht="21.75" customHeight="1" x14ac:dyDescent="0.3">
      <c r="C39" s="2"/>
      <c r="D39" s="2"/>
      <c r="E39" s="2"/>
      <c r="F39" s="2"/>
      <c r="G39" s="2"/>
    </row>
    <row r="40" spans="3:7" ht="21.75" customHeight="1" x14ac:dyDescent="0.3">
      <c r="C40" s="2"/>
      <c r="D40" s="2"/>
      <c r="E40" s="2"/>
      <c r="F40" s="2"/>
      <c r="G40" s="2"/>
    </row>
    <row r="41" spans="3:7" ht="21.75" customHeight="1" x14ac:dyDescent="0.3">
      <c r="C41" s="2"/>
      <c r="D41" s="2"/>
      <c r="E41" s="2"/>
      <c r="F41" s="2"/>
      <c r="G41" s="2"/>
    </row>
    <row r="42" spans="3:7" ht="21.75" customHeight="1" x14ac:dyDescent="0.3">
      <c r="C42" s="2"/>
      <c r="D42" s="2"/>
      <c r="E42" s="2"/>
      <c r="F42" s="2"/>
      <c r="G42" s="2"/>
    </row>
    <row r="43" spans="3:7" ht="21.75" customHeight="1" x14ac:dyDescent="0.3">
      <c r="C43" s="2"/>
      <c r="D43" s="2"/>
      <c r="E43" s="2"/>
      <c r="F43" s="2"/>
      <c r="G43" s="2"/>
    </row>
    <row r="44" spans="3:7" ht="21.75" customHeight="1" x14ac:dyDescent="0.3">
      <c r="C44" s="2"/>
      <c r="D44" s="2"/>
      <c r="E44" s="2"/>
      <c r="F44" s="2"/>
      <c r="G44" s="2"/>
    </row>
    <row r="45" spans="3:7" ht="21.75" customHeight="1" x14ac:dyDescent="0.3">
      <c r="C45" s="2"/>
      <c r="D45" s="2"/>
      <c r="E45" s="2"/>
      <c r="F45" s="2"/>
      <c r="G45" s="2"/>
    </row>
    <row r="46" spans="3:7" ht="21.75" customHeight="1" x14ac:dyDescent="0.3">
      <c r="C46" s="2"/>
      <c r="D46" s="2"/>
      <c r="E46" s="2"/>
      <c r="F46" s="2"/>
      <c r="G46" s="2"/>
    </row>
    <row r="47" spans="3:7" ht="21.75" customHeight="1" x14ac:dyDescent="0.3">
      <c r="C47" s="2"/>
      <c r="D47" s="2"/>
      <c r="E47" s="2"/>
      <c r="F47" s="2"/>
      <c r="G47" s="2"/>
    </row>
    <row r="48" spans="3:7" ht="21.75" customHeight="1" x14ac:dyDescent="0.3">
      <c r="C48" s="2"/>
      <c r="D48" s="2"/>
      <c r="E48" s="2"/>
      <c r="F48" s="2"/>
      <c r="G48" s="2"/>
    </row>
    <row r="49" spans="3:7" ht="21.75" customHeight="1" x14ac:dyDescent="0.3">
      <c r="C49" s="2"/>
      <c r="D49" s="2"/>
      <c r="E49" s="2"/>
      <c r="F49" s="2"/>
      <c r="G49" s="2"/>
    </row>
    <row r="50" spans="3:7" ht="21.75" customHeight="1" x14ac:dyDescent="0.3">
      <c r="C50" s="2"/>
      <c r="D50" s="2"/>
      <c r="E50" s="2"/>
      <c r="F50" s="2"/>
      <c r="G50" s="2"/>
    </row>
    <row r="51" spans="3:7" ht="21.75" customHeight="1" x14ac:dyDescent="0.3">
      <c r="C51" s="2"/>
      <c r="D51" s="2"/>
      <c r="E51" s="2"/>
      <c r="F51" s="2"/>
      <c r="G51" s="2"/>
    </row>
    <row r="52" spans="3:7" ht="21.75" customHeight="1" x14ac:dyDescent="0.3">
      <c r="C52" s="2"/>
      <c r="D52" s="2"/>
      <c r="E52" s="2"/>
      <c r="F52" s="2"/>
      <c r="G52" s="2"/>
    </row>
    <row r="53" spans="3:7" ht="21.75" customHeight="1" x14ac:dyDescent="0.3">
      <c r="C53" s="2"/>
      <c r="D53" s="2"/>
      <c r="E53" s="2"/>
      <c r="F53" s="2"/>
      <c r="G53" s="2"/>
    </row>
    <row r="54" spans="3:7" ht="21.75" customHeight="1" x14ac:dyDescent="0.3">
      <c r="C54" s="2"/>
      <c r="D54" s="2"/>
      <c r="E54" s="2"/>
      <c r="F54" s="2"/>
      <c r="G54" s="2"/>
    </row>
    <row r="55" spans="3:7" ht="21.75" customHeight="1" x14ac:dyDescent="0.3">
      <c r="C55" s="2"/>
      <c r="D55" s="2"/>
      <c r="E55" s="2"/>
      <c r="F55" s="2"/>
      <c r="G55" s="2"/>
    </row>
    <row r="56" spans="3:7" ht="21.75" customHeight="1" x14ac:dyDescent="0.3">
      <c r="C56" s="2"/>
      <c r="D56" s="2"/>
      <c r="E56" s="2"/>
      <c r="F56" s="2"/>
      <c r="G56" s="2"/>
    </row>
    <row r="57" spans="3:7" ht="21.75" customHeight="1" x14ac:dyDescent="0.3">
      <c r="C57" s="2"/>
      <c r="D57" s="2"/>
      <c r="E57" s="2"/>
      <c r="F57" s="2"/>
      <c r="G57" s="2"/>
    </row>
    <row r="58" spans="3:7" ht="21.75" customHeight="1" x14ac:dyDescent="0.3">
      <c r="C58" s="2"/>
      <c r="D58" s="2"/>
      <c r="E58" s="2"/>
      <c r="F58" s="2"/>
      <c r="G58" s="2"/>
    </row>
    <row r="59" spans="3:7" ht="21.75" customHeight="1" x14ac:dyDescent="0.3">
      <c r="C59" s="2"/>
      <c r="D59" s="2"/>
      <c r="E59" s="2"/>
      <c r="F59" s="2"/>
      <c r="G59" s="2"/>
    </row>
    <row r="60" spans="3:7" ht="21.75" customHeight="1" x14ac:dyDescent="0.3">
      <c r="C60" s="2"/>
      <c r="D60" s="2"/>
      <c r="E60" s="2"/>
      <c r="F60" s="2"/>
      <c r="G60" s="2"/>
    </row>
    <row r="61" spans="3:7" ht="21.75" customHeight="1" x14ac:dyDescent="0.3">
      <c r="C61" s="2"/>
      <c r="D61" s="2"/>
      <c r="E61" s="2"/>
      <c r="F61" s="2"/>
      <c r="G61" s="2"/>
    </row>
    <row r="62" spans="3:7" ht="21.75" customHeight="1" x14ac:dyDescent="0.3">
      <c r="C62" s="2"/>
      <c r="D62" s="2"/>
      <c r="E62" s="2"/>
      <c r="F62" s="2"/>
      <c r="G62" s="2"/>
    </row>
    <row r="63" spans="3:7" ht="21.75" customHeight="1" x14ac:dyDescent="0.3">
      <c r="C63" s="2"/>
      <c r="D63" s="2"/>
      <c r="E63" s="2"/>
      <c r="F63" s="2"/>
      <c r="G63" s="2"/>
    </row>
    <row r="64" spans="3:7" ht="21.75" customHeight="1" x14ac:dyDescent="0.3">
      <c r="C64" s="2"/>
      <c r="D64" s="2"/>
      <c r="E64" s="2"/>
      <c r="F64" s="2"/>
      <c r="G64" s="2"/>
    </row>
    <row r="65" spans="3:7" ht="21.75" customHeight="1" x14ac:dyDescent="0.3">
      <c r="C65" s="2"/>
      <c r="D65" s="2"/>
      <c r="E65" s="2"/>
      <c r="F65" s="2"/>
      <c r="G65" s="2"/>
    </row>
    <row r="66" spans="3:7" ht="21.75" customHeight="1" x14ac:dyDescent="0.3">
      <c r="C66" s="2"/>
      <c r="D66" s="2"/>
      <c r="E66" s="2"/>
      <c r="F66" s="2"/>
      <c r="G66" s="2"/>
    </row>
    <row r="67" spans="3:7" ht="21.75" customHeight="1" x14ac:dyDescent="0.3">
      <c r="C67" s="2"/>
      <c r="D67" s="2"/>
      <c r="E67" s="2"/>
      <c r="F67" s="2"/>
      <c r="G67" s="2"/>
    </row>
    <row r="68" spans="3:7" ht="21.75" customHeight="1" x14ac:dyDescent="0.3">
      <c r="C68" s="2"/>
      <c r="D68" s="2"/>
      <c r="E68" s="2"/>
      <c r="F68" s="2"/>
      <c r="G68" s="2"/>
    </row>
    <row r="69" spans="3:7" ht="21.75" customHeight="1" x14ac:dyDescent="0.3">
      <c r="C69" s="2"/>
      <c r="D69" s="2"/>
      <c r="E69" s="2"/>
      <c r="F69" s="2"/>
      <c r="G69" s="2"/>
    </row>
    <row r="70" spans="3:7" ht="21.75" customHeight="1" x14ac:dyDescent="0.3">
      <c r="C70" s="2"/>
      <c r="D70" s="2"/>
      <c r="E70" s="2"/>
      <c r="F70" s="2"/>
      <c r="G70" s="2"/>
    </row>
    <row r="71" spans="3:7" ht="21.75" customHeight="1" x14ac:dyDescent="0.3">
      <c r="C71" s="2"/>
      <c r="D71" s="2"/>
      <c r="E71" s="2"/>
      <c r="F71" s="2"/>
      <c r="G71" s="2"/>
    </row>
    <row r="72" spans="3:7" ht="21.75" customHeight="1" x14ac:dyDescent="0.3">
      <c r="C72" s="2"/>
      <c r="D72" s="2"/>
      <c r="E72" s="2"/>
      <c r="F72" s="2"/>
      <c r="G72" s="2"/>
    </row>
    <row r="73" spans="3:7" ht="21.75" customHeight="1" x14ac:dyDescent="0.3">
      <c r="C73" s="2"/>
      <c r="D73" s="2"/>
      <c r="E73" s="2"/>
      <c r="F73" s="2"/>
      <c r="G73" s="2"/>
    </row>
    <row r="74" spans="3:7" ht="21.75" customHeight="1" x14ac:dyDescent="0.3">
      <c r="C74" s="2"/>
      <c r="D74" s="2"/>
      <c r="E74" s="2"/>
      <c r="F74" s="2"/>
      <c r="G74" s="2"/>
    </row>
    <row r="75" spans="3:7" ht="21.75" customHeight="1" x14ac:dyDescent="0.3">
      <c r="C75" s="2"/>
      <c r="D75" s="2"/>
      <c r="E75" s="2"/>
      <c r="F75" s="2"/>
      <c r="G75" s="2"/>
    </row>
    <row r="76" spans="3:7" ht="21.75" customHeight="1" x14ac:dyDescent="0.3">
      <c r="C76" s="2"/>
      <c r="D76" s="2"/>
      <c r="E76" s="2"/>
      <c r="F76" s="2"/>
      <c r="G76" s="2"/>
    </row>
    <row r="77" spans="3:7" ht="21.75" customHeight="1" x14ac:dyDescent="0.3">
      <c r="C77" s="2"/>
      <c r="D77" s="2"/>
      <c r="E77" s="2"/>
      <c r="F77" s="2"/>
      <c r="G77" s="2"/>
    </row>
    <row r="78" spans="3:7" ht="21.75" customHeight="1" x14ac:dyDescent="0.3">
      <c r="C78" s="2"/>
      <c r="D78" s="2"/>
      <c r="E78" s="2"/>
      <c r="F78" s="2"/>
      <c r="G78" s="2"/>
    </row>
    <row r="79" spans="3:7" ht="21.75" customHeight="1" x14ac:dyDescent="0.3">
      <c r="C79" s="2"/>
      <c r="D79" s="2"/>
      <c r="E79" s="2"/>
      <c r="F79" s="2"/>
      <c r="G79" s="2"/>
    </row>
    <row r="80" spans="3:7" ht="21.75" customHeight="1" x14ac:dyDescent="0.3">
      <c r="C80" s="2"/>
      <c r="D80" s="2"/>
      <c r="E80" s="2"/>
      <c r="F80" s="2"/>
      <c r="G80" s="2"/>
    </row>
    <row r="81" spans="3:7" ht="21.75" customHeight="1" x14ac:dyDescent="0.3">
      <c r="C81" s="2"/>
      <c r="D81" s="2"/>
      <c r="E81" s="2"/>
      <c r="F81" s="2"/>
      <c r="G81" s="2"/>
    </row>
    <row r="82" spans="3:7" ht="21.75" customHeight="1" x14ac:dyDescent="0.3">
      <c r="C82" s="2"/>
      <c r="D82" s="2"/>
      <c r="E82" s="2"/>
      <c r="F82" s="2"/>
      <c r="G82" s="2"/>
    </row>
    <row r="83" spans="3:7" ht="21.75" customHeight="1" x14ac:dyDescent="0.3">
      <c r="C83" s="2"/>
      <c r="D83" s="2"/>
      <c r="E83" s="2"/>
      <c r="F83" s="2"/>
      <c r="G83" s="2"/>
    </row>
    <row r="84" spans="3:7" ht="21.75" customHeight="1" x14ac:dyDescent="0.3">
      <c r="C84" s="2"/>
      <c r="D84" s="2"/>
      <c r="E84" s="2"/>
      <c r="F84" s="2"/>
      <c r="G84" s="2"/>
    </row>
    <row r="85" spans="3:7" ht="21.75" customHeight="1" x14ac:dyDescent="0.3">
      <c r="C85" s="2"/>
      <c r="D85" s="2"/>
      <c r="E85" s="2"/>
      <c r="F85" s="2"/>
      <c r="G85" s="2"/>
    </row>
    <row r="86" spans="3:7" ht="21.75" customHeight="1" x14ac:dyDescent="0.3">
      <c r="C86" s="2"/>
      <c r="D86" s="2"/>
      <c r="E86" s="2"/>
      <c r="F86" s="2"/>
      <c r="G86" s="2"/>
    </row>
    <row r="87" spans="3:7" ht="21.75" customHeight="1" x14ac:dyDescent="0.3">
      <c r="C87" s="2"/>
      <c r="D87" s="2"/>
      <c r="E87" s="2"/>
      <c r="F87" s="2"/>
      <c r="G87" s="2"/>
    </row>
    <row r="88" spans="3:7" ht="21.75" customHeight="1" x14ac:dyDescent="0.3">
      <c r="C88" s="2"/>
      <c r="D88" s="2"/>
      <c r="E88" s="2"/>
      <c r="F88" s="2"/>
      <c r="G88" s="2"/>
    </row>
    <row r="89" spans="3:7" ht="21.75" customHeight="1" x14ac:dyDescent="0.3">
      <c r="C89" s="2"/>
      <c r="D89" s="2"/>
      <c r="E89" s="2"/>
      <c r="F89" s="2"/>
      <c r="G89" s="2"/>
    </row>
    <row r="90" spans="3:7" ht="21.75" customHeight="1" x14ac:dyDescent="0.3">
      <c r="C90" s="2"/>
      <c r="D90" s="2"/>
      <c r="E90" s="2"/>
      <c r="F90" s="2"/>
      <c r="G90" s="2"/>
    </row>
    <row r="91" spans="3:7" ht="21.75" customHeight="1" x14ac:dyDescent="0.3">
      <c r="C91" s="2"/>
      <c r="D91" s="2"/>
      <c r="E91" s="2"/>
      <c r="F91" s="2"/>
      <c r="G91" s="2"/>
    </row>
    <row r="92" spans="3:7" ht="21.75" customHeight="1" x14ac:dyDescent="0.3">
      <c r="C92" s="2"/>
      <c r="D92" s="2"/>
      <c r="E92" s="2"/>
      <c r="F92" s="2"/>
      <c r="G92" s="2"/>
    </row>
    <row r="93" spans="3:7" ht="21.75" customHeight="1" x14ac:dyDescent="0.3">
      <c r="C93" s="2"/>
      <c r="D93" s="2"/>
      <c r="E93" s="2"/>
      <c r="F93" s="2"/>
      <c r="G93" s="2"/>
    </row>
    <row r="94" spans="3:7" ht="21.75" customHeight="1" x14ac:dyDescent="0.3">
      <c r="C94" s="2"/>
      <c r="D94" s="2"/>
      <c r="E94" s="2"/>
      <c r="F94" s="2"/>
      <c r="G94" s="2"/>
    </row>
    <row r="95" spans="3:7" ht="21.75" customHeight="1" x14ac:dyDescent="0.3">
      <c r="C95" s="2"/>
      <c r="D95" s="2"/>
      <c r="E95" s="2"/>
      <c r="F95" s="2"/>
      <c r="G95" s="2"/>
    </row>
    <row r="96" spans="3:7" ht="21.75" customHeight="1" x14ac:dyDescent="0.3">
      <c r="C96" s="2"/>
      <c r="D96" s="2"/>
      <c r="E96" s="2"/>
      <c r="F96" s="2"/>
      <c r="G96" s="2"/>
    </row>
    <row r="97" spans="3:7" ht="21.75" customHeight="1" x14ac:dyDescent="0.3">
      <c r="C97" s="2"/>
      <c r="D97" s="2"/>
      <c r="E97" s="2"/>
      <c r="F97" s="2"/>
      <c r="G97" s="2"/>
    </row>
    <row r="98" spans="3:7" ht="21.75" customHeight="1" x14ac:dyDescent="0.3">
      <c r="C98" s="2"/>
      <c r="D98" s="2"/>
      <c r="E98" s="2"/>
      <c r="F98" s="2"/>
      <c r="G98" s="2"/>
    </row>
    <row r="99" spans="3:7" ht="21.75" customHeight="1" x14ac:dyDescent="0.3">
      <c r="C99" s="2"/>
      <c r="D99" s="2"/>
      <c r="E99" s="2"/>
      <c r="F99" s="2"/>
      <c r="G99" s="2"/>
    </row>
    <row r="100" spans="3:7" ht="21.75" customHeight="1" x14ac:dyDescent="0.3">
      <c r="C100" s="2"/>
      <c r="D100" s="2"/>
      <c r="E100" s="2"/>
      <c r="F100" s="2"/>
      <c r="G100" s="2"/>
    </row>
    <row r="101" spans="3:7" ht="21.75" customHeight="1" x14ac:dyDescent="0.3">
      <c r="C101" s="2"/>
      <c r="D101" s="2"/>
      <c r="E101" s="2"/>
      <c r="F101" s="2"/>
      <c r="G101" s="2"/>
    </row>
    <row r="102" spans="3:7" ht="21.75" customHeight="1" x14ac:dyDescent="0.3">
      <c r="C102" s="2"/>
      <c r="D102" s="2"/>
      <c r="E102" s="2"/>
      <c r="F102" s="2"/>
      <c r="G102" s="2"/>
    </row>
    <row r="103" spans="3:7" ht="21.75" customHeight="1" x14ac:dyDescent="0.3">
      <c r="C103" s="2"/>
      <c r="D103" s="2"/>
      <c r="E103" s="2"/>
      <c r="F103" s="2"/>
      <c r="G103" s="2"/>
    </row>
    <row r="104" spans="3:7" ht="21.75" customHeight="1" x14ac:dyDescent="0.3">
      <c r="C104" s="2"/>
      <c r="D104" s="2"/>
      <c r="E104" s="2"/>
      <c r="F104" s="2"/>
      <c r="G104" s="2"/>
    </row>
    <row r="105" spans="3:7" ht="21.75" customHeight="1" x14ac:dyDescent="0.3">
      <c r="C105" s="2"/>
      <c r="D105" s="2"/>
      <c r="E105" s="2"/>
      <c r="F105" s="2"/>
      <c r="G105" s="2"/>
    </row>
    <row r="106" spans="3:7" ht="21.75" customHeight="1" x14ac:dyDescent="0.3">
      <c r="C106" s="2"/>
      <c r="D106" s="2"/>
      <c r="E106" s="2"/>
      <c r="F106" s="2"/>
      <c r="G106" s="2"/>
    </row>
    <row r="107" spans="3:7" ht="21.75" customHeight="1" x14ac:dyDescent="0.3">
      <c r="C107" s="2"/>
      <c r="D107" s="2"/>
      <c r="E107" s="2"/>
      <c r="F107" s="2"/>
      <c r="G107" s="2"/>
    </row>
    <row r="108" spans="3:7" ht="21.75" customHeight="1" x14ac:dyDescent="0.3">
      <c r="C108" s="2"/>
      <c r="D108" s="2"/>
      <c r="E108" s="2"/>
      <c r="F108" s="2"/>
      <c r="G108" s="2"/>
    </row>
    <row r="109" spans="3:7" ht="21.75" customHeight="1" x14ac:dyDescent="0.3">
      <c r="C109" s="2"/>
      <c r="D109" s="2"/>
      <c r="E109" s="2"/>
      <c r="F109" s="2"/>
      <c r="G109" s="2"/>
    </row>
    <row r="110" spans="3:7" ht="21.75" customHeight="1" x14ac:dyDescent="0.3">
      <c r="C110" s="2"/>
      <c r="D110" s="2"/>
      <c r="E110" s="2"/>
      <c r="F110" s="2"/>
      <c r="G110" s="2"/>
    </row>
    <row r="111" spans="3:7" ht="21.75" customHeight="1" x14ac:dyDescent="0.3">
      <c r="C111" s="2"/>
      <c r="D111" s="2"/>
      <c r="E111" s="2"/>
      <c r="F111" s="2"/>
      <c r="G111" s="2"/>
    </row>
    <row r="112" spans="3:7" ht="21.75" customHeight="1" x14ac:dyDescent="0.3">
      <c r="C112" s="2"/>
      <c r="D112" s="2"/>
      <c r="E112" s="2"/>
      <c r="F112" s="2"/>
      <c r="G112" s="2"/>
    </row>
    <row r="113" spans="3:7" ht="21.75" customHeight="1" x14ac:dyDescent="0.3">
      <c r="C113" s="2"/>
      <c r="D113" s="2"/>
      <c r="E113" s="2"/>
      <c r="F113" s="2"/>
      <c r="G113" s="2"/>
    </row>
    <row r="114" spans="3:7" ht="21.75" customHeight="1" x14ac:dyDescent="0.3">
      <c r="C114" s="2"/>
      <c r="D114" s="2"/>
      <c r="E114" s="2"/>
      <c r="F114" s="2"/>
      <c r="G114" s="2"/>
    </row>
    <row r="115" spans="3:7" ht="21.75" customHeight="1" x14ac:dyDescent="0.3">
      <c r="C115" s="2"/>
      <c r="D115" s="2"/>
      <c r="E115" s="2"/>
      <c r="F115" s="2"/>
      <c r="G115" s="2"/>
    </row>
    <row r="116" spans="3:7" ht="21.75" customHeight="1" x14ac:dyDescent="0.3">
      <c r="C116" s="2"/>
      <c r="D116" s="2"/>
      <c r="E116" s="2"/>
      <c r="F116" s="2"/>
      <c r="G116" s="2"/>
    </row>
    <row r="117" spans="3:7" ht="21.75" customHeight="1" x14ac:dyDescent="0.3">
      <c r="C117" s="2"/>
      <c r="D117" s="2"/>
      <c r="E117" s="2"/>
      <c r="F117" s="2"/>
      <c r="G117" s="2"/>
    </row>
    <row r="118" spans="3:7" ht="21.75" customHeight="1" x14ac:dyDescent="0.3">
      <c r="C118" s="2"/>
      <c r="D118" s="2"/>
      <c r="E118" s="2"/>
      <c r="F118" s="2"/>
      <c r="G118" s="2"/>
    </row>
    <row r="119" spans="3:7" ht="21.75" customHeight="1" x14ac:dyDescent="0.3">
      <c r="C119" s="2"/>
      <c r="D119" s="2"/>
      <c r="E119" s="2"/>
      <c r="F119" s="2"/>
      <c r="G119" s="2"/>
    </row>
    <row r="120" spans="3:7" ht="21.75" customHeight="1" x14ac:dyDescent="0.3">
      <c r="C120" s="2"/>
      <c r="D120" s="2"/>
      <c r="E120" s="2"/>
      <c r="F120" s="2"/>
      <c r="G120" s="2"/>
    </row>
    <row r="121" spans="3:7" ht="21.75" customHeight="1" x14ac:dyDescent="0.3">
      <c r="C121" s="2"/>
      <c r="D121" s="2"/>
      <c r="E121" s="2"/>
      <c r="F121" s="2"/>
      <c r="G121" s="2"/>
    </row>
    <row r="122" spans="3:7" ht="21.75" customHeight="1" x14ac:dyDescent="0.3">
      <c r="C122" s="2"/>
      <c r="D122" s="2"/>
      <c r="E122" s="2"/>
      <c r="F122" s="2"/>
      <c r="G122" s="2"/>
    </row>
    <row r="123" spans="3:7" ht="21.75" customHeight="1" x14ac:dyDescent="0.3">
      <c r="C123" s="2"/>
      <c r="D123" s="2"/>
      <c r="E123" s="2"/>
      <c r="F123" s="2"/>
      <c r="G123" s="2"/>
    </row>
    <row r="124" spans="3:7" ht="21.75" customHeight="1" x14ac:dyDescent="0.3">
      <c r="C124" s="2"/>
      <c r="D124" s="2"/>
      <c r="E124" s="2"/>
      <c r="F124" s="2"/>
      <c r="G124" s="2"/>
    </row>
    <row r="125" spans="3:7" ht="21.75" customHeight="1" x14ac:dyDescent="0.3">
      <c r="C125" s="2"/>
      <c r="D125" s="2"/>
      <c r="E125" s="2"/>
      <c r="F125" s="2"/>
      <c r="G125" s="2"/>
    </row>
    <row r="126" spans="3:7" ht="21.75" customHeight="1" x14ac:dyDescent="0.3">
      <c r="C126" s="2"/>
      <c r="D126" s="2"/>
      <c r="E126" s="2"/>
      <c r="F126" s="2"/>
      <c r="G126" s="2"/>
    </row>
    <row r="127" spans="3:7" ht="21.75" customHeight="1" x14ac:dyDescent="0.3">
      <c r="C127" s="2"/>
      <c r="D127" s="2"/>
      <c r="E127" s="2"/>
      <c r="F127" s="2"/>
      <c r="G127" s="2"/>
    </row>
    <row r="128" spans="3:7" ht="21.75" customHeight="1" x14ac:dyDescent="0.3">
      <c r="C128" s="2"/>
      <c r="D128" s="2"/>
      <c r="E128" s="2"/>
      <c r="F128" s="2"/>
      <c r="G128" s="2"/>
    </row>
    <row r="129" spans="3:7" ht="21.75" customHeight="1" x14ac:dyDescent="0.3">
      <c r="C129" s="2"/>
      <c r="D129" s="2"/>
      <c r="E129" s="2"/>
      <c r="F129" s="2"/>
      <c r="G129" s="2"/>
    </row>
    <row r="130" spans="3:7" ht="21.75" customHeight="1" x14ac:dyDescent="0.3">
      <c r="C130" s="2"/>
      <c r="D130" s="2"/>
      <c r="E130" s="2"/>
      <c r="F130" s="2"/>
      <c r="G130" s="2"/>
    </row>
    <row r="131" spans="3:7" ht="21.75" customHeight="1" x14ac:dyDescent="0.3">
      <c r="C131" s="2"/>
      <c r="D131" s="2"/>
      <c r="E131" s="2"/>
      <c r="F131" s="2"/>
      <c r="G131" s="2"/>
    </row>
    <row r="132" spans="3:7" ht="21.75" customHeight="1" x14ac:dyDescent="0.3">
      <c r="C132" s="2"/>
      <c r="D132" s="2"/>
      <c r="E132" s="2"/>
      <c r="F132" s="2"/>
      <c r="G132" s="2"/>
    </row>
    <row r="133" spans="3:7" ht="21.75" customHeight="1" x14ac:dyDescent="0.3">
      <c r="C133" s="2"/>
      <c r="D133" s="2"/>
      <c r="E133" s="2"/>
      <c r="F133" s="2"/>
      <c r="G133" s="2"/>
    </row>
    <row r="134" spans="3:7" ht="21.75" customHeight="1" x14ac:dyDescent="0.3">
      <c r="C134" s="2"/>
      <c r="D134" s="2"/>
      <c r="E134" s="2"/>
      <c r="F134" s="2"/>
      <c r="G134" s="2"/>
    </row>
    <row r="135" spans="3:7" ht="21.75" customHeight="1" x14ac:dyDescent="0.3">
      <c r="C135" s="2"/>
      <c r="D135" s="2"/>
      <c r="E135" s="2"/>
      <c r="F135" s="2"/>
      <c r="G135" s="2"/>
    </row>
    <row r="136" spans="3:7" ht="21.75" customHeight="1" x14ac:dyDescent="0.3">
      <c r="C136" s="2"/>
      <c r="D136" s="2"/>
      <c r="E136" s="2"/>
      <c r="F136" s="2"/>
      <c r="G136" s="2"/>
    </row>
    <row r="137" spans="3:7" ht="21.75" customHeight="1" x14ac:dyDescent="0.3">
      <c r="C137" s="2"/>
      <c r="D137" s="2"/>
      <c r="E137" s="2"/>
      <c r="F137" s="2"/>
      <c r="G137" s="2"/>
    </row>
    <row r="138" spans="3:7" ht="21.75" customHeight="1" x14ac:dyDescent="0.3">
      <c r="C138" s="2"/>
      <c r="D138" s="2"/>
      <c r="E138" s="2"/>
      <c r="F138" s="2"/>
      <c r="G138" s="2"/>
    </row>
    <row r="139" spans="3:7" ht="21.75" customHeight="1" x14ac:dyDescent="0.3">
      <c r="C139" s="2"/>
      <c r="D139" s="2"/>
      <c r="E139" s="2"/>
      <c r="F139" s="2"/>
      <c r="G139" s="2"/>
    </row>
    <row r="140" spans="3:7" ht="21.75" customHeight="1" x14ac:dyDescent="0.3">
      <c r="C140" s="2"/>
      <c r="D140" s="2"/>
      <c r="E140" s="2"/>
      <c r="F140" s="2"/>
      <c r="G140" s="2"/>
    </row>
    <row r="141" spans="3:7" ht="21.75" customHeight="1" x14ac:dyDescent="0.3">
      <c r="C141" s="2"/>
      <c r="D141" s="2"/>
      <c r="E141" s="2"/>
      <c r="F141" s="2"/>
      <c r="G141" s="2"/>
    </row>
    <row r="142" spans="3:7" ht="21.75" customHeight="1" x14ac:dyDescent="0.3">
      <c r="C142" s="2"/>
      <c r="D142" s="2"/>
      <c r="E142" s="2"/>
      <c r="F142" s="2"/>
      <c r="G142" s="2"/>
    </row>
    <row r="143" spans="3:7" ht="21.75" customHeight="1" x14ac:dyDescent="0.3">
      <c r="C143" s="2"/>
      <c r="D143" s="2"/>
      <c r="E143" s="2"/>
      <c r="F143" s="2"/>
      <c r="G143" s="2"/>
    </row>
    <row r="144" spans="3:7" ht="21.75" customHeight="1" x14ac:dyDescent="0.3">
      <c r="C144" s="2"/>
      <c r="D144" s="2"/>
      <c r="E144" s="2"/>
      <c r="F144" s="2"/>
      <c r="G144" s="2"/>
    </row>
    <row r="145" spans="3:7" ht="21.75" customHeight="1" x14ac:dyDescent="0.3">
      <c r="C145" s="2"/>
      <c r="D145" s="2"/>
      <c r="E145" s="2"/>
      <c r="F145" s="2"/>
      <c r="G145" s="2"/>
    </row>
    <row r="146" spans="3:7" ht="21.75" customHeight="1" x14ac:dyDescent="0.3">
      <c r="C146" s="2"/>
      <c r="D146" s="2"/>
      <c r="E146" s="2"/>
      <c r="F146" s="2"/>
      <c r="G146" s="2"/>
    </row>
    <row r="147" spans="3:7" ht="21.75" customHeight="1" x14ac:dyDescent="0.3">
      <c r="C147" s="2"/>
      <c r="D147" s="2"/>
      <c r="E147" s="2"/>
      <c r="F147" s="2"/>
      <c r="G147" s="2"/>
    </row>
    <row r="148" spans="3:7" ht="21.75" customHeight="1" x14ac:dyDescent="0.3">
      <c r="C148" s="2"/>
      <c r="D148" s="2"/>
      <c r="E148" s="2"/>
      <c r="F148" s="2"/>
      <c r="G148" s="2"/>
    </row>
    <row r="149" spans="3:7" ht="21.75" customHeight="1" x14ac:dyDescent="0.3">
      <c r="C149" s="2"/>
      <c r="D149" s="2"/>
      <c r="E149" s="2"/>
      <c r="F149" s="2"/>
      <c r="G149" s="2"/>
    </row>
    <row r="150" spans="3:7" ht="21.75" customHeight="1" x14ac:dyDescent="0.3">
      <c r="C150" s="2"/>
      <c r="D150" s="2"/>
      <c r="E150" s="2"/>
      <c r="F150" s="2"/>
      <c r="G150" s="2"/>
    </row>
    <row r="151" spans="3:7" ht="21.75" customHeight="1" x14ac:dyDescent="0.3">
      <c r="C151" s="2"/>
      <c r="D151" s="2"/>
      <c r="E151" s="2"/>
      <c r="F151" s="2"/>
      <c r="G151" s="2"/>
    </row>
    <row r="152" spans="3:7" ht="21.75" customHeight="1" x14ac:dyDescent="0.3">
      <c r="C152" s="2"/>
      <c r="D152" s="2"/>
      <c r="E152" s="2"/>
      <c r="F152" s="2"/>
      <c r="G152" s="2"/>
    </row>
    <row r="153" spans="3:7" ht="21.75" customHeight="1" x14ac:dyDescent="0.3">
      <c r="C153" s="2"/>
      <c r="D153" s="2"/>
      <c r="E153" s="2"/>
      <c r="F153" s="2"/>
      <c r="G153" s="2"/>
    </row>
    <row r="154" spans="3:7" ht="21.75" customHeight="1" x14ac:dyDescent="0.3">
      <c r="C154" s="2"/>
      <c r="D154" s="2"/>
      <c r="E154" s="2"/>
      <c r="F154" s="2"/>
      <c r="G154" s="2"/>
    </row>
    <row r="155" spans="3:7" ht="21.75" customHeight="1" x14ac:dyDescent="0.3">
      <c r="C155" s="2"/>
      <c r="D155" s="2"/>
      <c r="E155" s="2"/>
      <c r="F155" s="2"/>
      <c r="G155" s="2"/>
    </row>
    <row r="156" spans="3:7" ht="21.75" customHeight="1" x14ac:dyDescent="0.3">
      <c r="C156" s="2"/>
      <c r="D156" s="2"/>
      <c r="E156" s="2"/>
      <c r="F156" s="2"/>
      <c r="G156" s="2"/>
    </row>
    <row r="157" spans="3:7" ht="21.75" customHeight="1" x14ac:dyDescent="0.3">
      <c r="C157" s="2"/>
      <c r="D157" s="2"/>
      <c r="E157" s="2"/>
      <c r="F157" s="2"/>
      <c r="G157" s="2"/>
    </row>
    <row r="158" spans="3:7" ht="21.75" customHeight="1" x14ac:dyDescent="0.3">
      <c r="C158" s="2"/>
      <c r="D158" s="2"/>
      <c r="E158" s="2"/>
      <c r="F158" s="2"/>
      <c r="G158" s="2"/>
    </row>
    <row r="159" spans="3:7" ht="21.75" customHeight="1" x14ac:dyDescent="0.3">
      <c r="C159" s="2"/>
      <c r="D159" s="2"/>
      <c r="E159" s="2"/>
      <c r="F159" s="2"/>
      <c r="G159" s="2"/>
    </row>
    <row r="160" spans="3:7" ht="21.75" customHeight="1" x14ac:dyDescent="0.3">
      <c r="C160" s="2"/>
      <c r="D160" s="2"/>
      <c r="E160" s="2"/>
      <c r="F160" s="2"/>
      <c r="G160" s="2"/>
    </row>
    <row r="161" spans="3:7" ht="21.75" customHeight="1" x14ac:dyDescent="0.3">
      <c r="C161" s="2"/>
      <c r="D161" s="2"/>
      <c r="E161" s="2"/>
      <c r="F161" s="2"/>
      <c r="G161" s="2"/>
    </row>
    <row r="162" spans="3:7" ht="21.75" customHeight="1" x14ac:dyDescent="0.3">
      <c r="C162" s="2"/>
      <c r="D162" s="2"/>
      <c r="E162" s="2"/>
      <c r="F162" s="2"/>
      <c r="G162" s="2"/>
    </row>
    <row r="163" spans="3:7" ht="21.75" customHeight="1" x14ac:dyDescent="0.3">
      <c r="C163" s="2"/>
      <c r="D163" s="2"/>
      <c r="E163" s="2"/>
      <c r="F163" s="2"/>
      <c r="G163" s="2"/>
    </row>
    <row r="164" spans="3:7" ht="21.75" customHeight="1" x14ac:dyDescent="0.3">
      <c r="C164" s="2"/>
      <c r="D164" s="2"/>
      <c r="E164" s="2"/>
      <c r="F164" s="2"/>
      <c r="G164" s="2"/>
    </row>
    <row r="165" spans="3:7" ht="21.75" customHeight="1" x14ac:dyDescent="0.3">
      <c r="C165" s="2"/>
      <c r="D165" s="2"/>
      <c r="E165" s="2"/>
      <c r="F165" s="2"/>
      <c r="G165" s="2"/>
    </row>
    <row r="166" spans="3:7" ht="21.75" customHeight="1" x14ac:dyDescent="0.3">
      <c r="C166" s="2"/>
      <c r="D166" s="2"/>
      <c r="E166" s="2"/>
      <c r="F166" s="2"/>
      <c r="G166" s="2"/>
    </row>
    <row r="167" spans="3:7" ht="21.75" customHeight="1" x14ac:dyDescent="0.3">
      <c r="C167" s="2"/>
      <c r="D167" s="2"/>
      <c r="E167" s="2"/>
      <c r="F167" s="2"/>
      <c r="G167" s="2"/>
    </row>
    <row r="168" spans="3:7" ht="21.75" customHeight="1" x14ac:dyDescent="0.3">
      <c r="C168" s="2"/>
      <c r="D168" s="2"/>
      <c r="E168" s="2"/>
      <c r="F168" s="2"/>
      <c r="G168" s="2"/>
    </row>
    <row r="169" spans="3:7" ht="21.75" customHeight="1" x14ac:dyDescent="0.3">
      <c r="C169" s="2"/>
      <c r="D169" s="2"/>
      <c r="E169" s="2"/>
      <c r="F169" s="2"/>
      <c r="G169" s="2"/>
    </row>
    <row r="170" spans="3:7" ht="21.75" customHeight="1" x14ac:dyDescent="0.3">
      <c r="C170" s="2"/>
      <c r="D170" s="2"/>
      <c r="E170" s="2"/>
      <c r="F170" s="2"/>
      <c r="G170" s="2"/>
    </row>
    <row r="171" spans="3:7" ht="21.75" customHeight="1" x14ac:dyDescent="0.3">
      <c r="C171" s="2"/>
      <c r="D171" s="2"/>
      <c r="E171" s="2"/>
      <c r="F171" s="2"/>
      <c r="G171" s="2"/>
    </row>
    <row r="172" spans="3:7" ht="21.75" customHeight="1" x14ac:dyDescent="0.3">
      <c r="C172" s="2"/>
      <c r="D172" s="2"/>
      <c r="E172" s="2"/>
      <c r="F172" s="2"/>
      <c r="G172" s="2"/>
    </row>
    <row r="173" spans="3:7" ht="21.75" customHeight="1" x14ac:dyDescent="0.3">
      <c r="C173" s="2"/>
      <c r="D173" s="2"/>
      <c r="E173" s="2"/>
      <c r="F173" s="2"/>
      <c r="G173" s="2"/>
    </row>
    <row r="174" spans="3:7" ht="21.75" customHeight="1" x14ac:dyDescent="0.3">
      <c r="C174" s="2"/>
      <c r="D174" s="2"/>
      <c r="E174" s="2"/>
      <c r="F174" s="2"/>
      <c r="G174" s="2"/>
    </row>
    <row r="175" spans="3:7" ht="21.75" customHeight="1" x14ac:dyDescent="0.3">
      <c r="C175" s="2"/>
      <c r="D175" s="2"/>
      <c r="E175" s="2"/>
      <c r="F175" s="2"/>
      <c r="G175" s="2"/>
    </row>
    <row r="176" spans="3:7" ht="21.75" customHeight="1" x14ac:dyDescent="0.3">
      <c r="C176" s="2"/>
      <c r="D176" s="2"/>
      <c r="E176" s="2"/>
      <c r="F176" s="2"/>
      <c r="G176" s="2"/>
    </row>
    <row r="177" spans="3:7" ht="21.75" customHeight="1" x14ac:dyDescent="0.3">
      <c r="C177" s="2"/>
      <c r="D177" s="2"/>
      <c r="E177" s="2"/>
      <c r="F177" s="2"/>
      <c r="G177" s="2"/>
    </row>
    <row r="178" spans="3:7" ht="21.75" customHeight="1" x14ac:dyDescent="0.3">
      <c r="C178" s="2"/>
      <c r="D178" s="2"/>
      <c r="E178" s="2"/>
      <c r="F178" s="2"/>
      <c r="G178" s="2"/>
    </row>
    <row r="179" spans="3:7" ht="21.75" customHeight="1" x14ac:dyDescent="0.3">
      <c r="C179" s="2"/>
      <c r="D179" s="2"/>
      <c r="E179" s="2"/>
      <c r="F179" s="2"/>
      <c r="G179" s="2"/>
    </row>
    <row r="180" spans="3:7" ht="21.75" customHeight="1" x14ac:dyDescent="0.3">
      <c r="C180" s="2"/>
      <c r="D180" s="2"/>
      <c r="E180" s="2"/>
      <c r="F180" s="2"/>
      <c r="G180" s="2"/>
    </row>
    <row r="181" spans="3:7" ht="21.75" customHeight="1" x14ac:dyDescent="0.3">
      <c r="C181" s="2"/>
      <c r="D181" s="2"/>
      <c r="E181" s="2"/>
      <c r="F181" s="2"/>
      <c r="G181" s="2"/>
    </row>
    <row r="182" spans="3:7" ht="21.75" customHeight="1" x14ac:dyDescent="0.3">
      <c r="C182" s="2"/>
      <c r="D182" s="2"/>
      <c r="E182" s="2"/>
      <c r="F182" s="2"/>
      <c r="G182" s="2"/>
    </row>
    <row r="183" spans="3:7" ht="21.75" customHeight="1" x14ac:dyDescent="0.3">
      <c r="C183" s="2"/>
      <c r="D183" s="2"/>
      <c r="E183" s="2"/>
      <c r="F183" s="2"/>
      <c r="G183" s="2"/>
    </row>
    <row r="184" spans="3:7" ht="21.75" customHeight="1" x14ac:dyDescent="0.3">
      <c r="C184" s="2"/>
      <c r="D184" s="2"/>
      <c r="E184" s="2"/>
      <c r="F184" s="2"/>
      <c r="G184" s="2"/>
    </row>
    <row r="185" spans="3:7" ht="21.75" customHeight="1" x14ac:dyDescent="0.3">
      <c r="C185" s="2"/>
      <c r="D185" s="2"/>
      <c r="E185" s="2"/>
      <c r="F185" s="2"/>
      <c r="G185" s="2"/>
    </row>
    <row r="186" spans="3:7" ht="21.75" customHeight="1" x14ac:dyDescent="0.3">
      <c r="C186" s="2"/>
      <c r="D186" s="2"/>
      <c r="E186" s="2"/>
      <c r="F186" s="2"/>
      <c r="G186" s="2"/>
    </row>
    <row r="187" spans="3:7" ht="21.75" customHeight="1" x14ac:dyDescent="0.3">
      <c r="C187" s="2"/>
      <c r="D187" s="2"/>
      <c r="E187" s="2"/>
      <c r="F187" s="2"/>
      <c r="G187" s="2"/>
    </row>
    <row r="188" spans="3:7" ht="21.75" customHeight="1" x14ac:dyDescent="0.3">
      <c r="C188" s="2"/>
      <c r="D188" s="2"/>
      <c r="E188" s="2"/>
      <c r="F188" s="2"/>
      <c r="G188" s="2"/>
    </row>
    <row r="189" spans="3:7" ht="21.75" customHeight="1" x14ac:dyDescent="0.3">
      <c r="C189" s="2"/>
      <c r="D189" s="2"/>
      <c r="E189" s="2"/>
      <c r="F189" s="2"/>
      <c r="G189" s="2"/>
    </row>
    <row r="190" spans="3:7" ht="21.75" customHeight="1" x14ac:dyDescent="0.3">
      <c r="C190" s="2"/>
      <c r="D190" s="2"/>
      <c r="E190" s="2"/>
      <c r="F190" s="2"/>
      <c r="G190" s="2"/>
    </row>
    <row r="191" spans="3:7" ht="21.75" customHeight="1" x14ac:dyDescent="0.3">
      <c r="C191" s="2"/>
      <c r="D191" s="2"/>
      <c r="E191" s="2"/>
      <c r="F191" s="2"/>
      <c r="G191" s="2"/>
    </row>
    <row r="192" spans="3:7" ht="21.75" customHeight="1" x14ac:dyDescent="0.3">
      <c r="C192" s="2"/>
      <c r="D192" s="2"/>
      <c r="E192" s="2"/>
      <c r="F192" s="2"/>
      <c r="G192" s="2"/>
    </row>
    <row r="193" spans="3:7" ht="21.75" customHeight="1" x14ac:dyDescent="0.3">
      <c r="C193" s="2"/>
      <c r="D193" s="2"/>
      <c r="E193" s="2"/>
      <c r="F193" s="2"/>
      <c r="G193" s="2"/>
    </row>
    <row r="194" spans="3:7" ht="21.75" customHeight="1" x14ac:dyDescent="0.3">
      <c r="C194" s="2"/>
      <c r="D194" s="2"/>
      <c r="E194" s="2"/>
      <c r="F194" s="2"/>
      <c r="G194" s="2"/>
    </row>
    <row r="195" spans="3:7" ht="21.75" customHeight="1" x14ac:dyDescent="0.3">
      <c r="C195" s="2"/>
      <c r="D195" s="2"/>
      <c r="E195" s="2"/>
      <c r="F195" s="2"/>
      <c r="G195" s="2"/>
    </row>
    <row r="196" spans="3:7" ht="21.75" customHeight="1" x14ac:dyDescent="0.3">
      <c r="C196" s="2"/>
      <c r="D196" s="2"/>
      <c r="E196" s="2"/>
      <c r="F196" s="2"/>
      <c r="G196" s="2"/>
    </row>
    <row r="197" spans="3:7" ht="21.75" customHeight="1" x14ac:dyDescent="0.3">
      <c r="C197" s="2"/>
      <c r="D197" s="2"/>
      <c r="E197" s="2"/>
      <c r="F197" s="2"/>
      <c r="G197" s="2"/>
    </row>
    <row r="198" spans="3:7" ht="21.75" customHeight="1" x14ac:dyDescent="0.3">
      <c r="C198" s="2"/>
      <c r="D198" s="2"/>
      <c r="E198" s="2"/>
      <c r="F198" s="2"/>
      <c r="G198" s="2"/>
    </row>
    <row r="199" spans="3:7" ht="21.75" customHeight="1" x14ac:dyDescent="0.3">
      <c r="C199" s="2"/>
      <c r="D199" s="2"/>
      <c r="E199" s="2"/>
      <c r="F199" s="2"/>
      <c r="G199" s="2"/>
    </row>
    <row r="200" spans="3:7" ht="21.75" customHeight="1" x14ac:dyDescent="0.3">
      <c r="C200" s="2"/>
      <c r="D200" s="2"/>
      <c r="E200" s="2"/>
      <c r="F200" s="2"/>
      <c r="G200" s="2"/>
    </row>
    <row r="201" spans="3:7" ht="21.75" customHeight="1" x14ac:dyDescent="0.3">
      <c r="C201" s="2"/>
      <c r="D201" s="2"/>
      <c r="E201" s="2"/>
      <c r="F201" s="2"/>
      <c r="G201" s="2"/>
    </row>
    <row r="202" spans="3:7" ht="21.75" customHeight="1" x14ac:dyDescent="0.3">
      <c r="C202" s="2"/>
      <c r="D202" s="2"/>
      <c r="E202" s="2"/>
      <c r="F202" s="2"/>
      <c r="G202" s="2"/>
    </row>
    <row r="203" spans="3:7" ht="21.75" customHeight="1" x14ac:dyDescent="0.3">
      <c r="C203" s="2"/>
      <c r="D203" s="2"/>
      <c r="E203" s="2"/>
      <c r="F203" s="2"/>
      <c r="G203" s="2"/>
    </row>
    <row r="204" spans="3:7" ht="21.75" customHeight="1" x14ac:dyDescent="0.3">
      <c r="C204" s="2"/>
      <c r="D204" s="2"/>
      <c r="E204" s="2"/>
      <c r="F204" s="2"/>
      <c r="G204" s="2"/>
    </row>
    <row r="205" spans="3:7" ht="21.75" customHeight="1" x14ac:dyDescent="0.3">
      <c r="C205" s="2"/>
      <c r="D205" s="2"/>
      <c r="E205" s="2"/>
      <c r="F205" s="2"/>
      <c r="G205" s="2"/>
    </row>
    <row r="206" spans="3:7" ht="15.75" customHeight="1" x14ac:dyDescent="0.3"/>
    <row r="207" spans="3:7" ht="15.75" customHeight="1" x14ac:dyDescent="0.3"/>
    <row r="208" spans="3:7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</sheetData>
  <mergeCells count="1">
    <mergeCell ref="A1:H1"/>
  </mergeCells>
  <pageMargins left="0.70866141732283472" right="0.70866141732283472" top="0.74803149606299213" bottom="0.74803149606299213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424F7-26DE-429A-A960-BA6C29BFCD2F}">
  <dimension ref="A3:K57"/>
  <sheetViews>
    <sheetView topLeftCell="A34" workbookViewId="0">
      <selection activeCell="E56" sqref="E56"/>
    </sheetView>
  </sheetViews>
  <sheetFormatPr baseColWidth="10" defaultColWidth="11.44140625" defaultRowHeight="14.4" x14ac:dyDescent="0.3"/>
  <cols>
    <col min="1" max="1" width="21.109375" customWidth="1"/>
    <col min="2" max="2" width="13.109375" customWidth="1"/>
    <col min="3" max="3" width="14.44140625" customWidth="1"/>
    <col min="4" max="4" width="21.21875" customWidth="1"/>
  </cols>
  <sheetData>
    <row r="3" spans="1:9" ht="28.8" x14ac:dyDescent="0.3">
      <c r="B3" s="181" t="s">
        <v>1</v>
      </c>
      <c r="C3" s="141" t="s">
        <v>2</v>
      </c>
      <c r="D3" s="141" t="s">
        <v>3</v>
      </c>
      <c r="E3" s="141" t="s">
        <v>4</v>
      </c>
      <c r="F3" s="141" t="s">
        <v>5</v>
      </c>
      <c r="G3" s="141" t="s">
        <v>6</v>
      </c>
      <c r="H3" s="182" t="s">
        <v>89</v>
      </c>
      <c r="I3" s="184" t="s">
        <v>7</v>
      </c>
    </row>
    <row r="4" spans="1:9" x14ac:dyDescent="0.3">
      <c r="A4" s="53" t="s">
        <v>250</v>
      </c>
      <c r="B4" s="142">
        <v>12</v>
      </c>
      <c r="C4" s="96">
        <v>12</v>
      </c>
      <c r="D4" s="96">
        <v>7.5</v>
      </c>
      <c r="E4" s="96">
        <v>1680</v>
      </c>
      <c r="F4" s="136">
        <f>C4*D4/E4</f>
        <v>5.3571428571428568E-2</v>
      </c>
      <c r="G4" s="96">
        <v>1.07</v>
      </c>
      <c r="H4" s="137" t="s">
        <v>251</v>
      </c>
      <c r="I4" s="138">
        <f>F4*G4</f>
        <v>5.7321428571428572E-2</v>
      </c>
    </row>
    <row r="7" spans="1:9" ht="28.8" x14ac:dyDescent="0.3">
      <c r="B7" s="181" t="s">
        <v>1</v>
      </c>
      <c r="C7" s="141" t="s">
        <v>2</v>
      </c>
      <c r="D7" s="141" t="s">
        <v>3</v>
      </c>
      <c r="E7" s="141" t="s">
        <v>4</v>
      </c>
      <c r="F7" s="141" t="s">
        <v>5</v>
      </c>
      <c r="G7" s="141" t="s">
        <v>6</v>
      </c>
      <c r="H7" s="182" t="s">
        <v>89</v>
      </c>
      <c r="I7" s="184" t="s">
        <v>7</v>
      </c>
    </row>
    <row r="8" spans="1:9" x14ac:dyDescent="0.3">
      <c r="A8" s="53" t="s">
        <v>252</v>
      </c>
      <c r="B8" s="142">
        <v>12</v>
      </c>
      <c r="C8" s="96">
        <v>12</v>
      </c>
      <c r="D8" s="96">
        <v>7.5</v>
      </c>
      <c r="E8" s="96">
        <v>1680</v>
      </c>
      <c r="F8" s="136">
        <f>C8*D8/E8</f>
        <v>5.3571428571428568E-2</v>
      </c>
      <c r="G8" s="96">
        <v>1.07</v>
      </c>
      <c r="H8" s="137" t="s">
        <v>251</v>
      </c>
      <c r="I8" s="138">
        <f>F8*G8</f>
        <v>5.7321428571428572E-2</v>
      </c>
    </row>
    <row r="11" spans="1:9" ht="28.8" x14ac:dyDescent="0.3">
      <c r="B11" s="181" t="s">
        <v>1</v>
      </c>
      <c r="C11" s="141" t="s">
        <v>2</v>
      </c>
      <c r="D11" s="141" t="s">
        <v>3</v>
      </c>
      <c r="E11" s="141" t="s">
        <v>4</v>
      </c>
      <c r="F11" s="141" t="s">
        <v>5</v>
      </c>
      <c r="G11" s="141" t="s">
        <v>6</v>
      </c>
      <c r="H11" s="182" t="s">
        <v>89</v>
      </c>
      <c r="I11" s="184" t="s">
        <v>7</v>
      </c>
    </row>
    <row r="12" spans="1:9" x14ac:dyDescent="0.3">
      <c r="A12" s="53" t="s">
        <v>253</v>
      </c>
      <c r="B12" s="142">
        <v>12</v>
      </c>
      <c r="C12" s="96">
        <v>12</v>
      </c>
      <c r="D12" s="96">
        <v>7.5</v>
      </c>
      <c r="E12" s="96">
        <v>1680</v>
      </c>
      <c r="F12" s="136">
        <f>C12*D12/E12</f>
        <v>5.3571428571428568E-2</v>
      </c>
      <c r="G12" s="96">
        <v>1.07</v>
      </c>
      <c r="H12" s="137" t="s">
        <v>251</v>
      </c>
      <c r="I12" s="138">
        <f>F12*G12</f>
        <v>5.7321428571428572E-2</v>
      </c>
    </row>
    <row r="15" spans="1:9" x14ac:dyDescent="0.3">
      <c r="A15" t="s">
        <v>193</v>
      </c>
    </row>
    <row r="16" spans="1:9" x14ac:dyDescent="0.3">
      <c r="A16" s="34" t="s">
        <v>96</v>
      </c>
      <c r="B16" s="34" t="s">
        <v>97</v>
      </c>
      <c r="C16" s="35" t="s">
        <v>98</v>
      </c>
      <c r="D16" s="34" t="s">
        <v>89</v>
      </c>
    </row>
    <row r="17" spans="1:10" x14ac:dyDescent="0.3">
      <c r="A17" s="37" t="s">
        <v>48</v>
      </c>
      <c r="B17" s="26">
        <f>I4+I8+I12</f>
        <v>0.17196428571428571</v>
      </c>
      <c r="C17" s="6">
        <v>1680</v>
      </c>
      <c r="D17" s="26">
        <f>B17</f>
        <v>0.17196428571428571</v>
      </c>
    </row>
    <row r="20" spans="1:10" x14ac:dyDescent="0.3">
      <c r="A20" s="41" t="s">
        <v>106</v>
      </c>
      <c r="B20" s="41" t="s">
        <v>107</v>
      </c>
      <c r="C20" s="41" t="s">
        <v>108</v>
      </c>
      <c r="D20" s="42" t="s">
        <v>109</v>
      </c>
      <c r="E20" s="41" t="s">
        <v>110</v>
      </c>
    </row>
    <row r="21" spans="1:10" x14ac:dyDescent="0.3">
      <c r="A21" s="6" t="s">
        <v>112</v>
      </c>
      <c r="B21" s="171">
        <f>'Dades Referència'!C34</f>
        <v>28737.13</v>
      </c>
      <c r="C21" s="171">
        <f>B21*0.36</f>
        <v>10345.3668</v>
      </c>
      <c r="D21" s="172">
        <f>B21+C21</f>
        <v>39082.496800000001</v>
      </c>
      <c r="E21" s="143">
        <f>D21*D17</f>
        <v>6720.7936461428571</v>
      </c>
    </row>
    <row r="22" spans="1:10" x14ac:dyDescent="0.3">
      <c r="A22" s="6"/>
      <c r="B22" s="43"/>
      <c r="C22" s="143"/>
      <c r="D22" s="143">
        <f>B22+C22</f>
        <v>0</v>
      </c>
      <c r="E22" s="143">
        <f>D22*D18</f>
        <v>0</v>
      </c>
    </row>
    <row r="23" spans="1:10" x14ac:dyDescent="0.3">
      <c r="A23" s="6"/>
      <c r="B23" s="6"/>
      <c r="C23" s="6"/>
      <c r="D23" s="44" t="s">
        <v>116</v>
      </c>
      <c r="E23" s="44">
        <f>E21+E22</f>
        <v>6720.7936461428571</v>
      </c>
    </row>
    <row r="27" spans="1:10" x14ac:dyDescent="0.3">
      <c r="A27" s="262" t="s">
        <v>131</v>
      </c>
      <c r="B27" s="262"/>
      <c r="C27" s="190"/>
    </row>
    <row r="28" spans="1:10" ht="43.2" x14ac:dyDescent="0.3">
      <c r="A28" s="219" t="s">
        <v>132</v>
      </c>
      <c r="B28" s="220" t="s">
        <v>133</v>
      </c>
      <c r="C28" s="231" t="s">
        <v>134</v>
      </c>
      <c r="D28" s="231" t="s">
        <v>135</v>
      </c>
      <c r="E28" s="231" t="s">
        <v>136</v>
      </c>
      <c r="F28" s="231" t="s">
        <v>125</v>
      </c>
      <c r="G28" s="231" t="s">
        <v>126</v>
      </c>
      <c r="H28" s="231" t="s">
        <v>127</v>
      </c>
      <c r="I28" s="231" t="s">
        <v>128</v>
      </c>
    </row>
    <row r="29" spans="1:10" x14ac:dyDescent="0.3">
      <c r="A29" s="189" t="s">
        <v>254</v>
      </c>
      <c r="B29" s="189">
        <v>34</v>
      </c>
      <c r="C29" s="189">
        <v>60</v>
      </c>
      <c r="D29" s="189">
        <f>C29/60</f>
        <v>1</v>
      </c>
      <c r="E29" s="189">
        <f>'Dades Referència'!G12</f>
        <v>12</v>
      </c>
      <c r="F29" s="189">
        <f>E29*B29</f>
        <v>408</v>
      </c>
      <c r="G29" s="196">
        <f>H29/52</f>
        <v>0.23076923076923078</v>
      </c>
      <c r="H29" s="189">
        <f>D29*E29</f>
        <v>12</v>
      </c>
      <c r="I29" s="196">
        <f>H29/1680</f>
        <v>7.1428571428571426E-3</v>
      </c>
      <c r="J29" s="190"/>
    </row>
    <row r="30" spans="1:10" x14ac:dyDescent="0.3">
      <c r="A30" s="189" t="s">
        <v>255</v>
      </c>
      <c r="B30" s="189">
        <v>17</v>
      </c>
      <c r="C30" s="189">
        <v>16</v>
      </c>
      <c r="D30" s="196">
        <f t="shared" ref="D30:D31" si="0">C30/60</f>
        <v>0.26666666666666666</v>
      </c>
      <c r="E30" s="189">
        <f>'Dades Referència'!G12</f>
        <v>12</v>
      </c>
      <c r="F30" s="189">
        <f t="shared" ref="F30:F31" si="1">E30*B30</f>
        <v>204</v>
      </c>
      <c r="G30" s="196">
        <f t="shared" ref="G30:G31" si="2">H30/52</f>
        <v>6.1538461538461542E-2</v>
      </c>
      <c r="H30" s="189">
        <f>D30*E30</f>
        <v>3.2</v>
      </c>
      <c r="I30" s="195">
        <f>H30/1680</f>
        <v>1.9047619047619048E-3</v>
      </c>
      <c r="J30" s="190"/>
    </row>
    <row r="31" spans="1:10" x14ac:dyDescent="0.3">
      <c r="A31" s="189" t="s">
        <v>256</v>
      </c>
      <c r="B31" s="189">
        <v>17</v>
      </c>
      <c r="C31" s="189">
        <v>16</v>
      </c>
      <c r="D31" s="196">
        <f t="shared" si="0"/>
        <v>0.26666666666666666</v>
      </c>
      <c r="E31" s="189">
        <f>'Dades Referència'!G12</f>
        <v>12</v>
      </c>
      <c r="F31" s="189">
        <f t="shared" si="1"/>
        <v>204</v>
      </c>
      <c r="G31" s="196">
        <f t="shared" si="2"/>
        <v>6.1538461538461542E-2</v>
      </c>
      <c r="H31" s="189">
        <f>E31*D31</f>
        <v>3.2</v>
      </c>
      <c r="I31" s="222">
        <f>H31/1689</f>
        <v>1.8946121965660156E-3</v>
      </c>
      <c r="J31" s="190"/>
    </row>
    <row r="32" spans="1:10" x14ac:dyDescent="0.3">
      <c r="A32" s="190"/>
      <c r="B32" s="190"/>
      <c r="C32" s="190"/>
      <c r="D32" s="190"/>
      <c r="E32" s="190"/>
      <c r="F32" s="190"/>
      <c r="G32" s="232"/>
      <c r="H32" s="190"/>
      <c r="I32" s="190"/>
      <c r="J32" s="190"/>
    </row>
    <row r="34" spans="1:11" ht="28.8" x14ac:dyDescent="0.3">
      <c r="A34" s="72" t="s">
        <v>142</v>
      </c>
      <c r="B34" s="73" t="s">
        <v>143</v>
      </c>
      <c r="C34" s="73" t="s">
        <v>144</v>
      </c>
      <c r="D34" s="73" t="s">
        <v>145</v>
      </c>
      <c r="E34" s="73" t="s">
        <v>146</v>
      </c>
      <c r="F34" s="73" t="s">
        <v>137</v>
      </c>
      <c r="G34" s="73" t="s">
        <v>138</v>
      </c>
      <c r="H34" s="73" t="s">
        <v>139</v>
      </c>
      <c r="I34" s="73" t="s">
        <v>140</v>
      </c>
      <c r="J34" s="73" t="s">
        <v>178</v>
      </c>
      <c r="K34" s="74" t="s">
        <v>116</v>
      </c>
    </row>
    <row r="35" spans="1:11" x14ac:dyDescent="0.3">
      <c r="A35" s="37" t="s">
        <v>257</v>
      </c>
      <c r="B35" s="25">
        <f>I29+I30+I31</f>
        <v>1.0942231244185063E-2</v>
      </c>
      <c r="C35" s="59">
        <f>B35*0.08</f>
        <v>8.7537849953480502E-4</v>
      </c>
      <c r="D35" s="59">
        <f>B35*0.05</f>
        <v>5.4711156220925319E-4</v>
      </c>
      <c r="E35" s="58">
        <f>SUM(B35+C35+D35)</f>
        <v>1.2364721305929121E-2</v>
      </c>
      <c r="F35" s="43">
        <f>'Dades Referència'!C34</f>
        <v>28737.13</v>
      </c>
      <c r="G35" s="25">
        <f>F35*0.36</f>
        <v>10345.3668</v>
      </c>
      <c r="H35" s="55">
        <f>F35*E35</f>
        <v>355.32660358225496</v>
      </c>
      <c r="I35" s="55">
        <f>H35*0.36</f>
        <v>127.91757728961178</v>
      </c>
      <c r="J35" s="60">
        <f>H35+I35</f>
        <v>483.24418087186677</v>
      </c>
      <c r="K35" s="75">
        <f>J35</f>
        <v>483.24418087186677</v>
      </c>
    </row>
    <row r="39" spans="1:11" ht="28.8" x14ac:dyDescent="0.3">
      <c r="A39" s="303" t="s">
        <v>44</v>
      </c>
      <c r="B39" s="96" t="s">
        <v>148</v>
      </c>
      <c r="C39" s="63" t="s">
        <v>149</v>
      </c>
      <c r="D39" s="63" t="s">
        <v>150</v>
      </c>
      <c r="E39" s="64" t="s">
        <v>151</v>
      </c>
    </row>
    <row r="40" spans="1:11" x14ac:dyDescent="0.3">
      <c r="A40" s="190"/>
      <c r="B40" s="189">
        <f>F29+F30+F31</f>
        <v>816</v>
      </c>
      <c r="C40" s="189">
        <v>50</v>
      </c>
      <c r="D40" s="189">
        <v>1.5</v>
      </c>
      <c r="E40" s="189">
        <f>(B40*(C40/100)*D40)</f>
        <v>612</v>
      </c>
      <c r="F40" s="190"/>
    </row>
    <row r="41" spans="1:11" x14ac:dyDescent="0.3">
      <c r="B41" s="190"/>
      <c r="C41" s="190"/>
      <c r="D41" s="190"/>
      <c r="E41" s="190"/>
    </row>
    <row r="42" spans="1:11" x14ac:dyDescent="0.3">
      <c r="D42" s="190"/>
      <c r="E42" s="190"/>
    </row>
    <row r="43" spans="1:11" ht="36" customHeight="1" x14ac:dyDescent="0.3">
      <c r="A43" s="224" t="s">
        <v>153</v>
      </c>
      <c r="B43" s="225" t="s">
        <v>154</v>
      </c>
      <c r="C43" s="253" t="s">
        <v>258</v>
      </c>
      <c r="D43" s="225" t="s">
        <v>259</v>
      </c>
      <c r="E43" s="252"/>
      <c r="F43" s="190"/>
    </row>
    <row r="44" spans="1:11" x14ac:dyDescent="0.3">
      <c r="A44" s="249" t="s">
        <v>260</v>
      </c>
      <c r="B44" s="250">
        <v>3</v>
      </c>
      <c r="C44" s="251">
        <v>35</v>
      </c>
      <c r="D44" s="254">
        <f>C44*12</f>
        <v>420</v>
      </c>
      <c r="E44" s="190"/>
    </row>
    <row r="46" spans="1:11" x14ac:dyDescent="0.3">
      <c r="A46" s="258" t="s">
        <v>160</v>
      </c>
      <c r="B46" s="259" t="s">
        <v>55</v>
      </c>
      <c r="C46" s="259" t="s">
        <v>161</v>
      </c>
      <c r="D46" s="259" t="s">
        <v>162</v>
      </c>
    </row>
    <row r="47" spans="1:11" x14ac:dyDescent="0.3">
      <c r="A47" s="320" t="s">
        <v>261</v>
      </c>
      <c r="B47" s="189">
        <v>2.16</v>
      </c>
      <c r="C47" s="189">
        <v>85</v>
      </c>
      <c r="D47" s="189">
        <f>(C47*B47)</f>
        <v>183.60000000000002</v>
      </c>
    </row>
    <row r="48" spans="1:11" x14ac:dyDescent="0.3">
      <c r="A48" s="321" t="s">
        <v>59</v>
      </c>
      <c r="B48" s="257">
        <v>3</v>
      </c>
      <c r="C48" s="240">
        <f>B48*85</f>
        <v>255</v>
      </c>
      <c r="D48" s="240">
        <f>(C48*B48)</f>
        <v>765</v>
      </c>
    </row>
    <row r="49" spans="1:5" x14ac:dyDescent="0.3">
      <c r="A49" s="281" t="s">
        <v>57</v>
      </c>
      <c r="B49" s="245">
        <v>10</v>
      </c>
      <c r="C49" s="189">
        <v>16</v>
      </c>
      <c r="D49" s="189">
        <f>(B49*C49)</f>
        <v>160</v>
      </c>
      <c r="E49" s="190"/>
    </row>
    <row r="50" spans="1:5" x14ac:dyDescent="0.3">
      <c r="A50" s="190"/>
      <c r="B50" s="256"/>
      <c r="C50" s="190"/>
      <c r="D50" s="190">
        <f>SUM(D47:D49)</f>
        <v>1108.5999999999999</v>
      </c>
      <c r="E50" s="190"/>
    </row>
    <row r="51" spans="1:5" x14ac:dyDescent="0.3">
      <c r="A51" s="265" t="s">
        <v>262</v>
      </c>
      <c r="B51" s="190"/>
      <c r="C51" s="190"/>
      <c r="D51" s="190"/>
    </row>
    <row r="52" spans="1:5" x14ac:dyDescent="0.3">
      <c r="A52" s="244" t="s">
        <v>165</v>
      </c>
      <c r="B52" s="255">
        <f>(E23+K35)</f>
        <v>7204.0378270147239</v>
      </c>
      <c r="C52" s="190"/>
    </row>
    <row r="53" spans="1:5" x14ac:dyDescent="0.3">
      <c r="A53" s="240" t="s">
        <v>194</v>
      </c>
      <c r="B53" s="242">
        <f>(E40)</f>
        <v>612</v>
      </c>
      <c r="C53" s="190"/>
    </row>
    <row r="54" spans="1:5" x14ac:dyDescent="0.3">
      <c r="A54" s="240" t="s">
        <v>263</v>
      </c>
      <c r="B54" s="242">
        <f>D44</f>
        <v>420</v>
      </c>
      <c r="C54" s="190"/>
    </row>
    <row r="55" spans="1:5" x14ac:dyDescent="0.3">
      <c r="A55" s="281" t="s">
        <v>264</v>
      </c>
      <c r="B55" s="242">
        <f>D50</f>
        <v>1108.5999999999999</v>
      </c>
      <c r="C55" s="190"/>
    </row>
    <row r="56" spans="1:5" x14ac:dyDescent="0.3">
      <c r="A56" s="190"/>
      <c r="B56" s="302">
        <f>SUM(B52:B55)</f>
        <v>9344.6378270147234</v>
      </c>
      <c r="C56" s="190"/>
    </row>
    <row r="57" spans="1:5" x14ac:dyDescent="0.3">
      <c r="A57" s="190"/>
      <c r="B57" s="190"/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A6DD5-984A-4133-90DE-6211CD8C9A4F}">
  <dimension ref="A2:R101"/>
  <sheetViews>
    <sheetView tabSelected="1" topLeftCell="A64" zoomScale="85" zoomScaleNormal="85" workbookViewId="0">
      <selection activeCell="B101" sqref="B101"/>
    </sheetView>
  </sheetViews>
  <sheetFormatPr baseColWidth="10" defaultColWidth="9.109375" defaultRowHeight="14.4" x14ac:dyDescent="0.3"/>
  <cols>
    <col min="1" max="1" width="30.44140625" customWidth="1"/>
    <col min="2" max="2" width="22.109375" customWidth="1"/>
    <col min="4" max="4" width="13.21875" bestFit="1" customWidth="1"/>
    <col min="6" max="6" width="16.21875" customWidth="1"/>
    <col min="7" max="9" width="12.109375" bestFit="1" customWidth="1"/>
    <col min="16" max="16" width="13.21875" bestFit="1" customWidth="1"/>
    <col min="18" max="18" width="13.21875" bestFit="1" customWidth="1"/>
  </cols>
  <sheetData>
    <row r="2" spans="1:9" x14ac:dyDescent="0.3">
      <c r="A2" s="190"/>
      <c r="D2" s="338" t="s">
        <v>337</v>
      </c>
      <c r="F2" s="322" t="s">
        <v>333</v>
      </c>
      <c r="G2" s="322" t="s">
        <v>334</v>
      </c>
      <c r="H2" s="322" t="s">
        <v>335</v>
      </c>
      <c r="I2" s="322" t="s">
        <v>336</v>
      </c>
    </row>
    <row r="3" spans="1:9" x14ac:dyDescent="0.3">
      <c r="A3" s="202" t="s">
        <v>265</v>
      </c>
      <c r="B3" s="190"/>
    </row>
    <row r="4" spans="1:9" x14ac:dyDescent="0.3">
      <c r="A4" s="296" t="s">
        <v>266</v>
      </c>
      <c r="B4" s="190"/>
    </row>
    <row r="5" spans="1:9" x14ac:dyDescent="0.3">
      <c r="A5" s="244" t="s">
        <v>165</v>
      </c>
      <c r="B5" s="241">
        <f>'FV VOL OLI TEXTIL'!B76</f>
        <v>27369.949379383645</v>
      </c>
      <c r="D5" s="268"/>
      <c r="F5" s="268"/>
    </row>
    <row r="6" spans="1:9" x14ac:dyDescent="0.3">
      <c r="A6" s="240" t="s">
        <v>166</v>
      </c>
      <c r="B6" s="242">
        <f>'FV VOL OLI TEXTIL'!B77</f>
        <v>5684.6784000000007</v>
      </c>
      <c r="F6" s="268"/>
    </row>
    <row r="7" spans="1:9" x14ac:dyDescent="0.3">
      <c r="A7" s="240" t="s">
        <v>167</v>
      </c>
      <c r="B7" s="242">
        <f>'FV VOL OLI TEXTIL'!B78</f>
        <v>6010.08</v>
      </c>
      <c r="D7" s="268"/>
    </row>
    <row r="8" spans="1:9" x14ac:dyDescent="0.3">
      <c r="A8" s="240" t="s">
        <v>168</v>
      </c>
      <c r="B8" s="240">
        <f>'FV VOL OLI TEXTIL'!B79</f>
        <v>975.75</v>
      </c>
    </row>
    <row r="9" spans="1:9" x14ac:dyDescent="0.3">
      <c r="A9" s="333" t="s">
        <v>327</v>
      </c>
      <c r="B9" s="334">
        <f>SUM(B5:B8)</f>
        <v>40040.457779383651</v>
      </c>
      <c r="D9" s="268"/>
      <c r="E9" s="322"/>
      <c r="F9" s="268"/>
    </row>
    <row r="10" spans="1:9" x14ac:dyDescent="0.3">
      <c r="A10" s="333" t="s">
        <v>328</v>
      </c>
      <c r="B10" s="335">
        <f>B9*5%</f>
        <v>2002.0228889691825</v>
      </c>
      <c r="F10" s="268"/>
      <c r="I10" s="268"/>
    </row>
    <row r="11" spans="1:9" x14ac:dyDescent="0.3">
      <c r="A11" s="333" t="s">
        <v>329</v>
      </c>
      <c r="B11" s="335">
        <f>B9*8%</f>
        <v>3203.236622350692</v>
      </c>
      <c r="F11" s="268"/>
    </row>
    <row r="12" spans="1:9" x14ac:dyDescent="0.3">
      <c r="A12" s="333" t="s">
        <v>330</v>
      </c>
      <c r="B12" s="336">
        <f>B9+B10+B11</f>
        <v>45245.71729070352</v>
      </c>
      <c r="D12" s="268"/>
      <c r="F12" s="268">
        <f>B12+(B12*0.56)*0.025</f>
        <v>45879.157332773371</v>
      </c>
      <c r="G12" s="268">
        <f>F12+(F12*0.56)*0.025</f>
        <v>46521.465535432202</v>
      </c>
      <c r="H12" s="268">
        <f>G12+(G12*0.56)*0.025</f>
        <v>47172.766052928251</v>
      </c>
      <c r="I12" s="268">
        <f>H12+(H12*0.56)*0.025</f>
        <v>47833.184777669245</v>
      </c>
    </row>
    <row r="13" spans="1:9" x14ac:dyDescent="0.3">
      <c r="A13" s="333" t="s">
        <v>331</v>
      </c>
      <c r="B13" s="335">
        <f>B12*10%</f>
        <v>4524.5717290703524</v>
      </c>
      <c r="F13" s="268"/>
    </row>
    <row r="14" spans="1:9" ht="15" thickBot="1" x14ac:dyDescent="0.35">
      <c r="A14" s="333" t="s">
        <v>332</v>
      </c>
      <c r="B14" s="334">
        <f>B12+B13</f>
        <v>49770.289019773874</v>
      </c>
      <c r="D14" s="268"/>
      <c r="F14" s="268"/>
    </row>
    <row r="15" spans="1:9" x14ac:dyDescent="0.3">
      <c r="A15" s="340" t="s">
        <v>290</v>
      </c>
      <c r="B15" s="342">
        <f>B12</f>
        <v>45245.71729070352</v>
      </c>
      <c r="F15" s="268"/>
    </row>
    <row r="16" spans="1:9" x14ac:dyDescent="0.3">
      <c r="A16" s="341" t="s">
        <v>291</v>
      </c>
      <c r="B16" s="342">
        <f>F12</f>
        <v>45879.157332773371</v>
      </c>
      <c r="F16" s="268"/>
    </row>
    <row r="17" spans="1:7" x14ac:dyDescent="0.3">
      <c r="A17" s="341" t="s">
        <v>292</v>
      </c>
      <c r="B17" s="342">
        <f>G12</f>
        <v>46521.465535432202</v>
      </c>
      <c r="D17" s="338" t="s">
        <v>343</v>
      </c>
      <c r="F17" s="268">
        <f>AVERAGE(B15:B19)</f>
        <v>46530.458197901316</v>
      </c>
    </row>
    <row r="18" spans="1:7" x14ac:dyDescent="0.3">
      <c r="A18" s="341" t="s">
        <v>294</v>
      </c>
      <c r="B18" s="342">
        <f>H12</f>
        <v>47172.766052928251</v>
      </c>
      <c r="F18" s="268"/>
    </row>
    <row r="19" spans="1:7" x14ac:dyDescent="0.3">
      <c r="A19" s="341" t="s">
        <v>296</v>
      </c>
      <c r="B19" s="342">
        <f>I12</f>
        <v>47833.184777669245</v>
      </c>
      <c r="F19" s="268"/>
    </row>
    <row r="20" spans="1:7" x14ac:dyDescent="0.3">
      <c r="A20" s="341" t="s">
        <v>301</v>
      </c>
      <c r="B20" s="342">
        <f>B12+F12+G12+H12</f>
        <v>184819.10621183735</v>
      </c>
      <c r="F20" s="268"/>
    </row>
    <row r="21" spans="1:7" x14ac:dyDescent="0.3">
      <c r="A21" s="341" t="s">
        <v>303</v>
      </c>
      <c r="B21" s="342">
        <f>B20+I12</f>
        <v>232652.29098950658</v>
      </c>
      <c r="F21" s="268"/>
    </row>
    <row r="22" spans="1:7" x14ac:dyDescent="0.3">
      <c r="A22" s="344">
        <v>0.2</v>
      </c>
      <c r="B22" s="342">
        <f>B20*A22</f>
        <v>36963.82124236747</v>
      </c>
      <c r="F22" s="268"/>
    </row>
    <row r="23" spans="1:7" ht="15" thickBot="1" x14ac:dyDescent="0.35">
      <c r="A23" s="345" t="s">
        <v>339</v>
      </c>
      <c r="B23" s="336">
        <f>B21+B22</f>
        <v>269616.11223187402</v>
      </c>
      <c r="G23" s="268"/>
    </row>
    <row r="24" spans="1:7" x14ac:dyDescent="0.3">
      <c r="A24" s="343"/>
      <c r="B24" s="268"/>
      <c r="F24" s="268"/>
    </row>
    <row r="25" spans="1:7" x14ac:dyDescent="0.3">
      <c r="A25" s="211"/>
      <c r="F25" s="268"/>
    </row>
    <row r="26" spans="1:7" x14ac:dyDescent="0.3">
      <c r="A26" s="190"/>
    </row>
    <row r="27" spans="1:7" x14ac:dyDescent="0.3">
      <c r="A27" s="202" t="s">
        <v>191</v>
      </c>
      <c r="B27" s="190"/>
      <c r="F27" s="268"/>
    </row>
    <row r="28" spans="1:7" x14ac:dyDescent="0.3">
      <c r="A28" s="297" t="s">
        <v>267</v>
      </c>
      <c r="G28" s="338"/>
    </row>
    <row r="29" spans="1:7" x14ac:dyDescent="0.3">
      <c r="A29" s="189" t="s">
        <v>193</v>
      </c>
      <c r="B29" s="241">
        <f>'DEIXALLERIA MOBIL'!B36</f>
        <v>2574.0849035245715</v>
      </c>
    </row>
    <row r="30" spans="1:7" x14ac:dyDescent="0.3">
      <c r="A30" s="189" t="s">
        <v>194</v>
      </c>
      <c r="B30" s="241">
        <f>'DEIXALLERIA MOBIL'!B37</f>
        <v>108</v>
      </c>
    </row>
    <row r="31" spans="1:7" x14ac:dyDescent="0.3">
      <c r="A31" s="240" t="s">
        <v>195</v>
      </c>
      <c r="B31" s="283">
        <f>'DEIXALLERIA MOBIL'!B38</f>
        <v>840</v>
      </c>
    </row>
    <row r="32" spans="1:7" x14ac:dyDescent="0.3">
      <c r="A32" s="240" t="s">
        <v>196</v>
      </c>
      <c r="B32" s="242">
        <f>'DEIXALLERIA MOBIL'!B39</f>
        <v>2700</v>
      </c>
      <c r="C32" s="190"/>
    </row>
    <row r="33" spans="1:9" x14ac:dyDescent="0.3">
      <c r="A33" s="333" t="s">
        <v>327</v>
      </c>
      <c r="B33" s="334">
        <f>SUM(B29:B32)</f>
        <v>6222.0849035245719</v>
      </c>
    </row>
    <row r="34" spans="1:9" x14ac:dyDescent="0.3">
      <c r="A34" s="333" t="s">
        <v>328</v>
      </c>
      <c r="B34" s="335">
        <f>B33*5%</f>
        <v>311.10424517622863</v>
      </c>
    </row>
    <row r="35" spans="1:9" x14ac:dyDescent="0.3">
      <c r="A35" s="333" t="s">
        <v>329</v>
      </c>
      <c r="B35" s="335">
        <f>B33*8%</f>
        <v>497.76679228196576</v>
      </c>
    </row>
    <row r="36" spans="1:9" x14ac:dyDescent="0.3">
      <c r="A36" s="333" t="s">
        <v>330</v>
      </c>
      <c r="B36" s="336">
        <f>B33+B34+B35</f>
        <v>7030.9559409827662</v>
      </c>
      <c r="F36" s="268">
        <f>B36+(B36*0.56)*0.025</f>
        <v>7129.3893241565247</v>
      </c>
      <c r="G36" s="268">
        <f>F36+(F36*0.56)*0.025</f>
        <v>7229.2007746947165</v>
      </c>
      <c r="H36" s="268">
        <f>G36+(G36*0.56)*0.025</f>
        <v>7330.409585540443</v>
      </c>
      <c r="I36" s="268">
        <f>H36+(H36*0.56)*0.025</f>
        <v>7433.0353197380091</v>
      </c>
    </row>
    <row r="37" spans="1:9" x14ac:dyDescent="0.3">
      <c r="A37" s="333" t="s">
        <v>331</v>
      </c>
      <c r="B37" s="335">
        <f>B36*10%</f>
        <v>703.09559409827671</v>
      </c>
    </row>
    <row r="38" spans="1:9" x14ac:dyDescent="0.3">
      <c r="A38" s="153" t="s">
        <v>332</v>
      </c>
      <c r="B38" s="346">
        <f>B36+B37</f>
        <v>7734.0515350810429</v>
      </c>
    </row>
    <row r="39" spans="1:9" x14ac:dyDescent="0.3">
      <c r="A39" s="124" t="s">
        <v>290</v>
      </c>
      <c r="B39" s="342">
        <f>B36</f>
        <v>7030.9559409827662</v>
      </c>
    </row>
    <row r="40" spans="1:9" x14ac:dyDescent="0.3">
      <c r="A40" s="124" t="s">
        <v>291</v>
      </c>
      <c r="B40" s="342">
        <f>F36</f>
        <v>7129.3893241565247</v>
      </c>
    </row>
    <row r="41" spans="1:9" x14ac:dyDescent="0.3">
      <c r="A41" s="124" t="s">
        <v>292</v>
      </c>
      <c r="B41" s="342">
        <f>G36</f>
        <v>7229.2007746947165</v>
      </c>
      <c r="D41" s="338" t="s">
        <v>343</v>
      </c>
      <c r="F41" s="268">
        <f>AVERAGE(B39:B43)</f>
        <v>7230.5981890224921</v>
      </c>
    </row>
    <row r="42" spans="1:9" x14ac:dyDescent="0.3">
      <c r="A42" s="124" t="s">
        <v>294</v>
      </c>
      <c r="B42" s="342">
        <f>H36</f>
        <v>7330.409585540443</v>
      </c>
    </row>
    <row r="43" spans="1:9" x14ac:dyDescent="0.3">
      <c r="A43" s="124" t="s">
        <v>296</v>
      </c>
      <c r="B43" s="342">
        <f>I36</f>
        <v>7433.0353197380091</v>
      </c>
    </row>
    <row r="44" spans="1:9" x14ac:dyDescent="0.3">
      <c r="A44" s="124" t="s">
        <v>301</v>
      </c>
      <c r="B44" s="342">
        <f>B39+B40+B41+B42</f>
        <v>28719.955625374452</v>
      </c>
    </row>
    <row r="45" spans="1:9" x14ac:dyDescent="0.3">
      <c r="A45" s="124" t="s">
        <v>303</v>
      </c>
      <c r="B45" s="342">
        <f>B44+B43</f>
        <v>36152.990945112462</v>
      </c>
    </row>
    <row r="46" spans="1:9" x14ac:dyDescent="0.3">
      <c r="A46" s="347">
        <v>0.2</v>
      </c>
      <c r="B46" s="342">
        <f>B44*A46</f>
        <v>5743.991125074891</v>
      </c>
    </row>
    <row r="47" spans="1:9" x14ac:dyDescent="0.3">
      <c r="A47" s="124" t="s">
        <v>340</v>
      </c>
      <c r="B47" s="334">
        <f>B45+B46</f>
        <v>41896.982070187354</v>
      </c>
    </row>
    <row r="48" spans="1:9" x14ac:dyDescent="0.3">
      <c r="A48" s="190"/>
      <c r="B48" s="300"/>
    </row>
    <row r="49" spans="1:9" x14ac:dyDescent="0.3">
      <c r="A49" s="190"/>
    </row>
    <row r="50" spans="1:9" x14ac:dyDescent="0.3">
      <c r="A50" s="189" t="s">
        <v>268</v>
      </c>
      <c r="B50" s="190"/>
    </row>
    <row r="51" spans="1:9" x14ac:dyDescent="0.3">
      <c r="A51" s="298" t="s">
        <v>269</v>
      </c>
      <c r="B51" s="190"/>
    </row>
    <row r="52" spans="1:9" x14ac:dyDescent="0.3">
      <c r="A52" s="244" t="s">
        <v>270</v>
      </c>
      <c r="B52" s="241">
        <f>VIDRE!B62</f>
        <v>817.80000000000007</v>
      </c>
    </row>
    <row r="53" spans="1:9" x14ac:dyDescent="0.3">
      <c r="A53" s="189" t="s">
        <v>242</v>
      </c>
      <c r="B53" s="241">
        <f>VIDRE!B63</f>
        <v>5735.2963083067061</v>
      </c>
    </row>
    <row r="54" spans="1:9" x14ac:dyDescent="0.3">
      <c r="A54" s="240" t="s">
        <v>243</v>
      </c>
      <c r="B54" s="242">
        <f>VIDRE!B64</f>
        <v>2811.8687999999997</v>
      </c>
      <c r="F54" s="268"/>
    </row>
    <row r="55" spans="1:9" x14ac:dyDescent="0.3">
      <c r="A55" s="240" t="s">
        <v>271</v>
      </c>
      <c r="B55" s="242">
        <f>'INVERSIONS VIDRE'!G6</f>
        <v>8178</v>
      </c>
    </row>
    <row r="56" spans="1:9" x14ac:dyDescent="0.3">
      <c r="A56" s="240" t="s">
        <v>196</v>
      </c>
      <c r="B56" s="242">
        <f>VIDRE!B66</f>
        <v>2056.08</v>
      </c>
      <c r="C56" s="190"/>
    </row>
    <row r="57" spans="1:9" x14ac:dyDescent="0.3">
      <c r="A57" s="240" t="s">
        <v>272</v>
      </c>
      <c r="B57" s="242">
        <f>'INVERSIONS VIDRE'!I6</f>
        <v>2044.5</v>
      </c>
      <c r="C57" s="190"/>
    </row>
    <row r="58" spans="1:9" x14ac:dyDescent="0.3">
      <c r="A58" s="333" t="s">
        <v>327</v>
      </c>
      <c r="B58" s="334">
        <f>SUM(B52:B57)</f>
        <v>21643.545108306709</v>
      </c>
      <c r="C58" s="190"/>
    </row>
    <row r="59" spans="1:9" x14ac:dyDescent="0.3">
      <c r="A59" s="333" t="s">
        <v>328</v>
      </c>
      <c r="B59" s="335">
        <f>B58*5%</f>
        <v>1082.1772554153356</v>
      </c>
      <c r="C59" s="190"/>
    </row>
    <row r="60" spans="1:9" x14ac:dyDescent="0.3">
      <c r="A60" s="333" t="s">
        <v>329</v>
      </c>
      <c r="B60" s="335">
        <f>B58*8%</f>
        <v>1731.4836086645369</v>
      </c>
      <c r="C60" s="190"/>
    </row>
    <row r="61" spans="1:9" x14ac:dyDescent="0.3">
      <c r="A61" s="333" t="s">
        <v>330</v>
      </c>
      <c r="B61" s="336">
        <f>B58+B59+B60</f>
        <v>24457.205972386582</v>
      </c>
      <c r="C61" s="190"/>
      <c r="F61" s="268">
        <f>B61+(B61*0.56)*0.025</f>
        <v>24799.606855999995</v>
      </c>
      <c r="G61" s="268">
        <f>F61+(F61*0.56)*0.025</f>
        <v>25146.801351983995</v>
      </c>
      <c r="H61" s="268">
        <f>G61+(G61*0.56)*0.025</f>
        <v>25498.856570911772</v>
      </c>
      <c r="I61" s="268">
        <f>H61+(H61*0.56)*0.025</f>
        <v>25855.840562904537</v>
      </c>
    </row>
    <row r="62" spans="1:9" x14ac:dyDescent="0.3">
      <c r="A62" s="333" t="s">
        <v>331</v>
      </c>
      <c r="B62" s="335">
        <f>B61*10%</f>
        <v>2445.7205972386582</v>
      </c>
      <c r="C62" s="190"/>
    </row>
    <row r="63" spans="1:9" x14ac:dyDescent="0.3">
      <c r="A63" s="333" t="s">
        <v>332</v>
      </c>
      <c r="B63" s="334">
        <f>B61+B62</f>
        <v>26902.926569625241</v>
      </c>
      <c r="C63" s="190"/>
    </row>
    <row r="64" spans="1:9" x14ac:dyDescent="0.3">
      <c r="A64" s="124" t="s">
        <v>290</v>
      </c>
      <c r="B64" s="334">
        <f>B61</f>
        <v>24457.205972386582</v>
      </c>
      <c r="C64" s="190"/>
    </row>
    <row r="65" spans="1:16" x14ac:dyDescent="0.3">
      <c r="A65" s="124" t="s">
        <v>291</v>
      </c>
      <c r="B65" s="334">
        <f>F61</f>
        <v>24799.606855999995</v>
      </c>
      <c r="C65" s="190"/>
    </row>
    <row r="66" spans="1:16" x14ac:dyDescent="0.3">
      <c r="A66" s="124" t="s">
        <v>292</v>
      </c>
      <c r="B66" s="334">
        <f>G61</f>
        <v>25146.801351983995</v>
      </c>
      <c r="C66" s="190"/>
      <c r="D66" s="338" t="s">
        <v>343</v>
      </c>
      <c r="F66" s="268">
        <f>AVERAGE(B64:B68)</f>
        <v>25151.662262837381</v>
      </c>
    </row>
    <row r="67" spans="1:16" x14ac:dyDescent="0.3">
      <c r="A67" s="124" t="s">
        <v>294</v>
      </c>
      <c r="B67" s="334">
        <f>H61</f>
        <v>25498.856570911772</v>
      </c>
      <c r="C67" s="190"/>
    </row>
    <row r="68" spans="1:16" x14ac:dyDescent="0.3">
      <c r="A68" s="124" t="s">
        <v>296</v>
      </c>
      <c r="B68" s="334">
        <f>I61</f>
        <v>25855.840562904537</v>
      </c>
      <c r="C68" s="190"/>
    </row>
    <row r="69" spans="1:16" x14ac:dyDescent="0.3">
      <c r="A69" s="124" t="s">
        <v>348</v>
      </c>
      <c r="B69" s="334">
        <f>B64+B65+B66+B67+B68</f>
        <v>125758.3113141869</v>
      </c>
      <c r="C69" s="190"/>
    </row>
    <row r="70" spans="1:16" x14ac:dyDescent="0.3">
      <c r="A70" s="347">
        <v>0.2</v>
      </c>
      <c r="B70" s="334">
        <f>B69*A70</f>
        <v>25151.662262837381</v>
      </c>
      <c r="C70" s="190"/>
    </row>
    <row r="71" spans="1:16" x14ac:dyDescent="0.3">
      <c r="A71" s="124" t="s">
        <v>341</v>
      </c>
      <c r="B71" s="334">
        <f>B69+B70</f>
        <v>150909.97357702427</v>
      </c>
      <c r="C71" s="190"/>
    </row>
    <row r="72" spans="1:16" x14ac:dyDescent="0.3">
      <c r="A72" s="190"/>
      <c r="B72" s="300"/>
      <c r="C72" s="190"/>
    </row>
    <row r="73" spans="1:16" x14ac:dyDescent="0.3">
      <c r="A73" s="190"/>
      <c r="B73" s="300"/>
      <c r="C73" s="190"/>
    </row>
    <row r="74" spans="1:16" x14ac:dyDescent="0.3">
      <c r="A74" s="190"/>
      <c r="B74" s="284"/>
    </row>
    <row r="75" spans="1:16" x14ac:dyDescent="0.3">
      <c r="A75" s="189" t="s">
        <v>24</v>
      </c>
      <c r="B75" s="190"/>
      <c r="K75" s="338" t="s">
        <v>346</v>
      </c>
    </row>
    <row r="76" spans="1:16" x14ac:dyDescent="0.3">
      <c r="A76" s="299" t="s">
        <v>262</v>
      </c>
      <c r="B76" s="190"/>
    </row>
    <row r="77" spans="1:16" x14ac:dyDescent="0.3">
      <c r="A77" s="244" t="s">
        <v>165</v>
      </c>
      <c r="B77" s="255">
        <f>BANYERES!B52</f>
        <v>7204.0378270147239</v>
      </c>
    </row>
    <row r="78" spans="1:16" x14ac:dyDescent="0.3">
      <c r="A78" s="240" t="s">
        <v>194</v>
      </c>
      <c r="B78" s="242">
        <f>BANYERES!B53</f>
        <v>612</v>
      </c>
      <c r="K78" s="124" t="s">
        <v>290</v>
      </c>
      <c r="P78" s="268">
        <f>D97</f>
        <v>87293.319948599514</v>
      </c>
    </row>
    <row r="79" spans="1:16" x14ac:dyDescent="0.3">
      <c r="A79" s="240" t="s">
        <v>196</v>
      </c>
      <c r="B79" s="242">
        <f>BANYERES!B54</f>
        <v>420</v>
      </c>
      <c r="K79" s="124" t="s">
        <v>291</v>
      </c>
      <c r="P79" s="268">
        <f>F97</f>
        <v>88515.426427879895</v>
      </c>
    </row>
    <row r="80" spans="1:16" x14ac:dyDescent="0.3">
      <c r="A80" s="240" t="s">
        <v>273</v>
      </c>
      <c r="B80" s="242">
        <f>BANYERES!B55</f>
        <v>1108.5999999999999</v>
      </c>
      <c r="C80" s="190"/>
      <c r="K80" s="124" t="s">
        <v>292</v>
      </c>
      <c r="P80" s="268">
        <f>G97</f>
        <v>89754.642397870237</v>
      </c>
    </row>
    <row r="81" spans="1:18" x14ac:dyDescent="0.3">
      <c r="A81" s="333" t="s">
        <v>327</v>
      </c>
      <c r="B81" s="337">
        <f>SUM(B77:B80)</f>
        <v>9344.6378270147234</v>
      </c>
      <c r="C81" s="190"/>
      <c r="K81" s="124" t="s">
        <v>294</v>
      </c>
      <c r="P81" s="268">
        <f>H97</f>
        <v>91011.207391440417</v>
      </c>
    </row>
    <row r="82" spans="1:18" x14ac:dyDescent="0.3">
      <c r="A82" s="333" t="s">
        <v>328</v>
      </c>
      <c r="B82" s="335">
        <f>B81*5%</f>
        <v>467.23189135073619</v>
      </c>
      <c r="K82" s="124" t="s">
        <v>296</v>
      </c>
      <c r="P82" s="268">
        <f>I97</f>
        <v>92285.364294920568</v>
      </c>
    </row>
    <row r="83" spans="1:18" x14ac:dyDescent="0.3">
      <c r="A83" s="333" t="s">
        <v>329</v>
      </c>
      <c r="B83" s="335">
        <f>B81*8%</f>
        <v>747.57102616117788</v>
      </c>
      <c r="K83" s="124" t="s">
        <v>301</v>
      </c>
      <c r="P83" s="268">
        <f>P78+P79+P80+P81</f>
        <v>356574.59616579005</v>
      </c>
      <c r="Q83">
        <v>4</v>
      </c>
      <c r="R83" s="348">
        <f>P83/Q83</f>
        <v>89143.649041447512</v>
      </c>
    </row>
    <row r="84" spans="1:18" x14ac:dyDescent="0.3">
      <c r="A84" s="333" t="s">
        <v>330</v>
      </c>
      <c r="B84" s="336">
        <f>B81+B82+B83</f>
        <v>10559.440744526639</v>
      </c>
      <c r="F84" s="268">
        <f>B84+(B84*0.56)*0.025</f>
        <v>10707.272914950012</v>
      </c>
      <c r="G84" s="268">
        <f>F84+(F84*0.56)*0.025</f>
        <v>10857.174735759312</v>
      </c>
      <c r="H84" s="268">
        <f>G84+(G84*0.56)*0.025</f>
        <v>11009.175182059942</v>
      </c>
      <c r="I84" s="268">
        <f>H84+(H84*0.56)*0.025</f>
        <v>11163.303634608781</v>
      </c>
      <c r="K84" s="124" t="s">
        <v>303</v>
      </c>
      <c r="P84" s="268">
        <f>P83+P82</f>
        <v>448859.96046071063</v>
      </c>
      <c r="Q84">
        <v>5</v>
      </c>
      <c r="R84" s="349">
        <f>P84/Q84</f>
        <v>89771.992092142129</v>
      </c>
    </row>
    <row r="85" spans="1:18" x14ac:dyDescent="0.3">
      <c r="A85" s="333" t="s">
        <v>331</v>
      </c>
      <c r="B85" s="335">
        <f>B84*10%</f>
        <v>1055.9440744526639</v>
      </c>
      <c r="K85" s="347">
        <v>0.2</v>
      </c>
      <c r="P85" s="268">
        <f>P83*K85</f>
        <v>71314.919233158013</v>
      </c>
    </row>
    <row r="86" spans="1:18" x14ac:dyDescent="0.3">
      <c r="A86" s="333" t="s">
        <v>332</v>
      </c>
      <c r="B86" s="334">
        <f>B84+B85</f>
        <v>11615.384818979303</v>
      </c>
      <c r="K86" s="124" t="s">
        <v>347</v>
      </c>
      <c r="P86" s="349">
        <f>P84+P85</f>
        <v>520174.87969386863</v>
      </c>
    </row>
    <row r="87" spans="1:18" x14ac:dyDescent="0.3">
      <c r="A87" s="124" t="s">
        <v>290</v>
      </c>
      <c r="B87" s="334">
        <f>B84</f>
        <v>10559.440744526639</v>
      </c>
    </row>
    <row r="88" spans="1:18" x14ac:dyDescent="0.3">
      <c r="A88" s="124" t="s">
        <v>291</v>
      </c>
      <c r="B88" s="334">
        <f>F84</f>
        <v>10707.272914950012</v>
      </c>
      <c r="F88" s="268"/>
      <c r="P88" s="268">
        <f>B99-P86</f>
        <v>5171.1681125809555</v>
      </c>
    </row>
    <row r="89" spans="1:18" x14ac:dyDescent="0.3">
      <c r="A89" s="124" t="s">
        <v>292</v>
      </c>
      <c r="B89" s="334">
        <f>G84</f>
        <v>10857.174735759312</v>
      </c>
    </row>
    <row r="90" spans="1:18" x14ac:dyDescent="0.3">
      <c r="A90" s="124" t="s">
        <v>294</v>
      </c>
      <c r="B90" s="334">
        <f>H84</f>
        <v>11009.175182059942</v>
      </c>
      <c r="K90" s="124" t="s">
        <v>290</v>
      </c>
      <c r="P90" s="268">
        <f>P78</f>
        <v>87293.319948599514</v>
      </c>
    </row>
    <row r="91" spans="1:18" x14ac:dyDescent="0.3">
      <c r="A91" s="124" t="s">
        <v>296</v>
      </c>
      <c r="B91" s="334">
        <f>I84</f>
        <v>11163.303634608781</v>
      </c>
      <c r="K91" s="124" t="s">
        <v>291</v>
      </c>
      <c r="P91" s="268">
        <f>P79</f>
        <v>88515.426427879895</v>
      </c>
    </row>
    <row r="92" spans="1:18" x14ac:dyDescent="0.3">
      <c r="A92" s="124" t="s">
        <v>301</v>
      </c>
      <c r="B92" s="334">
        <f>B87+B88+B89+B90</f>
        <v>43133.063577295907</v>
      </c>
      <c r="K92" s="124" t="s">
        <v>292</v>
      </c>
      <c r="P92" s="268">
        <f>P80</f>
        <v>89754.642397870237</v>
      </c>
    </row>
    <row r="93" spans="1:18" x14ac:dyDescent="0.3">
      <c r="A93" s="124" t="s">
        <v>303</v>
      </c>
      <c r="B93" s="334">
        <f>B92+B91</f>
        <v>54296.36721190469</v>
      </c>
      <c r="D93" s="338" t="s">
        <v>343</v>
      </c>
      <c r="F93" s="268">
        <f>AVERAGE(B87:B91)</f>
        <v>10859.273442380938</v>
      </c>
      <c r="K93" s="124" t="s">
        <v>294</v>
      </c>
      <c r="P93" s="268">
        <f>P81</f>
        <v>91011.207391440417</v>
      </c>
    </row>
    <row r="94" spans="1:18" x14ac:dyDescent="0.3">
      <c r="A94" s="347">
        <v>0.2</v>
      </c>
      <c r="B94" s="334">
        <f>B92*A94</f>
        <v>8626.6127154591813</v>
      </c>
      <c r="K94" s="124" t="s">
        <v>349</v>
      </c>
      <c r="P94" s="268">
        <f>B68</f>
        <v>25855.840562904537</v>
      </c>
    </row>
    <row r="95" spans="1:18" x14ac:dyDescent="0.3">
      <c r="A95" s="124" t="s">
        <v>342</v>
      </c>
      <c r="B95" s="334">
        <f>B93+B94</f>
        <v>62922.979927363871</v>
      </c>
      <c r="D95" s="339" t="s">
        <v>345</v>
      </c>
      <c r="F95" s="268">
        <f>F17+F41+F66+F93</f>
        <v>89771.992092142144</v>
      </c>
      <c r="G95" s="268"/>
      <c r="H95">
        <v>89771.99</v>
      </c>
      <c r="I95" s="268">
        <f>F95-H95</f>
        <v>2.0921421382809058E-3</v>
      </c>
      <c r="K95" s="339" t="s">
        <v>350</v>
      </c>
      <c r="P95" s="268">
        <f>SUM(P90:P94)</f>
        <v>382430.43672869459</v>
      </c>
    </row>
    <row r="96" spans="1:18" x14ac:dyDescent="0.3">
      <c r="K96" s="350" t="s">
        <v>351</v>
      </c>
      <c r="P96" s="268">
        <f>B19+B43+B91</f>
        <v>66429.523732016038</v>
      </c>
    </row>
    <row r="97" spans="1:16" x14ac:dyDescent="0.3">
      <c r="A97" s="338" t="s">
        <v>344</v>
      </c>
      <c r="D97" s="268">
        <f>B12+B36+B61+B84</f>
        <v>87293.319948599514</v>
      </c>
      <c r="F97" s="268">
        <f>F12+F36+F61+F84</f>
        <v>88515.426427879895</v>
      </c>
      <c r="G97" s="268">
        <f>G12+G36+G61+G84</f>
        <v>89754.642397870237</v>
      </c>
      <c r="H97" s="268">
        <f>H12+H36+H61+H84</f>
        <v>91011.207391440417</v>
      </c>
      <c r="I97" s="268">
        <f>I12+I36+I61+I84</f>
        <v>92285.364294920568</v>
      </c>
      <c r="K97" s="351">
        <v>0.2</v>
      </c>
      <c r="P97" s="268">
        <f>P95*K97</f>
        <v>76486.087345738924</v>
      </c>
    </row>
    <row r="98" spans="1:16" x14ac:dyDescent="0.3">
      <c r="P98" s="349">
        <f>P95+P96+P97</f>
        <v>525346.04780644958</v>
      </c>
    </row>
    <row r="99" spans="1:16" x14ac:dyDescent="0.3">
      <c r="A99" s="338" t="s">
        <v>338</v>
      </c>
      <c r="B99" s="349">
        <f>B23+B47+B71+B95</f>
        <v>525346.04780644958</v>
      </c>
    </row>
    <row r="101" spans="1:16" x14ac:dyDescent="0.3">
      <c r="B101" s="268">
        <f>+B99-'III - PRESSUPOST TOTAL'!B41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N996"/>
  <sheetViews>
    <sheetView workbookViewId="0">
      <selection activeCell="A3" sqref="A3:B41"/>
    </sheetView>
  </sheetViews>
  <sheetFormatPr baseColWidth="10" defaultColWidth="14.44140625" defaultRowHeight="15" customHeight="1" x14ac:dyDescent="0.3"/>
  <cols>
    <col min="1" max="1" width="72.5546875" customWidth="1"/>
    <col min="2" max="2" width="20" customWidth="1"/>
    <col min="3" max="3" width="14.5546875" customWidth="1"/>
    <col min="4" max="4" width="13.88671875" customWidth="1"/>
    <col min="5" max="5" width="17.77734375" customWidth="1"/>
    <col min="6" max="6" width="24.77734375" customWidth="1"/>
    <col min="7" max="7" width="13.44140625" customWidth="1"/>
    <col min="8" max="9" width="10.77734375" customWidth="1"/>
    <col min="10" max="10" width="18.88671875" customWidth="1"/>
    <col min="11" max="11" width="10.77734375" customWidth="1"/>
    <col min="12" max="12" width="5.109375" customWidth="1"/>
    <col min="13" max="13" width="5" customWidth="1"/>
    <col min="14" max="14" width="30.21875" customWidth="1"/>
  </cols>
  <sheetData>
    <row r="1" spans="1:14" ht="18" x14ac:dyDescent="0.35">
      <c r="A1" s="319" t="s">
        <v>274</v>
      </c>
      <c r="B1" s="319"/>
      <c r="C1" s="319"/>
      <c r="D1" s="319"/>
      <c r="E1" s="319"/>
      <c r="F1" s="319"/>
      <c r="G1" s="319"/>
      <c r="H1" s="319"/>
      <c r="I1" s="319"/>
      <c r="J1" s="319"/>
    </row>
    <row r="2" spans="1:14" ht="12" customHeight="1" x14ac:dyDescent="0.35">
      <c r="A2" s="77"/>
    </row>
    <row r="3" spans="1:14" ht="18" x14ac:dyDescent="0.35">
      <c r="A3" s="97" t="s">
        <v>245</v>
      </c>
      <c r="B3" s="98"/>
    </row>
    <row r="4" spans="1:14" ht="18" x14ac:dyDescent="0.35">
      <c r="A4" s="99" t="s">
        <v>275</v>
      </c>
      <c r="B4" s="100">
        <f>'INVERSIONS VIDRE'!G7</f>
        <v>8178</v>
      </c>
    </row>
    <row r="5" spans="1:14" ht="18" customHeight="1" x14ac:dyDescent="0.35">
      <c r="A5" s="101"/>
      <c r="B5" s="102"/>
    </row>
    <row r="6" spans="1:14" ht="18" x14ac:dyDescent="0.35">
      <c r="A6" s="97" t="s">
        <v>276</v>
      </c>
      <c r="B6" s="98"/>
    </row>
    <row r="7" spans="1:14" ht="14.4" x14ac:dyDescent="0.3">
      <c r="A7" s="103" t="s">
        <v>193</v>
      </c>
      <c r="B7" s="104">
        <f>'RESUM LOTS'!B5+'RESUM LOTS'!B29+'RESUM LOTS'!B53+'RESUM LOTS'!B77</f>
        <v>42883.368418229649</v>
      </c>
    </row>
    <row r="8" spans="1:14" ht="14.4" x14ac:dyDescent="0.3">
      <c r="A8" s="105" t="s">
        <v>277</v>
      </c>
      <c r="B8" s="104">
        <f>'INVERSIONS VIDRE'!I6</f>
        <v>2044.5</v>
      </c>
      <c r="N8" s="3"/>
    </row>
    <row r="9" spans="1:14" ht="14.4" x14ac:dyDescent="0.3">
      <c r="A9" s="105" t="s">
        <v>278</v>
      </c>
      <c r="B9" s="104">
        <f>'RESUM LOTS'!B7+'RESUM LOTS'!B31+'RESUM LOTS'!B52</f>
        <v>7667.88</v>
      </c>
      <c r="E9" s="28"/>
      <c r="N9" s="3"/>
    </row>
    <row r="10" spans="1:14" ht="14.4" x14ac:dyDescent="0.3">
      <c r="A10" s="105" t="s">
        <v>153</v>
      </c>
      <c r="B10" s="106">
        <f>'RESUM LOTS'!B32+'RESUM LOTS'!B56+'RESUM LOTS'!B79</f>
        <v>5176.08</v>
      </c>
      <c r="E10" s="28"/>
    </row>
    <row r="11" spans="1:14" ht="14.4" x14ac:dyDescent="0.3">
      <c r="A11" s="105" t="s">
        <v>279</v>
      </c>
      <c r="B11" s="106">
        <f>'RESUM LOTS'!B6+'RESUM LOTS'!B30+'RESUM LOTS'!B54+'RESUM LOTS'!B78</f>
        <v>9216.5472000000009</v>
      </c>
    </row>
    <row r="12" spans="1:14" ht="14.4" x14ac:dyDescent="0.3">
      <c r="A12" s="285" t="s">
        <v>168</v>
      </c>
      <c r="B12" s="286">
        <f>'RESUM LOTS'!B8+'RESUM LOTS'!B80</f>
        <v>2084.35</v>
      </c>
    </row>
    <row r="13" spans="1:14" ht="18" x14ac:dyDescent="0.35">
      <c r="A13" s="99" t="s">
        <v>280</v>
      </c>
      <c r="B13" s="100">
        <f>SUM(B7:B12)</f>
        <v>69072.725618229655</v>
      </c>
      <c r="D13" s="91"/>
    </row>
    <row r="14" spans="1:14" ht="14.4" x14ac:dyDescent="0.3">
      <c r="A14" s="102"/>
      <c r="B14" s="107"/>
    </row>
    <row r="15" spans="1:14" ht="18" x14ac:dyDescent="0.35">
      <c r="A15" s="108" t="s">
        <v>281</v>
      </c>
      <c r="B15" s="109">
        <f>B4+B13</f>
        <v>77250.725618229655</v>
      </c>
    </row>
    <row r="16" spans="1:14" ht="12" customHeight="1" x14ac:dyDescent="0.3">
      <c r="A16" s="37"/>
      <c r="B16" s="110"/>
    </row>
    <row r="17" spans="1:8" ht="15.75" customHeight="1" x14ac:dyDescent="0.35">
      <c r="A17" s="111" t="s">
        <v>282</v>
      </c>
      <c r="B17" s="106">
        <f>B15*0.05</f>
        <v>3862.5362809114831</v>
      </c>
    </row>
    <row r="18" spans="1:8" ht="15.75" customHeight="1" x14ac:dyDescent="0.35">
      <c r="A18" s="111" t="s">
        <v>283</v>
      </c>
      <c r="B18" s="106">
        <f>B15*0.08</f>
        <v>6180.0580494583728</v>
      </c>
    </row>
    <row r="19" spans="1:8" ht="15.75" customHeight="1" x14ac:dyDescent="0.35">
      <c r="A19" s="111" t="s">
        <v>284</v>
      </c>
      <c r="B19" s="106">
        <f>B15+B17+B18</f>
        <v>87293.319948599514</v>
      </c>
    </row>
    <row r="20" spans="1:8" ht="15.75" customHeight="1" x14ac:dyDescent="0.35">
      <c r="A20" s="111" t="s">
        <v>285</v>
      </c>
      <c r="B20" s="106">
        <f>B19*0.1</f>
        <v>8729.331994859951</v>
      </c>
    </row>
    <row r="21" spans="1:8" ht="15.75" customHeight="1" x14ac:dyDescent="0.35">
      <c r="A21" s="111" t="s">
        <v>286</v>
      </c>
      <c r="B21" s="106">
        <f>B19+B20</f>
        <v>96022.651943459467</v>
      </c>
      <c r="F21" s="47"/>
    </row>
    <row r="22" spans="1:8" ht="15.75" customHeight="1" x14ac:dyDescent="0.3">
      <c r="A22" s="37"/>
      <c r="B22" s="110"/>
      <c r="F22" s="28"/>
    </row>
    <row r="23" spans="1:8" ht="15.75" customHeight="1" x14ac:dyDescent="0.35">
      <c r="A23" s="112" t="s">
        <v>287</v>
      </c>
      <c r="B23" s="113">
        <f>'Dades població'!C21</f>
        <v>4612</v>
      </c>
      <c r="F23" s="27"/>
      <c r="G23" s="3"/>
    </row>
    <row r="24" spans="1:8" ht="15.75" customHeight="1" x14ac:dyDescent="0.35">
      <c r="A24" s="114" t="s">
        <v>288</v>
      </c>
      <c r="B24" s="95">
        <f>((B21)/B23)</f>
        <v>20.820176050186355</v>
      </c>
    </row>
    <row r="25" spans="1:8" ht="15.75" customHeight="1" x14ac:dyDescent="0.3">
      <c r="A25" s="115"/>
      <c r="B25" s="115"/>
    </row>
    <row r="26" spans="1:8" ht="15.75" customHeight="1" x14ac:dyDescent="0.3">
      <c r="A26" s="6"/>
      <c r="B26" s="6"/>
    </row>
    <row r="27" spans="1:8" ht="15.75" customHeight="1" x14ac:dyDescent="0.3">
      <c r="A27" s="96"/>
      <c r="B27" s="96"/>
      <c r="D27" s="3" t="s">
        <v>289</v>
      </c>
      <c r="G27" s="3"/>
    </row>
    <row r="28" spans="1:8" ht="15.75" customHeight="1" x14ac:dyDescent="0.3">
      <c r="A28" s="72" t="s">
        <v>290</v>
      </c>
      <c r="B28" s="116">
        <f>B19</f>
        <v>87293.319948599514</v>
      </c>
      <c r="D28" s="47">
        <f>SUM(B28:B35)/4</f>
        <v>95607.609182173648</v>
      </c>
      <c r="G28" s="47"/>
      <c r="H28" s="3"/>
    </row>
    <row r="29" spans="1:8" ht="15.75" customHeight="1" x14ac:dyDescent="0.3">
      <c r="A29" s="37" t="s">
        <v>291</v>
      </c>
      <c r="B29" s="110">
        <f t="shared" ref="B29:B31" si="0">(B28)+((B28*0.56)*0.025)</f>
        <v>88515.426427879909</v>
      </c>
      <c r="G29" s="47"/>
      <c r="H29" s="3"/>
    </row>
    <row r="30" spans="1:8" ht="15.75" customHeight="1" x14ac:dyDescent="0.3">
      <c r="A30" s="37" t="s">
        <v>292</v>
      </c>
      <c r="B30" s="110">
        <f t="shared" si="0"/>
        <v>89754.642397870222</v>
      </c>
      <c r="D30" s="117" t="s">
        <v>293</v>
      </c>
    </row>
    <row r="31" spans="1:8" ht="15.75" customHeight="1" x14ac:dyDescent="0.3">
      <c r="A31" s="37" t="s">
        <v>294</v>
      </c>
      <c r="B31" s="110">
        <f t="shared" si="0"/>
        <v>91011.207391440403</v>
      </c>
      <c r="D31" s="3" t="s">
        <v>295</v>
      </c>
      <c r="G31" s="3"/>
    </row>
    <row r="32" spans="1:8" ht="15.75" customHeight="1" x14ac:dyDescent="0.3">
      <c r="A32" s="124" t="s">
        <v>349</v>
      </c>
      <c r="B32" s="110">
        <f>+'RESUM LOTS'!B68</f>
        <v>25855.840562904537</v>
      </c>
      <c r="D32" s="47" t="s">
        <v>297</v>
      </c>
      <c r="G32" s="3"/>
    </row>
    <row r="33" spans="1:7" ht="15.75" customHeight="1" x14ac:dyDescent="0.3">
      <c r="A33" s="124"/>
      <c r="B33" s="110"/>
      <c r="D33" s="3" t="s">
        <v>298</v>
      </c>
      <c r="G33" s="3"/>
    </row>
    <row r="34" spans="1:7" ht="15.75" customHeight="1" x14ac:dyDescent="0.3">
      <c r="A34" s="37"/>
      <c r="B34" s="110"/>
      <c r="D34" s="47" t="s">
        <v>299</v>
      </c>
      <c r="G34" s="3"/>
    </row>
    <row r="35" spans="1:7" ht="15.75" customHeight="1" x14ac:dyDescent="0.3">
      <c r="A35" s="56"/>
      <c r="B35" s="95"/>
      <c r="D35" s="3" t="s">
        <v>268</v>
      </c>
    </row>
    <row r="36" spans="1:7" ht="15.75" customHeight="1" x14ac:dyDescent="0.3">
      <c r="A36" s="115"/>
      <c r="B36" s="115"/>
      <c r="D36" s="47" t="s">
        <v>300</v>
      </c>
    </row>
    <row r="37" spans="1:7" ht="15.75" customHeight="1" x14ac:dyDescent="0.3">
      <c r="A37" s="96"/>
      <c r="B37" s="96"/>
      <c r="D37" s="3" t="s">
        <v>24</v>
      </c>
    </row>
    <row r="38" spans="1:7" ht="15.75" customHeight="1" x14ac:dyDescent="0.3">
      <c r="A38" s="72" t="s">
        <v>352</v>
      </c>
      <c r="B38" s="116">
        <f>+SUM(B28:B32)</f>
        <v>382430.43672869459</v>
      </c>
    </row>
    <row r="39" spans="1:7" ht="15.75" customHeight="1" x14ac:dyDescent="0.3">
      <c r="A39" s="37" t="s">
        <v>353</v>
      </c>
      <c r="B39" s="110">
        <f>+'RESUM LOTS'!B19+'RESUM LOTS'!B43+'RESUM LOTS'!B91</f>
        <v>66429.523732016038</v>
      </c>
      <c r="E39" s="304" t="s">
        <v>302</v>
      </c>
      <c r="F39" s="314"/>
    </row>
    <row r="40" spans="1:7" ht="15.75" customHeight="1" x14ac:dyDescent="0.3">
      <c r="A40" s="37" t="s">
        <v>354</v>
      </c>
      <c r="B40" s="110">
        <f>+B38*0.2</f>
        <v>76486.087345738924</v>
      </c>
      <c r="E40" s="304" t="s">
        <v>193</v>
      </c>
      <c r="F40" s="314">
        <f>B7</f>
        <v>42883.368418229649</v>
      </c>
    </row>
    <row r="41" spans="1:7" ht="15.75" customHeight="1" x14ac:dyDescent="0.3">
      <c r="A41" s="118" t="s">
        <v>304</v>
      </c>
      <c r="B41" s="47">
        <f>+SUM(B38:B40)</f>
        <v>525346.04780644958</v>
      </c>
      <c r="E41" s="304" t="s">
        <v>277</v>
      </c>
      <c r="F41" s="314">
        <f>B8</f>
        <v>2044.5</v>
      </c>
    </row>
    <row r="42" spans="1:7" ht="15.75" customHeight="1" x14ac:dyDescent="0.3">
      <c r="B42" s="352">
        <f>+B41-'RESUM LOTS'!B99</f>
        <v>0</v>
      </c>
      <c r="E42" s="304" t="s">
        <v>305</v>
      </c>
      <c r="F42" s="314">
        <v>0</v>
      </c>
    </row>
    <row r="43" spans="1:7" ht="15.75" customHeight="1" x14ac:dyDescent="0.3">
      <c r="E43" s="304" t="s">
        <v>306</v>
      </c>
      <c r="F43" s="314">
        <v>0</v>
      </c>
    </row>
    <row r="44" spans="1:7" ht="15.75" customHeight="1" x14ac:dyDescent="0.3">
      <c r="A44" s="315"/>
      <c r="B44" s="314"/>
      <c r="E44" s="304" t="s">
        <v>278</v>
      </c>
      <c r="F44" s="314">
        <f>B9</f>
        <v>7667.88</v>
      </c>
    </row>
    <row r="45" spans="1:7" ht="15.75" customHeight="1" x14ac:dyDescent="0.3">
      <c r="A45" s="315"/>
      <c r="B45" s="314"/>
      <c r="E45" s="304" t="s">
        <v>153</v>
      </c>
      <c r="F45" s="314">
        <f>B10</f>
        <v>5176.08</v>
      </c>
    </row>
    <row r="46" spans="1:7" ht="15.75" customHeight="1" x14ac:dyDescent="0.3">
      <c r="A46" s="315"/>
      <c r="E46" s="304" t="s">
        <v>279</v>
      </c>
      <c r="F46" s="314">
        <f>B11</f>
        <v>9216.5472000000009</v>
      </c>
    </row>
    <row r="47" spans="1:7" ht="15.75" customHeight="1" x14ac:dyDescent="0.3">
      <c r="A47" s="315"/>
      <c r="B47" s="316"/>
      <c r="E47" s="304" t="s">
        <v>307</v>
      </c>
      <c r="F47" s="314">
        <f>B17</f>
        <v>3862.5362809114831</v>
      </c>
    </row>
    <row r="48" spans="1:7" ht="15.75" customHeight="1" x14ac:dyDescent="0.3">
      <c r="A48" s="315"/>
      <c r="B48" s="316"/>
      <c r="E48" s="304" t="s">
        <v>308</v>
      </c>
      <c r="F48" s="314">
        <f>B18</f>
        <v>6180.0580494583728</v>
      </c>
    </row>
    <row r="49" spans="1:7" ht="15.75" customHeight="1" x14ac:dyDescent="0.3">
      <c r="A49" s="315"/>
      <c r="E49" s="304"/>
      <c r="F49" s="314"/>
    </row>
    <row r="50" spans="1:7" ht="15.75" customHeight="1" x14ac:dyDescent="0.3">
      <c r="A50" s="315"/>
      <c r="B50" s="314"/>
      <c r="E50" s="304"/>
      <c r="F50" s="314"/>
    </row>
    <row r="51" spans="1:7" ht="15.75" customHeight="1" x14ac:dyDescent="0.3">
      <c r="E51" s="304"/>
      <c r="F51" s="314"/>
      <c r="G51" s="317"/>
    </row>
    <row r="52" spans="1:7" ht="15.75" customHeight="1" x14ac:dyDescent="0.3">
      <c r="E52" s="314"/>
      <c r="G52" s="317"/>
    </row>
    <row r="53" spans="1:7" ht="15.75" customHeight="1" x14ac:dyDescent="0.3"/>
    <row r="54" spans="1:7" ht="15.75" customHeight="1" x14ac:dyDescent="0.3"/>
    <row r="55" spans="1:7" ht="15.75" customHeight="1" x14ac:dyDescent="0.3"/>
    <row r="56" spans="1:7" ht="15.75" customHeight="1" x14ac:dyDescent="0.3"/>
    <row r="57" spans="1:7" ht="15.75" customHeight="1" x14ac:dyDescent="0.3"/>
    <row r="58" spans="1:7" ht="15.75" customHeight="1" x14ac:dyDescent="0.3"/>
    <row r="59" spans="1:7" ht="15.75" customHeight="1" x14ac:dyDescent="0.3"/>
    <row r="60" spans="1:7" ht="15.75" customHeight="1" x14ac:dyDescent="0.3"/>
    <row r="61" spans="1:7" ht="15.75" customHeight="1" x14ac:dyDescent="0.3"/>
    <row r="62" spans="1:7" ht="15.75" customHeight="1" x14ac:dyDescent="0.3"/>
    <row r="63" spans="1:7" ht="15.75" customHeight="1" x14ac:dyDescent="0.3"/>
    <row r="64" spans="1:7" ht="15.75" customHeight="1" x14ac:dyDescent="0.3"/>
    <row r="65" spans="6:6" ht="15.75" customHeight="1" x14ac:dyDescent="0.3"/>
    <row r="66" spans="6:6" ht="15.75" customHeight="1" x14ac:dyDescent="0.3"/>
    <row r="67" spans="6:6" ht="15.75" customHeight="1" x14ac:dyDescent="0.3"/>
    <row r="68" spans="6:6" ht="15.75" customHeight="1" x14ac:dyDescent="0.3"/>
    <row r="69" spans="6:6" ht="15.75" customHeight="1" x14ac:dyDescent="0.3">
      <c r="F69" s="304">
        <v>3.4</v>
      </c>
    </row>
    <row r="70" spans="6:6" ht="15.75" customHeight="1" x14ac:dyDescent="0.3"/>
    <row r="71" spans="6:6" ht="15.75" customHeight="1" x14ac:dyDescent="0.3"/>
    <row r="72" spans="6:6" ht="15.75" customHeight="1" x14ac:dyDescent="0.3"/>
    <row r="73" spans="6:6" ht="15.75" customHeight="1" x14ac:dyDescent="0.3"/>
    <row r="74" spans="6:6" ht="15.75" customHeight="1" x14ac:dyDescent="0.3"/>
    <row r="75" spans="6:6" ht="15.75" customHeight="1" x14ac:dyDescent="0.3"/>
    <row r="76" spans="6:6" ht="15.75" customHeight="1" x14ac:dyDescent="0.3"/>
    <row r="77" spans="6:6" ht="15.75" customHeight="1" x14ac:dyDescent="0.3"/>
    <row r="78" spans="6:6" ht="15.75" customHeight="1" x14ac:dyDescent="0.3"/>
    <row r="79" spans="6:6" ht="15.75" customHeight="1" x14ac:dyDescent="0.3"/>
    <row r="80" spans="6:6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</sheetData>
  <pageMargins left="0.7" right="0.7" top="0.59" bottom="0.75" header="0" footer="0"/>
  <pageSetup paperSize="9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Dades Referència</vt:lpstr>
      <vt:lpstr>Dades població</vt:lpstr>
      <vt:lpstr>FV VOL OLI TEXTIL</vt:lpstr>
      <vt:lpstr>DEIXALLERIA MOBIL</vt:lpstr>
      <vt:lpstr>VIDRE</vt:lpstr>
      <vt:lpstr>INVERSIONS VIDRE</vt:lpstr>
      <vt:lpstr>BANYERES</vt:lpstr>
      <vt:lpstr>RESUM LOTS</vt:lpstr>
      <vt:lpstr>III - PRESSUPOST TOTAL</vt:lpstr>
      <vt:lpstr>Preus unitaris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Win11</dc:creator>
  <cp:keywords/>
  <dc:description/>
  <cp:lastModifiedBy>Lourdes ANGLADA CODINA</cp:lastModifiedBy>
  <cp:revision/>
  <dcterms:created xsi:type="dcterms:W3CDTF">2023-09-12T15:16:13Z</dcterms:created>
  <dcterms:modified xsi:type="dcterms:W3CDTF">2025-03-12T11:00:48Z</dcterms:modified>
  <cp:category/>
  <cp:contentStatus/>
</cp:coreProperties>
</file>