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me\Documents\GIPROC\Projectes en execució\IMHAB MONTNEGRE 39\IMHAB MONTNEGRE 39-PtOb Modif\"/>
    </mc:Choice>
  </mc:AlternateContent>
  <xr:revisionPtr revIDLastSave="0" documentId="8_{51DE3F4C-0A45-4916-83F7-6E35FEA7DF37}" xr6:coauthVersionLast="47" xr6:coauthVersionMax="47" xr10:uidLastSave="{00000000-0000-0000-0000-000000000000}"/>
  <bookViews>
    <workbookView xWindow="-108" yWindow="-108" windowWidth="23256" windowHeight="12456" xr2:uid="{F80F6C66-0616-4367-8A42-86BA201C88ED}"/>
  </bookViews>
  <sheets>
    <sheet name="Hoja1" sheetId="1" r:id="rId1"/>
  </sheets>
  <definedNames>
    <definedName name="_xlnm.Print_Titles" localSheetId="0">Hoja1!$1:$3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0" i="1" l="1"/>
  <c r="L352" i="1"/>
  <c r="M352" i="1" s="1"/>
  <c r="M349" i="1" s="1"/>
  <c r="L347" i="1"/>
  <c r="L342" i="1"/>
  <c r="L334" i="1"/>
  <c r="L326" i="1"/>
  <c r="L321" i="1"/>
  <c r="M321" i="1" s="1"/>
  <c r="L313" i="1"/>
  <c r="L308" i="1"/>
  <c r="L303" i="1"/>
  <c r="L298" i="1"/>
  <c r="L294" i="1"/>
  <c r="L289" i="1"/>
  <c r="L284" i="1"/>
  <c r="L279" i="1"/>
  <c r="L274" i="1"/>
  <c r="M274" i="1" s="1"/>
  <c r="M271" i="1" s="1"/>
  <c r="L269" i="1"/>
  <c r="L264" i="1"/>
  <c r="M264" i="1" s="1"/>
  <c r="M261" i="1" s="1"/>
  <c r="L259" i="1"/>
  <c r="L251" i="1"/>
  <c r="L246" i="1"/>
  <c r="L241" i="1"/>
  <c r="M241" i="1" s="1"/>
  <c r="M236" i="1" s="1"/>
  <c r="L234" i="1"/>
  <c r="L230" i="1"/>
  <c r="M230" i="1" s="1"/>
  <c r="M224" i="1" s="1"/>
  <c r="L222" i="1"/>
  <c r="L215" i="1"/>
  <c r="L199" i="1"/>
  <c r="L193" i="1"/>
  <c r="M193" i="1" s="1"/>
  <c r="M189" i="1" s="1"/>
  <c r="L187" i="1"/>
  <c r="L179" i="1"/>
  <c r="L172" i="1"/>
  <c r="L163" i="1"/>
  <c r="L159" i="1"/>
  <c r="M159" i="1" s="1"/>
  <c r="M152" i="1" s="1"/>
  <c r="L150" i="1"/>
  <c r="L131" i="1"/>
  <c r="L120" i="1"/>
  <c r="L115" i="1"/>
  <c r="L110" i="1"/>
  <c r="L105" i="1"/>
  <c r="L102" i="1" s="1"/>
  <c r="L100" i="1"/>
  <c r="L92" i="1"/>
  <c r="M92" i="1" s="1"/>
  <c r="M89" i="1" s="1"/>
  <c r="L87" i="1"/>
  <c r="L82" i="1"/>
  <c r="L57" i="1"/>
  <c r="M57" i="1" s="1"/>
  <c r="M54" i="1" s="1"/>
  <c r="L52" i="1"/>
  <c r="L47" i="1"/>
  <c r="L44" i="1" s="1"/>
  <c r="L42" i="1"/>
  <c r="M42" i="1" s="1"/>
  <c r="M39" i="1" s="1"/>
  <c r="L37" i="1"/>
  <c r="L29" i="1"/>
  <c r="L16" i="1"/>
  <c r="L5" i="1" s="1"/>
  <c r="K356" i="1"/>
  <c r="M360" i="1"/>
  <c r="L362" i="1" s="1"/>
  <c r="K357" i="1"/>
  <c r="K360" i="1"/>
  <c r="L357" i="1"/>
  <c r="J359" i="1"/>
  <c r="K338" i="1"/>
  <c r="K349" i="1"/>
  <c r="K352" i="1"/>
  <c r="J351" i="1"/>
  <c r="M347" i="1"/>
  <c r="M344" i="1" s="1"/>
  <c r="K344" i="1"/>
  <c r="K347" i="1"/>
  <c r="L344" i="1"/>
  <c r="J346" i="1"/>
  <c r="M342" i="1"/>
  <c r="K339" i="1"/>
  <c r="K342" i="1"/>
  <c r="L339" i="1"/>
  <c r="J341" i="1"/>
  <c r="K330" i="1"/>
  <c r="M334" i="1"/>
  <c r="L336" i="1" s="1"/>
  <c r="K331" i="1"/>
  <c r="K334" i="1"/>
  <c r="L331" i="1"/>
  <c r="J333" i="1"/>
  <c r="K317" i="1"/>
  <c r="M326" i="1"/>
  <c r="M323" i="1" s="1"/>
  <c r="K323" i="1"/>
  <c r="K326" i="1"/>
  <c r="L323" i="1"/>
  <c r="J325" i="1"/>
  <c r="K318" i="1"/>
  <c r="K321" i="1"/>
  <c r="J320" i="1"/>
  <c r="K255" i="1"/>
  <c r="M313" i="1"/>
  <c r="M310" i="1" s="1"/>
  <c r="K310" i="1"/>
  <c r="K313" i="1"/>
  <c r="L310" i="1"/>
  <c r="J312" i="1"/>
  <c r="M308" i="1"/>
  <c r="M305" i="1" s="1"/>
  <c r="K305" i="1"/>
  <c r="K308" i="1"/>
  <c r="L305" i="1"/>
  <c r="J307" i="1"/>
  <c r="M303" i="1"/>
  <c r="M300" i="1" s="1"/>
  <c r="K300" i="1"/>
  <c r="K303" i="1"/>
  <c r="L300" i="1"/>
  <c r="J302" i="1"/>
  <c r="M298" i="1"/>
  <c r="M296" i="1" s="1"/>
  <c r="K296" i="1"/>
  <c r="K298" i="1"/>
  <c r="L296" i="1"/>
  <c r="J297" i="1"/>
  <c r="M294" i="1"/>
  <c r="M291" i="1" s="1"/>
  <c r="K291" i="1"/>
  <c r="K294" i="1"/>
  <c r="L291" i="1"/>
  <c r="J293" i="1"/>
  <c r="M286" i="1"/>
  <c r="M289" i="1"/>
  <c r="K286" i="1"/>
  <c r="K289" i="1"/>
  <c r="L286" i="1"/>
  <c r="J288" i="1"/>
  <c r="M284" i="1"/>
  <c r="M281" i="1" s="1"/>
  <c r="K281" i="1"/>
  <c r="K284" i="1"/>
  <c r="L281" i="1"/>
  <c r="J283" i="1"/>
  <c r="M279" i="1"/>
  <c r="M276" i="1" s="1"/>
  <c r="K276" i="1"/>
  <c r="K279" i="1"/>
  <c r="L276" i="1"/>
  <c r="J278" i="1"/>
  <c r="K271" i="1"/>
  <c r="K274" i="1"/>
  <c r="L271" i="1"/>
  <c r="J273" i="1"/>
  <c r="M269" i="1"/>
  <c r="M266" i="1" s="1"/>
  <c r="K266" i="1"/>
  <c r="K269" i="1"/>
  <c r="L266" i="1"/>
  <c r="J268" i="1"/>
  <c r="K261" i="1"/>
  <c r="K264" i="1"/>
  <c r="L261" i="1"/>
  <c r="J263" i="1"/>
  <c r="M259" i="1"/>
  <c r="M256" i="1" s="1"/>
  <c r="K256" i="1"/>
  <c r="K259" i="1"/>
  <c r="L256" i="1"/>
  <c r="J258" i="1"/>
  <c r="K135" i="1"/>
  <c r="M251" i="1"/>
  <c r="M248" i="1" s="1"/>
  <c r="K248" i="1"/>
  <c r="K251" i="1"/>
  <c r="L248" i="1"/>
  <c r="J250" i="1"/>
  <c r="M246" i="1"/>
  <c r="M243" i="1" s="1"/>
  <c r="K243" i="1"/>
  <c r="K246" i="1"/>
  <c r="L243" i="1"/>
  <c r="J245" i="1"/>
  <c r="K236" i="1"/>
  <c r="K241" i="1"/>
  <c r="L236" i="1"/>
  <c r="J240" i="1"/>
  <c r="J239" i="1"/>
  <c r="J238" i="1"/>
  <c r="M234" i="1"/>
  <c r="M232" i="1" s="1"/>
  <c r="K232" i="1"/>
  <c r="K234" i="1"/>
  <c r="L232" i="1"/>
  <c r="J233" i="1"/>
  <c r="K224" i="1"/>
  <c r="K230" i="1"/>
  <c r="L224" i="1"/>
  <c r="J229" i="1"/>
  <c r="J228" i="1"/>
  <c r="J227" i="1"/>
  <c r="J226" i="1"/>
  <c r="M222" i="1"/>
  <c r="M217" i="1" s="1"/>
  <c r="K217" i="1"/>
  <c r="K222" i="1"/>
  <c r="L217" i="1"/>
  <c r="J221" i="1"/>
  <c r="J220" i="1"/>
  <c r="J219" i="1"/>
  <c r="M215" i="1"/>
  <c r="M201" i="1" s="1"/>
  <c r="K201" i="1"/>
  <c r="K215" i="1"/>
  <c r="L201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M199" i="1"/>
  <c r="M195" i="1" s="1"/>
  <c r="K195" i="1"/>
  <c r="K199" i="1"/>
  <c r="L195" i="1"/>
  <c r="J198" i="1"/>
  <c r="J197" i="1"/>
  <c r="K189" i="1"/>
  <c r="K193" i="1"/>
  <c r="J192" i="1"/>
  <c r="J191" i="1"/>
  <c r="M187" i="1"/>
  <c r="M181" i="1" s="1"/>
  <c r="K181" i="1"/>
  <c r="K187" i="1"/>
  <c r="L181" i="1"/>
  <c r="J186" i="1"/>
  <c r="J185" i="1"/>
  <c r="J184" i="1"/>
  <c r="J183" i="1"/>
  <c r="M179" i="1"/>
  <c r="M174" i="1" s="1"/>
  <c r="K174" i="1"/>
  <c r="K179" i="1"/>
  <c r="L174" i="1"/>
  <c r="J178" i="1"/>
  <c r="J177" i="1"/>
  <c r="J176" i="1"/>
  <c r="M165" i="1"/>
  <c r="M172" i="1"/>
  <c r="K165" i="1"/>
  <c r="K172" i="1"/>
  <c r="L165" i="1"/>
  <c r="J171" i="1"/>
  <c r="J170" i="1"/>
  <c r="J169" i="1"/>
  <c r="J168" i="1"/>
  <c r="J167" i="1"/>
  <c r="M163" i="1"/>
  <c r="M161" i="1" s="1"/>
  <c r="K161" i="1"/>
  <c r="K163" i="1"/>
  <c r="L161" i="1"/>
  <c r="J162" i="1"/>
  <c r="K152" i="1"/>
  <c r="K159" i="1"/>
  <c r="J158" i="1"/>
  <c r="J157" i="1"/>
  <c r="J156" i="1"/>
  <c r="J155" i="1"/>
  <c r="J154" i="1"/>
  <c r="M150" i="1"/>
  <c r="M136" i="1" s="1"/>
  <c r="K136" i="1"/>
  <c r="K150" i="1"/>
  <c r="L136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K96" i="1"/>
  <c r="M131" i="1"/>
  <c r="M122" i="1" s="1"/>
  <c r="K122" i="1"/>
  <c r="K131" i="1"/>
  <c r="L122" i="1"/>
  <c r="J130" i="1"/>
  <c r="J129" i="1"/>
  <c r="J128" i="1"/>
  <c r="J127" i="1"/>
  <c r="J126" i="1"/>
  <c r="J125" i="1"/>
  <c r="J124" i="1"/>
  <c r="M120" i="1"/>
  <c r="M117" i="1" s="1"/>
  <c r="K117" i="1"/>
  <c r="K120" i="1"/>
  <c r="L117" i="1"/>
  <c r="J119" i="1"/>
  <c r="M115" i="1"/>
  <c r="M112" i="1" s="1"/>
  <c r="K112" i="1"/>
  <c r="K115" i="1"/>
  <c r="L112" i="1"/>
  <c r="J114" i="1"/>
  <c r="M110" i="1"/>
  <c r="M107" i="1" s="1"/>
  <c r="K107" i="1"/>
  <c r="K110" i="1"/>
  <c r="L107" i="1"/>
  <c r="J109" i="1"/>
  <c r="M105" i="1"/>
  <c r="M102" i="1" s="1"/>
  <c r="K102" i="1"/>
  <c r="K105" i="1"/>
  <c r="J104" i="1"/>
  <c r="M100" i="1"/>
  <c r="K97" i="1"/>
  <c r="K100" i="1"/>
  <c r="L97" i="1"/>
  <c r="J99" i="1"/>
  <c r="K61" i="1"/>
  <c r="K89" i="1"/>
  <c r="K92" i="1"/>
  <c r="J91" i="1"/>
  <c r="M87" i="1"/>
  <c r="M84" i="1" s="1"/>
  <c r="K84" i="1"/>
  <c r="K87" i="1"/>
  <c r="L84" i="1"/>
  <c r="J86" i="1"/>
  <c r="M82" i="1"/>
  <c r="K62" i="1"/>
  <c r="K82" i="1"/>
  <c r="L6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K4" i="1"/>
  <c r="K54" i="1"/>
  <c r="K57" i="1"/>
  <c r="L54" i="1"/>
  <c r="J56" i="1"/>
  <c r="M52" i="1"/>
  <c r="M49" i="1" s="1"/>
  <c r="K49" i="1"/>
  <c r="K52" i="1"/>
  <c r="L49" i="1"/>
  <c r="J51" i="1"/>
  <c r="M47" i="1"/>
  <c r="M44" i="1" s="1"/>
  <c r="K44" i="1"/>
  <c r="K47" i="1"/>
  <c r="J46" i="1"/>
  <c r="K39" i="1"/>
  <c r="K42" i="1"/>
  <c r="J41" i="1"/>
  <c r="M37" i="1"/>
  <c r="M31" i="1" s="1"/>
  <c r="K31" i="1"/>
  <c r="K37" i="1"/>
  <c r="L31" i="1"/>
  <c r="J36" i="1"/>
  <c r="J35" i="1"/>
  <c r="J34" i="1"/>
  <c r="J33" i="1"/>
  <c r="M29" i="1"/>
  <c r="M18" i="1" s="1"/>
  <c r="K18" i="1"/>
  <c r="K29" i="1"/>
  <c r="L18" i="1"/>
  <c r="J28" i="1"/>
  <c r="J27" i="1"/>
  <c r="J26" i="1"/>
  <c r="J25" i="1"/>
  <c r="J24" i="1"/>
  <c r="J23" i="1"/>
  <c r="J22" i="1"/>
  <c r="J21" i="1"/>
  <c r="J20" i="1"/>
  <c r="M16" i="1"/>
  <c r="K5" i="1"/>
  <c r="K16" i="1"/>
  <c r="J15" i="1"/>
  <c r="J14" i="1"/>
  <c r="J13" i="1"/>
  <c r="J12" i="1"/>
  <c r="J11" i="1"/>
  <c r="J10" i="1"/>
  <c r="J9" i="1"/>
  <c r="J8" i="1"/>
  <c r="J7" i="1"/>
  <c r="M362" i="1" l="1"/>
  <c r="M356" i="1" s="1"/>
  <c r="L356" i="1"/>
  <c r="M357" i="1"/>
  <c r="L349" i="1"/>
  <c r="L354" i="1"/>
  <c r="L338" i="1" s="1"/>
  <c r="M339" i="1"/>
  <c r="L330" i="1"/>
  <c r="M336" i="1"/>
  <c r="M330" i="1" s="1"/>
  <c r="M331" i="1"/>
  <c r="M318" i="1"/>
  <c r="L328" i="1"/>
  <c r="L318" i="1"/>
  <c r="L315" i="1"/>
  <c r="L189" i="1"/>
  <c r="L152" i="1"/>
  <c r="L253" i="1"/>
  <c r="L133" i="1"/>
  <c r="M133" i="1" s="1"/>
  <c r="M96" i="1" s="1"/>
  <c r="M97" i="1"/>
  <c r="L94" i="1"/>
  <c r="L89" i="1"/>
  <c r="L61" i="1"/>
  <c r="M94" i="1"/>
  <c r="M61" i="1" s="1"/>
  <c r="M62" i="1"/>
  <c r="L39" i="1"/>
  <c r="L59" i="1"/>
  <c r="L4" i="1" s="1"/>
  <c r="M5" i="1"/>
  <c r="M354" i="1" l="1"/>
  <c r="M338" i="1" s="1"/>
  <c r="M328" i="1"/>
  <c r="M317" i="1" s="1"/>
  <c r="L317" i="1"/>
  <c r="L255" i="1"/>
  <c r="M315" i="1"/>
  <c r="M255" i="1" s="1"/>
  <c r="M253" i="1"/>
  <c r="M135" i="1" s="1"/>
  <c r="L135" i="1"/>
  <c r="L96" i="1"/>
  <c r="M59" i="1"/>
  <c r="M4" i="1" s="1"/>
  <c r="L364" i="1" l="1"/>
  <c r="M364" i="1" s="1"/>
</calcChain>
</file>

<file path=xl/sharedStrings.xml><?xml version="1.0" encoding="utf-8"?>
<sst xmlns="http://schemas.openxmlformats.org/spreadsheetml/2006/main" count="494" uniqueCount="289">
  <si>
    <t>IMHAB. MONTNEGRE 39</t>
  </si>
  <si>
    <t>Pressupost</t>
  </si>
  <si>
    <t>Código</t>
  </si>
  <si>
    <t>Resumen</t>
  </si>
  <si>
    <t>ImpPres</t>
  </si>
  <si>
    <t>Nat</t>
  </si>
  <si>
    <t>Ut</t>
  </si>
  <si>
    <t>CanPres</t>
  </si>
  <si>
    <t>PrPres</t>
  </si>
  <si>
    <t>Comentario</t>
  </si>
  <si>
    <t>N</t>
  </si>
  <si>
    <t>Longitud</t>
  </si>
  <si>
    <t>Anchura</t>
  </si>
  <si>
    <t>Altura</t>
  </si>
  <si>
    <t>Parcial</t>
  </si>
  <si>
    <t xml:space="preserve">C01          </t>
  </si>
  <si>
    <t>MITJANS AUXILIARS</t>
  </si>
  <si>
    <t>Capítol</t>
  </si>
  <si>
    <t/>
  </si>
  <si>
    <t xml:space="preserve">P127-EKJO    </t>
  </si>
  <si>
    <t>Munt/desem.bast.tub metàl fixa,bast.70cm,h&lt;=200cm,base+plataform</t>
  </si>
  <si>
    <t>Partida</t>
  </si>
  <si>
    <t>m2</t>
  </si>
  <si>
    <t xml:space="preserve">Muntatge i desmuntatge de bastida tubular metàl·lica fixa, formada per bastiments de 70 cm i alçària &lt;= 200 cm, amb bases regulables, tubs travessers, tubs de travament, plataformes de treball d'amplària com a mínim de 60 cm, escales d'accés, baranes laterals, sòcols i xarxa de protecció de poliamida, col·locada a tota la cara exterior i amarradors cada 20 m2 de façana, inclosos tots els elements de senyalització normalitzats i el transport amb un recorregut total màxim de 20 km Nota: La implantació de la bastida es farà per fases (P - 4)
</t>
  </si>
  <si>
    <t>Carrer Entença</t>
  </si>
  <si>
    <t>Voladius</t>
  </si>
  <si>
    <t>Montnegre</t>
  </si>
  <si>
    <t>Passatge</t>
  </si>
  <si>
    <t>Jardins</t>
  </si>
  <si>
    <t>P127-EKJO</t>
  </si>
  <si>
    <t xml:space="preserve">P121-EKJZ    </t>
  </si>
  <si>
    <t>Amort.dia bast.tub.metàl fixa,bast.70cm,h&lt;=200cm,base+plataform.</t>
  </si>
  <si>
    <t xml:space="preserve">Amortització diària de bastida tubular metàl·lica fixa, formada per bastiments de 70 cm d'amplària i alçària &lt;= 200 cm, amb bases regulables, tubs travessers, tubs de travament, plataformes de treball d'amplària com a mínim de 60 cm, escales d'accés, baranes laterals, sòcols i xarxa de protecció de poliamida col·locada a tota la cara exterior i amarradors cada 20 m2 de façana, inclosos tots els elements de senyalització normalitzats
Nota: La implantació de la bastida es farà per fases (P - 1)
</t>
  </si>
  <si>
    <t>P121-EKJZ</t>
  </si>
  <si>
    <t xml:space="preserve">P127-CET0    </t>
  </si>
  <si>
    <t>Munt/desm.tendal dren. bast.tub metàl</t>
  </si>
  <si>
    <t xml:space="preserve">Muntatge i desmuntatge de tendal impermeable i sistema de tubs per drenatge de bastida, en part inferior, inclosos tots els elements de fixació. (P - 3)
</t>
  </si>
  <si>
    <t>Carrer entença</t>
  </si>
  <si>
    <t>P127-CET0</t>
  </si>
  <si>
    <t xml:space="preserve">P214B-C002   </t>
  </si>
  <si>
    <t>Treballs aux. per recolzament bastida</t>
  </si>
  <si>
    <t>pa</t>
  </si>
  <si>
    <t xml:space="preserve">Treballs auxiliars pel recolzament de bastida sobre coberta. Inclou retirada de grava i aïllament, disposició de taulons en recolzament de potes de la bastida. Amb posterior retirada de material i recol·locació d'elements de coberta. (P - 9)
</t>
  </si>
  <si>
    <t>P214B-C002</t>
  </si>
  <si>
    <t xml:space="preserve">P214B-C001   </t>
  </si>
  <si>
    <t>Desmunt.xarxa prot.superf.</t>
  </si>
  <si>
    <t xml:space="preserve">Desmuntatge de xarxex de protecció i elements de protecció de la façana i arrencada d'ancoratges amb mitjans manuals. amb càrrega de runa sobre camió o contenidor (P - 8)
</t>
  </si>
  <si>
    <t>P214B-C001</t>
  </si>
  <si>
    <t xml:space="preserve">PXAU-C0BA    </t>
  </si>
  <si>
    <t>Sistema d'alarma a bastida</t>
  </si>
  <si>
    <t>mes</t>
  </si>
  <si>
    <t xml:space="preserve">Instal.lació de sistema d'alarma per control·lar accés a la bastida. Inclou muntatge, desmuntatge i lloguer mensual. (P - 47)
</t>
  </si>
  <si>
    <t>Mesos</t>
  </si>
  <si>
    <t>PXAU-C0BA</t>
  </si>
  <si>
    <t xml:space="preserve">P122-628J    </t>
  </si>
  <si>
    <t>Amort.dia plataf.el. telesc.artic.,autopro.motor gasoil,h=20m,lo</t>
  </si>
  <si>
    <t>d</t>
  </si>
  <si>
    <t xml:space="preserve">Amortització diària de plataforma elevadora telescòpica articulada, autopropulsada amb motor de gasoil, de 20 m d'alçària màxima de treball i 9,8 en horitzontal, de 227 kg de càrrega útil, de dimensions 700x245x245 cm en repós i 10886 kg de pes, buida, amb cistella de dimensions 150x75 cm (P - 2)
</t>
  </si>
  <si>
    <t>Previsió actuacions especials</t>
  </si>
  <si>
    <t>P122-628J</t>
  </si>
  <si>
    <t>C01</t>
  </si>
  <si>
    <t xml:space="preserve">C02          </t>
  </si>
  <si>
    <t>ENDERROCS</t>
  </si>
  <si>
    <t xml:space="preserve">P2142-4RMJ   </t>
  </si>
  <si>
    <t>Repicat arreb.mort.ciment,m.man.,càrrega manual</t>
  </si>
  <si>
    <t xml:space="preserve">Repicat d'arrebossat de morter de ciment, amb mitjans manuals i càrrega manual de runa sobre camió o contenidor. (P-5)
</t>
  </si>
  <si>
    <t>Gruix 80</t>
  </si>
  <si>
    <t>CARRER ENTENÇA</t>
  </si>
  <si>
    <t>A deduir</t>
  </si>
  <si>
    <t>Balconeres</t>
  </si>
  <si>
    <t>Finestres</t>
  </si>
  <si>
    <t>CARRER MONTNEGRE</t>
  </si>
  <si>
    <t>PASSATGE JARDINS</t>
  </si>
  <si>
    <t>JARDINS GAIETÀ</t>
  </si>
  <si>
    <t>retranqueig</t>
  </si>
  <si>
    <t>GRUIX 20</t>
  </si>
  <si>
    <t>Percentatge "A origen" 30%</t>
  </si>
  <si>
    <t>P2142-4RMJ</t>
  </si>
  <si>
    <t xml:space="preserve">P2142-4RMR   </t>
  </si>
  <si>
    <t>Arrencada escopidor,ceràm,m.man,càrrega manual</t>
  </si>
  <si>
    <t>m.</t>
  </si>
  <si>
    <t xml:space="preserve">Arrencada d'escopidor de ceràmica, amb mitjans manuals i càrrega manual de runa sobre camió o contenidor. (P-6)
</t>
  </si>
  <si>
    <t>P2142-4RMR</t>
  </si>
  <si>
    <t xml:space="preserve">P2142-XD01   </t>
  </si>
  <si>
    <t>Repicat arreb.mort.ciment,m.man,càrrega manual</t>
  </si>
  <si>
    <t xml:space="preserve">Repicat d'arrebossat de morter de ciment, amb mitjans manuals i càrrega manual de runa sobre camió o contenidor. (P-7)
</t>
  </si>
  <si>
    <t>P2142-XD01</t>
  </si>
  <si>
    <t>C02</t>
  </si>
  <si>
    <t xml:space="preserve">C03          </t>
  </si>
  <si>
    <t>PREPARACIÓ SUPORT</t>
  </si>
  <si>
    <t xml:space="preserve">P811-3FFR    </t>
  </si>
  <si>
    <t>Arrebossat bona vista,vert.ext,h&gt;3m,morter ciment 1:6,remolinat</t>
  </si>
  <si>
    <t xml:space="preserve">Arrebossat a bona vista sobre parament vertical exterior, a més de 3,00 m. d'alçària, amb morter de ciment 1:6, remolinat. (P-19)
</t>
  </si>
  <si>
    <t>Regularització de façana</t>
  </si>
  <si>
    <t>P811-3FFR</t>
  </si>
  <si>
    <t xml:space="preserve">P874-4UC1    </t>
  </si>
  <si>
    <t>Neteja parament morter,raig ag.desion.pres. fins a 2bar</t>
  </si>
  <si>
    <t xml:space="preserve">Neteja de parament de morter, amb raig d'aigua desionitzada a pressió, fins a 2 bar. (P-22)
</t>
  </si>
  <si>
    <t>P874-4UC1</t>
  </si>
  <si>
    <t xml:space="preserve">P45R4-4SSV   </t>
  </si>
  <si>
    <t>Rep.cantell sostre form.arm.repic.form+sanej arm,impr+pont unió</t>
  </si>
  <si>
    <t>m</t>
  </si>
  <si>
    <t xml:space="preserve">Reparació de cantell de sistre i balcó de formigó armat, amb repicat de formigó, sanejament i raspallat de les armadures amb mitjans manuals, passivat de les armadures, imprimació anticorrosiva i pont d'unió amb morter polimèric de resines epoxi, restitució de la part afectada amb morter polimèric de reparació i càrrega manual de runa sobre contenidor. (P-10)a
</t>
  </si>
  <si>
    <t>P45R4-4SSV</t>
  </si>
  <si>
    <t xml:space="preserve">P873-4UBQ    </t>
  </si>
  <si>
    <t>Neteja pintades/grafitis param.vert.pedra,morter o estuc,dec+aig</t>
  </si>
  <si>
    <t xml:space="preserve">Neteja de pintades i grafitis sobre parament vertical de pedra, morter o estuc, amb producte decapant i posterior esbandida amb aigua calenta. (P-21)
</t>
  </si>
  <si>
    <t>P873-4UBQ</t>
  </si>
  <si>
    <t xml:space="preserve">PB1H-XD04    </t>
  </si>
  <si>
    <t>Inspecció estat de baranes</t>
  </si>
  <si>
    <t xml:space="preserve">Inspecció de l'estat de baranes, per determinar les zones a reparar. (P-44)
</t>
  </si>
  <si>
    <t>PB1H-XD04</t>
  </si>
  <si>
    <t xml:space="preserve">PB1H-XD01    </t>
  </si>
  <si>
    <t>Repar.punt.barana perf.acer,suplement o substit.trav/brènd,potes</t>
  </si>
  <si>
    <t>u</t>
  </si>
  <si>
    <t xml:space="preserve">Reparació puntual de baranes dels balcons amb ancoratges en mal estat, amb sustitució de suports d'ancoratge de base, elements de fixació i altres elements deteriorats. (P-43)
</t>
  </si>
  <si>
    <t>BARANES</t>
  </si>
  <si>
    <t>AFECTACIÓ 30%</t>
  </si>
  <si>
    <t>PB1H-XD01</t>
  </si>
  <si>
    <t>C03</t>
  </si>
  <si>
    <t xml:space="preserve">C04          </t>
  </si>
  <si>
    <t>REVESTIMENTS</t>
  </si>
  <si>
    <t xml:space="preserve">P7CE0-4JIG   </t>
  </si>
  <si>
    <t>SATE aïllam.extp/sup.revest.prim,placa rig.MW-roca,g:80mm</t>
  </si>
  <si>
    <t xml:space="preserve">Sistema d'aïllament tèrmic per l'exterior (SATE) amb aïllament exterior per a suport del revestiment prim, amb placa rígida de llana mineral de roca (MW), de densitat 66 a 85 kg/m3, de 80 mm. de gruix, amb una conductivitat tèrmica &lt;=0.036 W/(m·K) i resistència tèrmica &gt;=2.222m2·K/W, fixada mecànicament amb morter de ciment per a ús corrent (GP) i tac i suport de niló, i revestida amb morter de ciment per a ús corrent (GP) amb malla de fibra de vidre revestida de PVC, de dimensions 4x4 mm, amb un pes mínim de 160g/m2 embeguda, acabat exteriorment amb arrebossat amb morter monocapa (OC) de ciment, de designació CSIII-W2, segons la norma UNE-EN 998-1, col·locat manualment i acabat raspat.
Inclou la p.p. de formació de remats (arestes, racons, arrencada, coronament, etc...) amb protecció impermeable en arrencades amb contacte amb paviments. (P-17)
</t>
  </si>
  <si>
    <t>P7CE0-4JIG</t>
  </si>
  <si>
    <t xml:space="preserve">P7CE0-4JID   </t>
  </si>
  <si>
    <t>SATE aïllam.extp/sup.revest.prim,placa rig.MW-roca,g:40mm</t>
  </si>
  <si>
    <t xml:space="preserve">Sistema d'aïllament tèrmic per l'exterior (SATE) amb aïllament exterior per a suport del revestiment prim, amb placa rígida de llana mineral de roca (MW), de densitat 66 a 85 kg/m3, de 40 mm. de gruix, amb una conductivitat tèrmica &lt;=0.036 W/(m·K) i resistència tèrmica &gt;=1.111m2·K/W, fixada mecànicament amb morter de ciment per a ús corrent (GP) i tac i suport de niló, i revestida amb morter de ciment per a ús corrent (GP) amb malla de fibra de vidre revestida de PVC, de dimensions 4x4 mm, amb un pes mínim de 160g/m2 embeguda, acabat exteriorment amb arrebossat amb morter monocapa (OC) de ciment, de designació CSIII-W2, segons la norma UNE-EN 998-1, col·locat manualment i acabat raspat.
Inclou la p.p. de formació de remats (arestes, racons, arrencada, coronament, etc...) amb protecció impermeable en arrencades amb contacte amb paviments. (P-16)
</t>
  </si>
  <si>
    <t>Previsió</t>
  </si>
  <si>
    <t>P7CE0-4JID</t>
  </si>
  <si>
    <t xml:space="preserve">P7CE0-4JID2  </t>
  </si>
  <si>
    <t>P7CE0-4JID2</t>
  </si>
  <si>
    <t xml:space="preserve">P7CE0-CET1   </t>
  </si>
  <si>
    <t>SATE aïllam.extp/sup.revest.prim,placa rig.MW-roca,g:variable</t>
  </si>
  <si>
    <t xml:space="preserve">Sistema d'aïllament tèrmic per l'exterior (SATE) amb aïllament exterior per a suport del revestiment prim, amb placa rígida de llana mineral de roca (MW), de densitat 66 a 85 kg/m3, de gruix variable (plaques de 40 mm) adaptat a la geometria del parament, amb una conductivitat tèrmica &lt;=0.036 W/(m·K) i resistència tèrmica &gt;=1.111m2·K/W, fixada mecànicament amb morter de ciment per a ús corrent (GP) i tac i suport de niló, i revestida amb morter de ciment per a ús corrent (GP) amb malla de fibra de vidre revestida de PVC, de dimensions 4x4 mm, amb un pes mínim de 160g/m2 embeguda, acabat exteriorment amb arrebossat amb morter monocapa (OC) de ciment, de designació CSIII-W2, segons la norma UNE-EN 998-1, col·locat manualment i acabat raspat.
Inclou la p.p. de formació de remats (arestes, racons, arrencada, coronament, etc...) amb protecció impermeable en arrencades amb contacte amb paviments. (P-18)
</t>
  </si>
  <si>
    <t>P7CE0-CET1</t>
  </si>
  <si>
    <t xml:space="preserve">P811-XD01    </t>
  </si>
  <si>
    <t>Morter d'acabat de morter acrílic per a int.balcons,color blanc</t>
  </si>
  <si>
    <t xml:space="preserve">Morter d'acabat de morter acrílic per a interior de balcons, color blanc, sobre emprimació acrílica amb base de xilosans, amb malla antiàlcalis, de 5x4 mm de llum de malla, de 0.6 mm d'espessor i de 160 g/m2 de massa superficial. (P-20)
</t>
  </si>
  <si>
    <t>REVOC BALCONS</t>
  </si>
  <si>
    <t>CARRER ENTENÇA (90+90+25)</t>
  </si>
  <si>
    <t>JARDINS</t>
  </si>
  <si>
    <t>P811-XD01</t>
  </si>
  <si>
    <t xml:space="preserve">P874-CET1    </t>
  </si>
  <si>
    <t>Neteja parament,m.man+aigua s/pres.</t>
  </si>
  <si>
    <t xml:space="preserve">Neteja i preparació de parament de formgió o morter,. per a posterior pintat, amb mitjans manuals i aigua desionitzada a pressió, fins a 2 bars, retirant restes de materials disgregats i puntures. (P-23)
</t>
  </si>
  <si>
    <t>Balcons formigó</t>
  </si>
  <si>
    <t>Baranes formigó</t>
  </si>
  <si>
    <t>Badalot</t>
  </si>
  <si>
    <t>Interior barana</t>
  </si>
  <si>
    <t>P874-CET1</t>
  </si>
  <si>
    <t xml:space="preserve">P8B0-H8TL    </t>
  </si>
  <si>
    <t>Pintat sup.formigó vist,anticarbonatació,monocomponent,resines a</t>
  </si>
  <si>
    <t xml:space="preserve">Pintat de superfícies de formigó vist, amb pintura anticarbonatació, monocomponent, a base de resines acríliques en dispersió aquosa, aplicada a dues mans. (P-32)
</t>
  </si>
  <si>
    <t>P8B0-H8TL</t>
  </si>
  <si>
    <t xml:space="preserve">P89I-4V8R    </t>
  </si>
  <si>
    <t>Pint.horitz.guix.pintura plàstica llis+segelladora+2acabats</t>
  </si>
  <si>
    <t xml:space="preserve">Pintat de parament horitzontal de guix, amb pintura plàstica amb acabat llis, amb una capa segelladora i dues d'acabat. (P-31)
</t>
  </si>
  <si>
    <t>Balcons</t>
  </si>
  <si>
    <t>Accés</t>
  </si>
  <si>
    <t>P89I-4V8R</t>
  </si>
  <si>
    <t xml:space="preserve">P8B3-613I    </t>
  </si>
  <si>
    <t>Pintat antigraffiti parament pedra,ceràmica,morter o formigó</t>
  </si>
  <si>
    <t xml:space="preserve">Pintat antigraffiti de parament de pedra, ceràmica, morter o formigó, vertical, amb una capa de producte decapant, esbandida amb aigua, una capa d'imprimació antigraffiti adherent i dues capes de vernís antigraffiti amb base de polièster de dos components, per a superfícies de ceràmica, pedra, morter o formigó. (P-33)
</t>
  </si>
  <si>
    <t>Sòcol</t>
  </si>
  <si>
    <t>Entrada parking</t>
  </si>
  <si>
    <t>PASSATGE</t>
  </si>
  <si>
    <t>A deduir finestra</t>
  </si>
  <si>
    <t>MONTNEGRE</t>
  </si>
  <si>
    <t>P8B3-613I</t>
  </si>
  <si>
    <t xml:space="preserve">P89H-4V7G    </t>
  </si>
  <si>
    <t>Pintat cert.ext.ciment,pintura plàstica,llis,1fons+2acabat</t>
  </si>
  <si>
    <t xml:space="preserve">Pintat de parament vertical exterior de ciment, amb pintura plàstica amb acabat llis, amb una capa de fons diluïda i dues d'acabat. (P-30)
</t>
  </si>
  <si>
    <t>Previsió brancal</t>
  </si>
  <si>
    <t>P89H-4V7G</t>
  </si>
  <si>
    <t xml:space="preserve">P876-CET8    </t>
  </si>
  <si>
    <t>Net/prep.sup.pint. tanc. metl., m.man</t>
  </si>
  <si>
    <t xml:space="preserve">Neteja i preparació de suport per a pintat posterior de tancaments, reixes i altres elements metàl·lics, amb mitjans manuals. (P-24)
</t>
  </si>
  <si>
    <t>Tancament ET</t>
  </si>
  <si>
    <t>Tancament parking</t>
  </si>
  <si>
    <t>Perfil perímetre PB</t>
  </si>
  <si>
    <t>P876-CET8</t>
  </si>
  <si>
    <t xml:space="preserve">P876-CET82   </t>
  </si>
  <si>
    <t>P876-CET82</t>
  </si>
  <si>
    <t xml:space="preserve">P89E-4VV7    </t>
  </si>
  <si>
    <t>Pintat porta acer,esmalt sint, +2 antioxidant +2 acabat</t>
  </si>
  <si>
    <t xml:space="preserve">Pintat de portes i tancaments d'acer, amb esmaltat sintètic, amb dues capes d'imprimació antioxidant i dues d'acabat (P-29)
</t>
  </si>
  <si>
    <t>P89E-4VV7</t>
  </si>
  <si>
    <t xml:space="preserve">P89C-3915    </t>
  </si>
  <si>
    <t>Pintat biga acer esmalt sint.2imprim.antioxidant+acab</t>
  </si>
  <si>
    <t xml:space="preserve">Pintat de biga d'un sol perfil d'acer a l'esmalt sintètic, amb dues capes d'imprimació antioxidant i dues d'acabat. (P-28)
</t>
  </si>
  <si>
    <t>P89C-3915</t>
  </si>
  <si>
    <t xml:space="preserve">P9D6-H9CZ    </t>
  </si>
  <si>
    <t>Rep.punt.(1-4m2)pav.ext.antilliscant gres extruït s/emalt,16-25u</t>
  </si>
  <si>
    <t xml:space="preserve">Reparació puntual (1 a 4 m2) de paviment exterior antilliscant, eliminant les peces trencades i el morter de base, i refent el paviment amb rajola de gres extruït antilliscant sense esmaltar de forma rectangular, de 16 a 25 peces/m2, col·locat a truc de maceta amb morter adhesiu C2 (UNE-EN 12004) i rejuntat amb beurada CG2 (UNE-EN 13888), i transport de runa fins a camió o contenidor. (P-40)
</t>
  </si>
  <si>
    <t>Previsió balcons</t>
  </si>
  <si>
    <t>P9D6-H9CZ</t>
  </si>
  <si>
    <t>C04</t>
  </si>
  <si>
    <t xml:space="preserve">C05          </t>
  </si>
  <si>
    <t>SERRALLERIA</t>
  </si>
  <si>
    <t xml:space="preserve">P5ZA-TIP1    </t>
  </si>
  <si>
    <t>Subestructura finestres acer galvanitzat Tipus A</t>
  </si>
  <si>
    <t xml:space="preserve">Estructura auxiliar per fusteria tipus A, amb 2 ud. pletines fixades a forjat de 250x100x4 mm, 2 ud, muntants de perfil L de 60x60x6 mm, 2 ud. pletines inferiors de 200x100x4 mm, i 1 ml de dintell galvanitzat lacat de 160x80x8 mm., 8 ud fixació amb ancoratge mecànic M8, barra calibrada d'acer lacat de 6 mm de diàmetre, segons plànol de detall. tot en acer galvanitzat en calent, per muntar a obra. (P-13)
</t>
  </si>
  <si>
    <t>P5ZA-TIP1</t>
  </si>
  <si>
    <t xml:space="preserve">P5ZA-TIP2    </t>
  </si>
  <si>
    <t>Subestructura finestres acer galvanitzat Tipus B</t>
  </si>
  <si>
    <t xml:space="preserve">Estructura auxiliar per fusteria tipus B, amb 3 ud. pletines fixades a forjat de 250x100x4 mm, 3 ud, muntants de perfil L de 60x60x6 mm, 2 ud. pletines inferiors de 200x100x4 mm, i 3.75 ml de dintell galvanitzat lacat de 160x80x8 mm., 10 ud fixació amb ancoratge mecànic M8, i barra calibrada d'acer lacat de 6 mm de diàmetre, segons plànol de detall. tot en acer galvanitzat en calent, per muntar a obra. (P-14)
</t>
  </si>
  <si>
    <t>P5ZA-TIP2</t>
  </si>
  <si>
    <t xml:space="preserve">P8L3-CET1    </t>
  </si>
  <si>
    <t>Dintell i trencaigües finestres escala princ.</t>
  </si>
  <si>
    <t xml:space="preserve">Peces de remat per llinda i trencaigües, realitzades amb planxa d'acer plegada amb acabat galvanitzat i prelacat, de 4 mm. de gruix, 40 cm de desenvolupament, com a màxim, amb 5 plecs, segons detalls constructius, per finestres de l'escala principal, mides: 0.4x2.25m. Amb una profunditat de forat aproximada de 27 cm. (P-38)
</t>
  </si>
  <si>
    <t>P8L3-CET1</t>
  </si>
  <si>
    <t xml:space="preserve">P8L3-CET2    </t>
  </si>
  <si>
    <t>Dintell i trencaigües finestres escala emer.</t>
  </si>
  <si>
    <t xml:space="preserve">Peces de remat per llinda i trencaigües, realitzades amb planxa d'acer plegada amb acabat galvanitzat i prelacat, de 4 mm. de gruix, 40 cm de desenvolupament, com a màxim, amb 5 plecs, segons detalls constructius, per finestres de l'escala principal, mides: 0.4x2.25m. Amb una profunditat de forat aproximada de 27 cm. (P-39)
</t>
  </si>
  <si>
    <t>P8L3-CET2</t>
  </si>
  <si>
    <t xml:space="preserve">P8JC-CET1    </t>
  </si>
  <si>
    <t>Coronament.galv.+prelac. g:4mm,desenv&lt;70cm 6plecs,p/coron.col.fi</t>
  </si>
  <si>
    <t xml:space="preserve">Coronament de planxa d'acer plegada amb acabat galvanitzat i lacat, de 4 mm de gruix, 70 cm de desenvolupament, com a màxim, amb 6 plecs, per a coronament, col·locat amb fixacions mecàniques. (P-34)
</t>
  </si>
  <si>
    <t>P8JC-CET1</t>
  </si>
  <si>
    <t xml:space="preserve">P5ZA-CET7    </t>
  </si>
  <si>
    <t>Perfil L 60.80.6 reforç cantell forjat</t>
  </si>
  <si>
    <t xml:space="preserve">Reparació de cantell de forja, mitjançant la col·locació de perfil L 60.80.6 mm, ancorat al cantell de forjat, per recolzament de vol del tancament respecte al cantell del forjat.
Inclou repicat del parament i retirada de revestiments fins a arribar al cantell del forjat (executat per trams de 1.5 m. màx.) Neteja del suport i regularització mitjançant morter sense retracció, pel correcte recolzament del perfil. Ataconat de l'espai entre perfil i tancamdent amb morter sense retracció i recrescut del aprament d'obra per rebre revestiment.
Formació de junta elàstica entre el perfil L i el parament inferior, mitjançant EPS de 10 mm de gruix i segellat amb ,masilla de poliuretà. (P-11)
</t>
  </si>
  <si>
    <t>P5ZA-CET7</t>
  </si>
  <si>
    <t xml:space="preserve">P8KC-CET1    </t>
  </si>
  <si>
    <t>Trencaigües finestra 1000x360x4 mm</t>
  </si>
  <si>
    <t xml:space="preserve">Remat de planxa d'acer plegada amb acabat galvanitzat i prelacat, de 2mm de gruix, de 1000 mm de longitud i 360 mm de desenvolupament, com a màxim, amb 2 plecs per a trencaigües, per a escopidor finestra, col·locat amb base de morter especial per donar pendent i fixat sobre base d'escuma amb adhesiu, segellat perimetralment. (P-35)
</t>
  </si>
  <si>
    <t>P8KC-CET1</t>
  </si>
  <si>
    <t xml:space="preserve">P8KC-CET2    </t>
  </si>
  <si>
    <t>Trencaigües balconera 1170x360x4 mm</t>
  </si>
  <si>
    <t xml:space="preserve">Remat de planxa d'acer plegada amb acabat galvanitzat i prelacat, de 2mm de gruix, de 1000 mm de longitud i 360 mm de desenvolupament, com a màxim, amb 2 plecs per a trencaigües, per a escopidor finestra, col·locat amb base de morter especial per donar pendent i fixat sobre base d'escuma amb adhesiu, segellat perimetralment. (P-36)
</t>
  </si>
  <si>
    <t>P8KC-CET2</t>
  </si>
  <si>
    <t xml:space="preserve">P8KC-CET22   </t>
  </si>
  <si>
    <t>P8KC-CET22</t>
  </si>
  <si>
    <t xml:space="preserve">P8KC-CET3    </t>
  </si>
  <si>
    <t>Trencaigües balcó</t>
  </si>
  <si>
    <t xml:space="preserve">Remat de planxa d'acer plegada amb acabat galvanitzat i prelacat, de 2mm de gruix, 200 mm de desenvolupament, com a màxim, amb 2 plecs per a trencaigües, per a escopidor balcó, per fixar després paviment, col·locat amb base de morter especial per donar pendent del 2% i fixat amb adhesiu, i embellidor. (P-37)
</t>
  </si>
  <si>
    <t>P8KC-CET3</t>
  </si>
  <si>
    <t xml:space="preserve">P5ZA-XD02    </t>
  </si>
  <si>
    <t>Goteró linial L 100x100x8 perimetral sobre perfil</t>
  </si>
  <si>
    <t xml:space="preserve">Remat en L per a suport d'aïllament en transició entre aplacat i SATE, perfil d'acer L 100x100x6 mm, fixat al suport mitjançant tac mecànic M8 cada 30 cm, i barra calibrada d'acer lacat de 6 mm de diàmetre fixada a mode de trencaigües, segons plànol de detall. Tot en acer galvanitzat en calent i lacat color a escollir. (P-15)
</t>
  </si>
  <si>
    <t>P5ZA-XD02</t>
  </si>
  <si>
    <t xml:space="preserve">P5ZA-CETK    </t>
  </si>
  <si>
    <t>Treballs auxiliars guies persianes</t>
  </si>
  <si>
    <t xml:space="preserve">Treballs auxiliars pel desmuntatge i adaptació de guies de persianes. (P-12)
</t>
  </si>
  <si>
    <t>P5ZA-CETK</t>
  </si>
  <si>
    <t>C05</t>
  </si>
  <si>
    <t xml:space="preserve">C06          </t>
  </si>
  <si>
    <t>ALTRES</t>
  </si>
  <si>
    <t xml:space="preserve">PAVL-CET0    </t>
  </si>
  <si>
    <t>Tendal braç extensible manual</t>
  </si>
  <si>
    <t xml:space="preserve">Tendal de llargària &lt; 2000 mm i 2000 mm d'amplària, tipus braç extensible, accionament manual amb manivela, amb estructura de color RAL i tèxtil serge 600 de color llis a triar, col·locat amb fixació mecànica al parament o al sostre. (P-41)
</t>
  </si>
  <si>
    <t>PAVL-CET0</t>
  </si>
  <si>
    <t xml:space="preserve">PAVL-CET1    </t>
  </si>
  <si>
    <t>Tendal vertical manual</t>
  </si>
  <si>
    <t xml:space="preserve">Tendal de llargària &lt; 2000 mm i 3500 mm d'amplària, tipus vertical guiat amb cable o varetes d'acer inoxidable, accionament manual amb manivela, amb estructura de color RAL i tèxtil serge 600 de color llis a triar, col·locat amb fixació mecànica al parament o al sostre. (P-42)
</t>
  </si>
  <si>
    <t>PAVL-CET1</t>
  </si>
  <si>
    <t>C06</t>
  </si>
  <si>
    <t xml:space="preserve">C07          </t>
  </si>
  <si>
    <t>GESTIÓ DE RESIDUS</t>
  </si>
  <si>
    <t xml:space="preserve">PPAU-XDGR    </t>
  </si>
  <si>
    <t>PA d'abonament integre en concepte de Gestió de Residus</t>
  </si>
  <si>
    <t xml:space="preserve">Partida alçada per a l'abonament íntegre de Gestió de Residus, incloent l'elaboració i supervisió del Pla de Gestió de Residus, i seguiment documental del mateix. Inclou taxes d'ocupació de via pública. (P-46)
</t>
  </si>
  <si>
    <t>PPAU-XDGR</t>
  </si>
  <si>
    <t>C07</t>
  </si>
  <si>
    <t xml:space="preserve">C08          </t>
  </si>
  <si>
    <t>CONTROL DE QUALITAT</t>
  </si>
  <si>
    <t xml:space="preserve">P891-XD01    </t>
  </si>
  <si>
    <t>Control qualitat</t>
  </si>
  <si>
    <t xml:space="preserve">Partida alçada a justificar de realització d'assaig diversos de control de qualitat per part de laboratori acreditat. (P-27)
</t>
  </si>
  <si>
    <t>P891-XD01</t>
  </si>
  <si>
    <t xml:space="preserve">P891-CET1    </t>
  </si>
  <si>
    <t>Termografies+informes</t>
  </si>
  <si>
    <t xml:space="preserve">Assaig termogràfic, una a cada entitat de façana, a cerrer Entença i a pati interior per mesurar la temperatura de l'envolvent per localitzar possibles ponts tèrmics o humitats que alteren les propietats de transmissió de calor de l'envolvent segons EN 13187. Inclou redacció d'informes. (P-25)
</t>
  </si>
  <si>
    <t>P891-CET1</t>
  </si>
  <si>
    <t xml:space="preserve">P891-CET2    </t>
  </si>
  <si>
    <t>Assaig adherència morter</t>
  </si>
  <si>
    <t xml:space="preserve">Determinació de la resistència a l'adhesió dels morters de revoc endurits aplicats sobre suports. Assaig segons UNE 1015-12, UNE 12004; UNE EN 1542 (4 determinacions per desplaçament) (P-26)
</t>
  </si>
  <si>
    <t>P891-CET2</t>
  </si>
  <si>
    <t>C08</t>
  </si>
  <si>
    <t xml:space="preserve">C09          </t>
  </si>
  <si>
    <t>SEGURETAT I SALUT</t>
  </si>
  <si>
    <t xml:space="preserve">PPAU-XD02    </t>
  </si>
  <si>
    <t>P.A. d'abonament integre en concepte de seguretat i salut</t>
  </si>
  <si>
    <t xml:space="preserve">Partida alçada per a l'abonament integre de Seguretat i Salut durant la construcció, d'acord amb el RD 1627/1997, incloent l'elebaoració i supervisió del Pla de Seguretat, coordinació d'activitats preventives, EPIs, senyalització i formació de treballadors. (P-45).
</t>
  </si>
  <si>
    <t>PPAU-XD02</t>
  </si>
  <si>
    <t>C09</t>
  </si>
  <si>
    <t>MONTNEGRE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</si>
</sst>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5" fillId="0" borderId="1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right" vertical="top"/>
    </xf>
    <xf numFmtId="49" fontId="2" fillId="3" borderId="2" xfId="0" applyNumberFormat="1" applyFont="1" applyFill="1" applyBorder="1" applyAlignment="1">
      <alignment vertical="top"/>
    </xf>
    <xf numFmtId="49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164" fontId="1" fillId="2" borderId="3" xfId="0" applyNumberFormat="1" applyFont="1" applyFill="1" applyBorder="1" applyAlignment="1">
      <alignment vertical="top"/>
    </xf>
    <xf numFmtId="4" fontId="1" fillId="2" borderId="3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164" fontId="1" fillId="0" borderId="3" xfId="0" applyNumberFormat="1" applyFont="1" applyBorder="1" applyAlignment="1">
      <alignment vertical="top"/>
    </xf>
    <xf numFmtId="164" fontId="2" fillId="2" borderId="3" xfId="0" applyNumberFormat="1" applyFont="1" applyFill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3" fontId="1" fillId="0" borderId="3" xfId="0" applyNumberFormat="1" applyFont="1" applyBorder="1" applyAlignment="1">
      <alignment vertical="top"/>
    </xf>
    <xf numFmtId="49" fontId="2" fillId="3" borderId="3" xfId="0" applyNumberFormat="1" applyFont="1" applyFill="1" applyBorder="1" applyAlignment="1">
      <alignment vertical="top"/>
    </xf>
    <xf numFmtId="49" fontId="2" fillId="3" borderId="3" xfId="0" applyNumberFormat="1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3" fontId="2" fillId="2" borderId="3" xfId="0" applyNumberFormat="1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/>
    </xf>
    <xf numFmtId="3" fontId="1" fillId="0" borderId="4" xfId="0" applyNumberFormat="1" applyFont="1" applyBorder="1" applyAlignment="1">
      <alignment vertical="top"/>
    </xf>
    <xf numFmtId="4" fontId="2" fillId="2" borderId="4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6418-99C6-42EF-B298-73C2E268747F}">
  <dimension ref="A1:M365"/>
  <sheetViews>
    <sheetView tabSelected="1" view="pageBreakPreview" zoomScaleNormal="100" zoomScaleSheetLayoutView="100" workbookViewId="0">
      <pane xSplit="4" ySplit="3" topLeftCell="E332" activePane="bottomRight" state="frozen"/>
      <selection pane="topRight" activeCell="E1" sqref="E1"/>
      <selection pane="bottomLeft" activeCell="A4" sqref="A4"/>
      <selection pane="bottomRight" activeCell="M366" sqref="M366"/>
    </sheetView>
  </sheetViews>
  <sheetFormatPr baseColWidth="10" defaultRowHeight="14.4" x14ac:dyDescent="0.3"/>
  <cols>
    <col min="1" max="1" width="13.109375" bestFit="1" customWidth="1"/>
    <col min="2" max="2" width="5.109375" bestFit="1" customWidth="1"/>
    <col min="3" max="3" width="3.44140625" bestFit="1" customWidth="1"/>
    <col min="4" max="4" width="33.109375" customWidth="1"/>
    <col min="5" max="5" width="18.88671875" hidden="1" customWidth="1"/>
    <col min="6" max="6" width="7.44140625" hidden="1" customWidth="1"/>
    <col min="7" max="7" width="8.44140625" hidden="1" customWidth="1"/>
    <col min="8" max="8" width="8.109375" hidden="1" customWidth="1"/>
    <col min="9" max="9" width="6.33203125" hidden="1" customWidth="1"/>
    <col min="10" max="10" width="10.33203125" hidden="1" customWidth="1"/>
    <col min="11" max="11" width="8.44140625" bestFit="1" customWidth="1"/>
    <col min="12" max="12" width="7.6640625" bestFit="1" customWidth="1"/>
    <col min="13" max="13" width="8.21875" bestFit="1" customWidth="1"/>
  </cols>
  <sheetData>
    <row r="1" spans="1:13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5" t="s">
        <v>2</v>
      </c>
      <c r="B3" s="5" t="s">
        <v>5</v>
      </c>
      <c r="C3" s="5" t="s">
        <v>6</v>
      </c>
      <c r="D3" s="6" t="s">
        <v>3</v>
      </c>
      <c r="E3" s="5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7</v>
      </c>
      <c r="L3" s="7" t="s">
        <v>8</v>
      </c>
      <c r="M3" s="7" t="s">
        <v>4</v>
      </c>
    </row>
    <row r="4" spans="1:13" x14ac:dyDescent="0.3">
      <c r="A4" s="8" t="s">
        <v>15</v>
      </c>
      <c r="B4" s="8" t="s">
        <v>17</v>
      </c>
      <c r="C4" s="8" t="s">
        <v>18</v>
      </c>
      <c r="D4" s="9" t="s">
        <v>16</v>
      </c>
      <c r="E4" s="10"/>
      <c r="F4" s="10"/>
      <c r="G4" s="10"/>
      <c r="H4" s="10"/>
      <c r="I4" s="10"/>
      <c r="J4" s="10"/>
      <c r="K4" s="11">
        <f>K59</f>
        <v>1</v>
      </c>
      <c r="L4" s="12">
        <f>L59</f>
        <v>102266.51</v>
      </c>
      <c r="M4" s="12">
        <f>M59</f>
        <v>102266.51</v>
      </c>
    </row>
    <row r="5" spans="1:13" ht="21.6" x14ac:dyDescent="0.3">
      <c r="A5" s="13" t="s">
        <v>19</v>
      </c>
      <c r="B5" s="14" t="s">
        <v>21</v>
      </c>
      <c r="C5" s="14" t="s">
        <v>22</v>
      </c>
      <c r="D5" s="15" t="s">
        <v>20</v>
      </c>
      <c r="E5" s="16"/>
      <c r="F5" s="16"/>
      <c r="G5" s="16"/>
      <c r="H5" s="16"/>
      <c r="I5" s="16"/>
      <c r="J5" s="16"/>
      <c r="K5" s="17">
        <f>K16</f>
        <v>3237.23</v>
      </c>
      <c r="L5" s="18">
        <f>L16</f>
        <v>14.97</v>
      </c>
      <c r="M5" s="18">
        <f>M16</f>
        <v>48461.33</v>
      </c>
    </row>
    <row r="6" spans="1:13" ht="129.6" x14ac:dyDescent="0.3">
      <c r="A6" s="16"/>
      <c r="B6" s="16"/>
      <c r="C6" s="16"/>
      <c r="D6" s="19" t="s">
        <v>23</v>
      </c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3">
      <c r="A7" s="16"/>
      <c r="B7" s="16"/>
      <c r="C7" s="16"/>
      <c r="D7" s="19"/>
      <c r="E7" s="14" t="s">
        <v>18</v>
      </c>
      <c r="F7" s="16"/>
      <c r="G7" s="20"/>
      <c r="H7" s="20"/>
      <c r="I7" s="20"/>
      <c r="J7" s="17">
        <f t="shared" ref="J7:J15" si="0">F7*(G7+ (G7= 0))*(H7+ (H7= 0))*(I7+ (I7= 0))</f>
        <v>0</v>
      </c>
      <c r="K7" s="16"/>
      <c r="L7" s="16"/>
      <c r="M7" s="16"/>
    </row>
    <row r="8" spans="1:13" x14ac:dyDescent="0.3">
      <c r="A8" s="16"/>
      <c r="B8" s="16"/>
      <c r="C8" s="16"/>
      <c r="D8" s="19"/>
      <c r="E8" s="14" t="s">
        <v>24</v>
      </c>
      <c r="F8" s="16">
        <v>1</v>
      </c>
      <c r="G8" s="20">
        <v>46.25</v>
      </c>
      <c r="H8" s="20"/>
      <c r="I8" s="20">
        <v>25.4</v>
      </c>
      <c r="J8" s="17">
        <f t="shared" si="0"/>
        <v>1174.75</v>
      </c>
      <c r="K8" s="16"/>
      <c r="L8" s="16"/>
      <c r="M8" s="16"/>
    </row>
    <row r="9" spans="1:13" x14ac:dyDescent="0.3">
      <c r="A9" s="16"/>
      <c r="B9" s="16"/>
      <c r="C9" s="16"/>
      <c r="D9" s="19"/>
      <c r="E9" s="14" t="s">
        <v>18</v>
      </c>
      <c r="F9" s="16">
        <v>-6</v>
      </c>
      <c r="G9" s="20">
        <v>3.9</v>
      </c>
      <c r="H9" s="20"/>
      <c r="I9" s="20">
        <v>25.4</v>
      </c>
      <c r="J9" s="17">
        <f t="shared" si="0"/>
        <v>-594.36</v>
      </c>
      <c r="K9" s="16"/>
      <c r="L9" s="16"/>
      <c r="M9" s="16"/>
    </row>
    <row r="10" spans="1:13" x14ac:dyDescent="0.3">
      <c r="A10" s="16"/>
      <c r="B10" s="16"/>
      <c r="C10" s="16"/>
      <c r="D10" s="19"/>
      <c r="E10" s="14" t="s">
        <v>25</v>
      </c>
      <c r="F10" s="16">
        <v>6</v>
      </c>
      <c r="G10" s="20">
        <v>5.5</v>
      </c>
      <c r="H10" s="20"/>
      <c r="I10" s="20">
        <v>25.4</v>
      </c>
      <c r="J10" s="17">
        <f t="shared" si="0"/>
        <v>838.2</v>
      </c>
      <c r="K10" s="16"/>
      <c r="L10" s="16"/>
      <c r="M10" s="16"/>
    </row>
    <row r="11" spans="1:13" x14ac:dyDescent="0.3">
      <c r="A11" s="16"/>
      <c r="B11" s="16"/>
      <c r="C11" s="16"/>
      <c r="D11" s="19"/>
      <c r="E11" s="14" t="s">
        <v>26</v>
      </c>
      <c r="F11" s="16">
        <v>1</v>
      </c>
      <c r="G11" s="20">
        <v>6</v>
      </c>
      <c r="H11" s="20"/>
      <c r="I11" s="20">
        <v>25.4</v>
      </c>
      <c r="J11" s="17">
        <f t="shared" si="0"/>
        <v>152.4</v>
      </c>
      <c r="K11" s="16"/>
      <c r="L11" s="16"/>
      <c r="M11" s="16"/>
    </row>
    <row r="12" spans="1:13" x14ac:dyDescent="0.3">
      <c r="A12" s="16"/>
      <c r="B12" s="16"/>
      <c r="C12" s="16"/>
      <c r="D12" s="19"/>
      <c r="E12" s="14" t="s">
        <v>27</v>
      </c>
      <c r="F12" s="16">
        <v>1</v>
      </c>
      <c r="G12" s="20">
        <v>14.2</v>
      </c>
      <c r="H12" s="20"/>
      <c r="I12" s="20">
        <v>25.4</v>
      </c>
      <c r="J12" s="17">
        <f t="shared" si="0"/>
        <v>360.68</v>
      </c>
      <c r="K12" s="16"/>
      <c r="L12" s="16"/>
      <c r="M12" s="16"/>
    </row>
    <row r="13" spans="1:13" x14ac:dyDescent="0.3">
      <c r="A13" s="16"/>
      <c r="B13" s="16"/>
      <c r="C13" s="16"/>
      <c r="D13" s="19"/>
      <c r="E13" s="14" t="s">
        <v>28</v>
      </c>
      <c r="F13" s="16">
        <v>1</v>
      </c>
      <c r="G13" s="20">
        <v>43</v>
      </c>
      <c r="H13" s="20"/>
      <c r="I13" s="20">
        <v>25.4</v>
      </c>
      <c r="J13" s="17">
        <f t="shared" si="0"/>
        <v>1092.2</v>
      </c>
      <c r="K13" s="16"/>
      <c r="L13" s="16"/>
      <c r="M13" s="16"/>
    </row>
    <row r="14" spans="1:13" x14ac:dyDescent="0.3">
      <c r="A14" s="16"/>
      <c r="B14" s="16"/>
      <c r="C14" s="16"/>
      <c r="D14" s="19"/>
      <c r="E14" s="14" t="s">
        <v>18</v>
      </c>
      <c r="F14" s="16">
        <v>-4</v>
      </c>
      <c r="G14" s="20">
        <v>3.9</v>
      </c>
      <c r="H14" s="20"/>
      <c r="I14" s="20">
        <v>25.4</v>
      </c>
      <c r="J14" s="17">
        <f t="shared" si="0"/>
        <v>-396.24</v>
      </c>
      <c r="K14" s="16"/>
      <c r="L14" s="16"/>
      <c r="M14" s="16"/>
    </row>
    <row r="15" spans="1:13" x14ac:dyDescent="0.3">
      <c r="A15" s="16"/>
      <c r="B15" s="16"/>
      <c r="C15" s="16"/>
      <c r="D15" s="19"/>
      <c r="E15" s="14" t="s">
        <v>25</v>
      </c>
      <c r="F15" s="16">
        <v>4</v>
      </c>
      <c r="G15" s="20">
        <v>6</v>
      </c>
      <c r="H15" s="20"/>
      <c r="I15" s="20">
        <v>25.4</v>
      </c>
      <c r="J15" s="17">
        <f t="shared" si="0"/>
        <v>609.6</v>
      </c>
      <c r="K15" s="16"/>
      <c r="L15" s="16"/>
      <c r="M15" s="16"/>
    </row>
    <row r="16" spans="1:13" x14ac:dyDescent="0.3">
      <c r="A16" s="16"/>
      <c r="B16" s="16"/>
      <c r="C16" s="16"/>
      <c r="D16" s="19"/>
      <c r="E16" s="16"/>
      <c r="F16" s="16"/>
      <c r="G16" s="16"/>
      <c r="H16" s="16"/>
      <c r="I16" s="16"/>
      <c r="J16" s="13" t="s">
        <v>29</v>
      </c>
      <c r="K16" s="21">
        <f>SUM(J7:J15)</f>
        <v>3237.23</v>
      </c>
      <c r="L16" s="22">
        <f>13.02*1.15</f>
        <v>14.97</v>
      </c>
      <c r="M16" s="23">
        <f>ROUND(L16*K16,2)</f>
        <v>48461.33</v>
      </c>
    </row>
    <row r="17" spans="1:13" ht="3" customHeight="1" x14ac:dyDescent="0.3">
      <c r="A17" s="24"/>
      <c r="B17" s="24"/>
      <c r="C17" s="24"/>
      <c r="D17" s="25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21.6" x14ac:dyDescent="0.3">
      <c r="A18" s="13" t="s">
        <v>30</v>
      </c>
      <c r="B18" s="14" t="s">
        <v>21</v>
      </c>
      <c r="C18" s="14" t="s">
        <v>22</v>
      </c>
      <c r="D18" s="15" t="s">
        <v>31</v>
      </c>
      <c r="E18" s="16"/>
      <c r="F18" s="16"/>
      <c r="G18" s="16"/>
      <c r="H18" s="16"/>
      <c r="I18" s="16"/>
      <c r="J18" s="16"/>
      <c r="K18" s="17">
        <f>K29</f>
        <v>275958.3</v>
      </c>
      <c r="L18" s="18">
        <f>L29</f>
        <v>0.16</v>
      </c>
      <c r="M18" s="18">
        <f>M29</f>
        <v>44153.33</v>
      </c>
    </row>
    <row r="19" spans="1:13" ht="118.8" x14ac:dyDescent="0.3">
      <c r="A19" s="16"/>
      <c r="B19" s="16"/>
      <c r="C19" s="16"/>
      <c r="D19" s="19" t="s">
        <v>32</v>
      </c>
      <c r="E19" s="16"/>
      <c r="F19" s="16"/>
      <c r="G19" s="16"/>
      <c r="H19" s="16"/>
      <c r="I19" s="16"/>
      <c r="J19" s="16"/>
      <c r="K19" s="16"/>
      <c r="L19" s="16"/>
      <c r="M19" s="16"/>
    </row>
    <row r="20" spans="1:13" x14ac:dyDescent="0.3">
      <c r="A20" s="16"/>
      <c r="B20" s="16"/>
      <c r="C20" s="16"/>
      <c r="D20" s="19"/>
      <c r="E20" s="14" t="s">
        <v>24</v>
      </c>
      <c r="F20" s="16">
        <v>1</v>
      </c>
      <c r="G20" s="20">
        <v>46.25</v>
      </c>
      <c r="H20" s="20">
        <v>90</v>
      </c>
      <c r="I20" s="20">
        <v>25.4</v>
      </c>
      <c r="J20" s="17">
        <f t="shared" ref="J20:J28" si="1">F20*(G20+ (G20= 0))*(H20+ (H20= 0))*(I20+ (I20= 0))</f>
        <v>105727.5</v>
      </c>
      <c r="K20" s="16"/>
      <c r="L20" s="16"/>
      <c r="M20" s="16"/>
    </row>
    <row r="21" spans="1:13" x14ac:dyDescent="0.3">
      <c r="A21" s="16"/>
      <c r="B21" s="16"/>
      <c r="C21" s="16"/>
      <c r="D21" s="19"/>
      <c r="E21" s="14" t="s">
        <v>18</v>
      </c>
      <c r="F21" s="16">
        <v>-6</v>
      </c>
      <c r="G21" s="20">
        <v>3.9</v>
      </c>
      <c r="H21" s="20">
        <v>90</v>
      </c>
      <c r="I21" s="20">
        <v>25.4</v>
      </c>
      <c r="J21" s="17">
        <f t="shared" si="1"/>
        <v>-53492.4</v>
      </c>
      <c r="K21" s="16"/>
      <c r="L21" s="16"/>
      <c r="M21" s="16"/>
    </row>
    <row r="22" spans="1:13" x14ac:dyDescent="0.3">
      <c r="A22" s="16"/>
      <c r="B22" s="16"/>
      <c r="C22" s="16"/>
      <c r="D22" s="19"/>
      <c r="E22" s="14" t="s">
        <v>25</v>
      </c>
      <c r="F22" s="16">
        <v>6</v>
      </c>
      <c r="G22" s="20">
        <v>5.5</v>
      </c>
      <c r="H22" s="20">
        <v>90</v>
      </c>
      <c r="I22" s="20">
        <v>25.4</v>
      </c>
      <c r="J22" s="17">
        <f t="shared" si="1"/>
        <v>75438</v>
      </c>
      <c r="K22" s="16"/>
      <c r="L22" s="16"/>
      <c r="M22" s="16"/>
    </row>
    <row r="23" spans="1:13" x14ac:dyDescent="0.3">
      <c r="A23" s="16"/>
      <c r="B23" s="16"/>
      <c r="C23" s="16"/>
      <c r="D23" s="19"/>
      <c r="E23" s="14" t="s">
        <v>26</v>
      </c>
      <c r="F23" s="16">
        <v>1</v>
      </c>
      <c r="G23" s="20">
        <v>6</v>
      </c>
      <c r="H23" s="20">
        <v>60</v>
      </c>
      <c r="I23" s="20">
        <v>25.4</v>
      </c>
      <c r="J23" s="17">
        <f t="shared" si="1"/>
        <v>9144</v>
      </c>
      <c r="K23" s="16"/>
      <c r="L23" s="16"/>
      <c r="M23" s="16"/>
    </row>
    <row r="24" spans="1:13" x14ac:dyDescent="0.3">
      <c r="A24" s="16"/>
      <c r="B24" s="16"/>
      <c r="C24" s="16"/>
      <c r="D24" s="19"/>
      <c r="E24" s="14" t="s">
        <v>27</v>
      </c>
      <c r="F24" s="16">
        <v>1</v>
      </c>
      <c r="G24" s="20">
        <v>14.2</v>
      </c>
      <c r="H24" s="20">
        <v>60</v>
      </c>
      <c r="I24" s="20">
        <v>25.4</v>
      </c>
      <c r="J24" s="17">
        <f t="shared" si="1"/>
        <v>21640.799999999999</v>
      </c>
      <c r="K24" s="16"/>
      <c r="L24" s="16"/>
      <c r="M24" s="16"/>
    </row>
    <row r="25" spans="1:13" x14ac:dyDescent="0.3">
      <c r="A25" s="16"/>
      <c r="B25" s="16"/>
      <c r="C25" s="16"/>
      <c r="D25" s="19"/>
      <c r="E25" s="14" t="s">
        <v>28</v>
      </c>
      <c r="F25" s="16">
        <v>1</v>
      </c>
      <c r="G25" s="20">
        <v>43</v>
      </c>
      <c r="H25" s="20">
        <v>90</v>
      </c>
      <c r="I25" s="20">
        <v>25.4</v>
      </c>
      <c r="J25" s="17">
        <f t="shared" si="1"/>
        <v>98298</v>
      </c>
      <c r="K25" s="16"/>
      <c r="L25" s="16"/>
      <c r="M25" s="16"/>
    </row>
    <row r="26" spans="1:13" x14ac:dyDescent="0.3">
      <c r="A26" s="16"/>
      <c r="B26" s="16"/>
      <c r="C26" s="16"/>
      <c r="D26" s="19"/>
      <c r="E26" s="14" t="s">
        <v>18</v>
      </c>
      <c r="F26" s="16">
        <v>-4</v>
      </c>
      <c r="G26" s="20">
        <v>3.9</v>
      </c>
      <c r="H26" s="20">
        <v>90</v>
      </c>
      <c r="I26" s="20">
        <v>25.4</v>
      </c>
      <c r="J26" s="17">
        <f t="shared" si="1"/>
        <v>-35661.599999999999</v>
      </c>
      <c r="K26" s="16"/>
      <c r="L26" s="16"/>
      <c r="M26" s="16"/>
    </row>
    <row r="27" spans="1:13" x14ac:dyDescent="0.3">
      <c r="A27" s="16"/>
      <c r="B27" s="16"/>
      <c r="C27" s="16"/>
      <c r="D27" s="19"/>
      <c r="E27" s="14" t="s">
        <v>25</v>
      </c>
      <c r="F27" s="16">
        <v>4</v>
      </c>
      <c r="G27" s="20">
        <v>6</v>
      </c>
      <c r="H27" s="20">
        <v>90</v>
      </c>
      <c r="I27" s="20">
        <v>25.4</v>
      </c>
      <c r="J27" s="17">
        <f t="shared" si="1"/>
        <v>54864</v>
      </c>
      <c r="K27" s="16"/>
      <c r="L27" s="16"/>
      <c r="M27" s="16"/>
    </row>
    <row r="28" spans="1:13" x14ac:dyDescent="0.3">
      <c r="A28" s="16"/>
      <c r="B28" s="16"/>
      <c r="C28" s="16"/>
      <c r="D28" s="19"/>
      <c r="E28" s="14" t="s">
        <v>18</v>
      </c>
      <c r="F28" s="16"/>
      <c r="G28" s="20"/>
      <c r="H28" s="20"/>
      <c r="I28" s="20"/>
      <c r="J28" s="17">
        <f t="shared" si="1"/>
        <v>0</v>
      </c>
      <c r="K28" s="16"/>
      <c r="L28" s="16"/>
      <c r="M28" s="16"/>
    </row>
    <row r="29" spans="1:13" x14ac:dyDescent="0.3">
      <c r="A29" s="16"/>
      <c r="B29" s="16"/>
      <c r="C29" s="16"/>
      <c r="D29" s="19"/>
      <c r="E29" s="16"/>
      <c r="F29" s="16"/>
      <c r="G29" s="16"/>
      <c r="H29" s="16"/>
      <c r="I29" s="16"/>
      <c r="J29" s="13" t="s">
        <v>33</v>
      </c>
      <c r="K29" s="21">
        <f>SUM(J20:J28)</f>
        <v>275958.3</v>
      </c>
      <c r="L29" s="22">
        <f>0.14*1.15</f>
        <v>0.16</v>
      </c>
      <c r="M29" s="23">
        <f>ROUND(L29*K29,2)</f>
        <v>44153.33</v>
      </c>
    </row>
    <row r="30" spans="1:13" ht="3" customHeight="1" x14ac:dyDescent="0.3">
      <c r="A30" s="24"/>
      <c r="B30" s="24"/>
      <c r="C30" s="24"/>
      <c r="D30" s="25"/>
      <c r="E30" s="24"/>
      <c r="F30" s="24"/>
      <c r="G30" s="24"/>
      <c r="H30" s="24"/>
      <c r="I30" s="24"/>
      <c r="J30" s="24"/>
      <c r="K30" s="24"/>
      <c r="L30" s="24"/>
      <c r="M30" s="24"/>
    </row>
    <row r="31" spans="1:13" x14ac:dyDescent="0.3">
      <c r="A31" s="13" t="s">
        <v>34</v>
      </c>
      <c r="B31" s="14" t="s">
        <v>21</v>
      </c>
      <c r="C31" s="14" t="s">
        <v>22</v>
      </c>
      <c r="D31" s="15" t="s">
        <v>35</v>
      </c>
      <c r="E31" s="16"/>
      <c r="F31" s="16"/>
      <c r="G31" s="16"/>
      <c r="H31" s="16"/>
      <c r="I31" s="16"/>
      <c r="J31" s="16"/>
      <c r="K31" s="17">
        <f>K37</f>
        <v>109.45</v>
      </c>
      <c r="L31" s="18">
        <f>L37</f>
        <v>12.49</v>
      </c>
      <c r="M31" s="18">
        <f>M37</f>
        <v>1367.03</v>
      </c>
    </row>
    <row r="32" spans="1:13" ht="43.2" x14ac:dyDescent="0.3">
      <c r="A32" s="16"/>
      <c r="B32" s="16"/>
      <c r="C32" s="16"/>
      <c r="D32" s="19" t="s">
        <v>36</v>
      </c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3">
      <c r="A33" s="16"/>
      <c r="B33" s="16"/>
      <c r="C33" s="16"/>
      <c r="D33" s="19"/>
      <c r="E33" s="14" t="s">
        <v>37</v>
      </c>
      <c r="F33" s="16">
        <v>1</v>
      </c>
      <c r="G33" s="20">
        <v>46.25</v>
      </c>
      <c r="H33" s="20"/>
      <c r="I33" s="20"/>
      <c r="J33" s="17">
        <f>F33*(G33+ (G33= 0))*(H33+ (H33= 0))*(I33+ (I33= 0))</f>
        <v>46.25</v>
      </c>
      <c r="K33" s="16"/>
      <c r="L33" s="16"/>
      <c r="M33" s="16"/>
    </row>
    <row r="34" spans="1:13" x14ac:dyDescent="0.3">
      <c r="A34" s="16"/>
      <c r="B34" s="16"/>
      <c r="C34" s="16"/>
      <c r="D34" s="19"/>
      <c r="E34" s="14" t="s">
        <v>26</v>
      </c>
      <c r="F34" s="16">
        <v>1</v>
      </c>
      <c r="G34" s="20">
        <v>6</v>
      </c>
      <c r="H34" s="20"/>
      <c r="I34" s="20"/>
      <c r="J34" s="17">
        <f>F34*(G34+ (G34= 0))*(H34+ (H34= 0))*(I34+ (I34= 0))</f>
        <v>6</v>
      </c>
      <c r="K34" s="16"/>
      <c r="L34" s="16"/>
      <c r="M34" s="16"/>
    </row>
    <row r="35" spans="1:13" x14ac:dyDescent="0.3">
      <c r="A35" s="16"/>
      <c r="B35" s="16"/>
      <c r="C35" s="16"/>
      <c r="D35" s="19"/>
      <c r="E35" s="14" t="s">
        <v>27</v>
      </c>
      <c r="F35" s="16">
        <v>1</v>
      </c>
      <c r="G35" s="20">
        <v>14.2</v>
      </c>
      <c r="H35" s="20"/>
      <c r="I35" s="20"/>
      <c r="J35" s="17">
        <f>F35*(G35+ (G35= 0))*(H35+ (H35= 0))*(I35+ (I35= 0))</f>
        <v>14.2</v>
      </c>
      <c r="K35" s="16"/>
      <c r="L35" s="16"/>
      <c r="M35" s="16"/>
    </row>
    <row r="36" spans="1:13" x14ac:dyDescent="0.3">
      <c r="A36" s="16"/>
      <c r="B36" s="16"/>
      <c r="C36" s="16"/>
      <c r="D36" s="19"/>
      <c r="E36" s="14" t="s">
        <v>28</v>
      </c>
      <c r="F36" s="16">
        <v>1</v>
      </c>
      <c r="G36" s="20">
        <v>43</v>
      </c>
      <c r="H36" s="20"/>
      <c r="I36" s="20"/>
      <c r="J36" s="17">
        <f>F36*(G36+ (G36= 0))*(H36+ (H36= 0))*(I36+ (I36= 0))</f>
        <v>43</v>
      </c>
      <c r="K36" s="16"/>
      <c r="L36" s="16"/>
      <c r="M36" s="16"/>
    </row>
    <row r="37" spans="1:13" x14ac:dyDescent="0.3">
      <c r="A37" s="16"/>
      <c r="B37" s="16"/>
      <c r="C37" s="16"/>
      <c r="D37" s="19"/>
      <c r="E37" s="16"/>
      <c r="F37" s="16"/>
      <c r="G37" s="16"/>
      <c r="H37" s="16"/>
      <c r="I37" s="16"/>
      <c r="J37" s="13" t="s">
        <v>38</v>
      </c>
      <c r="K37" s="21">
        <f>SUM(J33:J36)</f>
        <v>109.45</v>
      </c>
      <c r="L37" s="22">
        <f>10.86*1.15</f>
        <v>12.49</v>
      </c>
      <c r="M37" s="23">
        <f>ROUND(L37*K37,2)</f>
        <v>1367.03</v>
      </c>
    </row>
    <row r="38" spans="1:13" ht="3" customHeight="1" x14ac:dyDescent="0.3">
      <c r="A38" s="24"/>
      <c r="B38" s="24"/>
      <c r="C38" s="24"/>
      <c r="D38" s="25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3">
      <c r="A39" s="13" t="s">
        <v>39</v>
      </c>
      <c r="B39" s="14" t="s">
        <v>21</v>
      </c>
      <c r="C39" s="14" t="s">
        <v>41</v>
      </c>
      <c r="D39" s="15" t="s">
        <v>40</v>
      </c>
      <c r="E39" s="16"/>
      <c r="F39" s="16"/>
      <c r="G39" s="16"/>
      <c r="H39" s="16"/>
      <c r="I39" s="16"/>
      <c r="J39" s="16"/>
      <c r="K39" s="17">
        <f>K42</f>
        <v>1</v>
      </c>
      <c r="L39" s="18">
        <f>L42</f>
        <v>563.36</v>
      </c>
      <c r="M39" s="18">
        <f>M42</f>
        <v>563.36</v>
      </c>
    </row>
    <row r="40" spans="1:13" ht="64.8" x14ac:dyDescent="0.3">
      <c r="A40" s="16"/>
      <c r="B40" s="16"/>
      <c r="C40" s="16"/>
      <c r="D40" s="19" t="s">
        <v>42</v>
      </c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3">
      <c r="A41" s="16"/>
      <c r="B41" s="16"/>
      <c r="C41" s="16"/>
      <c r="D41" s="19"/>
      <c r="E41" s="14" t="s">
        <v>18</v>
      </c>
      <c r="F41" s="16">
        <v>1</v>
      </c>
      <c r="G41" s="20"/>
      <c r="H41" s="20"/>
      <c r="I41" s="20"/>
      <c r="J41" s="17">
        <f>F41*(G41+ (G41= 0))*(H41+ (H41= 0))*(I41+ (I41= 0))</f>
        <v>1</v>
      </c>
      <c r="K41" s="16"/>
      <c r="L41" s="16"/>
      <c r="M41" s="16"/>
    </row>
    <row r="42" spans="1:13" x14ac:dyDescent="0.3">
      <c r="A42" s="16"/>
      <c r="B42" s="16"/>
      <c r="C42" s="16"/>
      <c r="D42" s="19"/>
      <c r="E42" s="16"/>
      <c r="F42" s="16"/>
      <c r="G42" s="16"/>
      <c r="H42" s="16"/>
      <c r="I42" s="16"/>
      <c r="J42" s="13" t="s">
        <v>43</v>
      </c>
      <c r="K42" s="21">
        <f>SUM(J41:J41)</f>
        <v>1</v>
      </c>
      <c r="L42" s="22">
        <f>489.88*1.15</f>
        <v>563.36</v>
      </c>
      <c r="M42" s="23">
        <f>ROUND(L42*K42,2)</f>
        <v>563.36</v>
      </c>
    </row>
    <row r="43" spans="1:13" ht="3" customHeight="1" x14ac:dyDescent="0.3">
      <c r="A43" s="24"/>
      <c r="B43" s="24"/>
      <c r="C43" s="24"/>
      <c r="D43" s="25"/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3">
      <c r="A44" s="13" t="s">
        <v>44</v>
      </c>
      <c r="B44" s="14" t="s">
        <v>21</v>
      </c>
      <c r="C44" s="14" t="s">
        <v>41</v>
      </c>
      <c r="D44" s="15" t="s">
        <v>45</v>
      </c>
      <c r="E44" s="16"/>
      <c r="F44" s="16"/>
      <c r="G44" s="16"/>
      <c r="H44" s="16"/>
      <c r="I44" s="16"/>
      <c r="J44" s="16"/>
      <c r="K44" s="17">
        <f>K47</f>
        <v>1</v>
      </c>
      <c r="L44" s="18">
        <f>L47</f>
        <v>387.21</v>
      </c>
      <c r="M44" s="18">
        <f>M47</f>
        <v>387.21</v>
      </c>
    </row>
    <row r="45" spans="1:13" ht="54" x14ac:dyDescent="0.3">
      <c r="A45" s="16"/>
      <c r="B45" s="16"/>
      <c r="C45" s="16"/>
      <c r="D45" s="19" t="s">
        <v>46</v>
      </c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3">
      <c r="A46" s="16"/>
      <c r="B46" s="16"/>
      <c r="C46" s="16"/>
      <c r="D46" s="19"/>
      <c r="E46" s="14" t="s">
        <v>18</v>
      </c>
      <c r="F46" s="16">
        <v>1</v>
      </c>
      <c r="G46" s="20"/>
      <c r="H46" s="20"/>
      <c r="I46" s="20"/>
      <c r="J46" s="17">
        <f>F46*(G46+ (G46= 0))*(H46+ (H46= 0))*(I46+ (I46= 0))</f>
        <v>1</v>
      </c>
      <c r="K46" s="16"/>
      <c r="L46" s="16"/>
      <c r="M46" s="16"/>
    </row>
    <row r="47" spans="1:13" x14ac:dyDescent="0.3">
      <c r="A47" s="16"/>
      <c r="B47" s="16"/>
      <c r="C47" s="16"/>
      <c r="D47" s="19"/>
      <c r="E47" s="16"/>
      <c r="F47" s="16"/>
      <c r="G47" s="16"/>
      <c r="H47" s="16"/>
      <c r="I47" s="16"/>
      <c r="J47" s="13" t="s">
        <v>47</v>
      </c>
      <c r="K47" s="21">
        <f>SUM(J46:J46)</f>
        <v>1</v>
      </c>
      <c r="L47" s="22">
        <f>336.7*1.15</f>
        <v>387.21</v>
      </c>
      <c r="M47" s="23">
        <f>ROUND(L47*K47,2)</f>
        <v>387.21</v>
      </c>
    </row>
    <row r="48" spans="1:13" ht="3" customHeight="1" x14ac:dyDescent="0.3">
      <c r="A48" s="24"/>
      <c r="B48" s="24"/>
      <c r="C48" s="24"/>
      <c r="D48" s="25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3">
      <c r="A49" s="13" t="s">
        <v>48</v>
      </c>
      <c r="B49" s="14" t="s">
        <v>21</v>
      </c>
      <c r="C49" s="14" t="s">
        <v>50</v>
      </c>
      <c r="D49" s="15" t="s">
        <v>49</v>
      </c>
      <c r="E49" s="16"/>
      <c r="F49" s="16"/>
      <c r="G49" s="16"/>
      <c r="H49" s="16"/>
      <c r="I49" s="16"/>
      <c r="J49" s="16"/>
      <c r="K49" s="17">
        <f>K52</f>
        <v>6</v>
      </c>
      <c r="L49" s="18">
        <f>L52</f>
        <v>920</v>
      </c>
      <c r="M49" s="18">
        <f>M52</f>
        <v>5520</v>
      </c>
    </row>
    <row r="50" spans="1:13" ht="43.2" x14ac:dyDescent="0.3">
      <c r="A50" s="16"/>
      <c r="B50" s="16"/>
      <c r="C50" s="16"/>
      <c r="D50" s="19" t="s">
        <v>51</v>
      </c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3">
      <c r="A51" s="16"/>
      <c r="B51" s="16"/>
      <c r="C51" s="16"/>
      <c r="D51" s="19"/>
      <c r="E51" s="14" t="s">
        <v>52</v>
      </c>
      <c r="F51" s="16">
        <v>1</v>
      </c>
      <c r="G51" s="20">
        <v>6</v>
      </c>
      <c r="H51" s="20"/>
      <c r="I51" s="20"/>
      <c r="J51" s="17">
        <f>F51*(G51+ (G51= 0))*(H51+ (H51= 0))*(I51+ (I51= 0))</f>
        <v>6</v>
      </c>
      <c r="K51" s="16"/>
      <c r="L51" s="16"/>
      <c r="M51" s="16"/>
    </row>
    <row r="52" spans="1:13" x14ac:dyDescent="0.3">
      <c r="A52" s="16"/>
      <c r="B52" s="16"/>
      <c r="C52" s="16"/>
      <c r="D52" s="19"/>
      <c r="E52" s="16"/>
      <c r="F52" s="16"/>
      <c r="G52" s="16"/>
      <c r="H52" s="16"/>
      <c r="I52" s="16"/>
      <c r="J52" s="13" t="s">
        <v>53</v>
      </c>
      <c r="K52" s="21">
        <f>SUM(J51:J51)</f>
        <v>6</v>
      </c>
      <c r="L52" s="22">
        <f>800*1.15</f>
        <v>920</v>
      </c>
      <c r="M52" s="23">
        <f>ROUND(L52*K52,2)</f>
        <v>5520</v>
      </c>
    </row>
    <row r="53" spans="1:13" ht="3" customHeight="1" x14ac:dyDescent="0.3">
      <c r="A53" s="24"/>
      <c r="B53" s="24"/>
      <c r="C53" s="24"/>
      <c r="D53" s="25"/>
      <c r="E53" s="24"/>
      <c r="F53" s="24"/>
      <c r="G53" s="24"/>
      <c r="H53" s="24"/>
      <c r="I53" s="24"/>
      <c r="J53" s="24"/>
      <c r="K53" s="24"/>
      <c r="L53" s="24"/>
      <c r="M53" s="24"/>
    </row>
    <row r="54" spans="1:13" ht="21.6" x14ac:dyDescent="0.3">
      <c r="A54" s="13" t="s">
        <v>54</v>
      </c>
      <c r="B54" s="14" t="s">
        <v>21</v>
      </c>
      <c r="C54" s="14" t="s">
        <v>56</v>
      </c>
      <c r="D54" s="15" t="s">
        <v>55</v>
      </c>
      <c r="E54" s="16"/>
      <c r="F54" s="16"/>
      <c r="G54" s="16"/>
      <c r="H54" s="16"/>
      <c r="I54" s="16"/>
      <c r="J54" s="16"/>
      <c r="K54" s="17">
        <f>K57</f>
        <v>5</v>
      </c>
      <c r="L54" s="18">
        <f>L57</f>
        <v>362.85</v>
      </c>
      <c r="M54" s="18">
        <f>M57</f>
        <v>1814.25</v>
      </c>
    </row>
    <row r="55" spans="1:13" ht="75.599999999999994" x14ac:dyDescent="0.3">
      <c r="A55" s="16"/>
      <c r="B55" s="16"/>
      <c r="C55" s="16"/>
      <c r="D55" s="19" t="s">
        <v>57</v>
      </c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3">
      <c r="A56" s="16"/>
      <c r="B56" s="16"/>
      <c r="C56" s="16"/>
      <c r="D56" s="19"/>
      <c r="E56" s="14" t="s">
        <v>58</v>
      </c>
      <c r="F56" s="16">
        <v>1</v>
      </c>
      <c r="G56" s="20">
        <v>5</v>
      </c>
      <c r="H56" s="20"/>
      <c r="I56" s="20"/>
      <c r="J56" s="17">
        <f>F56*(G56+ (G56= 0))*(H56+ (H56= 0))*(I56+ (I56= 0))</f>
        <v>5</v>
      </c>
      <c r="K56" s="16"/>
      <c r="L56" s="16"/>
      <c r="M56" s="16"/>
    </row>
    <row r="57" spans="1:13" x14ac:dyDescent="0.3">
      <c r="A57" s="16"/>
      <c r="B57" s="16"/>
      <c r="C57" s="16"/>
      <c r="D57" s="19"/>
      <c r="E57" s="16"/>
      <c r="F57" s="16"/>
      <c r="G57" s="16"/>
      <c r="H57" s="16"/>
      <c r="I57" s="16"/>
      <c r="J57" s="13" t="s">
        <v>59</v>
      </c>
      <c r="K57" s="21">
        <f>SUM(J56:J56)</f>
        <v>5</v>
      </c>
      <c r="L57" s="22">
        <f>315.52*1.15</f>
        <v>362.85</v>
      </c>
      <c r="M57" s="23">
        <f>ROUND(L57*K57,2)</f>
        <v>1814.25</v>
      </c>
    </row>
    <row r="58" spans="1:13" ht="3" customHeight="1" x14ac:dyDescent="0.3">
      <c r="A58" s="24"/>
      <c r="B58" s="24"/>
      <c r="C58" s="24"/>
      <c r="D58" s="25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3">
      <c r="A59" s="16"/>
      <c r="B59" s="16"/>
      <c r="C59" s="16"/>
      <c r="D59" s="19"/>
      <c r="E59" s="16"/>
      <c r="F59" s="16"/>
      <c r="G59" s="16"/>
      <c r="H59" s="16"/>
      <c r="I59" s="16"/>
      <c r="J59" s="13" t="s">
        <v>60</v>
      </c>
      <c r="K59" s="26">
        <v>1</v>
      </c>
      <c r="L59" s="23">
        <f>M16+M29+M37+M42+M47+M52+M57</f>
        <v>102266.51</v>
      </c>
      <c r="M59" s="23">
        <f>ROUND(L59*K59,2)</f>
        <v>102266.51</v>
      </c>
    </row>
    <row r="60" spans="1:13" ht="3" customHeight="1" x14ac:dyDescent="0.3">
      <c r="A60" s="24"/>
      <c r="B60" s="24"/>
      <c r="C60" s="24"/>
      <c r="D60" s="25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3">
      <c r="A61" s="27" t="s">
        <v>61</v>
      </c>
      <c r="B61" s="27" t="s">
        <v>17</v>
      </c>
      <c r="C61" s="27" t="s">
        <v>18</v>
      </c>
      <c r="D61" s="28" t="s">
        <v>62</v>
      </c>
      <c r="E61" s="29"/>
      <c r="F61" s="29"/>
      <c r="G61" s="29"/>
      <c r="H61" s="29"/>
      <c r="I61" s="29"/>
      <c r="J61" s="29"/>
      <c r="K61" s="30">
        <f>K94</f>
        <v>1</v>
      </c>
      <c r="L61" s="23">
        <f>L94</f>
        <v>27269.66</v>
      </c>
      <c r="M61" s="23">
        <f>M94</f>
        <v>27269.66</v>
      </c>
    </row>
    <row r="62" spans="1:13" x14ac:dyDescent="0.3">
      <c r="A62" s="13" t="s">
        <v>63</v>
      </c>
      <c r="B62" s="14" t="s">
        <v>21</v>
      </c>
      <c r="C62" s="14" t="s">
        <v>22</v>
      </c>
      <c r="D62" s="15" t="s">
        <v>64</v>
      </c>
      <c r="E62" s="16"/>
      <c r="F62" s="16"/>
      <c r="G62" s="16"/>
      <c r="H62" s="16"/>
      <c r="I62" s="16"/>
      <c r="J62" s="16"/>
      <c r="K62" s="17">
        <f>K82</f>
        <v>540.97</v>
      </c>
      <c r="L62" s="18">
        <f>L82</f>
        <v>33.03</v>
      </c>
      <c r="M62" s="18">
        <f>M82</f>
        <v>17868.240000000002</v>
      </c>
    </row>
    <row r="63" spans="1:13" ht="43.2" x14ac:dyDescent="0.3">
      <c r="A63" s="16"/>
      <c r="B63" s="16"/>
      <c r="C63" s="16"/>
      <c r="D63" s="19" t="s">
        <v>65</v>
      </c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3">
      <c r="A64" s="16"/>
      <c r="B64" s="16"/>
      <c r="C64" s="16"/>
      <c r="D64" s="19"/>
      <c r="E64" s="14" t="s">
        <v>66</v>
      </c>
      <c r="F64" s="16"/>
      <c r="G64" s="20"/>
      <c r="H64" s="20"/>
      <c r="I64" s="20"/>
      <c r="J64" s="17">
        <f t="shared" ref="J64:J81" si="2">F64*(G64+ (G64= 0))*(H64+ (H64= 0))*(I64+ (I64= 0))</f>
        <v>0</v>
      </c>
      <c r="K64" s="16"/>
      <c r="L64" s="16"/>
      <c r="M64" s="16"/>
    </row>
    <row r="65" spans="1:13" x14ac:dyDescent="0.3">
      <c r="A65" s="16"/>
      <c r="B65" s="16"/>
      <c r="C65" s="16"/>
      <c r="D65" s="19"/>
      <c r="E65" s="14" t="s">
        <v>67</v>
      </c>
      <c r="F65" s="16">
        <v>1</v>
      </c>
      <c r="G65" s="20">
        <v>46.45</v>
      </c>
      <c r="H65" s="20"/>
      <c r="I65" s="20">
        <v>20.65</v>
      </c>
      <c r="J65" s="17">
        <f t="shared" si="2"/>
        <v>959.19299999999998</v>
      </c>
      <c r="K65" s="16"/>
      <c r="L65" s="16"/>
      <c r="M65" s="16"/>
    </row>
    <row r="66" spans="1:13" x14ac:dyDescent="0.3">
      <c r="A66" s="16"/>
      <c r="B66" s="16"/>
      <c r="C66" s="16"/>
      <c r="D66" s="19"/>
      <c r="E66" s="14" t="s">
        <v>68</v>
      </c>
      <c r="F66" s="16"/>
      <c r="G66" s="20"/>
      <c r="H66" s="20"/>
      <c r="I66" s="20"/>
      <c r="J66" s="17">
        <f t="shared" si="2"/>
        <v>0</v>
      </c>
      <c r="K66" s="16"/>
      <c r="L66" s="16"/>
      <c r="M66" s="16"/>
    </row>
    <row r="67" spans="1:13" x14ac:dyDescent="0.3">
      <c r="A67" s="16"/>
      <c r="B67" s="16"/>
      <c r="C67" s="16"/>
      <c r="D67" s="19"/>
      <c r="E67" s="14" t="s">
        <v>69</v>
      </c>
      <c r="F67" s="16">
        <v>-36</v>
      </c>
      <c r="G67" s="20">
        <v>3.75</v>
      </c>
      <c r="H67" s="20">
        <v>1</v>
      </c>
      <c r="I67" s="20">
        <v>2</v>
      </c>
      <c r="J67" s="17">
        <f t="shared" si="2"/>
        <v>-270</v>
      </c>
      <c r="K67" s="16"/>
      <c r="L67" s="16"/>
      <c r="M67" s="16"/>
    </row>
    <row r="68" spans="1:13" x14ac:dyDescent="0.3">
      <c r="A68" s="16"/>
      <c r="B68" s="16"/>
      <c r="C68" s="16"/>
      <c r="D68" s="19"/>
      <c r="E68" s="14" t="s">
        <v>70</v>
      </c>
      <c r="F68" s="16">
        <v>-36</v>
      </c>
      <c r="G68" s="20">
        <v>1</v>
      </c>
      <c r="H68" s="20">
        <v>0.5</v>
      </c>
      <c r="I68" s="20">
        <v>2.02</v>
      </c>
      <c r="J68" s="17">
        <f t="shared" si="2"/>
        <v>-36.36</v>
      </c>
      <c r="K68" s="16"/>
      <c r="L68" s="16"/>
      <c r="M68" s="16"/>
    </row>
    <row r="69" spans="1:13" x14ac:dyDescent="0.3">
      <c r="A69" s="16"/>
      <c r="B69" s="16"/>
      <c r="C69" s="16"/>
      <c r="D69" s="19"/>
      <c r="E69" s="14" t="s">
        <v>71</v>
      </c>
      <c r="F69" s="16">
        <v>1</v>
      </c>
      <c r="G69" s="20">
        <v>6.3</v>
      </c>
      <c r="H69" s="20"/>
      <c r="I69" s="20">
        <v>20.65</v>
      </c>
      <c r="J69" s="17">
        <f t="shared" si="2"/>
        <v>130.095</v>
      </c>
      <c r="K69" s="16"/>
      <c r="L69" s="16"/>
      <c r="M69" s="16"/>
    </row>
    <row r="70" spans="1:13" x14ac:dyDescent="0.3">
      <c r="A70" s="16"/>
      <c r="B70" s="16"/>
      <c r="C70" s="16"/>
      <c r="D70" s="19"/>
      <c r="E70" s="14" t="s">
        <v>72</v>
      </c>
      <c r="F70" s="16">
        <v>1</v>
      </c>
      <c r="G70" s="20">
        <v>6.55</v>
      </c>
      <c r="H70" s="20"/>
      <c r="I70" s="20">
        <v>20.65</v>
      </c>
      <c r="J70" s="17">
        <f t="shared" si="2"/>
        <v>135.25800000000001</v>
      </c>
      <c r="K70" s="16"/>
      <c r="L70" s="16"/>
      <c r="M70" s="16"/>
    </row>
    <row r="71" spans="1:13" x14ac:dyDescent="0.3">
      <c r="A71" s="16"/>
      <c r="B71" s="16"/>
      <c r="C71" s="16"/>
      <c r="D71" s="19"/>
      <c r="E71" s="14" t="s">
        <v>73</v>
      </c>
      <c r="F71" s="16">
        <v>1</v>
      </c>
      <c r="G71" s="20">
        <v>34.4</v>
      </c>
      <c r="H71" s="20"/>
      <c r="I71" s="20">
        <v>20.65</v>
      </c>
      <c r="J71" s="17">
        <f t="shared" si="2"/>
        <v>710.36</v>
      </c>
      <c r="K71" s="16"/>
      <c r="L71" s="16"/>
      <c r="M71" s="16"/>
    </row>
    <row r="72" spans="1:13" x14ac:dyDescent="0.3">
      <c r="A72" s="16"/>
      <c r="B72" s="16"/>
      <c r="C72" s="16"/>
      <c r="D72" s="19"/>
      <c r="E72" s="14" t="s">
        <v>68</v>
      </c>
      <c r="F72" s="16"/>
      <c r="G72" s="20"/>
      <c r="H72" s="20"/>
      <c r="I72" s="20"/>
      <c r="J72" s="17">
        <f t="shared" si="2"/>
        <v>0</v>
      </c>
      <c r="K72" s="16"/>
      <c r="L72" s="16"/>
      <c r="M72" s="16"/>
    </row>
    <row r="73" spans="1:13" x14ac:dyDescent="0.3">
      <c r="A73" s="16"/>
      <c r="B73" s="16"/>
      <c r="C73" s="16"/>
      <c r="D73" s="19"/>
      <c r="E73" s="14" t="s">
        <v>69</v>
      </c>
      <c r="F73" s="16">
        <v>-24</v>
      </c>
      <c r="G73" s="20">
        <v>3.75</v>
      </c>
      <c r="H73" s="20">
        <v>1</v>
      </c>
      <c r="I73" s="20">
        <v>2</v>
      </c>
      <c r="J73" s="17">
        <f t="shared" si="2"/>
        <v>-180</v>
      </c>
      <c r="K73" s="16"/>
      <c r="L73" s="16"/>
      <c r="M73" s="16"/>
    </row>
    <row r="74" spans="1:13" x14ac:dyDescent="0.3">
      <c r="A74" s="16"/>
      <c r="B74" s="16"/>
      <c r="C74" s="16"/>
      <c r="D74" s="19"/>
      <c r="E74" s="14" t="s">
        <v>70</v>
      </c>
      <c r="F74" s="16">
        <v>-24</v>
      </c>
      <c r="G74" s="20">
        <v>1</v>
      </c>
      <c r="H74" s="20">
        <v>0.5</v>
      </c>
      <c r="I74" s="20">
        <v>2.02</v>
      </c>
      <c r="J74" s="17">
        <f t="shared" si="2"/>
        <v>-24.24</v>
      </c>
      <c r="K74" s="16"/>
      <c r="L74" s="16"/>
      <c r="M74" s="16"/>
    </row>
    <row r="75" spans="1:13" x14ac:dyDescent="0.3">
      <c r="A75" s="16"/>
      <c r="B75" s="16"/>
      <c r="C75" s="16"/>
      <c r="D75" s="19"/>
      <c r="E75" s="14" t="s">
        <v>74</v>
      </c>
      <c r="F75" s="16">
        <v>1</v>
      </c>
      <c r="G75" s="20">
        <v>1.3</v>
      </c>
      <c r="H75" s="20"/>
      <c r="I75" s="20">
        <v>20.65</v>
      </c>
      <c r="J75" s="17">
        <f t="shared" si="2"/>
        <v>26.844999999999999</v>
      </c>
      <c r="K75" s="16"/>
      <c r="L75" s="16"/>
      <c r="M75" s="16"/>
    </row>
    <row r="76" spans="1:13" x14ac:dyDescent="0.3">
      <c r="A76" s="16"/>
      <c r="B76" s="16"/>
      <c r="C76" s="16"/>
      <c r="D76" s="19"/>
      <c r="E76" s="14" t="s">
        <v>75</v>
      </c>
      <c r="F76" s="16"/>
      <c r="G76" s="20"/>
      <c r="H76" s="20"/>
      <c r="I76" s="20"/>
      <c r="J76" s="17">
        <f t="shared" si="2"/>
        <v>0</v>
      </c>
      <c r="K76" s="16"/>
      <c r="L76" s="16"/>
      <c r="M76" s="16"/>
    </row>
    <row r="77" spans="1:13" x14ac:dyDescent="0.3">
      <c r="A77" s="16"/>
      <c r="B77" s="16"/>
      <c r="C77" s="16"/>
      <c r="D77" s="19"/>
      <c r="E77" s="14" t="s">
        <v>72</v>
      </c>
      <c r="F77" s="16">
        <v>1</v>
      </c>
      <c r="G77" s="20">
        <v>7.4</v>
      </c>
      <c r="H77" s="20"/>
      <c r="I77" s="20">
        <v>20.65</v>
      </c>
      <c r="J77" s="17">
        <f t="shared" si="2"/>
        <v>152.81</v>
      </c>
      <c r="K77" s="16"/>
      <c r="L77" s="16"/>
      <c r="M77" s="16"/>
    </row>
    <row r="78" spans="1:13" x14ac:dyDescent="0.3">
      <c r="A78" s="16"/>
      <c r="B78" s="16"/>
      <c r="C78" s="16"/>
      <c r="D78" s="19"/>
      <c r="E78" s="14" t="s">
        <v>18</v>
      </c>
      <c r="F78" s="16">
        <v>1</v>
      </c>
      <c r="G78" s="20">
        <v>0.8</v>
      </c>
      <c r="H78" s="20"/>
      <c r="I78" s="20">
        <v>20.65</v>
      </c>
      <c r="J78" s="17">
        <f t="shared" si="2"/>
        <v>16.52</v>
      </c>
      <c r="K78" s="16"/>
      <c r="L78" s="16"/>
      <c r="M78" s="16"/>
    </row>
    <row r="79" spans="1:13" x14ac:dyDescent="0.3">
      <c r="A79" s="16"/>
      <c r="B79" s="16"/>
      <c r="C79" s="16"/>
      <c r="D79" s="19"/>
      <c r="E79" s="14" t="s">
        <v>73</v>
      </c>
      <c r="F79" s="16">
        <v>1</v>
      </c>
      <c r="G79" s="20">
        <v>8.85</v>
      </c>
      <c r="H79" s="20"/>
      <c r="I79" s="20">
        <v>20.65</v>
      </c>
      <c r="J79" s="17">
        <f t="shared" si="2"/>
        <v>182.75299999999999</v>
      </c>
      <c r="K79" s="16"/>
      <c r="L79" s="16"/>
      <c r="M79" s="16"/>
    </row>
    <row r="80" spans="1:13" x14ac:dyDescent="0.3">
      <c r="A80" s="16"/>
      <c r="B80" s="16"/>
      <c r="C80" s="16"/>
      <c r="D80" s="19"/>
      <c r="E80" s="14" t="s">
        <v>76</v>
      </c>
      <c r="F80" s="16">
        <v>1</v>
      </c>
      <c r="G80" s="20">
        <v>540.97</v>
      </c>
      <c r="H80" s="20"/>
      <c r="I80" s="20"/>
      <c r="J80" s="17">
        <f t="shared" si="2"/>
        <v>540.97</v>
      </c>
      <c r="K80" s="16"/>
      <c r="L80" s="16"/>
      <c r="M80" s="16"/>
    </row>
    <row r="81" spans="1:13" x14ac:dyDescent="0.3">
      <c r="A81" s="16"/>
      <c r="B81" s="16"/>
      <c r="C81" s="16"/>
      <c r="D81" s="19"/>
      <c r="E81" s="14" t="s">
        <v>18</v>
      </c>
      <c r="F81" s="16">
        <v>-1803.2339999999999</v>
      </c>
      <c r="G81" s="20"/>
      <c r="H81" s="20"/>
      <c r="I81" s="20"/>
      <c r="J81" s="17">
        <f t="shared" si="2"/>
        <v>-1803.2339999999999</v>
      </c>
      <c r="K81" s="16"/>
      <c r="L81" s="16"/>
      <c r="M81" s="16"/>
    </row>
    <row r="82" spans="1:13" x14ac:dyDescent="0.3">
      <c r="A82" s="16"/>
      <c r="B82" s="16"/>
      <c r="C82" s="16"/>
      <c r="D82" s="19"/>
      <c r="E82" s="16"/>
      <c r="F82" s="16"/>
      <c r="G82" s="16"/>
      <c r="H82" s="16"/>
      <c r="I82" s="16"/>
      <c r="J82" s="13" t="s">
        <v>77</v>
      </c>
      <c r="K82" s="21">
        <f>SUM(J64:J81)</f>
        <v>540.97</v>
      </c>
      <c r="L82" s="22">
        <f>28.72*1.15</f>
        <v>33.03</v>
      </c>
      <c r="M82" s="23">
        <f>ROUND(L82*K82,2)</f>
        <v>17868.240000000002</v>
      </c>
    </row>
    <row r="83" spans="1:13" ht="3" customHeight="1" x14ac:dyDescent="0.3">
      <c r="A83" s="24"/>
      <c r="B83" s="24"/>
      <c r="C83" s="24"/>
      <c r="D83" s="25"/>
      <c r="E83" s="24"/>
      <c r="F83" s="24"/>
      <c r="G83" s="24"/>
      <c r="H83" s="24"/>
      <c r="I83" s="24"/>
      <c r="J83" s="24"/>
      <c r="K83" s="24"/>
      <c r="L83" s="24"/>
      <c r="M83" s="24"/>
    </row>
    <row r="84" spans="1:13" x14ac:dyDescent="0.3">
      <c r="A84" s="13" t="s">
        <v>78</v>
      </c>
      <c r="B84" s="14" t="s">
        <v>21</v>
      </c>
      <c r="C84" s="14" t="s">
        <v>80</v>
      </c>
      <c r="D84" s="15" t="s">
        <v>79</v>
      </c>
      <c r="E84" s="16"/>
      <c r="F84" s="16"/>
      <c r="G84" s="16"/>
      <c r="H84" s="16"/>
      <c r="I84" s="16"/>
      <c r="J84" s="16"/>
      <c r="K84" s="17">
        <f>K87</f>
        <v>354.6</v>
      </c>
      <c r="L84" s="18">
        <f>L87</f>
        <v>8.81</v>
      </c>
      <c r="M84" s="18">
        <f>M87</f>
        <v>3124.03</v>
      </c>
    </row>
    <row r="85" spans="1:13" ht="43.2" x14ac:dyDescent="0.3">
      <c r="A85" s="16"/>
      <c r="B85" s="16"/>
      <c r="C85" s="16"/>
      <c r="D85" s="19" t="s">
        <v>81</v>
      </c>
      <c r="E85" s="16"/>
      <c r="F85" s="16"/>
      <c r="G85" s="16"/>
      <c r="H85" s="16"/>
      <c r="I85" s="16"/>
      <c r="J85" s="16"/>
      <c r="K85" s="16"/>
      <c r="L85" s="16"/>
      <c r="M85" s="16"/>
    </row>
    <row r="86" spans="1:13" x14ac:dyDescent="0.3">
      <c r="A86" s="16"/>
      <c r="B86" s="16"/>
      <c r="C86" s="16"/>
      <c r="D86" s="19"/>
      <c r="E86" s="14" t="s">
        <v>18</v>
      </c>
      <c r="F86" s="16">
        <v>1</v>
      </c>
      <c r="G86" s="20">
        <v>354.6</v>
      </c>
      <c r="H86" s="20"/>
      <c r="I86" s="20"/>
      <c r="J86" s="17">
        <f>F86*(G86+ (G86= 0))*(H86+ (H86= 0))*(I86+ (I86= 0))</f>
        <v>354.6</v>
      </c>
      <c r="K86" s="16"/>
      <c r="L86" s="16"/>
      <c r="M86" s="16"/>
    </row>
    <row r="87" spans="1:13" x14ac:dyDescent="0.3">
      <c r="A87" s="16"/>
      <c r="B87" s="16"/>
      <c r="C87" s="16"/>
      <c r="D87" s="19"/>
      <c r="E87" s="16"/>
      <c r="F87" s="16"/>
      <c r="G87" s="16"/>
      <c r="H87" s="16"/>
      <c r="I87" s="16"/>
      <c r="J87" s="13" t="s">
        <v>82</v>
      </c>
      <c r="K87" s="21">
        <f>SUM(J86:J86)</f>
        <v>354.6</v>
      </c>
      <c r="L87" s="22">
        <f>7.66*1.15</f>
        <v>8.81</v>
      </c>
      <c r="M87" s="23">
        <f>ROUND(L87*K87,2)</f>
        <v>3124.03</v>
      </c>
    </row>
    <row r="88" spans="1:13" ht="3" customHeight="1" x14ac:dyDescent="0.3">
      <c r="A88" s="24"/>
      <c r="B88" s="24"/>
      <c r="C88" s="24"/>
      <c r="D88" s="25"/>
      <c r="E88" s="24"/>
      <c r="F88" s="24"/>
      <c r="G88" s="24"/>
      <c r="H88" s="24"/>
      <c r="I88" s="24"/>
      <c r="J88" s="24"/>
      <c r="K88" s="24"/>
      <c r="L88" s="24"/>
      <c r="M88" s="24"/>
    </row>
    <row r="89" spans="1:13" x14ac:dyDescent="0.3">
      <c r="A89" s="13" t="s">
        <v>83</v>
      </c>
      <c r="B89" s="14" t="s">
        <v>21</v>
      </c>
      <c r="C89" s="14" t="s">
        <v>22</v>
      </c>
      <c r="D89" s="15" t="s">
        <v>84</v>
      </c>
      <c r="E89" s="16"/>
      <c r="F89" s="16"/>
      <c r="G89" s="16"/>
      <c r="H89" s="16"/>
      <c r="I89" s="16"/>
      <c r="J89" s="16"/>
      <c r="K89" s="17">
        <f>K92</f>
        <v>237.6</v>
      </c>
      <c r="L89" s="18">
        <f>L92</f>
        <v>26.42</v>
      </c>
      <c r="M89" s="18">
        <f>M92</f>
        <v>6277.39</v>
      </c>
    </row>
    <row r="90" spans="1:13" ht="43.2" x14ac:dyDescent="0.3">
      <c r="A90" s="16"/>
      <c r="B90" s="16"/>
      <c r="C90" s="16"/>
      <c r="D90" s="19" t="s">
        <v>85</v>
      </c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3">
      <c r="A91" s="16"/>
      <c r="B91" s="16"/>
      <c r="C91" s="16"/>
      <c r="D91" s="19"/>
      <c r="E91" s="14" t="s">
        <v>18</v>
      </c>
      <c r="F91" s="16">
        <v>1</v>
      </c>
      <c r="G91" s="20">
        <v>237.6</v>
      </c>
      <c r="H91" s="20"/>
      <c r="I91" s="20"/>
      <c r="J91" s="17">
        <f>F91*(G91+ (G91= 0))*(H91+ (H91= 0))*(I91+ (I91= 0))</f>
        <v>237.6</v>
      </c>
      <c r="K91" s="16"/>
      <c r="L91" s="16"/>
      <c r="M91" s="16"/>
    </row>
    <row r="92" spans="1:13" x14ac:dyDescent="0.3">
      <c r="A92" s="16"/>
      <c r="B92" s="16"/>
      <c r="C92" s="16"/>
      <c r="D92" s="19"/>
      <c r="E92" s="16"/>
      <c r="F92" s="16"/>
      <c r="G92" s="16"/>
      <c r="H92" s="16"/>
      <c r="I92" s="16"/>
      <c r="J92" s="13" t="s">
        <v>86</v>
      </c>
      <c r="K92" s="21">
        <f>SUM(J91:J91)</f>
        <v>237.6</v>
      </c>
      <c r="L92" s="22">
        <f>22.97*1.15</f>
        <v>26.42</v>
      </c>
      <c r="M92" s="23">
        <f>ROUND(L92*K92,2)</f>
        <v>6277.39</v>
      </c>
    </row>
    <row r="93" spans="1:13" ht="3" customHeight="1" x14ac:dyDescent="0.3">
      <c r="A93" s="24"/>
      <c r="B93" s="24"/>
      <c r="C93" s="24"/>
      <c r="D93" s="25"/>
      <c r="E93" s="24"/>
      <c r="F93" s="24"/>
      <c r="G93" s="24"/>
      <c r="H93" s="24"/>
      <c r="I93" s="24"/>
      <c r="J93" s="24"/>
      <c r="K93" s="24"/>
      <c r="L93" s="24"/>
      <c r="M93" s="24"/>
    </row>
    <row r="94" spans="1:13" x14ac:dyDescent="0.3">
      <c r="A94" s="16"/>
      <c r="B94" s="16"/>
      <c r="C94" s="16"/>
      <c r="D94" s="19"/>
      <c r="E94" s="16"/>
      <c r="F94" s="16"/>
      <c r="G94" s="16"/>
      <c r="H94" s="16"/>
      <c r="I94" s="16"/>
      <c r="J94" s="13" t="s">
        <v>87</v>
      </c>
      <c r="K94" s="26">
        <v>1</v>
      </c>
      <c r="L94" s="23">
        <f>M82+M87+M92</f>
        <v>27269.66</v>
      </c>
      <c r="M94" s="23">
        <f>ROUND(L94*K94,2)</f>
        <v>27269.66</v>
      </c>
    </row>
    <row r="95" spans="1:13" ht="3" customHeight="1" x14ac:dyDescent="0.3">
      <c r="A95" s="24"/>
      <c r="B95" s="24"/>
      <c r="C95" s="24"/>
      <c r="D95" s="25"/>
      <c r="E95" s="24"/>
      <c r="F95" s="24"/>
      <c r="G95" s="24"/>
      <c r="H95" s="24"/>
      <c r="I95" s="24"/>
      <c r="J95" s="24"/>
      <c r="K95" s="24"/>
      <c r="L95" s="24"/>
      <c r="M95" s="24"/>
    </row>
    <row r="96" spans="1:13" x14ac:dyDescent="0.3">
      <c r="A96" s="27" t="s">
        <v>88</v>
      </c>
      <c r="B96" s="27" t="s">
        <v>17</v>
      </c>
      <c r="C96" s="27" t="s">
        <v>18</v>
      </c>
      <c r="D96" s="28" t="s">
        <v>89</v>
      </c>
      <c r="E96" s="29"/>
      <c r="F96" s="29"/>
      <c r="G96" s="29"/>
      <c r="H96" s="29"/>
      <c r="I96" s="29"/>
      <c r="J96" s="29"/>
      <c r="K96" s="30">
        <f>K133</f>
        <v>1</v>
      </c>
      <c r="L96" s="23">
        <f>L133</f>
        <v>55529.17</v>
      </c>
      <c r="M96" s="23">
        <f>M133</f>
        <v>55529.17</v>
      </c>
    </row>
    <row r="97" spans="1:13" ht="21.6" x14ac:dyDescent="0.3">
      <c r="A97" s="13" t="s">
        <v>90</v>
      </c>
      <c r="B97" s="14" t="s">
        <v>21</v>
      </c>
      <c r="C97" s="14" t="s">
        <v>22</v>
      </c>
      <c r="D97" s="15" t="s">
        <v>91</v>
      </c>
      <c r="E97" s="16"/>
      <c r="F97" s="16"/>
      <c r="G97" s="16"/>
      <c r="H97" s="16"/>
      <c r="I97" s="16"/>
      <c r="J97" s="16"/>
      <c r="K97" s="17">
        <f>K100</f>
        <v>550.86</v>
      </c>
      <c r="L97" s="18">
        <f>L100</f>
        <v>51.7</v>
      </c>
      <c r="M97" s="18">
        <f>M100</f>
        <v>28479.46</v>
      </c>
    </row>
    <row r="98" spans="1:13" ht="43.2" x14ac:dyDescent="0.3">
      <c r="A98" s="16"/>
      <c r="B98" s="16"/>
      <c r="C98" s="16"/>
      <c r="D98" s="19" t="s">
        <v>92</v>
      </c>
      <c r="E98" s="16"/>
      <c r="F98" s="16"/>
      <c r="G98" s="16"/>
      <c r="H98" s="16"/>
      <c r="I98" s="16"/>
      <c r="J98" s="16"/>
      <c r="K98" s="16"/>
      <c r="L98" s="16"/>
      <c r="M98" s="16"/>
    </row>
    <row r="99" spans="1:13" x14ac:dyDescent="0.3">
      <c r="A99" s="16"/>
      <c r="B99" s="16"/>
      <c r="C99" s="16"/>
      <c r="D99" s="19"/>
      <c r="E99" s="14" t="s">
        <v>93</v>
      </c>
      <c r="F99" s="16">
        <v>1</v>
      </c>
      <c r="G99" s="20">
        <v>550.86</v>
      </c>
      <c r="H99" s="20"/>
      <c r="I99" s="20"/>
      <c r="J99" s="17">
        <f>F99*(G99+ (G99= 0))*(H99+ (H99= 0))*(I99+ (I99= 0))</f>
        <v>550.86</v>
      </c>
      <c r="K99" s="16"/>
      <c r="L99" s="16"/>
      <c r="M99" s="16"/>
    </row>
    <row r="100" spans="1:13" x14ac:dyDescent="0.3">
      <c r="A100" s="16"/>
      <c r="B100" s="16"/>
      <c r="C100" s="16"/>
      <c r="D100" s="19"/>
      <c r="E100" s="16"/>
      <c r="F100" s="16"/>
      <c r="G100" s="16"/>
      <c r="H100" s="16"/>
      <c r="I100" s="16"/>
      <c r="J100" s="13" t="s">
        <v>94</v>
      </c>
      <c r="K100" s="21">
        <f>SUM(J99:J99)</f>
        <v>550.86</v>
      </c>
      <c r="L100" s="22">
        <f>44.96*1.15</f>
        <v>51.7</v>
      </c>
      <c r="M100" s="23">
        <f>ROUND(L100*K100,2)</f>
        <v>28479.46</v>
      </c>
    </row>
    <row r="101" spans="1:13" ht="3" customHeight="1" x14ac:dyDescent="0.3">
      <c r="A101" s="24"/>
      <c r="B101" s="24"/>
      <c r="C101" s="24"/>
      <c r="D101" s="25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1:13" x14ac:dyDescent="0.3">
      <c r="A102" s="13" t="s">
        <v>95</v>
      </c>
      <c r="B102" s="14" t="s">
        <v>21</v>
      </c>
      <c r="C102" s="14" t="s">
        <v>22</v>
      </c>
      <c r="D102" s="15" t="s">
        <v>96</v>
      </c>
      <c r="E102" s="16"/>
      <c r="F102" s="16"/>
      <c r="G102" s="16"/>
      <c r="H102" s="16"/>
      <c r="I102" s="16"/>
      <c r="J102" s="16"/>
      <c r="K102" s="17">
        <f>K105</f>
        <v>489.57</v>
      </c>
      <c r="L102" s="18">
        <f>L105</f>
        <v>19.649999999999999</v>
      </c>
      <c r="M102" s="18">
        <f>M105</f>
        <v>9620.0499999999993</v>
      </c>
    </row>
    <row r="103" spans="1:13" ht="32.4" x14ac:dyDescent="0.3">
      <c r="A103" s="16"/>
      <c r="B103" s="16"/>
      <c r="C103" s="16"/>
      <c r="D103" s="19" t="s">
        <v>97</v>
      </c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3">
      <c r="A104" s="16"/>
      <c r="B104" s="16"/>
      <c r="C104" s="16"/>
      <c r="D104" s="19"/>
      <c r="E104" s="14" t="s">
        <v>18</v>
      </c>
      <c r="F104" s="16">
        <v>1</v>
      </c>
      <c r="G104" s="20">
        <v>489.57</v>
      </c>
      <c r="H104" s="20"/>
      <c r="I104" s="20"/>
      <c r="J104" s="17">
        <f>F104*(G104+ (G104= 0))*(H104+ (H104= 0))*(I104+ (I104= 0))</f>
        <v>489.57</v>
      </c>
      <c r="K104" s="16"/>
      <c r="L104" s="16"/>
      <c r="M104" s="16"/>
    </row>
    <row r="105" spans="1:13" x14ac:dyDescent="0.3">
      <c r="A105" s="16"/>
      <c r="B105" s="16"/>
      <c r="C105" s="16"/>
      <c r="D105" s="19"/>
      <c r="E105" s="16"/>
      <c r="F105" s="16"/>
      <c r="G105" s="16"/>
      <c r="H105" s="16"/>
      <c r="I105" s="16"/>
      <c r="J105" s="13" t="s">
        <v>98</v>
      </c>
      <c r="K105" s="21">
        <f>SUM(J104:J104)</f>
        <v>489.57</v>
      </c>
      <c r="L105" s="22">
        <f>17.09*1.15</f>
        <v>19.649999999999999</v>
      </c>
      <c r="M105" s="23">
        <f>ROUND(L105*K105,2)</f>
        <v>9620.0499999999993</v>
      </c>
    </row>
    <row r="106" spans="1:13" ht="3" customHeight="1" x14ac:dyDescent="0.3">
      <c r="A106" s="24"/>
      <c r="B106" s="24"/>
      <c r="C106" s="24"/>
      <c r="D106" s="25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1:13" ht="21.6" x14ac:dyDescent="0.3">
      <c r="A107" s="13" t="s">
        <v>99</v>
      </c>
      <c r="B107" s="14" t="s">
        <v>21</v>
      </c>
      <c r="C107" s="14" t="s">
        <v>101</v>
      </c>
      <c r="D107" s="15" t="s">
        <v>100</v>
      </c>
      <c r="E107" s="16"/>
      <c r="F107" s="16"/>
      <c r="G107" s="16"/>
      <c r="H107" s="16"/>
      <c r="I107" s="16"/>
      <c r="J107" s="16"/>
      <c r="K107" s="17">
        <f>K110</f>
        <v>76.680000000000007</v>
      </c>
      <c r="L107" s="18">
        <f>L110</f>
        <v>196.89</v>
      </c>
      <c r="M107" s="18">
        <f>M110</f>
        <v>15097.53</v>
      </c>
    </row>
    <row r="108" spans="1:13" ht="86.4" x14ac:dyDescent="0.3">
      <c r="A108" s="16"/>
      <c r="B108" s="16"/>
      <c r="C108" s="16"/>
      <c r="D108" s="19" t="s">
        <v>102</v>
      </c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x14ac:dyDescent="0.3">
      <c r="A109" s="16"/>
      <c r="B109" s="16"/>
      <c r="C109" s="16"/>
      <c r="D109" s="19"/>
      <c r="E109" s="14" t="s">
        <v>18</v>
      </c>
      <c r="F109" s="16">
        <v>1</v>
      </c>
      <c r="G109" s="20">
        <v>76.680000000000007</v>
      </c>
      <c r="H109" s="20"/>
      <c r="I109" s="20"/>
      <c r="J109" s="17">
        <f>F109*(G109+ (G109= 0))*(H109+ (H109= 0))*(I109+ (I109= 0))</f>
        <v>76.680000000000007</v>
      </c>
      <c r="K109" s="16"/>
      <c r="L109" s="16"/>
      <c r="M109" s="16"/>
    </row>
    <row r="110" spans="1:13" x14ac:dyDescent="0.3">
      <c r="A110" s="16"/>
      <c r="B110" s="16"/>
      <c r="C110" s="16"/>
      <c r="D110" s="19"/>
      <c r="E110" s="16"/>
      <c r="F110" s="16"/>
      <c r="G110" s="16"/>
      <c r="H110" s="16"/>
      <c r="I110" s="16"/>
      <c r="J110" s="13" t="s">
        <v>103</v>
      </c>
      <c r="K110" s="21">
        <f>SUM(J109:J109)</f>
        <v>76.680000000000007</v>
      </c>
      <c r="L110" s="22">
        <f>171.21*1.15</f>
        <v>196.89</v>
      </c>
      <c r="M110" s="23">
        <f>ROUND(L110*K110,2)</f>
        <v>15097.53</v>
      </c>
    </row>
    <row r="111" spans="1:13" ht="3" customHeight="1" x14ac:dyDescent="0.3">
      <c r="A111" s="24"/>
      <c r="B111" s="24"/>
      <c r="C111" s="24"/>
      <c r="D111" s="25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21.6" x14ac:dyDescent="0.3">
      <c r="A112" s="13" t="s">
        <v>104</v>
      </c>
      <c r="B112" s="14" t="s">
        <v>21</v>
      </c>
      <c r="C112" s="14" t="s">
        <v>22</v>
      </c>
      <c r="D112" s="15" t="s">
        <v>105</v>
      </c>
      <c r="E112" s="16"/>
      <c r="F112" s="16"/>
      <c r="G112" s="16"/>
      <c r="H112" s="16"/>
      <c r="I112" s="16"/>
      <c r="J112" s="16"/>
      <c r="K112" s="17">
        <f>K115</f>
        <v>23.1</v>
      </c>
      <c r="L112" s="18">
        <f>L115</f>
        <v>8.9600000000000009</v>
      </c>
      <c r="M112" s="18">
        <f>M115</f>
        <v>206.98</v>
      </c>
    </row>
    <row r="113" spans="1:13" ht="43.2" x14ac:dyDescent="0.3">
      <c r="A113" s="16"/>
      <c r="B113" s="16"/>
      <c r="C113" s="16"/>
      <c r="D113" s="19" t="s">
        <v>106</v>
      </c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x14ac:dyDescent="0.3">
      <c r="A114" s="16"/>
      <c r="B114" s="16"/>
      <c r="C114" s="16"/>
      <c r="D114" s="19"/>
      <c r="E114" s="14" t="s">
        <v>18</v>
      </c>
      <c r="F114" s="16">
        <v>1</v>
      </c>
      <c r="G114" s="20">
        <v>23.1</v>
      </c>
      <c r="H114" s="20"/>
      <c r="I114" s="20"/>
      <c r="J114" s="17">
        <f>F114*(G114+ (G114= 0))*(H114+ (H114= 0))*(I114+ (I114= 0))</f>
        <v>23.1</v>
      </c>
      <c r="K114" s="16"/>
      <c r="L114" s="16"/>
      <c r="M114" s="16"/>
    </row>
    <row r="115" spans="1:13" x14ac:dyDescent="0.3">
      <c r="A115" s="16"/>
      <c r="B115" s="16"/>
      <c r="C115" s="16"/>
      <c r="D115" s="19"/>
      <c r="E115" s="16"/>
      <c r="F115" s="16"/>
      <c r="G115" s="16"/>
      <c r="H115" s="16"/>
      <c r="I115" s="16"/>
      <c r="J115" s="13" t="s">
        <v>107</v>
      </c>
      <c r="K115" s="21">
        <f>SUM(J114:J114)</f>
        <v>23.1</v>
      </c>
      <c r="L115" s="22">
        <f>7.79*1.15</f>
        <v>8.9600000000000009</v>
      </c>
      <c r="M115" s="23">
        <f>ROUND(L115*K115,2)</f>
        <v>206.98</v>
      </c>
    </row>
    <row r="116" spans="1:13" ht="3" customHeight="1" x14ac:dyDescent="0.3">
      <c r="A116" s="24"/>
      <c r="B116" s="24"/>
      <c r="C116" s="24"/>
      <c r="D116" s="25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1:13" x14ac:dyDescent="0.3">
      <c r="A117" s="13" t="s">
        <v>108</v>
      </c>
      <c r="B117" s="14" t="s">
        <v>21</v>
      </c>
      <c r="C117" s="14" t="s">
        <v>41</v>
      </c>
      <c r="D117" s="15" t="s">
        <v>109</v>
      </c>
      <c r="E117" s="16"/>
      <c r="F117" s="16"/>
      <c r="G117" s="16"/>
      <c r="H117" s="16"/>
      <c r="I117" s="16"/>
      <c r="J117" s="16"/>
      <c r="K117" s="17">
        <f>K120</f>
        <v>1</v>
      </c>
      <c r="L117" s="18">
        <f>L120</f>
        <v>206.53</v>
      </c>
      <c r="M117" s="18">
        <f>M120</f>
        <v>206.53</v>
      </c>
    </row>
    <row r="118" spans="1:13" ht="32.4" x14ac:dyDescent="0.3">
      <c r="A118" s="16"/>
      <c r="B118" s="16"/>
      <c r="C118" s="16"/>
      <c r="D118" s="19" t="s">
        <v>110</v>
      </c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x14ac:dyDescent="0.3">
      <c r="A119" s="16"/>
      <c r="B119" s="16"/>
      <c r="C119" s="16"/>
      <c r="D119" s="19"/>
      <c r="E119" s="14" t="s">
        <v>18</v>
      </c>
      <c r="F119" s="16">
        <v>1</v>
      </c>
      <c r="G119" s="20"/>
      <c r="H119" s="20"/>
      <c r="I119" s="20"/>
      <c r="J119" s="17">
        <f>F119*(G119+ (G119= 0))*(H119+ (H119= 0))*(I119+ (I119= 0))</f>
        <v>1</v>
      </c>
      <c r="K119" s="16"/>
      <c r="L119" s="16"/>
      <c r="M119" s="16"/>
    </row>
    <row r="120" spans="1:13" x14ac:dyDescent="0.3">
      <c r="A120" s="16"/>
      <c r="B120" s="16"/>
      <c r="C120" s="16"/>
      <c r="D120" s="19"/>
      <c r="E120" s="16"/>
      <c r="F120" s="16"/>
      <c r="G120" s="16"/>
      <c r="H120" s="16"/>
      <c r="I120" s="16"/>
      <c r="J120" s="13" t="s">
        <v>111</v>
      </c>
      <c r="K120" s="21">
        <f>SUM(J119:J119)</f>
        <v>1</v>
      </c>
      <c r="L120" s="22">
        <f>179.59*1.15</f>
        <v>206.53</v>
      </c>
      <c r="M120" s="23">
        <f>ROUND(L120*K120,2)</f>
        <v>206.53</v>
      </c>
    </row>
    <row r="121" spans="1:13" ht="3" customHeight="1" x14ac:dyDescent="0.3">
      <c r="A121" s="24"/>
      <c r="B121" s="24"/>
      <c r="C121" s="24"/>
      <c r="D121" s="25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1:13" ht="21.6" x14ac:dyDescent="0.3">
      <c r="A122" s="13" t="s">
        <v>112</v>
      </c>
      <c r="B122" s="14" t="s">
        <v>21</v>
      </c>
      <c r="C122" s="14" t="s">
        <v>114</v>
      </c>
      <c r="D122" s="15" t="s">
        <v>113</v>
      </c>
      <c r="E122" s="16"/>
      <c r="F122" s="16"/>
      <c r="G122" s="16"/>
      <c r="H122" s="16"/>
      <c r="I122" s="16"/>
      <c r="J122" s="16"/>
      <c r="K122" s="17">
        <f>K131</f>
        <v>18</v>
      </c>
      <c r="L122" s="18">
        <f>L131</f>
        <v>106.59</v>
      </c>
      <c r="M122" s="18">
        <f>M131</f>
        <v>1918.62</v>
      </c>
    </row>
    <row r="123" spans="1:13" ht="54" x14ac:dyDescent="0.3">
      <c r="A123" s="16"/>
      <c r="B123" s="16"/>
      <c r="C123" s="16"/>
      <c r="D123" s="19" t="s">
        <v>115</v>
      </c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x14ac:dyDescent="0.3">
      <c r="A124" s="16"/>
      <c r="B124" s="16"/>
      <c r="C124" s="16"/>
      <c r="D124" s="19"/>
      <c r="E124" s="14" t="s">
        <v>116</v>
      </c>
      <c r="F124" s="16"/>
      <c r="G124" s="20"/>
      <c r="H124" s="20"/>
      <c r="I124" s="20"/>
      <c r="J124" s="17">
        <f t="shared" ref="J124:J130" si="3">F124*(G124+ (G124= 0))*(H124+ (H124= 0))*(I124+ (I124= 0))</f>
        <v>0</v>
      </c>
      <c r="K124" s="16"/>
      <c r="L124" s="16"/>
      <c r="M124" s="16"/>
    </row>
    <row r="125" spans="1:13" x14ac:dyDescent="0.3">
      <c r="A125" s="16"/>
      <c r="B125" s="16"/>
      <c r="C125" s="16"/>
      <c r="D125" s="19"/>
      <c r="E125" s="14" t="s">
        <v>67</v>
      </c>
      <c r="F125" s="16"/>
      <c r="G125" s="20"/>
      <c r="H125" s="20"/>
      <c r="I125" s="20"/>
      <c r="J125" s="17">
        <f t="shared" si="3"/>
        <v>0</v>
      </c>
      <c r="K125" s="16"/>
      <c r="L125" s="16"/>
      <c r="M125" s="16"/>
    </row>
    <row r="126" spans="1:13" x14ac:dyDescent="0.3">
      <c r="A126" s="16"/>
      <c r="B126" s="16"/>
      <c r="C126" s="16"/>
      <c r="D126" s="19"/>
      <c r="E126" s="14" t="s">
        <v>69</v>
      </c>
      <c r="F126" s="16">
        <v>36</v>
      </c>
      <c r="G126" s="20"/>
      <c r="H126" s="20"/>
      <c r="I126" s="20"/>
      <c r="J126" s="17">
        <f t="shared" si="3"/>
        <v>36</v>
      </c>
      <c r="K126" s="16"/>
      <c r="L126" s="16"/>
      <c r="M126" s="16"/>
    </row>
    <row r="127" spans="1:13" x14ac:dyDescent="0.3">
      <c r="A127" s="16"/>
      <c r="B127" s="16"/>
      <c r="C127" s="16"/>
      <c r="D127" s="19"/>
      <c r="E127" s="14" t="s">
        <v>73</v>
      </c>
      <c r="F127" s="16"/>
      <c r="G127" s="20"/>
      <c r="H127" s="20"/>
      <c r="I127" s="20"/>
      <c r="J127" s="17">
        <f t="shared" si="3"/>
        <v>0</v>
      </c>
      <c r="K127" s="16"/>
      <c r="L127" s="16"/>
      <c r="M127" s="16"/>
    </row>
    <row r="128" spans="1:13" x14ac:dyDescent="0.3">
      <c r="A128" s="16"/>
      <c r="B128" s="16"/>
      <c r="C128" s="16"/>
      <c r="D128" s="19"/>
      <c r="E128" s="14" t="s">
        <v>69</v>
      </c>
      <c r="F128" s="16">
        <v>24</v>
      </c>
      <c r="G128" s="20"/>
      <c r="H128" s="20"/>
      <c r="I128" s="20"/>
      <c r="J128" s="17">
        <f t="shared" si="3"/>
        <v>24</v>
      </c>
      <c r="K128" s="16"/>
      <c r="L128" s="16"/>
      <c r="M128" s="16"/>
    </row>
    <row r="129" spans="1:13" x14ac:dyDescent="0.3">
      <c r="A129" s="16"/>
      <c r="B129" s="16"/>
      <c r="C129" s="16"/>
      <c r="D129" s="19"/>
      <c r="E129" s="14" t="s">
        <v>117</v>
      </c>
      <c r="F129" s="16">
        <v>60</v>
      </c>
      <c r="G129" s="20">
        <v>0.3</v>
      </c>
      <c r="H129" s="20"/>
      <c r="I129" s="20"/>
      <c r="J129" s="17">
        <f t="shared" si="3"/>
        <v>18</v>
      </c>
      <c r="K129" s="16"/>
      <c r="L129" s="16"/>
      <c r="M129" s="16"/>
    </row>
    <row r="130" spans="1:13" x14ac:dyDescent="0.3">
      <c r="A130" s="16"/>
      <c r="B130" s="16"/>
      <c r="C130" s="16"/>
      <c r="D130" s="19"/>
      <c r="E130" s="14" t="s">
        <v>18</v>
      </c>
      <c r="F130" s="16">
        <v>-60</v>
      </c>
      <c r="G130" s="20"/>
      <c r="H130" s="20"/>
      <c r="I130" s="20"/>
      <c r="J130" s="17">
        <f t="shared" si="3"/>
        <v>-60</v>
      </c>
      <c r="K130" s="16"/>
      <c r="L130" s="16"/>
      <c r="M130" s="16"/>
    </row>
    <row r="131" spans="1:13" x14ac:dyDescent="0.3">
      <c r="A131" s="16"/>
      <c r="B131" s="16"/>
      <c r="C131" s="16"/>
      <c r="D131" s="19"/>
      <c r="E131" s="16"/>
      <c r="F131" s="16"/>
      <c r="G131" s="16"/>
      <c r="H131" s="16"/>
      <c r="I131" s="16"/>
      <c r="J131" s="13" t="s">
        <v>118</v>
      </c>
      <c r="K131" s="21">
        <f>SUM(J124:J130)</f>
        <v>18</v>
      </c>
      <c r="L131" s="22">
        <f>92.69*1.15</f>
        <v>106.59</v>
      </c>
      <c r="M131" s="23">
        <f>ROUND(L131*K131,2)</f>
        <v>1918.62</v>
      </c>
    </row>
    <row r="132" spans="1:13" ht="3" customHeight="1" x14ac:dyDescent="0.3">
      <c r="A132" s="24"/>
      <c r="B132" s="24"/>
      <c r="C132" s="24"/>
      <c r="D132" s="25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1:13" x14ac:dyDescent="0.3">
      <c r="A133" s="16"/>
      <c r="B133" s="16"/>
      <c r="C133" s="16"/>
      <c r="D133" s="19"/>
      <c r="E133" s="16"/>
      <c r="F133" s="16"/>
      <c r="G133" s="16"/>
      <c r="H133" s="16"/>
      <c r="I133" s="16"/>
      <c r="J133" s="13" t="s">
        <v>119</v>
      </c>
      <c r="K133" s="26">
        <v>1</v>
      </c>
      <c r="L133" s="23">
        <f>M100+M105+M110+M115+M120+M131</f>
        <v>55529.17</v>
      </c>
      <c r="M133" s="23">
        <f>ROUND(L133*K133,2)</f>
        <v>55529.17</v>
      </c>
    </row>
    <row r="134" spans="1:13" ht="3" customHeight="1" x14ac:dyDescent="0.3">
      <c r="A134" s="24"/>
      <c r="B134" s="24"/>
      <c r="C134" s="24"/>
      <c r="D134" s="25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1:13" x14ac:dyDescent="0.3">
      <c r="A135" s="27" t="s">
        <v>120</v>
      </c>
      <c r="B135" s="27" t="s">
        <v>17</v>
      </c>
      <c r="C135" s="27" t="s">
        <v>18</v>
      </c>
      <c r="D135" s="28" t="s">
        <v>121</v>
      </c>
      <c r="E135" s="29"/>
      <c r="F135" s="29"/>
      <c r="G135" s="29"/>
      <c r="H135" s="29"/>
      <c r="I135" s="29"/>
      <c r="J135" s="29"/>
      <c r="K135" s="30">
        <f>K253</f>
        <v>1</v>
      </c>
      <c r="L135" s="23">
        <f>L253</f>
        <v>346291.88</v>
      </c>
      <c r="M135" s="23">
        <f>M253</f>
        <v>346291.88</v>
      </c>
    </row>
    <row r="136" spans="1:13" ht="21.6" x14ac:dyDescent="0.3">
      <c r="A136" s="13" t="s">
        <v>122</v>
      </c>
      <c r="B136" s="14" t="s">
        <v>21</v>
      </c>
      <c r="C136" s="14" t="s">
        <v>22</v>
      </c>
      <c r="D136" s="15" t="s">
        <v>123</v>
      </c>
      <c r="E136" s="16"/>
      <c r="F136" s="16"/>
      <c r="G136" s="16"/>
      <c r="H136" s="16"/>
      <c r="I136" s="16"/>
      <c r="J136" s="16"/>
      <c r="K136" s="17">
        <f>K150</f>
        <v>1451.1510000000001</v>
      </c>
      <c r="L136" s="18">
        <f>L150</f>
        <v>140.16999999999999</v>
      </c>
      <c r="M136" s="18">
        <f>M150</f>
        <v>203407.84</v>
      </c>
    </row>
    <row r="137" spans="1:13" ht="205.2" x14ac:dyDescent="0.3">
      <c r="A137" s="16"/>
      <c r="B137" s="16"/>
      <c r="C137" s="16"/>
      <c r="D137" s="19" t="s">
        <v>124</v>
      </c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x14ac:dyDescent="0.3">
      <c r="A138" s="16"/>
      <c r="B138" s="16"/>
      <c r="C138" s="16"/>
      <c r="D138" s="19"/>
      <c r="E138" s="14" t="s">
        <v>66</v>
      </c>
      <c r="F138" s="16"/>
      <c r="G138" s="20"/>
      <c r="H138" s="20"/>
      <c r="I138" s="20"/>
      <c r="J138" s="17">
        <f t="shared" ref="J138:J149" si="4">F138*(G138+ (G138= 0))*(H138+ (H138= 0))*(I138+ (I138= 0))</f>
        <v>0</v>
      </c>
      <c r="K138" s="16"/>
      <c r="L138" s="16"/>
      <c r="M138" s="16"/>
    </row>
    <row r="139" spans="1:13" x14ac:dyDescent="0.3">
      <c r="A139" s="16"/>
      <c r="B139" s="16"/>
      <c r="C139" s="16"/>
      <c r="D139" s="19"/>
      <c r="E139" s="14" t="s">
        <v>67</v>
      </c>
      <c r="F139" s="16">
        <v>1</v>
      </c>
      <c r="G139" s="20">
        <v>46.45</v>
      </c>
      <c r="H139" s="20"/>
      <c r="I139" s="20">
        <v>20.65</v>
      </c>
      <c r="J139" s="17">
        <f t="shared" si="4"/>
        <v>959.19299999999998</v>
      </c>
      <c r="K139" s="16"/>
      <c r="L139" s="16"/>
      <c r="M139" s="16"/>
    </row>
    <row r="140" spans="1:13" x14ac:dyDescent="0.3">
      <c r="A140" s="16"/>
      <c r="B140" s="16"/>
      <c r="C140" s="16"/>
      <c r="D140" s="19"/>
      <c r="E140" s="14" t="s">
        <v>68</v>
      </c>
      <c r="F140" s="16"/>
      <c r="G140" s="20"/>
      <c r="H140" s="20"/>
      <c r="I140" s="20"/>
      <c r="J140" s="17">
        <f t="shared" si="4"/>
        <v>0</v>
      </c>
      <c r="K140" s="16"/>
      <c r="L140" s="16"/>
      <c r="M140" s="16"/>
    </row>
    <row r="141" spans="1:13" x14ac:dyDescent="0.3">
      <c r="A141" s="16"/>
      <c r="B141" s="16"/>
      <c r="C141" s="16"/>
      <c r="D141" s="19"/>
      <c r="E141" s="14" t="s">
        <v>69</v>
      </c>
      <c r="F141" s="16">
        <v>-36</v>
      </c>
      <c r="G141" s="20">
        <v>3.75</v>
      </c>
      <c r="H141" s="20">
        <v>1</v>
      </c>
      <c r="I141" s="20">
        <v>2</v>
      </c>
      <c r="J141" s="17">
        <f t="shared" si="4"/>
        <v>-270</v>
      </c>
      <c r="K141" s="16"/>
      <c r="L141" s="16"/>
      <c r="M141" s="16"/>
    </row>
    <row r="142" spans="1:13" x14ac:dyDescent="0.3">
      <c r="A142" s="16"/>
      <c r="B142" s="16"/>
      <c r="C142" s="16"/>
      <c r="D142" s="19"/>
      <c r="E142" s="14" t="s">
        <v>70</v>
      </c>
      <c r="F142" s="16">
        <v>-36</v>
      </c>
      <c r="G142" s="20">
        <v>1</v>
      </c>
      <c r="H142" s="20">
        <v>0.5</v>
      </c>
      <c r="I142" s="20">
        <v>2.02</v>
      </c>
      <c r="J142" s="17">
        <f t="shared" si="4"/>
        <v>-36.36</v>
      </c>
      <c r="K142" s="16"/>
      <c r="L142" s="16"/>
      <c r="M142" s="16"/>
    </row>
    <row r="143" spans="1:13" x14ac:dyDescent="0.3">
      <c r="A143" s="16"/>
      <c r="B143" s="16"/>
      <c r="C143" s="16"/>
      <c r="D143" s="19"/>
      <c r="E143" s="14" t="s">
        <v>71</v>
      </c>
      <c r="F143" s="16">
        <v>1</v>
      </c>
      <c r="G143" s="20">
        <v>6.3</v>
      </c>
      <c r="H143" s="20"/>
      <c r="I143" s="20">
        <v>20.65</v>
      </c>
      <c r="J143" s="17">
        <f t="shared" si="4"/>
        <v>130.095</v>
      </c>
      <c r="K143" s="16"/>
      <c r="L143" s="16"/>
      <c r="M143" s="16"/>
    </row>
    <row r="144" spans="1:13" x14ac:dyDescent="0.3">
      <c r="A144" s="16"/>
      <c r="B144" s="16"/>
      <c r="C144" s="16"/>
      <c r="D144" s="19"/>
      <c r="E144" s="14" t="s">
        <v>72</v>
      </c>
      <c r="F144" s="16">
        <v>1</v>
      </c>
      <c r="G144" s="20">
        <v>6.55</v>
      </c>
      <c r="H144" s="20"/>
      <c r="I144" s="20">
        <v>20.65</v>
      </c>
      <c r="J144" s="17">
        <f t="shared" si="4"/>
        <v>135.25800000000001</v>
      </c>
      <c r="K144" s="16"/>
      <c r="L144" s="16"/>
      <c r="M144" s="16"/>
    </row>
    <row r="145" spans="1:13" x14ac:dyDescent="0.3">
      <c r="A145" s="16"/>
      <c r="B145" s="16"/>
      <c r="C145" s="16"/>
      <c r="D145" s="19"/>
      <c r="E145" s="14" t="s">
        <v>73</v>
      </c>
      <c r="F145" s="16">
        <v>1</v>
      </c>
      <c r="G145" s="20">
        <v>34.4</v>
      </c>
      <c r="H145" s="20"/>
      <c r="I145" s="20">
        <v>20.65</v>
      </c>
      <c r="J145" s="17">
        <f t="shared" si="4"/>
        <v>710.36</v>
      </c>
      <c r="K145" s="16"/>
      <c r="L145" s="16"/>
      <c r="M145" s="16"/>
    </row>
    <row r="146" spans="1:13" x14ac:dyDescent="0.3">
      <c r="A146" s="16"/>
      <c r="B146" s="16"/>
      <c r="C146" s="16"/>
      <c r="D146" s="19"/>
      <c r="E146" s="14" t="s">
        <v>68</v>
      </c>
      <c r="F146" s="16"/>
      <c r="G146" s="20"/>
      <c r="H146" s="20"/>
      <c r="I146" s="20"/>
      <c r="J146" s="17">
        <f t="shared" si="4"/>
        <v>0</v>
      </c>
      <c r="K146" s="16"/>
      <c r="L146" s="16"/>
      <c r="M146" s="16"/>
    </row>
    <row r="147" spans="1:13" x14ac:dyDescent="0.3">
      <c r="A147" s="16"/>
      <c r="B147" s="16"/>
      <c r="C147" s="16"/>
      <c r="D147" s="19"/>
      <c r="E147" s="14" t="s">
        <v>69</v>
      </c>
      <c r="F147" s="16">
        <v>-24</v>
      </c>
      <c r="G147" s="20">
        <v>3.75</v>
      </c>
      <c r="H147" s="20">
        <v>1</v>
      </c>
      <c r="I147" s="20">
        <v>2</v>
      </c>
      <c r="J147" s="17">
        <f t="shared" si="4"/>
        <v>-180</v>
      </c>
      <c r="K147" s="16"/>
      <c r="L147" s="16"/>
      <c r="M147" s="16"/>
    </row>
    <row r="148" spans="1:13" x14ac:dyDescent="0.3">
      <c r="A148" s="16"/>
      <c r="B148" s="16"/>
      <c r="C148" s="16"/>
      <c r="D148" s="19"/>
      <c r="E148" s="14" t="s">
        <v>70</v>
      </c>
      <c r="F148" s="16">
        <v>-24</v>
      </c>
      <c r="G148" s="20">
        <v>1</v>
      </c>
      <c r="H148" s="20">
        <v>0.5</v>
      </c>
      <c r="I148" s="20">
        <v>2.02</v>
      </c>
      <c r="J148" s="17">
        <f t="shared" si="4"/>
        <v>-24.24</v>
      </c>
      <c r="K148" s="16"/>
      <c r="L148" s="16"/>
      <c r="M148" s="16"/>
    </row>
    <row r="149" spans="1:13" x14ac:dyDescent="0.3">
      <c r="A149" s="16"/>
      <c r="B149" s="16"/>
      <c r="C149" s="16"/>
      <c r="D149" s="19"/>
      <c r="E149" s="14" t="s">
        <v>74</v>
      </c>
      <c r="F149" s="16">
        <v>1</v>
      </c>
      <c r="G149" s="20">
        <v>1.3</v>
      </c>
      <c r="H149" s="20"/>
      <c r="I149" s="20">
        <v>20.65</v>
      </c>
      <c r="J149" s="17">
        <f t="shared" si="4"/>
        <v>26.844999999999999</v>
      </c>
      <c r="K149" s="16"/>
      <c r="L149" s="16"/>
      <c r="M149" s="16"/>
    </row>
    <row r="150" spans="1:13" x14ac:dyDescent="0.3">
      <c r="A150" s="16"/>
      <c r="B150" s="16"/>
      <c r="C150" s="16"/>
      <c r="D150" s="19"/>
      <c r="E150" s="16"/>
      <c r="F150" s="16"/>
      <c r="G150" s="16"/>
      <c r="H150" s="16"/>
      <c r="I150" s="16"/>
      <c r="J150" s="13" t="s">
        <v>125</v>
      </c>
      <c r="K150" s="21">
        <f>SUM(J138:J149)</f>
        <v>1451.1510000000001</v>
      </c>
      <c r="L150" s="22">
        <f>121.89*1.15</f>
        <v>140.16999999999999</v>
      </c>
      <c r="M150" s="23">
        <f>ROUND(L150*K150,2)</f>
        <v>203407.84</v>
      </c>
    </row>
    <row r="151" spans="1:13" ht="3" customHeight="1" x14ac:dyDescent="0.3">
      <c r="A151" s="24"/>
      <c r="B151" s="24"/>
      <c r="C151" s="24"/>
      <c r="D151" s="25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1:13" ht="21.6" x14ac:dyDescent="0.3">
      <c r="A152" s="13" t="s">
        <v>126</v>
      </c>
      <c r="B152" s="14" t="s">
        <v>21</v>
      </c>
      <c r="C152" s="14" t="s">
        <v>22</v>
      </c>
      <c r="D152" s="15" t="s">
        <v>127</v>
      </c>
      <c r="E152" s="16"/>
      <c r="F152" s="16"/>
      <c r="G152" s="16"/>
      <c r="H152" s="16"/>
      <c r="I152" s="16"/>
      <c r="J152" s="16"/>
      <c r="K152" s="17">
        <f>K159</f>
        <v>372.08300000000003</v>
      </c>
      <c r="L152" s="18">
        <f>L159</f>
        <v>92.56</v>
      </c>
      <c r="M152" s="18">
        <f>M159</f>
        <v>34440</v>
      </c>
    </row>
    <row r="153" spans="1:13" ht="205.2" x14ac:dyDescent="0.3">
      <c r="A153" s="16"/>
      <c r="B153" s="16"/>
      <c r="C153" s="16"/>
      <c r="D153" s="19" t="s">
        <v>128</v>
      </c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x14ac:dyDescent="0.3">
      <c r="A154" s="16"/>
      <c r="B154" s="16"/>
      <c r="C154" s="16"/>
      <c r="D154" s="19"/>
      <c r="E154" s="14" t="s">
        <v>75</v>
      </c>
      <c r="F154" s="16"/>
      <c r="G154" s="20"/>
      <c r="H154" s="20"/>
      <c r="I154" s="20"/>
      <c r="J154" s="17">
        <f>F154*(G154+ (G154= 0))*(H154+ (H154= 0))*(I154+ (I154= 0))</f>
        <v>0</v>
      </c>
      <c r="K154" s="16"/>
      <c r="L154" s="16"/>
      <c r="M154" s="16"/>
    </row>
    <row r="155" spans="1:13" x14ac:dyDescent="0.3">
      <c r="A155" s="16"/>
      <c r="B155" s="16"/>
      <c r="C155" s="16"/>
      <c r="D155" s="19"/>
      <c r="E155" s="14" t="s">
        <v>72</v>
      </c>
      <c r="F155" s="16">
        <v>1</v>
      </c>
      <c r="G155" s="20">
        <v>7.4</v>
      </c>
      <c r="H155" s="20"/>
      <c r="I155" s="20">
        <v>20.65</v>
      </c>
      <c r="J155" s="17">
        <f>F155*(G155+ (G155= 0))*(H155+ (H155= 0))*(I155+ (I155= 0))</f>
        <v>152.81</v>
      </c>
      <c r="K155" s="16"/>
      <c r="L155" s="16"/>
      <c r="M155" s="16"/>
    </row>
    <row r="156" spans="1:13" x14ac:dyDescent="0.3">
      <c r="A156" s="16"/>
      <c r="B156" s="16"/>
      <c r="C156" s="16"/>
      <c r="D156" s="19"/>
      <c r="E156" s="14" t="s">
        <v>18</v>
      </c>
      <c r="F156" s="16">
        <v>1</v>
      </c>
      <c r="G156" s="20">
        <v>0.8</v>
      </c>
      <c r="H156" s="20"/>
      <c r="I156" s="20">
        <v>20.65</v>
      </c>
      <c r="J156" s="17">
        <f>F156*(G156+ (G156= 0))*(H156+ (H156= 0))*(I156+ (I156= 0))</f>
        <v>16.52</v>
      </c>
      <c r="K156" s="16"/>
      <c r="L156" s="16"/>
      <c r="M156" s="16"/>
    </row>
    <row r="157" spans="1:13" x14ac:dyDescent="0.3">
      <c r="A157" s="16"/>
      <c r="B157" s="16"/>
      <c r="C157" s="16"/>
      <c r="D157" s="19"/>
      <c r="E157" s="14" t="s">
        <v>73</v>
      </c>
      <c r="F157" s="16">
        <v>1</v>
      </c>
      <c r="G157" s="20">
        <v>8.85</v>
      </c>
      <c r="H157" s="20"/>
      <c r="I157" s="20">
        <v>20.65</v>
      </c>
      <c r="J157" s="17">
        <f>F157*(G157+ (G157= 0))*(H157+ (H157= 0))*(I157+ (I157= 0))</f>
        <v>182.75299999999999</v>
      </c>
      <c r="K157" s="16"/>
      <c r="L157" s="16"/>
      <c r="M157" s="16"/>
    </row>
    <row r="158" spans="1:13" x14ac:dyDescent="0.3">
      <c r="A158" s="16"/>
      <c r="B158" s="16"/>
      <c r="C158" s="16"/>
      <c r="D158" s="19"/>
      <c r="E158" s="14" t="s">
        <v>129</v>
      </c>
      <c r="F158" s="16">
        <v>1</v>
      </c>
      <c r="G158" s="20">
        <v>20</v>
      </c>
      <c r="H158" s="20"/>
      <c r="I158" s="20"/>
      <c r="J158" s="17">
        <f>F158*(G158+ (G158= 0))*(H158+ (H158= 0))*(I158+ (I158= 0))</f>
        <v>20</v>
      </c>
      <c r="K158" s="16"/>
      <c r="L158" s="16"/>
      <c r="M158" s="16"/>
    </row>
    <row r="159" spans="1:13" x14ac:dyDescent="0.3">
      <c r="A159" s="16"/>
      <c r="B159" s="16"/>
      <c r="C159" s="16"/>
      <c r="D159" s="19"/>
      <c r="E159" s="16"/>
      <c r="F159" s="16"/>
      <c r="G159" s="16"/>
      <c r="H159" s="16"/>
      <c r="I159" s="16"/>
      <c r="J159" s="13" t="s">
        <v>130</v>
      </c>
      <c r="K159" s="21">
        <f>SUM(J154:J158)</f>
        <v>372.08300000000003</v>
      </c>
      <c r="L159" s="22">
        <f>80.49*1.15</f>
        <v>92.56</v>
      </c>
      <c r="M159" s="23">
        <f>ROUND(L159*K159,2)</f>
        <v>34440</v>
      </c>
    </row>
    <row r="160" spans="1:13" ht="3" customHeight="1" x14ac:dyDescent="0.3">
      <c r="A160" s="24"/>
      <c r="B160" s="24"/>
      <c r="C160" s="24"/>
      <c r="D160" s="25"/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1:13" ht="21.6" x14ac:dyDescent="0.3">
      <c r="A161" s="13" t="s">
        <v>131</v>
      </c>
      <c r="B161" s="14" t="s">
        <v>21</v>
      </c>
      <c r="C161" s="14" t="s">
        <v>22</v>
      </c>
      <c r="D161" s="15" t="s">
        <v>127</v>
      </c>
      <c r="E161" s="16"/>
      <c r="F161" s="16"/>
      <c r="G161" s="16"/>
      <c r="H161" s="16"/>
      <c r="I161" s="16"/>
      <c r="J161" s="16"/>
      <c r="K161" s="17">
        <f>K163</f>
        <v>0.04</v>
      </c>
      <c r="L161" s="18">
        <f>L163</f>
        <v>92.56</v>
      </c>
      <c r="M161" s="18">
        <f>M163</f>
        <v>3.7</v>
      </c>
    </row>
    <row r="162" spans="1:13" x14ac:dyDescent="0.3">
      <c r="A162" s="16"/>
      <c r="B162" s="16"/>
      <c r="C162" s="16"/>
      <c r="D162" s="19"/>
      <c r="E162" s="14" t="s">
        <v>18</v>
      </c>
      <c r="F162" s="16">
        <v>1</v>
      </c>
      <c r="G162" s="20">
        <v>0.04</v>
      </c>
      <c r="H162" s="20"/>
      <c r="I162" s="20"/>
      <c r="J162" s="17">
        <f>F162*(G162+ (G162= 0))*(H162+ (H162= 0))*(I162+ (I162= 0))</f>
        <v>0.04</v>
      </c>
      <c r="K162" s="16"/>
      <c r="L162" s="16"/>
      <c r="M162" s="16"/>
    </row>
    <row r="163" spans="1:13" x14ac:dyDescent="0.3">
      <c r="A163" s="16"/>
      <c r="B163" s="16"/>
      <c r="C163" s="16"/>
      <c r="D163" s="19"/>
      <c r="E163" s="16"/>
      <c r="F163" s="16"/>
      <c r="G163" s="16"/>
      <c r="H163" s="16"/>
      <c r="I163" s="16"/>
      <c r="J163" s="13" t="s">
        <v>132</v>
      </c>
      <c r="K163" s="21">
        <f>SUM(J162:J162)</f>
        <v>0.04</v>
      </c>
      <c r="L163" s="22">
        <f>80.49*1.15</f>
        <v>92.56</v>
      </c>
      <c r="M163" s="23">
        <f>ROUND(L163*K163,2)</f>
        <v>3.7</v>
      </c>
    </row>
    <row r="164" spans="1:13" ht="3" customHeight="1" x14ac:dyDescent="0.3">
      <c r="A164" s="24"/>
      <c r="B164" s="24"/>
      <c r="C164" s="24"/>
      <c r="D164" s="25"/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1:13" ht="21.6" x14ac:dyDescent="0.3">
      <c r="A165" s="13" t="s">
        <v>133</v>
      </c>
      <c r="B165" s="14" t="s">
        <v>21</v>
      </c>
      <c r="C165" s="14" t="s">
        <v>22</v>
      </c>
      <c r="D165" s="15" t="s">
        <v>134</v>
      </c>
      <c r="E165" s="16"/>
      <c r="F165" s="16"/>
      <c r="G165" s="16"/>
      <c r="H165" s="16"/>
      <c r="I165" s="16"/>
      <c r="J165" s="16"/>
      <c r="K165" s="17">
        <f>K172</f>
        <v>372.08300000000003</v>
      </c>
      <c r="L165" s="18">
        <f>L172</f>
        <v>108.16</v>
      </c>
      <c r="M165" s="18">
        <f>M172</f>
        <v>40244.5</v>
      </c>
    </row>
    <row r="166" spans="1:13" ht="216" x14ac:dyDescent="0.3">
      <c r="A166" s="16"/>
      <c r="B166" s="16"/>
      <c r="C166" s="16"/>
      <c r="D166" s="19" t="s">
        <v>135</v>
      </c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x14ac:dyDescent="0.3">
      <c r="A167" s="16"/>
      <c r="B167" s="16"/>
      <c r="C167" s="16"/>
      <c r="D167" s="19"/>
      <c r="E167" s="14" t="s">
        <v>75</v>
      </c>
      <c r="F167" s="16"/>
      <c r="G167" s="20"/>
      <c r="H167" s="20"/>
      <c r="I167" s="20"/>
      <c r="J167" s="17">
        <f>F167*(G167+ (G167= 0))*(H167+ (H167= 0))*(I167+ (I167= 0))</f>
        <v>0</v>
      </c>
      <c r="K167" s="16"/>
      <c r="L167" s="16"/>
      <c r="M167" s="16"/>
    </row>
    <row r="168" spans="1:13" x14ac:dyDescent="0.3">
      <c r="A168" s="16"/>
      <c r="B168" s="16"/>
      <c r="C168" s="16"/>
      <c r="D168" s="19"/>
      <c r="E168" s="14" t="s">
        <v>72</v>
      </c>
      <c r="F168" s="16">
        <v>1</v>
      </c>
      <c r="G168" s="20">
        <v>7.4</v>
      </c>
      <c r="H168" s="20"/>
      <c r="I168" s="20">
        <v>20.65</v>
      </c>
      <c r="J168" s="17">
        <f>F168*(G168+ (G168= 0))*(H168+ (H168= 0))*(I168+ (I168= 0))</f>
        <v>152.81</v>
      </c>
      <c r="K168" s="16"/>
      <c r="L168" s="16"/>
      <c r="M168" s="16"/>
    </row>
    <row r="169" spans="1:13" x14ac:dyDescent="0.3">
      <c r="A169" s="16"/>
      <c r="B169" s="16"/>
      <c r="C169" s="16"/>
      <c r="D169" s="19"/>
      <c r="E169" s="14" t="s">
        <v>18</v>
      </c>
      <c r="F169" s="16">
        <v>1</v>
      </c>
      <c r="G169" s="20">
        <v>0.8</v>
      </c>
      <c r="H169" s="20"/>
      <c r="I169" s="20">
        <v>20.65</v>
      </c>
      <c r="J169" s="17">
        <f>F169*(G169+ (G169= 0))*(H169+ (H169= 0))*(I169+ (I169= 0))</f>
        <v>16.52</v>
      </c>
      <c r="K169" s="16"/>
      <c r="L169" s="16"/>
      <c r="M169" s="16"/>
    </row>
    <row r="170" spans="1:13" x14ac:dyDescent="0.3">
      <c r="A170" s="16"/>
      <c r="B170" s="16"/>
      <c r="C170" s="16"/>
      <c r="D170" s="19"/>
      <c r="E170" s="14" t="s">
        <v>73</v>
      </c>
      <c r="F170" s="16">
        <v>1</v>
      </c>
      <c r="G170" s="20">
        <v>8.85</v>
      </c>
      <c r="H170" s="20"/>
      <c r="I170" s="20">
        <v>20.65</v>
      </c>
      <c r="J170" s="17">
        <f>F170*(G170+ (G170= 0))*(H170+ (H170= 0))*(I170+ (I170= 0))</f>
        <v>182.75299999999999</v>
      </c>
      <c r="K170" s="16"/>
      <c r="L170" s="16"/>
      <c r="M170" s="16"/>
    </row>
    <row r="171" spans="1:13" x14ac:dyDescent="0.3">
      <c r="A171" s="16"/>
      <c r="B171" s="16"/>
      <c r="C171" s="16"/>
      <c r="D171" s="19"/>
      <c r="E171" s="14" t="s">
        <v>129</v>
      </c>
      <c r="F171" s="16">
        <v>1</v>
      </c>
      <c r="G171" s="20">
        <v>20</v>
      </c>
      <c r="H171" s="20"/>
      <c r="I171" s="20"/>
      <c r="J171" s="17">
        <f>F171*(G171+ (G171= 0))*(H171+ (H171= 0))*(I171+ (I171= 0))</f>
        <v>20</v>
      </c>
      <c r="K171" s="16"/>
      <c r="L171" s="16"/>
      <c r="M171" s="16"/>
    </row>
    <row r="172" spans="1:13" x14ac:dyDescent="0.3">
      <c r="A172" s="16"/>
      <c r="B172" s="16"/>
      <c r="C172" s="16"/>
      <c r="D172" s="19"/>
      <c r="E172" s="16"/>
      <c r="F172" s="16"/>
      <c r="G172" s="16"/>
      <c r="H172" s="16"/>
      <c r="I172" s="16"/>
      <c r="J172" s="13" t="s">
        <v>136</v>
      </c>
      <c r="K172" s="21">
        <f>SUM(J167:J171)</f>
        <v>372.08300000000003</v>
      </c>
      <c r="L172" s="22">
        <f>94.05*1.15</f>
        <v>108.16</v>
      </c>
      <c r="M172" s="23">
        <f>ROUND(L172*K172,2)</f>
        <v>40244.5</v>
      </c>
    </row>
    <row r="173" spans="1:13" ht="3" customHeight="1" x14ac:dyDescent="0.3">
      <c r="A173" s="24"/>
      <c r="B173" s="24"/>
      <c r="C173" s="24"/>
      <c r="D173" s="25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1:13" ht="21.6" x14ac:dyDescent="0.3">
      <c r="A174" s="13" t="s">
        <v>137</v>
      </c>
      <c r="B174" s="14" t="s">
        <v>21</v>
      </c>
      <c r="C174" s="14" t="s">
        <v>22</v>
      </c>
      <c r="D174" s="15" t="s">
        <v>138</v>
      </c>
      <c r="E174" s="16"/>
      <c r="F174" s="16"/>
      <c r="G174" s="16"/>
      <c r="H174" s="16"/>
      <c r="I174" s="16"/>
      <c r="J174" s="16"/>
      <c r="K174" s="17">
        <f>K179</f>
        <v>258.3</v>
      </c>
      <c r="L174" s="18">
        <f>L179</f>
        <v>89.7</v>
      </c>
      <c r="M174" s="18">
        <f>M179</f>
        <v>23169.51</v>
      </c>
    </row>
    <row r="175" spans="1:13" ht="64.8" x14ac:dyDescent="0.3">
      <c r="A175" s="16"/>
      <c r="B175" s="16"/>
      <c r="C175" s="16"/>
      <c r="D175" s="19" t="s">
        <v>139</v>
      </c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x14ac:dyDescent="0.3">
      <c r="A176" s="16"/>
      <c r="B176" s="16"/>
      <c r="C176" s="16"/>
      <c r="D176" s="19"/>
      <c r="E176" s="14" t="s">
        <v>140</v>
      </c>
      <c r="F176" s="16"/>
      <c r="G176" s="20"/>
      <c r="H176" s="20"/>
      <c r="I176" s="20"/>
      <c r="J176" s="17">
        <f>F176*(G176+ (G176= 0))*(H176+ (H176= 0))*(I176+ (I176= 0))</f>
        <v>0</v>
      </c>
      <c r="K176" s="16"/>
      <c r="L176" s="16"/>
      <c r="M176" s="16"/>
    </row>
    <row r="177" spans="1:13" x14ac:dyDescent="0.3">
      <c r="A177" s="16"/>
      <c r="B177" s="16"/>
      <c r="C177" s="16"/>
      <c r="D177" s="19"/>
      <c r="E177" s="14" t="s">
        <v>141</v>
      </c>
      <c r="F177" s="16">
        <v>36</v>
      </c>
      <c r="G177" s="20">
        <v>2.0499999999999998</v>
      </c>
      <c r="H177" s="20"/>
      <c r="I177" s="20">
        <v>2.1</v>
      </c>
      <c r="J177" s="17">
        <f>F177*(G177+ (G177= 0))*(H177+ (H177= 0))*(I177+ (I177= 0))</f>
        <v>154.97999999999999</v>
      </c>
      <c r="K177" s="16"/>
      <c r="L177" s="16"/>
      <c r="M177" s="16"/>
    </row>
    <row r="178" spans="1:13" x14ac:dyDescent="0.3">
      <c r="A178" s="16"/>
      <c r="B178" s="16"/>
      <c r="C178" s="16"/>
      <c r="D178" s="19"/>
      <c r="E178" s="14" t="s">
        <v>142</v>
      </c>
      <c r="F178" s="16">
        <v>24</v>
      </c>
      <c r="G178" s="20">
        <v>2.0499999999999998</v>
      </c>
      <c r="H178" s="20"/>
      <c r="I178" s="20">
        <v>2.1</v>
      </c>
      <c r="J178" s="17">
        <f>F178*(G178+ (G178= 0))*(H178+ (H178= 0))*(I178+ (I178= 0))</f>
        <v>103.32</v>
      </c>
      <c r="K178" s="16"/>
      <c r="L178" s="16"/>
      <c r="M178" s="16"/>
    </row>
    <row r="179" spans="1:13" x14ac:dyDescent="0.3">
      <c r="A179" s="16"/>
      <c r="B179" s="16"/>
      <c r="C179" s="16"/>
      <c r="D179" s="19"/>
      <c r="E179" s="16"/>
      <c r="F179" s="16"/>
      <c r="G179" s="16"/>
      <c r="H179" s="16"/>
      <c r="I179" s="16"/>
      <c r="J179" s="13" t="s">
        <v>143</v>
      </c>
      <c r="K179" s="21">
        <f>SUM(J176:J178)</f>
        <v>258.3</v>
      </c>
      <c r="L179" s="22">
        <f>78*1.15</f>
        <v>89.7</v>
      </c>
      <c r="M179" s="23">
        <f>ROUND(L179*K179,2)</f>
        <v>23169.51</v>
      </c>
    </row>
    <row r="180" spans="1:13" ht="3" customHeight="1" x14ac:dyDescent="0.3">
      <c r="A180" s="24"/>
      <c r="B180" s="24"/>
      <c r="C180" s="24"/>
      <c r="D180" s="25"/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1:13" x14ac:dyDescent="0.3">
      <c r="A181" s="13" t="s">
        <v>144</v>
      </c>
      <c r="B181" s="14" t="s">
        <v>21</v>
      </c>
      <c r="C181" s="14" t="s">
        <v>22</v>
      </c>
      <c r="D181" s="15" t="s">
        <v>145</v>
      </c>
      <c r="E181" s="16"/>
      <c r="F181" s="16"/>
      <c r="G181" s="16"/>
      <c r="H181" s="16"/>
      <c r="I181" s="16"/>
      <c r="J181" s="16"/>
      <c r="K181" s="17">
        <f>K187</f>
        <v>526.74</v>
      </c>
      <c r="L181" s="18">
        <f>L187</f>
        <v>11.19</v>
      </c>
      <c r="M181" s="18">
        <f>M187</f>
        <v>5894.22</v>
      </c>
    </row>
    <row r="182" spans="1:13" ht="54" x14ac:dyDescent="0.3">
      <c r="A182" s="16"/>
      <c r="B182" s="16"/>
      <c r="C182" s="16"/>
      <c r="D182" s="19" t="s">
        <v>146</v>
      </c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x14ac:dyDescent="0.3">
      <c r="A183" s="16"/>
      <c r="B183" s="16"/>
      <c r="C183" s="16"/>
      <c r="D183" s="19"/>
      <c r="E183" s="14" t="s">
        <v>147</v>
      </c>
      <c r="F183" s="16">
        <v>1</v>
      </c>
      <c r="G183" s="20">
        <v>189.75</v>
      </c>
      <c r="H183" s="20"/>
      <c r="I183" s="20"/>
      <c r="J183" s="17">
        <f>F183*(G183+ (G183= 0))*(H183+ (H183= 0))*(I183+ (I183= 0))</f>
        <v>189.75</v>
      </c>
      <c r="K183" s="16"/>
      <c r="L183" s="16"/>
      <c r="M183" s="16"/>
    </row>
    <row r="184" spans="1:13" x14ac:dyDescent="0.3">
      <c r="A184" s="16"/>
      <c r="B184" s="16"/>
      <c r="C184" s="16"/>
      <c r="D184" s="19"/>
      <c r="E184" s="14" t="s">
        <v>148</v>
      </c>
      <c r="F184" s="16">
        <v>1</v>
      </c>
      <c r="G184" s="20">
        <v>160.80000000000001</v>
      </c>
      <c r="H184" s="20"/>
      <c r="I184" s="20"/>
      <c r="J184" s="17">
        <f>F184*(G184+ (G184= 0))*(H184+ (H184= 0))*(I184+ (I184= 0))</f>
        <v>160.80000000000001</v>
      </c>
      <c r="K184" s="16"/>
      <c r="L184" s="16"/>
      <c r="M184" s="16"/>
    </row>
    <row r="185" spans="1:13" x14ac:dyDescent="0.3">
      <c r="A185" s="16"/>
      <c r="B185" s="16"/>
      <c r="C185" s="16"/>
      <c r="D185" s="19"/>
      <c r="E185" s="14" t="s">
        <v>149</v>
      </c>
      <c r="F185" s="16">
        <v>1</v>
      </c>
      <c r="G185" s="20">
        <v>71.69</v>
      </c>
      <c r="H185" s="20"/>
      <c r="I185" s="20"/>
      <c r="J185" s="17">
        <f>F185*(G185+ (G185= 0))*(H185+ (H185= 0))*(I185+ (I185= 0))</f>
        <v>71.69</v>
      </c>
      <c r="K185" s="16"/>
      <c r="L185" s="16"/>
      <c r="M185" s="16"/>
    </row>
    <row r="186" spans="1:13" x14ac:dyDescent="0.3">
      <c r="A186" s="16"/>
      <c r="B186" s="16"/>
      <c r="C186" s="16"/>
      <c r="D186" s="19"/>
      <c r="E186" s="14" t="s">
        <v>150</v>
      </c>
      <c r="F186" s="16">
        <v>1</v>
      </c>
      <c r="G186" s="20">
        <v>104.5</v>
      </c>
      <c r="H186" s="20"/>
      <c r="I186" s="20"/>
      <c r="J186" s="17">
        <f>F186*(G186+ (G186= 0))*(H186+ (H186= 0))*(I186+ (I186= 0))</f>
        <v>104.5</v>
      </c>
      <c r="K186" s="16"/>
      <c r="L186" s="16"/>
      <c r="M186" s="16"/>
    </row>
    <row r="187" spans="1:13" x14ac:dyDescent="0.3">
      <c r="A187" s="16"/>
      <c r="B187" s="16"/>
      <c r="C187" s="16"/>
      <c r="D187" s="19"/>
      <c r="E187" s="16"/>
      <c r="F187" s="16"/>
      <c r="G187" s="16"/>
      <c r="H187" s="16"/>
      <c r="I187" s="16"/>
      <c r="J187" s="13" t="s">
        <v>151</v>
      </c>
      <c r="K187" s="21">
        <f>SUM(J183:J186)</f>
        <v>526.74</v>
      </c>
      <c r="L187" s="22">
        <f>9.73*1.15</f>
        <v>11.19</v>
      </c>
      <c r="M187" s="23">
        <f>ROUND(L187*K187,2)</f>
        <v>5894.22</v>
      </c>
    </row>
    <row r="188" spans="1:13" ht="3" customHeight="1" x14ac:dyDescent="0.3">
      <c r="A188" s="24"/>
      <c r="B188" s="24"/>
      <c r="C188" s="24"/>
      <c r="D188" s="25"/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1:13" ht="21.6" x14ac:dyDescent="0.3">
      <c r="A189" s="13" t="s">
        <v>152</v>
      </c>
      <c r="B189" s="14" t="s">
        <v>21</v>
      </c>
      <c r="C189" s="14" t="s">
        <v>22</v>
      </c>
      <c r="D189" s="15" t="s">
        <v>153</v>
      </c>
      <c r="E189" s="16"/>
      <c r="F189" s="16"/>
      <c r="G189" s="16"/>
      <c r="H189" s="16"/>
      <c r="I189" s="16"/>
      <c r="J189" s="16"/>
      <c r="K189" s="17">
        <f>K193</f>
        <v>350.55</v>
      </c>
      <c r="L189" s="18">
        <f>L193</f>
        <v>33.21</v>
      </c>
      <c r="M189" s="18">
        <f>M193</f>
        <v>11641.77</v>
      </c>
    </row>
    <row r="190" spans="1:13" ht="54" x14ac:dyDescent="0.3">
      <c r="A190" s="16"/>
      <c r="B190" s="16"/>
      <c r="C190" s="16"/>
      <c r="D190" s="19" t="s">
        <v>154</v>
      </c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 x14ac:dyDescent="0.3">
      <c r="A191" s="16"/>
      <c r="B191" s="16"/>
      <c r="C191" s="16"/>
      <c r="D191" s="19"/>
      <c r="E191" s="14" t="s">
        <v>147</v>
      </c>
      <c r="F191" s="16">
        <v>1</v>
      </c>
      <c r="G191" s="20">
        <v>189.75</v>
      </c>
      <c r="H191" s="20"/>
      <c r="I191" s="20"/>
      <c r="J191" s="17">
        <f>F191*(G191+ (G191= 0))*(H191+ (H191= 0))*(I191+ (I191= 0))</f>
        <v>189.75</v>
      </c>
      <c r="K191" s="16"/>
      <c r="L191" s="16"/>
      <c r="M191" s="16"/>
    </row>
    <row r="192" spans="1:13" x14ac:dyDescent="0.3">
      <c r="A192" s="16"/>
      <c r="B192" s="16"/>
      <c r="C192" s="16"/>
      <c r="D192" s="19"/>
      <c r="E192" s="14" t="s">
        <v>148</v>
      </c>
      <c r="F192" s="16">
        <v>1</v>
      </c>
      <c r="G192" s="20">
        <v>160.80000000000001</v>
      </c>
      <c r="H192" s="20"/>
      <c r="I192" s="20"/>
      <c r="J192" s="17">
        <f>F192*(G192+ (G192= 0))*(H192+ (H192= 0))*(I192+ (I192= 0))</f>
        <v>160.80000000000001</v>
      </c>
      <c r="K192" s="16"/>
      <c r="L192" s="16"/>
      <c r="M192" s="16"/>
    </row>
    <row r="193" spans="1:13" x14ac:dyDescent="0.3">
      <c r="A193" s="16"/>
      <c r="B193" s="16"/>
      <c r="C193" s="16"/>
      <c r="D193" s="19"/>
      <c r="E193" s="16"/>
      <c r="F193" s="16"/>
      <c r="G193" s="16"/>
      <c r="H193" s="16"/>
      <c r="I193" s="16"/>
      <c r="J193" s="13" t="s">
        <v>155</v>
      </c>
      <c r="K193" s="21">
        <f>SUM(J191:J192)</f>
        <v>350.55</v>
      </c>
      <c r="L193" s="22">
        <f>28.88*1.15</f>
        <v>33.21</v>
      </c>
      <c r="M193" s="23">
        <f>ROUND(L193*K193,2)</f>
        <v>11641.77</v>
      </c>
    </row>
    <row r="194" spans="1:13" ht="3" customHeight="1" x14ac:dyDescent="0.3">
      <c r="A194" s="24"/>
      <c r="B194" s="24"/>
      <c r="C194" s="24"/>
      <c r="D194" s="25"/>
      <c r="E194" s="24"/>
      <c r="F194" s="24"/>
      <c r="G194" s="24"/>
      <c r="H194" s="24"/>
      <c r="I194" s="24"/>
      <c r="J194" s="24"/>
      <c r="K194" s="24"/>
      <c r="L194" s="24"/>
      <c r="M194" s="24"/>
    </row>
    <row r="195" spans="1:13" ht="21.6" x14ac:dyDescent="0.3">
      <c r="A195" s="13" t="s">
        <v>156</v>
      </c>
      <c r="B195" s="14" t="s">
        <v>21</v>
      </c>
      <c r="C195" s="14" t="s">
        <v>22</v>
      </c>
      <c r="D195" s="15" t="s">
        <v>157</v>
      </c>
      <c r="E195" s="16"/>
      <c r="F195" s="16"/>
      <c r="G195" s="16"/>
      <c r="H195" s="16"/>
      <c r="I195" s="16"/>
      <c r="J195" s="16"/>
      <c r="K195" s="17">
        <f>K199</f>
        <v>135</v>
      </c>
      <c r="L195" s="18">
        <f>L199</f>
        <v>10.97</v>
      </c>
      <c r="M195" s="18">
        <f>M199</f>
        <v>1480.95</v>
      </c>
    </row>
    <row r="196" spans="1:13" ht="43.2" x14ac:dyDescent="0.3">
      <c r="A196" s="16"/>
      <c r="B196" s="16"/>
      <c r="C196" s="16"/>
      <c r="D196" s="19" t="s">
        <v>158</v>
      </c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x14ac:dyDescent="0.3">
      <c r="A197" s="16"/>
      <c r="B197" s="16"/>
      <c r="C197" s="16"/>
      <c r="D197" s="19"/>
      <c r="E197" s="14" t="s">
        <v>159</v>
      </c>
      <c r="F197" s="16">
        <v>1</v>
      </c>
      <c r="G197" s="20">
        <v>90</v>
      </c>
      <c r="H197" s="20"/>
      <c r="I197" s="20"/>
      <c r="J197" s="17">
        <f>F197*(G197+ (G197= 0))*(H197+ (H197= 0))*(I197+ (I197= 0))</f>
        <v>90</v>
      </c>
      <c r="K197" s="16"/>
      <c r="L197" s="16"/>
      <c r="M197" s="16"/>
    </row>
    <row r="198" spans="1:13" x14ac:dyDescent="0.3">
      <c r="A198" s="16"/>
      <c r="B198" s="16"/>
      <c r="C198" s="16"/>
      <c r="D198" s="19"/>
      <c r="E198" s="14" t="s">
        <v>160</v>
      </c>
      <c r="F198" s="16">
        <v>1</v>
      </c>
      <c r="G198" s="20">
        <v>45</v>
      </c>
      <c r="H198" s="20"/>
      <c r="I198" s="20"/>
      <c r="J198" s="17">
        <f>F198*(G198+ (G198= 0))*(H198+ (H198= 0))*(I198+ (I198= 0))</f>
        <v>45</v>
      </c>
      <c r="K198" s="16"/>
      <c r="L198" s="16"/>
      <c r="M198" s="16"/>
    </row>
    <row r="199" spans="1:13" x14ac:dyDescent="0.3">
      <c r="A199" s="16"/>
      <c r="B199" s="16"/>
      <c r="C199" s="16"/>
      <c r="D199" s="19"/>
      <c r="E199" s="16"/>
      <c r="F199" s="16"/>
      <c r="G199" s="16"/>
      <c r="H199" s="16"/>
      <c r="I199" s="16"/>
      <c r="J199" s="13" t="s">
        <v>161</v>
      </c>
      <c r="K199" s="21">
        <f>SUM(J197:J198)</f>
        <v>135</v>
      </c>
      <c r="L199" s="22">
        <f>9.54*1.15</f>
        <v>10.97</v>
      </c>
      <c r="M199" s="23">
        <f>ROUND(L199*K199,2)</f>
        <v>1480.95</v>
      </c>
    </row>
    <row r="200" spans="1:13" ht="3" customHeight="1" x14ac:dyDescent="0.3">
      <c r="A200" s="24"/>
      <c r="B200" s="24"/>
      <c r="C200" s="24"/>
      <c r="D200" s="25"/>
      <c r="E200" s="24"/>
      <c r="F200" s="24"/>
      <c r="G200" s="24"/>
      <c r="H200" s="24"/>
      <c r="I200" s="24"/>
      <c r="J200" s="24"/>
      <c r="K200" s="24"/>
      <c r="L200" s="24"/>
      <c r="M200" s="24"/>
    </row>
    <row r="201" spans="1:13" ht="21.6" x14ac:dyDescent="0.3">
      <c r="A201" s="13" t="s">
        <v>162</v>
      </c>
      <c r="B201" s="14" t="s">
        <v>21</v>
      </c>
      <c r="C201" s="14" t="s">
        <v>22</v>
      </c>
      <c r="D201" s="15" t="s">
        <v>163</v>
      </c>
      <c r="E201" s="16"/>
      <c r="F201" s="16"/>
      <c r="G201" s="16"/>
      <c r="H201" s="16"/>
      <c r="I201" s="16"/>
      <c r="J201" s="16"/>
      <c r="K201" s="17">
        <f>K215</f>
        <v>348.22</v>
      </c>
      <c r="L201" s="18">
        <f>L215</f>
        <v>34.549999999999997</v>
      </c>
      <c r="M201" s="18">
        <f>M215</f>
        <v>12031</v>
      </c>
    </row>
    <row r="202" spans="1:13" ht="75.599999999999994" x14ac:dyDescent="0.3">
      <c r="A202" s="16"/>
      <c r="B202" s="16"/>
      <c r="C202" s="16"/>
      <c r="D202" s="19" t="s">
        <v>164</v>
      </c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x14ac:dyDescent="0.3">
      <c r="A203" s="16"/>
      <c r="B203" s="16"/>
      <c r="C203" s="16"/>
      <c r="D203" s="19"/>
      <c r="E203" s="14" t="s">
        <v>67</v>
      </c>
      <c r="F203" s="16">
        <v>1</v>
      </c>
      <c r="G203" s="20">
        <v>7.5</v>
      </c>
      <c r="H203" s="20"/>
      <c r="I203" s="20">
        <v>4.75</v>
      </c>
      <c r="J203" s="17">
        <f t="shared" ref="J203:J214" si="5">F203*(G203+ (G203= 0))*(H203+ (H203= 0))*(I203+ (I203= 0))</f>
        <v>35.625</v>
      </c>
      <c r="K203" s="16"/>
      <c r="L203" s="16"/>
      <c r="M203" s="16"/>
    </row>
    <row r="204" spans="1:13" x14ac:dyDescent="0.3">
      <c r="A204" s="16"/>
      <c r="B204" s="16"/>
      <c r="C204" s="16"/>
      <c r="D204" s="19"/>
      <c r="E204" s="14" t="s">
        <v>165</v>
      </c>
      <c r="F204" s="16">
        <v>1</v>
      </c>
      <c r="G204" s="20">
        <v>30</v>
      </c>
      <c r="H204" s="20"/>
      <c r="I204" s="20">
        <v>0.95</v>
      </c>
      <c r="J204" s="17">
        <f t="shared" si="5"/>
        <v>28.5</v>
      </c>
      <c r="K204" s="16"/>
      <c r="L204" s="16"/>
      <c r="M204" s="16"/>
    </row>
    <row r="205" spans="1:13" x14ac:dyDescent="0.3">
      <c r="A205" s="16"/>
      <c r="B205" s="16"/>
      <c r="C205" s="16"/>
      <c r="D205" s="19"/>
      <c r="E205" s="14" t="s">
        <v>18</v>
      </c>
      <c r="F205" s="16">
        <v>1</v>
      </c>
      <c r="G205" s="20">
        <v>1.2</v>
      </c>
      <c r="H205" s="20"/>
      <c r="I205" s="20">
        <v>3.75</v>
      </c>
      <c r="J205" s="17">
        <f t="shared" si="5"/>
        <v>4.5</v>
      </c>
      <c r="K205" s="16"/>
      <c r="L205" s="16"/>
      <c r="M205" s="16"/>
    </row>
    <row r="206" spans="1:13" x14ac:dyDescent="0.3">
      <c r="A206" s="16"/>
      <c r="B206" s="16"/>
      <c r="C206" s="16"/>
      <c r="D206" s="19"/>
      <c r="E206" s="14" t="s">
        <v>18</v>
      </c>
      <c r="F206" s="16">
        <v>1</v>
      </c>
      <c r="G206" s="20">
        <v>0.6</v>
      </c>
      <c r="H206" s="20"/>
      <c r="I206" s="20">
        <v>3.75</v>
      </c>
      <c r="J206" s="17">
        <f t="shared" si="5"/>
        <v>2.25</v>
      </c>
      <c r="K206" s="16"/>
      <c r="L206" s="16"/>
      <c r="M206" s="16"/>
    </row>
    <row r="207" spans="1:13" x14ac:dyDescent="0.3">
      <c r="A207" s="16"/>
      <c r="B207" s="16"/>
      <c r="C207" s="16"/>
      <c r="D207" s="19"/>
      <c r="E207" s="14" t="s">
        <v>166</v>
      </c>
      <c r="F207" s="16">
        <v>2</v>
      </c>
      <c r="G207" s="20">
        <v>1.2</v>
      </c>
      <c r="H207" s="20"/>
      <c r="I207" s="20">
        <v>3.75</v>
      </c>
      <c r="J207" s="17">
        <f t="shared" si="5"/>
        <v>9</v>
      </c>
      <c r="K207" s="16"/>
      <c r="L207" s="16"/>
      <c r="M207" s="16"/>
    </row>
    <row r="208" spans="1:13" x14ac:dyDescent="0.3">
      <c r="A208" s="16"/>
      <c r="B208" s="16"/>
      <c r="C208" s="16"/>
      <c r="D208" s="19"/>
      <c r="E208" s="14" t="s">
        <v>167</v>
      </c>
      <c r="F208" s="16">
        <v>1</v>
      </c>
      <c r="G208" s="20">
        <v>20</v>
      </c>
      <c r="H208" s="20"/>
      <c r="I208" s="20">
        <v>3.75</v>
      </c>
      <c r="J208" s="17">
        <f t="shared" si="5"/>
        <v>75</v>
      </c>
      <c r="K208" s="16"/>
      <c r="L208" s="16"/>
      <c r="M208" s="16"/>
    </row>
    <row r="209" spans="1:13" x14ac:dyDescent="0.3">
      <c r="A209" s="16"/>
      <c r="B209" s="16"/>
      <c r="C209" s="16"/>
      <c r="D209" s="19"/>
      <c r="E209" s="14" t="s">
        <v>18</v>
      </c>
      <c r="F209" s="16">
        <v>1</v>
      </c>
      <c r="G209" s="20">
        <v>45.9</v>
      </c>
      <c r="H209" s="20"/>
      <c r="I209" s="20">
        <v>4.25</v>
      </c>
      <c r="J209" s="17">
        <f t="shared" si="5"/>
        <v>195.07499999999999</v>
      </c>
      <c r="K209" s="16"/>
      <c r="L209" s="16"/>
      <c r="M209" s="16"/>
    </row>
    <row r="210" spans="1:13" x14ac:dyDescent="0.3">
      <c r="A210" s="16"/>
      <c r="B210" s="16"/>
      <c r="C210" s="16"/>
      <c r="D210" s="19"/>
      <c r="E210" s="14" t="s">
        <v>168</v>
      </c>
      <c r="F210" s="16">
        <v>-1</v>
      </c>
      <c r="G210" s="20">
        <v>14</v>
      </c>
      <c r="H210" s="20"/>
      <c r="I210" s="20">
        <v>3</v>
      </c>
      <c r="J210" s="17">
        <f t="shared" si="5"/>
        <v>-42</v>
      </c>
      <c r="K210" s="16"/>
      <c r="L210" s="16"/>
      <c r="M210" s="16"/>
    </row>
    <row r="211" spans="1:13" x14ac:dyDescent="0.3">
      <c r="A211" s="16"/>
      <c r="B211" s="16"/>
      <c r="C211" s="16"/>
      <c r="D211" s="19"/>
      <c r="E211" s="14" t="s">
        <v>18</v>
      </c>
      <c r="F211" s="16">
        <v>-0.5</v>
      </c>
      <c r="G211" s="20">
        <v>2.1</v>
      </c>
      <c r="H211" s="20"/>
      <c r="I211" s="20">
        <v>2.1</v>
      </c>
      <c r="J211" s="17">
        <f t="shared" si="5"/>
        <v>-2.2050000000000001</v>
      </c>
      <c r="K211" s="16"/>
      <c r="L211" s="16"/>
      <c r="M211" s="16"/>
    </row>
    <row r="212" spans="1:13" x14ac:dyDescent="0.3">
      <c r="A212" s="16"/>
      <c r="B212" s="16"/>
      <c r="C212" s="16"/>
      <c r="D212" s="19"/>
      <c r="E212" s="14" t="s">
        <v>169</v>
      </c>
      <c r="F212" s="16">
        <v>1</v>
      </c>
      <c r="G212" s="20">
        <v>5.5</v>
      </c>
      <c r="H212" s="20"/>
      <c r="I212" s="20">
        <v>4.7</v>
      </c>
      <c r="J212" s="17">
        <f t="shared" si="5"/>
        <v>25.85</v>
      </c>
      <c r="K212" s="16"/>
      <c r="L212" s="16"/>
      <c r="M212" s="16"/>
    </row>
    <row r="213" spans="1:13" x14ac:dyDescent="0.3">
      <c r="A213" s="16"/>
      <c r="B213" s="16"/>
      <c r="C213" s="16"/>
      <c r="D213" s="19"/>
      <c r="E213" s="14" t="s">
        <v>18</v>
      </c>
      <c r="F213" s="16">
        <v>1</v>
      </c>
      <c r="G213" s="20">
        <v>2.7</v>
      </c>
      <c r="H213" s="20"/>
      <c r="I213" s="20">
        <v>4.75</v>
      </c>
      <c r="J213" s="17">
        <f t="shared" si="5"/>
        <v>12.824999999999999</v>
      </c>
      <c r="K213" s="16"/>
      <c r="L213" s="16"/>
      <c r="M213" s="16"/>
    </row>
    <row r="214" spans="1:13" x14ac:dyDescent="0.3">
      <c r="A214" s="16"/>
      <c r="B214" s="16"/>
      <c r="C214" s="16"/>
      <c r="D214" s="19"/>
      <c r="E214" s="14" t="s">
        <v>18</v>
      </c>
      <c r="F214" s="16">
        <v>2</v>
      </c>
      <c r="G214" s="20">
        <v>0.4</v>
      </c>
      <c r="H214" s="20"/>
      <c r="I214" s="20">
        <v>4.75</v>
      </c>
      <c r="J214" s="17">
        <f t="shared" si="5"/>
        <v>3.8</v>
      </c>
      <c r="K214" s="16"/>
      <c r="L214" s="16"/>
      <c r="M214" s="16"/>
    </row>
    <row r="215" spans="1:13" x14ac:dyDescent="0.3">
      <c r="A215" s="16"/>
      <c r="B215" s="16"/>
      <c r="C215" s="16"/>
      <c r="D215" s="19"/>
      <c r="E215" s="16"/>
      <c r="F215" s="16"/>
      <c r="G215" s="16"/>
      <c r="H215" s="16"/>
      <c r="I215" s="16"/>
      <c r="J215" s="13" t="s">
        <v>170</v>
      </c>
      <c r="K215" s="21">
        <f>SUM(J203:J214)</f>
        <v>348.22</v>
      </c>
      <c r="L215" s="22">
        <f>30.04*1.15</f>
        <v>34.549999999999997</v>
      </c>
      <c r="M215" s="23">
        <f>ROUND(L215*K215,2)</f>
        <v>12031</v>
      </c>
    </row>
    <row r="216" spans="1:13" ht="3" customHeight="1" x14ac:dyDescent="0.3">
      <c r="A216" s="24"/>
      <c r="B216" s="24"/>
      <c r="C216" s="24"/>
      <c r="D216" s="25"/>
      <c r="E216" s="24"/>
      <c r="F216" s="24"/>
      <c r="G216" s="24"/>
      <c r="H216" s="24"/>
      <c r="I216" s="24"/>
      <c r="J216" s="24"/>
      <c r="K216" s="24"/>
      <c r="L216" s="24"/>
      <c r="M216" s="24"/>
    </row>
    <row r="217" spans="1:13" ht="21.6" x14ac:dyDescent="0.3">
      <c r="A217" s="13" t="s">
        <v>171</v>
      </c>
      <c r="B217" s="14" t="s">
        <v>21</v>
      </c>
      <c r="C217" s="14" t="s">
        <v>22</v>
      </c>
      <c r="D217" s="15" t="s">
        <v>172</v>
      </c>
      <c r="E217" s="16"/>
      <c r="F217" s="16"/>
      <c r="G217" s="16"/>
      <c r="H217" s="16"/>
      <c r="I217" s="16"/>
      <c r="J217" s="16"/>
      <c r="K217" s="17">
        <f>K222</f>
        <v>496.19</v>
      </c>
      <c r="L217" s="18">
        <f>L222</f>
        <v>10.66</v>
      </c>
      <c r="M217" s="18">
        <f>M222</f>
        <v>5289.39</v>
      </c>
    </row>
    <row r="218" spans="1:13" ht="43.2" x14ac:dyDescent="0.3">
      <c r="A218" s="16"/>
      <c r="B218" s="16"/>
      <c r="C218" s="16"/>
      <c r="D218" s="19" t="s">
        <v>173</v>
      </c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x14ac:dyDescent="0.3">
      <c r="A219" s="16"/>
      <c r="B219" s="16"/>
      <c r="C219" s="16"/>
      <c r="D219" s="19"/>
      <c r="E219" s="14" t="s">
        <v>149</v>
      </c>
      <c r="F219" s="16">
        <v>1</v>
      </c>
      <c r="G219" s="20">
        <v>71.69</v>
      </c>
      <c r="H219" s="20"/>
      <c r="I219" s="20"/>
      <c r="J219" s="17">
        <f>F219*(G219+ (G219= 0))*(H219+ (H219= 0))*(I219+ (I219= 0))</f>
        <v>71.69</v>
      </c>
      <c r="K219" s="16"/>
      <c r="L219" s="16"/>
      <c r="M219" s="16"/>
    </row>
    <row r="220" spans="1:13" x14ac:dyDescent="0.3">
      <c r="A220" s="16"/>
      <c r="B220" s="16"/>
      <c r="C220" s="16"/>
      <c r="D220" s="19"/>
      <c r="E220" s="14" t="s">
        <v>150</v>
      </c>
      <c r="F220" s="16">
        <v>1</v>
      </c>
      <c r="G220" s="20">
        <v>104.5</v>
      </c>
      <c r="H220" s="20"/>
      <c r="I220" s="20"/>
      <c r="J220" s="17">
        <f>F220*(G220+ (G220= 0))*(H220+ (H220= 0))*(I220+ (I220= 0))</f>
        <v>104.5</v>
      </c>
      <c r="K220" s="16"/>
      <c r="L220" s="16"/>
      <c r="M220" s="16"/>
    </row>
    <row r="221" spans="1:13" x14ac:dyDescent="0.3">
      <c r="A221" s="16"/>
      <c r="B221" s="16"/>
      <c r="C221" s="16"/>
      <c r="D221" s="19"/>
      <c r="E221" s="14" t="s">
        <v>174</v>
      </c>
      <c r="F221" s="16">
        <v>1</v>
      </c>
      <c r="G221" s="20">
        <v>320</v>
      </c>
      <c r="H221" s="20"/>
      <c r="I221" s="20"/>
      <c r="J221" s="17">
        <f>F221*(G221+ (G221= 0))*(H221+ (H221= 0))*(I221+ (I221= 0))</f>
        <v>320</v>
      </c>
      <c r="K221" s="16"/>
      <c r="L221" s="16"/>
      <c r="M221" s="16"/>
    </row>
    <row r="222" spans="1:13" x14ac:dyDescent="0.3">
      <c r="A222" s="16"/>
      <c r="B222" s="16"/>
      <c r="C222" s="16"/>
      <c r="D222" s="19"/>
      <c r="E222" s="16"/>
      <c r="F222" s="16"/>
      <c r="G222" s="16"/>
      <c r="H222" s="16"/>
      <c r="I222" s="16"/>
      <c r="J222" s="13" t="s">
        <v>175</v>
      </c>
      <c r="K222" s="21">
        <f>SUM(J219:J221)</f>
        <v>496.19</v>
      </c>
      <c r="L222" s="22">
        <f>9.27*1.15</f>
        <v>10.66</v>
      </c>
      <c r="M222" s="23">
        <f>ROUND(L222*K222,2)</f>
        <v>5289.39</v>
      </c>
    </row>
    <row r="223" spans="1:13" ht="3" customHeight="1" x14ac:dyDescent="0.3">
      <c r="A223" s="24"/>
      <c r="B223" s="24"/>
      <c r="C223" s="24"/>
      <c r="D223" s="25"/>
      <c r="E223" s="24"/>
      <c r="F223" s="24"/>
      <c r="G223" s="24"/>
      <c r="H223" s="24"/>
      <c r="I223" s="24"/>
      <c r="J223" s="24"/>
      <c r="K223" s="24"/>
      <c r="L223" s="24"/>
      <c r="M223" s="24"/>
    </row>
    <row r="224" spans="1:13" x14ac:dyDescent="0.3">
      <c r="A224" s="13" t="s">
        <v>176</v>
      </c>
      <c r="B224" s="14" t="s">
        <v>21</v>
      </c>
      <c r="C224" s="14" t="s">
        <v>22</v>
      </c>
      <c r="D224" s="15" t="s">
        <v>177</v>
      </c>
      <c r="E224" s="16"/>
      <c r="F224" s="16"/>
      <c r="G224" s="16"/>
      <c r="H224" s="16"/>
      <c r="I224" s="16"/>
      <c r="J224" s="16"/>
      <c r="K224" s="17">
        <f>K230</f>
        <v>80.7</v>
      </c>
      <c r="L224" s="18">
        <f>L230</f>
        <v>23.66</v>
      </c>
      <c r="M224" s="18">
        <f>M230</f>
        <v>1909.36</v>
      </c>
    </row>
    <row r="225" spans="1:13" ht="54" x14ac:dyDescent="0.3">
      <c r="A225" s="16"/>
      <c r="B225" s="16"/>
      <c r="C225" s="16"/>
      <c r="D225" s="19" t="s">
        <v>178</v>
      </c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1:13" x14ac:dyDescent="0.3">
      <c r="A226" s="16"/>
      <c r="B226" s="16"/>
      <c r="C226" s="16"/>
      <c r="D226" s="19"/>
      <c r="E226" s="14" t="s">
        <v>179</v>
      </c>
      <c r="F226" s="16">
        <v>1</v>
      </c>
      <c r="G226" s="20">
        <v>1.5</v>
      </c>
      <c r="H226" s="20"/>
      <c r="I226" s="20">
        <v>3.6</v>
      </c>
      <c r="J226" s="17">
        <f>F226*(G226+ (G226= 0))*(H226+ (H226= 0))*(I226+ (I226= 0))</f>
        <v>5.4</v>
      </c>
      <c r="K226" s="16"/>
      <c r="L226" s="16"/>
      <c r="M226" s="16"/>
    </row>
    <row r="227" spans="1:13" x14ac:dyDescent="0.3">
      <c r="A227" s="16"/>
      <c r="B227" s="16"/>
      <c r="C227" s="16"/>
      <c r="D227" s="19"/>
      <c r="E227" s="14" t="s">
        <v>18</v>
      </c>
      <c r="F227" s="16">
        <v>1</v>
      </c>
      <c r="G227" s="20">
        <v>3</v>
      </c>
      <c r="H227" s="20"/>
      <c r="I227" s="20">
        <v>0.9</v>
      </c>
      <c r="J227" s="17">
        <f>F227*(G227+ (G227= 0))*(H227+ (H227= 0))*(I227+ (I227= 0))</f>
        <v>2.7</v>
      </c>
      <c r="K227" s="16"/>
      <c r="L227" s="16"/>
      <c r="M227" s="16"/>
    </row>
    <row r="228" spans="1:13" x14ac:dyDescent="0.3">
      <c r="A228" s="16"/>
      <c r="B228" s="16"/>
      <c r="C228" s="16"/>
      <c r="D228" s="19"/>
      <c r="E228" s="14" t="s">
        <v>180</v>
      </c>
      <c r="F228" s="16">
        <v>1</v>
      </c>
      <c r="G228" s="20">
        <v>5.5</v>
      </c>
      <c r="H228" s="20"/>
      <c r="I228" s="20">
        <v>3.6</v>
      </c>
      <c r="J228" s="17">
        <f>F228*(G228+ (G228= 0))*(H228+ (H228= 0))*(I228+ (I228= 0))</f>
        <v>19.8</v>
      </c>
      <c r="K228" s="16"/>
      <c r="L228" s="16"/>
      <c r="M228" s="16"/>
    </row>
    <row r="229" spans="1:13" x14ac:dyDescent="0.3">
      <c r="A229" s="16"/>
      <c r="B229" s="16"/>
      <c r="C229" s="16"/>
      <c r="D229" s="19"/>
      <c r="E229" s="14" t="s">
        <v>181</v>
      </c>
      <c r="F229" s="16">
        <v>132</v>
      </c>
      <c r="G229" s="20"/>
      <c r="H229" s="20">
        <v>0.4</v>
      </c>
      <c r="I229" s="20"/>
      <c r="J229" s="17">
        <f>F229*(G229+ (G229= 0))*(H229+ (H229= 0))*(I229+ (I229= 0))</f>
        <v>52.8</v>
      </c>
      <c r="K229" s="16"/>
      <c r="L229" s="16"/>
      <c r="M229" s="16"/>
    </row>
    <row r="230" spans="1:13" x14ac:dyDescent="0.3">
      <c r="A230" s="16"/>
      <c r="B230" s="16"/>
      <c r="C230" s="16"/>
      <c r="D230" s="19"/>
      <c r="E230" s="16"/>
      <c r="F230" s="16"/>
      <c r="G230" s="16"/>
      <c r="H230" s="16"/>
      <c r="I230" s="16"/>
      <c r="J230" s="13" t="s">
        <v>182</v>
      </c>
      <c r="K230" s="21">
        <f>SUM(J226:J229)</f>
        <v>80.7</v>
      </c>
      <c r="L230" s="22">
        <f>20.57*1.15</f>
        <v>23.66</v>
      </c>
      <c r="M230" s="23">
        <f>ROUND(L230*K230,2)</f>
        <v>1909.36</v>
      </c>
    </row>
    <row r="231" spans="1:13" ht="3" customHeight="1" x14ac:dyDescent="0.3">
      <c r="A231" s="24"/>
      <c r="B231" s="24"/>
      <c r="C231" s="24"/>
      <c r="D231" s="25"/>
      <c r="E231" s="24"/>
      <c r="F231" s="24"/>
      <c r="G231" s="24"/>
      <c r="H231" s="24"/>
      <c r="I231" s="24"/>
      <c r="J231" s="24"/>
      <c r="K231" s="24"/>
      <c r="L231" s="24"/>
      <c r="M231" s="24"/>
    </row>
    <row r="232" spans="1:13" x14ac:dyDescent="0.3">
      <c r="A232" s="13" t="s">
        <v>183</v>
      </c>
      <c r="B232" s="14" t="s">
        <v>21</v>
      </c>
      <c r="C232" s="14" t="s">
        <v>22</v>
      </c>
      <c r="D232" s="15" t="s">
        <v>177</v>
      </c>
      <c r="E232" s="16"/>
      <c r="F232" s="16"/>
      <c r="G232" s="16"/>
      <c r="H232" s="16"/>
      <c r="I232" s="16"/>
      <c r="J232" s="16"/>
      <c r="K232" s="17">
        <f>K234</f>
        <v>-3.4000000000000002E-2</v>
      </c>
      <c r="L232" s="18">
        <f>L234</f>
        <v>23.66</v>
      </c>
      <c r="M232" s="18">
        <f>M234</f>
        <v>-0.8</v>
      </c>
    </row>
    <row r="233" spans="1:13" x14ac:dyDescent="0.3">
      <c r="A233" s="16"/>
      <c r="B233" s="16"/>
      <c r="C233" s="16"/>
      <c r="D233" s="19"/>
      <c r="E233" s="14" t="s">
        <v>18</v>
      </c>
      <c r="F233" s="16">
        <v>-1</v>
      </c>
      <c r="G233" s="20">
        <v>3.4000000000000002E-2</v>
      </c>
      <c r="H233" s="20"/>
      <c r="I233" s="20"/>
      <c r="J233" s="17">
        <f>F233*(G233+ (G233= 0))*(H233+ (H233= 0))*(I233+ (I233= 0))</f>
        <v>-3.4000000000000002E-2</v>
      </c>
      <c r="K233" s="16"/>
      <c r="L233" s="16"/>
      <c r="M233" s="16"/>
    </row>
    <row r="234" spans="1:13" x14ac:dyDescent="0.3">
      <c r="A234" s="16"/>
      <c r="B234" s="16"/>
      <c r="C234" s="16"/>
      <c r="D234" s="19"/>
      <c r="E234" s="16"/>
      <c r="F234" s="16"/>
      <c r="G234" s="16"/>
      <c r="H234" s="16"/>
      <c r="I234" s="16"/>
      <c r="J234" s="13" t="s">
        <v>184</v>
      </c>
      <c r="K234" s="21">
        <f>SUM(J233:J233)</f>
        <v>-3.4000000000000002E-2</v>
      </c>
      <c r="L234" s="22">
        <f>20.57*1.15</f>
        <v>23.66</v>
      </c>
      <c r="M234" s="23">
        <f>ROUND(L234*K234,2)</f>
        <v>-0.8</v>
      </c>
    </row>
    <row r="235" spans="1:13" ht="3" customHeight="1" x14ac:dyDescent="0.3">
      <c r="A235" s="24"/>
      <c r="B235" s="24"/>
      <c r="C235" s="24"/>
      <c r="D235" s="25"/>
      <c r="E235" s="24"/>
      <c r="F235" s="24"/>
      <c r="G235" s="24"/>
      <c r="H235" s="24"/>
      <c r="I235" s="24"/>
      <c r="J235" s="24"/>
      <c r="K235" s="24"/>
      <c r="L235" s="24"/>
      <c r="M235" s="24"/>
    </row>
    <row r="236" spans="1:13" x14ac:dyDescent="0.3">
      <c r="A236" s="13" t="s">
        <v>185</v>
      </c>
      <c r="B236" s="14" t="s">
        <v>21</v>
      </c>
      <c r="C236" s="14" t="s">
        <v>22</v>
      </c>
      <c r="D236" s="15" t="s">
        <v>186</v>
      </c>
      <c r="E236" s="16"/>
      <c r="F236" s="16"/>
      <c r="G236" s="16"/>
      <c r="H236" s="16"/>
      <c r="I236" s="16"/>
      <c r="J236" s="16"/>
      <c r="K236" s="17">
        <f>K241</f>
        <v>27.9</v>
      </c>
      <c r="L236" s="18">
        <f>L241</f>
        <v>41.88</v>
      </c>
      <c r="M236" s="18">
        <f>M241</f>
        <v>1168.45</v>
      </c>
    </row>
    <row r="237" spans="1:13" ht="43.2" x14ac:dyDescent="0.3">
      <c r="A237" s="16"/>
      <c r="B237" s="16"/>
      <c r="C237" s="16"/>
      <c r="D237" s="19" t="s">
        <v>187</v>
      </c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13" x14ac:dyDescent="0.3">
      <c r="A238" s="16"/>
      <c r="B238" s="16"/>
      <c r="C238" s="16"/>
      <c r="D238" s="19"/>
      <c r="E238" s="14" t="s">
        <v>179</v>
      </c>
      <c r="F238" s="16">
        <v>1</v>
      </c>
      <c r="G238" s="20">
        <v>1.5</v>
      </c>
      <c r="H238" s="20"/>
      <c r="I238" s="20">
        <v>3.6</v>
      </c>
      <c r="J238" s="17">
        <f>F238*(G238+ (G238= 0))*(H238+ (H238= 0))*(I238+ (I238= 0))</f>
        <v>5.4</v>
      </c>
      <c r="K238" s="16"/>
      <c r="L238" s="16"/>
      <c r="M238" s="16"/>
    </row>
    <row r="239" spans="1:13" x14ac:dyDescent="0.3">
      <c r="A239" s="16"/>
      <c r="B239" s="16"/>
      <c r="C239" s="16"/>
      <c r="D239" s="19"/>
      <c r="E239" s="14" t="s">
        <v>18</v>
      </c>
      <c r="F239" s="16">
        <v>1</v>
      </c>
      <c r="G239" s="20">
        <v>3</v>
      </c>
      <c r="H239" s="20"/>
      <c r="I239" s="20">
        <v>0.9</v>
      </c>
      <c r="J239" s="17">
        <f>F239*(G239+ (G239= 0))*(H239+ (H239= 0))*(I239+ (I239= 0))</f>
        <v>2.7</v>
      </c>
      <c r="K239" s="16"/>
      <c r="L239" s="16"/>
      <c r="M239" s="16"/>
    </row>
    <row r="240" spans="1:13" x14ac:dyDescent="0.3">
      <c r="A240" s="16"/>
      <c r="B240" s="16"/>
      <c r="C240" s="16"/>
      <c r="D240" s="19"/>
      <c r="E240" s="14" t="s">
        <v>180</v>
      </c>
      <c r="F240" s="16">
        <v>1</v>
      </c>
      <c r="G240" s="20">
        <v>5.5</v>
      </c>
      <c r="H240" s="20"/>
      <c r="I240" s="20">
        <v>3.6</v>
      </c>
      <c r="J240" s="17">
        <f>F240*(G240+ (G240= 0))*(H240+ (H240= 0))*(I240+ (I240= 0))</f>
        <v>19.8</v>
      </c>
      <c r="K240" s="16"/>
      <c r="L240" s="16"/>
      <c r="M240" s="16"/>
    </row>
    <row r="241" spans="1:13" x14ac:dyDescent="0.3">
      <c r="A241" s="16"/>
      <c r="B241" s="16"/>
      <c r="C241" s="16"/>
      <c r="D241" s="19"/>
      <c r="E241" s="16"/>
      <c r="F241" s="16"/>
      <c r="G241" s="16"/>
      <c r="H241" s="16"/>
      <c r="I241" s="16"/>
      <c r="J241" s="13" t="s">
        <v>188</v>
      </c>
      <c r="K241" s="21">
        <f>SUM(J238:J240)</f>
        <v>27.9</v>
      </c>
      <c r="L241" s="22">
        <f>36.42*1.15</f>
        <v>41.88</v>
      </c>
      <c r="M241" s="23">
        <f>ROUND(L241*K241,2)</f>
        <v>1168.45</v>
      </c>
    </row>
    <row r="242" spans="1:13" ht="3" customHeight="1" x14ac:dyDescent="0.3">
      <c r="A242" s="24"/>
      <c r="B242" s="24"/>
      <c r="C242" s="24"/>
      <c r="D242" s="25"/>
      <c r="E242" s="24"/>
      <c r="F242" s="24"/>
      <c r="G242" s="24"/>
      <c r="H242" s="24"/>
      <c r="I242" s="24"/>
      <c r="J242" s="24"/>
      <c r="K242" s="24"/>
      <c r="L242" s="24"/>
      <c r="M242" s="24"/>
    </row>
    <row r="243" spans="1:13" x14ac:dyDescent="0.3">
      <c r="A243" s="13" t="s">
        <v>189</v>
      </c>
      <c r="B243" s="14" t="s">
        <v>21</v>
      </c>
      <c r="C243" s="14" t="s">
        <v>22</v>
      </c>
      <c r="D243" s="15" t="s">
        <v>190</v>
      </c>
      <c r="E243" s="16"/>
      <c r="F243" s="16"/>
      <c r="G243" s="16"/>
      <c r="H243" s="16"/>
      <c r="I243" s="16"/>
      <c r="J243" s="16"/>
      <c r="K243" s="17">
        <f>K246</f>
        <v>52.8</v>
      </c>
      <c r="L243" s="18">
        <f>L246</f>
        <v>52.39</v>
      </c>
      <c r="M243" s="18">
        <f>M246</f>
        <v>2766.19</v>
      </c>
    </row>
    <row r="244" spans="1:13" ht="43.2" x14ac:dyDescent="0.3">
      <c r="A244" s="16"/>
      <c r="B244" s="16"/>
      <c r="C244" s="16"/>
      <c r="D244" s="19" t="s">
        <v>191</v>
      </c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x14ac:dyDescent="0.3">
      <c r="A245" s="16"/>
      <c r="B245" s="16"/>
      <c r="C245" s="16"/>
      <c r="D245" s="19"/>
      <c r="E245" s="14" t="s">
        <v>181</v>
      </c>
      <c r="F245" s="16">
        <v>132</v>
      </c>
      <c r="G245" s="20"/>
      <c r="H245" s="20">
        <v>0.4</v>
      </c>
      <c r="I245" s="20"/>
      <c r="J245" s="17">
        <f>F245*(G245+ (G245= 0))*(H245+ (H245= 0))*(I245+ (I245= 0))</f>
        <v>52.8</v>
      </c>
      <c r="K245" s="16"/>
      <c r="L245" s="16"/>
      <c r="M245" s="16"/>
    </row>
    <row r="246" spans="1:13" x14ac:dyDescent="0.3">
      <c r="A246" s="16"/>
      <c r="B246" s="16"/>
      <c r="C246" s="16"/>
      <c r="D246" s="19"/>
      <c r="E246" s="16"/>
      <c r="F246" s="16"/>
      <c r="G246" s="16"/>
      <c r="H246" s="16"/>
      <c r="I246" s="16"/>
      <c r="J246" s="13" t="s">
        <v>192</v>
      </c>
      <c r="K246" s="21">
        <f>SUM(J245:J245)</f>
        <v>52.8</v>
      </c>
      <c r="L246" s="22">
        <f>45.56*1.15</f>
        <v>52.39</v>
      </c>
      <c r="M246" s="23">
        <f>ROUND(L246*K246,2)</f>
        <v>2766.19</v>
      </c>
    </row>
    <row r="247" spans="1:13" ht="3" customHeight="1" x14ac:dyDescent="0.3">
      <c r="A247" s="24"/>
      <c r="B247" s="24"/>
      <c r="C247" s="24"/>
      <c r="D247" s="25"/>
      <c r="E247" s="24"/>
      <c r="F247" s="24"/>
      <c r="G247" s="24"/>
      <c r="H247" s="24"/>
      <c r="I247" s="24"/>
      <c r="J247" s="24"/>
      <c r="K247" s="24"/>
      <c r="L247" s="24"/>
      <c r="M247" s="24"/>
    </row>
    <row r="248" spans="1:13" ht="21.6" x14ac:dyDescent="0.3">
      <c r="A248" s="13" t="s">
        <v>193</v>
      </c>
      <c r="B248" s="14" t="s">
        <v>21</v>
      </c>
      <c r="C248" s="14" t="s">
        <v>22</v>
      </c>
      <c r="D248" s="15" t="s">
        <v>194</v>
      </c>
      <c r="E248" s="16"/>
      <c r="F248" s="16"/>
      <c r="G248" s="16"/>
      <c r="H248" s="16"/>
      <c r="I248" s="16"/>
      <c r="J248" s="16"/>
      <c r="K248" s="17">
        <f>K251</f>
        <v>20</v>
      </c>
      <c r="L248" s="18">
        <f>L251</f>
        <v>142.29</v>
      </c>
      <c r="M248" s="18">
        <f>M251</f>
        <v>2845.8</v>
      </c>
    </row>
    <row r="249" spans="1:13" ht="97.2" x14ac:dyDescent="0.3">
      <c r="A249" s="16"/>
      <c r="B249" s="16"/>
      <c r="C249" s="16"/>
      <c r="D249" s="19" t="s">
        <v>195</v>
      </c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x14ac:dyDescent="0.3">
      <c r="A250" s="16"/>
      <c r="B250" s="16"/>
      <c r="C250" s="16"/>
      <c r="D250" s="19"/>
      <c r="E250" s="14" t="s">
        <v>196</v>
      </c>
      <c r="F250" s="16">
        <v>20</v>
      </c>
      <c r="G250" s="20"/>
      <c r="H250" s="20"/>
      <c r="I250" s="20"/>
      <c r="J250" s="17">
        <f>F250*(G250+ (G250= 0))*(H250+ (H250= 0))*(I250+ (I250= 0))</f>
        <v>20</v>
      </c>
      <c r="K250" s="16"/>
      <c r="L250" s="16"/>
      <c r="M250" s="16"/>
    </row>
    <row r="251" spans="1:13" x14ac:dyDescent="0.3">
      <c r="A251" s="16"/>
      <c r="B251" s="16"/>
      <c r="C251" s="16"/>
      <c r="D251" s="19"/>
      <c r="E251" s="16"/>
      <c r="F251" s="16"/>
      <c r="G251" s="16"/>
      <c r="H251" s="16"/>
      <c r="I251" s="16"/>
      <c r="J251" s="13" t="s">
        <v>197</v>
      </c>
      <c r="K251" s="21">
        <f>SUM(J250:J250)</f>
        <v>20</v>
      </c>
      <c r="L251" s="22">
        <f>123.73*1.15</f>
        <v>142.29</v>
      </c>
      <c r="M251" s="23">
        <f>ROUND(L251*K251,2)</f>
        <v>2845.8</v>
      </c>
    </row>
    <row r="252" spans="1:13" ht="3" customHeight="1" x14ac:dyDescent="0.3">
      <c r="A252" s="24"/>
      <c r="B252" s="24"/>
      <c r="C252" s="24"/>
      <c r="D252" s="25"/>
      <c r="E252" s="24"/>
      <c r="F252" s="24"/>
      <c r="G252" s="24"/>
      <c r="H252" s="24"/>
      <c r="I252" s="24"/>
      <c r="J252" s="24"/>
      <c r="K252" s="24"/>
      <c r="L252" s="24"/>
      <c r="M252" s="24"/>
    </row>
    <row r="253" spans="1:13" x14ac:dyDescent="0.3">
      <c r="A253" s="16"/>
      <c r="B253" s="16"/>
      <c r="C253" s="16"/>
      <c r="D253" s="19"/>
      <c r="E253" s="16"/>
      <c r="F253" s="16"/>
      <c r="G253" s="16"/>
      <c r="H253" s="16"/>
      <c r="I253" s="16"/>
      <c r="J253" s="13" t="s">
        <v>198</v>
      </c>
      <c r="K253" s="26">
        <v>1</v>
      </c>
      <c r="L253" s="23">
        <f>M150+M159+M163+M172+M179+M187+M193+M199+M215+M222+M230+M234+M241+M246+M251</f>
        <v>346291.88</v>
      </c>
      <c r="M253" s="23">
        <f>ROUND(L253*K253,2)</f>
        <v>346291.88</v>
      </c>
    </row>
    <row r="254" spans="1:13" ht="3" customHeight="1" x14ac:dyDescent="0.3">
      <c r="A254" s="24"/>
      <c r="B254" s="24"/>
      <c r="C254" s="24"/>
      <c r="D254" s="25"/>
      <c r="E254" s="24"/>
      <c r="F254" s="24"/>
      <c r="G254" s="24"/>
      <c r="H254" s="24"/>
      <c r="I254" s="24"/>
      <c r="J254" s="24"/>
      <c r="K254" s="24"/>
      <c r="L254" s="24"/>
      <c r="M254" s="24"/>
    </row>
    <row r="255" spans="1:13" x14ac:dyDescent="0.3">
      <c r="A255" s="27" t="s">
        <v>199</v>
      </c>
      <c r="B255" s="27" t="s">
        <v>17</v>
      </c>
      <c r="C255" s="27" t="s">
        <v>18</v>
      </c>
      <c r="D255" s="28" t="s">
        <v>200</v>
      </c>
      <c r="E255" s="29"/>
      <c r="F255" s="29"/>
      <c r="G255" s="29"/>
      <c r="H255" s="29"/>
      <c r="I255" s="29"/>
      <c r="J255" s="29"/>
      <c r="K255" s="30">
        <f>K315</f>
        <v>1</v>
      </c>
      <c r="L255" s="23">
        <f>L315</f>
        <v>173387.17</v>
      </c>
      <c r="M255" s="23">
        <f>M315</f>
        <v>173387.17</v>
      </c>
    </row>
    <row r="256" spans="1:13" x14ac:dyDescent="0.3">
      <c r="A256" s="13" t="s">
        <v>201</v>
      </c>
      <c r="B256" s="14" t="s">
        <v>21</v>
      </c>
      <c r="C256" s="14" t="s">
        <v>114</v>
      </c>
      <c r="D256" s="15" t="s">
        <v>202</v>
      </c>
      <c r="E256" s="16"/>
      <c r="F256" s="16"/>
      <c r="G256" s="16"/>
      <c r="H256" s="16"/>
      <c r="I256" s="16"/>
      <c r="J256" s="16"/>
      <c r="K256" s="17">
        <f>K259</f>
        <v>60</v>
      </c>
      <c r="L256" s="18">
        <f>L259</f>
        <v>255.53</v>
      </c>
      <c r="M256" s="18">
        <f>M259</f>
        <v>15331.8</v>
      </c>
    </row>
    <row r="257" spans="1:13" ht="97.2" x14ac:dyDescent="0.3">
      <c r="A257" s="16"/>
      <c r="B257" s="16"/>
      <c r="C257" s="16"/>
      <c r="D257" s="19" t="s">
        <v>203</v>
      </c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x14ac:dyDescent="0.3">
      <c r="A258" s="16"/>
      <c r="B258" s="16"/>
      <c r="C258" s="16"/>
      <c r="D258" s="19"/>
      <c r="E258" s="14" t="s">
        <v>18</v>
      </c>
      <c r="F258" s="16">
        <v>1</v>
      </c>
      <c r="G258" s="20">
        <v>60</v>
      </c>
      <c r="H258" s="20"/>
      <c r="I258" s="20"/>
      <c r="J258" s="17">
        <f>F258*(G258+ (G258= 0))*(H258+ (H258= 0))*(I258+ (I258= 0))</f>
        <v>60</v>
      </c>
      <c r="K258" s="16"/>
      <c r="L258" s="16"/>
      <c r="M258" s="16"/>
    </row>
    <row r="259" spans="1:13" x14ac:dyDescent="0.3">
      <c r="A259" s="16"/>
      <c r="B259" s="16"/>
      <c r="C259" s="16"/>
      <c r="D259" s="19"/>
      <c r="E259" s="16"/>
      <c r="F259" s="16"/>
      <c r="G259" s="16"/>
      <c r="H259" s="16"/>
      <c r="I259" s="16"/>
      <c r="J259" s="13" t="s">
        <v>204</v>
      </c>
      <c r="K259" s="21">
        <f>SUM(J258:J258)</f>
        <v>60</v>
      </c>
      <c r="L259" s="22">
        <f>222.2*1.15</f>
        <v>255.53</v>
      </c>
      <c r="M259" s="23">
        <f>ROUND(L259*K259,2)</f>
        <v>15331.8</v>
      </c>
    </row>
    <row r="260" spans="1:13" ht="3" customHeight="1" x14ac:dyDescent="0.3">
      <c r="A260" s="24"/>
      <c r="B260" s="24"/>
      <c r="C260" s="24"/>
      <c r="D260" s="25"/>
      <c r="E260" s="24"/>
      <c r="F260" s="24"/>
      <c r="G260" s="24"/>
      <c r="H260" s="24"/>
      <c r="I260" s="24"/>
      <c r="J260" s="24"/>
      <c r="K260" s="24"/>
      <c r="L260" s="24"/>
      <c r="M260" s="24"/>
    </row>
    <row r="261" spans="1:13" x14ac:dyDescent="0.3">
      <c r="A261" s="13" t="s">
        <v>205</v>
      </c>
      <c r="B261" s="14" t="s">
        <v>21</v>
      </c>
      <c r="C261" s="14" t="s">
        <v>114</v>
      </c>
      <c r="D261" s="15" t="s">
        <v>206</v>
      </c>
      <c r="E261" s="16"/>
      <c r="F261" s="16"/>
      <c r="G261" s="16"/>
      <c r="H261" s="16"/>
      <c r="I261" s="16"/>
      <c r="J261" s="16"/>
      <c r="K261" s="17">
        <f>K264</f>
        <v>60</v>
      </c>
      <c r="L261" s="18">
        <f>L264</f>
        <v>494.75</v>
      </c>
      <c r="M261" s="18">
        <f>M264</f>
        <v>29685</v>
      </c>
    </row>
    <row r="262" spans="1:13" ht="97.2" x14ac:dyDescent="0.3">
      <c r="A262" s="16"/>
      <c r="B262" s="16"/>
      <c r="C262" s="16"/>
      <c r="D262" s="19" t="s">
        <v>207</v>
      </c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x14ac:dyDescent="0.3">
      <c r="A263" s="16"/>
      <c r="B263" s="16"/>
      <c r="C263" s="16"/>
      <c r="D263" s="19"/>
      <c r="E263" s="14" t="s">
        <v>18</v>
      </c>
      <c r="F263" s="16">
        <v>1</v>
      </c>
      <c r="G263" s="20">
        <v>60</v>
      </c>
      <c r="H263" s="20"/>
      <c r="I263" s="20"/>
      <c r="J263" s="17">
        <f>F263*(G263+ (G263= 0))*(H263+ (H263= 0))*(I263+ (I263= 0))</f>
        <v>60</v>
      </c>
      <c r="K263" s="16"/>
      <c r="L263" s="16"/>
      <c r="M263" s="16"/>
    </row>
    <row r="264" spans="1:13" x14ac:dyDescent="0.3">
      <c r="A264" s="16"/>
      <c r="B264" s="16"/>
      <c r="C264" s="16"/>
      <c r="D264" s="19"/>
      <c r="E264" s="16"/>
      <c r="F264" s="16"/>
      <c r="G264" s="16"/>
      <c r="H264" s="16"/>
      <c r="I264" s="16"/>
      <c r="J264" s="13" t="s">
        <v>208</v>
      </c>
      <c r="K264" s="21">
        <f>SUM(J263:J263)</f>
        <v>60</v>
      </c>
      <c r="L264" s="22">
        <f>430.22*1.15</f>
        <v>494.75</v>
      </c>
      <c r="M264" s="23">
        <f>ROUND(L264*K264,2)</f>
        <v>29685</v>
      </c>
    </row>
    <row r="265" spans="1:13" ht="3" customHeight="1" x14ac:dyDescent="0.3">
      <c r="A265" s="24"/>
      <c r="B265" s="24"/>
      <c r="C265" s="24"/>
      <c r="D265" s="25"/>
      <c r="E265" s="24"/>
      <c r="F265" s="24"/>
      <c r="G265" s="24"/>
      <c r="H265" s="24"/>
      <c r="I265" s="24"/>
      <c r="J265" s="24"/>
      <c r="K265" s="24"/>
      <c r="L265" s="24"/>
      <c r="M265" s="24"/>
    </row>
    <row r="266" spans="1:13" x14ac:dyDescent="0.3">
      <c r="A266" s="13" t="s">
        <v>209</v>
      </c>
      <c r="B266" s="14" t="s">
        <v>21</v>
      </c>
      <c r="C266" s="14" t="s">
        <v>101</v>
      </c>
      <c r="D266" s="15" t="s">
        <v>210</v>
      </c>
      <c r="E266" s="16"/>
      <c r="F266" s="16"/>
      <c r="G266" s="16"/>
      <c r="H266" s="16"/>
      <c r="I266" s="16"/>
      <c r="J266" s="16"/>
      <c r="K266" s="17">
        <f>K269</f>
        <v>12</v>
      </c>
      <c r="L266" s="18">
        <f>L269</f>
        <v>145.72999999999999</v>
      </c>
      <c r="M266" s="18">
        <f>M269</f>
        <v>1748.76</v>
      </c>
    </row>
    <row r="267" spans="1:13" ht="75.599999999999994" x14ac:dyDescent="0.3">
      <c r="A267" s="16"/>
      <c r="B267" s="16"/>
      <c r="C267" s="16"/>
      <c r="D267" s="19" t="s">
        <v>211</v>
      </c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1:13" x14ac:dyDescent="0.3">
      <c r="A268" s="16"/>
      <c r="B268" s="16"/>
      <c r="C268" s="16"/>
      <c r="D268" s="19"/>
      <c r="E268" s="14" t="s">
        <v>18</v>
      </c>
      <c r="F268" s="16">
        <v>1</v>
      </c>
      <c r="G268" s="20">
        <v>12</v>
      </c>
      <c r="H268" s="20"/>
      <c r="I268" s="20"/>
      <c r="J268" s="17">
        <f>F268*(G268+ (G268= 0))*(H268+ (H268= 0))*(I268+ (I268= 0))</f>
        <v>12</v>
      </c>
      <c r="K268" s="16"/>
      <c r="L268" s="16"/>
      <c r="M268" s="16"/>
    </row>
    <row r="269" spans="1:13" x14ac:dyDescent="0.3">
      <c r="A269" s="16"/>
      <c r="B269" s="16"/>
      <c r="C269" s="16"/>
      <c r="D269" s="19"/>
      <c r="E269" s="16"/>
      <c r="F269" s="16"/>
      <c r="G269" s="16"/>
      <c r="H269" s="16"/>
      <c r="I269" s="16"/>
      <c r="J269" s="13" t="s">
        <v>212</v>
      </c>
      <c r="K269" s="21">
        <f>SUM(J268:J268)</f>
        <v>12</v>
      </c>
      <c r="L269" s="22">
        <f>126.72*1.15</f>
        <v>145.72999999999999</v>
      </c>
      <c r="M269" s="23">
        <f>ROUND(L269*K269,2)</f>
        <v>1748.76</v>
      </c>
    </row>
    <row r="270" spans="1:13" ht="3" customHeight="1" x14ac:dyDescent="0.3">
      <c r="A270" s="24"/>
      <c r="B270" s="24"/>
      <c r="C270" s="24"/>
      <c r="D270" s="25"/>
      <c r="E270" s="24"/>
      <c r="F270" s="24"/>
      <c r="G270" s="24"/>
      <c r="H270" s="24"/>
      <c r="I270" s="24"/>
      <c r="J270" s="24"/>
      <c r="K270" s="24"/>
      <c r="L270" s="24"/>
      <c r="M270" s="24"/>
    </row>
    <row r="271" spans="1:13" x14ac:dyDescent="0.3">
      <c r="A271" s="13" t="s">
        <v>213</v>
      </c>
      <c r="B271" s="14" t="s">
        <v>21</v>
      </c>
      <c r="C271" s="14" t="s">
        <v>101</v>
      </c>
      <c r="D271" s="15" t="s">
        <v>214</v>
      </c>
      <c r="E271" s="16"/>
      <c r="F271" s="16"/>
      <c r="G271" s="16"/>
      <c r="H271" s="16"/>
      <c r="I271" s="16"/>
      <c r="J271" s="16"/>
      <c r="K271" s="17">
        <f>K274</f>
        <v>12</v>
      </c>
      <c r="L271" s="18">
        <f>L274</f>
        <v>145.72999999999999</v>
      </c>
      <c r="M271" s="18">
        <f>M274</f>
        <v>1748.76</v>
      </c>
    </row>
    <row r="272" spans="1:13" ht="75.599999999999994" x14ac:dyDescent="0.3">
      <c r="A272" s="16"/>
      <c r="B272" s="16"/>
      <c r="C272" s="16"/>
      <c r="D272" s="19" t="s">
        <v>215</v>
      </c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1:13" x14ac:dyDescent="0.3">
      <c r="A273" s="16"/>
      <c r="B273" s="16"/>
      <c r="C273" s="16"/>
      <c r="D273" s="19"/>
      <c r="E273" s="14" t="s">
        <v>18</v>
      </c>
      <c r="F273" s="16">
        <v>1</v>
      </c>
      <c r="G273" s="20">
        <v>12</v>
      </c>
      <c r="H273" s="20"/>
      <c r="I273" s="20"/>
      <c r="J273" s="17">
        <f>F273*(G273+ (G273= 0))*(H273+ (H273= 0))*(I273+ (I273= 0))</f>
        <v>12</v>
      </c>
      <c r="K273" s="16"/>
      <c r="L273" s="16"/>
      <c r="M273" s="16"/>
    </row>
    <row r="274" spans="1:13" x14ac:dyDescent="0.3">
      <c r="A274" s="16"/>
      <c r="B274" s="16"/>
      <c r="C274" s="16"/>
      <c r="D274" s="19"/>
      <c r="E274" s="16"/>
      <c r="F274" s="16"/>
      <c r="G274" s="16"/>
      <c r="H274" s="16"/>
      <c r="I274" s="16"/>
      <c r="J274" s="13" t="s">
        <v>216</v>
      </c>
      <c r="K274" s="21">
        <f>SUM(J273:J273)</f>
        <v>12</v>
      </c>
      <c r="L274" s="22">
        <f>126.72*1.15</f>
        <v>145.72999999999999</v>
      </c>
      <c r="M274" s="23">
        <f>ROUND(L274*K274,2)</f>
        <v>1748.76</v>
      </c>
    </row>
    <row r="275" spans="1:13" ht="3" customHeight="1" x14ac:dyDescent="0.3">
      <c r="A275" s="24"/>
      <c r="B275" s="24"/>
      <c r="C275" s="24"/>
      <c r="D275" s="25"/>
      <c r="E275" s="24"/>
      <c r="F275" s="24"/>
      <c r="G275" s="24"/>
      <c r="H275" s="24"/>
      <c r="I275" s="24"/>
      <c r="J275" s="24"/>
      <c r="K275" s="24"/>
      <c r="L275" s="24"/>
      <c r="M275" s="24"/>
    </row>
    <row r="276" spans="1:13" ht="21.6" x14ac:dyDescent="0.3">
      <c r="A276" s="13" t="s">
        <v>217</v>
      </c>
      <c r="B276" s="14" t="s">
        <v>21</v>
      </c>
      <c r="C276" s="14" t="s">
        <v>101</v>
      </c>
      <c r="D276" s="15" t="s">
        <v>218</v>
      </c>
      <c r="E276" s="16"/>
      <c r="F276" s="16"/>
      <c r="G276" s="16"/>
      <c r="H276" s="16"/>
      <c r="I276" s="16"/>
      <c r="J276" s="16"/>
      <c r="K276" s="17">
        <f>K279</f>
        <v>147.80000000000001</v>
      </c>
      <c r="L276" s="18">
        <f>L279</f>
        <v>286.20999999999998</v>
      </c>
      <c r="M276" s="18">
        <f>M279</f>
        <v>42301.84</v>
      </c>
    </row>
    <row r="277" spans="1:13" ht="64.8" x14ac:dyDescent="0.3">
      <c r="A277" s="16"/>
      <c r="B277" s="16"/>
      <c r="C277" s="16"/>
      <c r="D277" s="19" t="s">
        <v>219</v>
      </c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x14ac:dyDescent="0.3">
      <c r="A278" s="16"/>
      <c r="B278" s="16"/>
      <c r="C278" s="16"/>
      <c r="D278" s="19"/>
      <c r="E278" s="14" t="s">
        <v>18</v>
      </c>
      <c r="F278" s="16">
        <v>1</v>
      </c>
      <c r="G278" s="20">
        <v>147.80000000000001</v>
      </c>
      <c r="H278" s="20"/>
      <c r="I278" s="20"/>
      <c r="J278" s="17">
        <f>F278*(G278+ (G278= 0))*(H278+ (H278= 0))*(I278+ (I278= 0))</f>
        <v>147.80000000000001</v>
      </c>
      <c r="K278" s="16"/>
      <c r="L278" s="16"/>
      <c r="M278" s="16"/>
    </row>
    <row r="279" spans="1:13" x14ac:dyDescent="0.3">
      <c r="A279" s="16"/>
      <c r="B279" s="16"/>
      <c r="C279" s="16"/>
      <c r="D279" s="19"/>
      <c r="E279" s="16"/>
      <c r="F279" s="16"/>
      <c r="G279" s="16"/>
      <c r="H279" s="16"/>
      <c r="I279" s="16"/>
      <c r="J279" s="13" t="s">
        <v>220</v>
      </c>
      <c r="K279" s="21">
        <f>SUM(J278:J278)</f>
        <v>147.80000000000001</v>
      </c>
      <c r="L279" s="22">
        <f>248.88*1.15</f>
        <v>286.20999999999998</v>
      </c>
      <c r="M279" s="23">
        <f>ROUND(L279*K279,2)</f>
        <v>42301.84</v>
      </c>
    </row>
    <row r="280" spans="1:13" ht="3" customHeight="1" x14ac:dyDescent="0.3">
      <c r="A280" s="24"/>
      <c r="B280" s="24"/>
      <c r="C280" s="24"/>
      <c r="D280" s="25"/>
      <c r="E280" s="24"/>
      <c r="F280" s="24"/>
      <c r="G280" s="24"/>
      <c r="H280" s="24"/>
      <c r="I280" s="24"/>
      <c r="J280" s="24"/>
      <c r="K280" s="24"/>
      <c r="L280" s="24"/>
      <c r="M280" s="24"/>
    </row>
    <row r="281" spans="1:13" x14ac:dyDescent="0.3">
      <c r="A281" s="13" t="s">
        <v>221</v>
      </c>
      <c r="B281" s="14" t="s">
        <v>21</v>
      </c>
      <c r="C281" s="14" t="s">
        <v>114</v>
      </c>
      <c r="D281" s="15" t="s">
        <v>222</v>
      </c>
      <c r="E281" s="16"/>
      <c r="F281" s="16"/>
      <c r="G281" s="16"/>
      <c r="H281" s="16"/>
      <c r="I281" s="16"/>
      <c r="J281" s="16"/>
      <c r="K281" s="17">
        <f>K284</f>
        <v>138.6</v>
      </c>
      <c r="L281" s="18">
        <f>L284</f>
        <v>163.79</v>
      </c>
      <c r="M281" s="18">
        <f>M284</f>
        <v>22701.29</v>
      </c>
    </row>
    <row r="282" spans="1:13" ht="162" x14ac:dyDescent="0.3">
      <c r="A282" s="16"/>
      <c r="B282" s="16"/>
      <c r="C282" s="16"/>
      <c r="D282" s="19" t="s">
        <v>223</v>
      </c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1:13" x14ac:dyDescent="0.3">
      <c r="A283" s="16"/>
      <c r="B283" s="16"/>
      <c r="C283" s="16"/>
      <c r="D283" s="19"/>
      <c r="E283" s="14" t="s">
        <v>18</v>
      </c>
      <c r="F283" s="16">
        <v>1</v>
      </c>
      <c r="G283" s="20">
        <v>138.6</v>
      </c>
      <c r="H283" s="20"/>
      <c r="I283" s="20"/>
      <c r="J283" s="17">
        <f>F283*(G283+ (G283= 0))*(H283+ (H283= 0))*(I283+ (I283= 0))</f>
        <v>138.6</v>
      </c>
      <c r="K283" s="16"/>
      <c r="L283" s="16"/>
      <c r="M283" s="16"/>
    </row>
    <row r="284" spans="1:13" x14ac:dyDescent="0.3">
      <c r="A284" s="16"/>
      <c r="B284" s="16"/>
      <c r="C284" s="16"/>
      <c r="D284" s="19"/>
      <c r="E284" s="16"/>
      <c r="F284" s="16"/>
      <c r="G284" s="16"/>
      <c r="H284" s="16"/>
      <c r="I284" s="16"/>
      <c r="J284" s="13" t="s">
        <v>224</v>
      </c>
      <c r="K284" s="21">
        <f>SUM(J283:J283)</f>
        <v>138.6</v>
      </c>
      <c r="L284" s="22">
        <f>142.43*1.15</f>
        <v>163.79</v>
      </c>
      <c r="M284" s="23">
        <f>ROUND(L284*K284,2)</f>
        <v>22701.29</v>
      </c>
    </row>
    <row r="285" spans="1:13" ht="3" customHeight="1" x14ac:dyDescent="0.3">
      <c r="A285" s="24"/>
      <c r="B285" s="24"/>
      <c r="C285" s="24"/>
      <c r="D285" s="25"/>
      <c r="E285" s="24"/>
      <c r="F285" s="24"/>
      <c r="G285" s="24"/>
      <c r="H285" s="24"/>
      <c r="I285" s="24"/>
      <c r="J285" s="24"/>
      <c r="K285" s="24"/>
      <c r="L285" s="24"/>
      <c r="M285" s="24"/>
    </row>
    <row r="286" spans="1:13" x14ac:dyDescent="0.3">
      <c r="A286" s="13" t="s">
        <v>225</v>
      </c>
      <c r="B286" s="14" t="s">
        <v>21</v>
      </c>
      <c r="C286" s="14" t="s">
        <v>114</v>
      </c>
      <c r="D286" s="15" t="s">
        <v>226</v>
      </c>
      <c r="E286" s="16"/>
      <c r="F286" s="16"/>
      <c r="G286" s="16"/>
      <c r="H286" s="16"/>
      <c r="I286" s="16"/>
      <c r="J286" s="16"/>
      <c r="K286" s="17">
        <f>K289</f>
        <v>60</v>
      </c>
      <c r="L286" s="18">
        <f>L289</f>
        <v>158.61000000000001</v>
      </c>
      <c r="M286" s="18">
        <f>M289</f>
        <v>9516.6</v>
      </c>
    </row>
    <row r="287" spans="1:13" ht="86.4" x14ac:dyDescent="0.3">
      <c r="A287" s="16"/>
      <c r="B287" s="16"/>
      <c r="C287" s="16"/>
      <c r="D287" s="19" t="s">
        <v>227</v>
      </c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1:13" x14ac:dyDescent="0.3">
      <c r="A288" s="16"/>
      <c r="B288" s="16"/>
      <c r="C288" s="16"/>
      <c r="D288" s="19"/>
      <c r="E288" s="14" t="s">
        <v>18</v>
      </c>
      <c r="F288" s="16">
        <v>1</v>
      </c>
      <c r="G288" s="20">
        <v>60</v>
      </c>
      <c r="H288" s="20"/>
      <c r="I288" s="20"/>
      <c r="J288" s="17">
        <f>F288*(G288+ (G288= 0))*(H288+ (H288= 0))*(I288+ (I288= 0))</f>
        <v>60</v>
      </c>
      <c r="K288" s="16"/>
      <c r="L288" s="16"/>
      <c r="M288" s="16"/>
    </row>
    <row r="289" spans="1:13" x14ac:dyDescent="0.3">
      <c r="A289" s="16"/>
      <c r="B289" s="16"/>
      <c r="C289" s="16"/>
      <c r="D289" s="19"/>
      <c r="E289" s="16"/>
      <c r="F289" s="16"/>
      <c r="G289" s="16"/>
      <c r="H289" s="16"/>
      <c r="I289" s="16"/>
      <c r="J289" s="13" t="s">
        <v>228</v>
      </c>
      <c r="K289" s="21">
        <f>SUM(J288:J288)</f>
        <v>60</v>
      </c>
      <c r="L289" s="22">
        <f>137.92*1.15</f>
        <v>158.61000000000001</v>
      </c>
      <c r="M289" s="23">
        <f>ROUND(L289*K289,2)</f>
        <v>9516.6</v>
      </c>
    </row>
    <row r="290" spans="1:13" ht="3" customHeight="1" x14ac:dyDescent="0.3">
      <c r="A290" s="24"/>
      <c r="B290" s="24"/>
      <c r="C290" s="24"/>
      <c r="D290" s="25"/>
      <c r="E290" s="24"/>
      <c r="F290" s="24"/>
      <c r="G290" s="24"/>
      <c r="H290" s="24"/>
      <c r="I290" s="24"/>
      <c r="J290" s="24"/>
      <c r="K290" s="24"/>
      <c r="L290" s="24"/>
      <c r="M290" s="24"/>
    </row>
    <row r="291" spans="1:13" x14ac:dyDescent="0.3">
      <c r="A291" s="13" t="s">
        <v>229</v>
      </c>
      <c r="B291" s="14" t="s">
        <v>21</v>
      </c>
      <c r="C291" s="14" t="s">
        <v>114</v>
      </c>
      <c r="D291" s="15" t="s">
        <v>230</v>
      </c>
      <c r="E291" s="16"/>
      <c r="F291" s="16"/>
      <c r="G291" s="16"/>
      <c r="H291" s="16"/>
      <c r="I291" s="16"/>
      <c r="J291" s="16"/>
      <c r="K291" s="17">
        <f>K294</f>
        <v>60</v>
      </c>
      <c r="L291" s="18">
        <f>L294</f>
        <v>306.85000000000002</v>
      </c>
      <c r="M291" s="18">
        <f>M294</f>
        <v>18411</v>
      </c>
    </row>
    <row r="292" spans="1:13" ht="86.4" x14ac:dyDescent="0.3">
      <c r="A292" s="16"/>
      <c r="B292" s="16"/>
      <c r="C292" s="16"/>
      <c r="D292" s="19" t="s">
        <v>231</v>
      </c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3" x14ac:dyDescent="0.3">
      <c r="A293" s="16"/>
      <c r="B293" s="16"/>
      <c r="C293" s="16"/>
      <c r="D293" s="19"/>
      <c r="E293" s="14" t="s">
        <v>18</v>
      </c>
      <c r="F293" s="16">
        <v>1</v>
      </c>
      <c r="G293" s="20">
        <v>60</v>
      </c>
      <c r="H293" s="20"/>
      <c r="I293" s="20"/>
      <c r="J293" s="17">
        <f>F293*(G293+ (G293= 0))*(H293+ (H293= 0))*(I293+ (I293= 0))</f>
        <v>60</v>
      </c>
      <c r="K293" s="16"/>
      <c r="L293" s="16"/>
      <c r="M293" s="16"/>
    </row>
    <row r="294" spans="1:13" x14ac:dyDescent="0.3">
      <c r="A294" s="16"/>
      <c r="B294" s="16"/>
      <c r="C294" s="16"/>
      <c r="D294" s="19"/>
      <c r="E294" s="16"/>
      <c r="F294" s="16"/>
      <c r="G294" s="16"/>
      <c r="H294" s="16"/>
      <c r="I294" s="16"/>
      <c r="J294" s="13" t="s">
        <v>232</v>
      </c>
      <c r="K294" s="21">
        <f>SUM(J293:J293)</f>
        <v>60</v>
      </c>
      <c r="L294" s="22">
        <f>266.83*1.15</f>
        <v>306.85000000000002</v>
      </c>
      <c r="M294" s="23">
        <f>ROUND(L294*K294,2)</f>
        <v>18411</v>
      </c>
    </row>
    <row r="295" spans="1:13" ht="3" customHeight="1" x14ac:dyDescent="0.3">
      <c r="A295" s="24"/>
      <c r="B295" s="24"/>
      <c r="C295" s="24"/>
      <c r="D295" s="25"/>
      <c r="E295" s="24"/>
      <c r="F295" s="24"/>
      <c r="G295" s="24"/>
      <c r="H295" s="24"/>
      <c r="I295" s="24"/>
      <c r="J295" s="24"/>
      <c r="K295" s="24"/>
      <c r="L295" s="24"/>
      <c r="M295" s="24"/>
    </row>
    <row r="296" spans="1:13" x14ac:dyDescent="0.3">
      <c r="A296" s="13" t="s">
        <v>233</v>
      </c>
      <c r="B296" s="14" t="s">
        <v>21</v>
      </c>
      <c r="C296" s="14" t="s">
        <v>114</v>
      </c>
      <c r="D296" s="15" t="s">
        <v>230</v>
      </c>
      <c r="E296" s="16"/>
      <c r="F296" s="16"/>
      <c r="G296" s="16"/>
      <c r="H296" s="16"/>
      <c r="I296" s="16"/>
      <c r="J296" s="16"/>
      <c r="K296" s="17">
        <f>K298</f>
        <v>1</v>
      </c>
      <c r="L296" s="18">
        <f>L298</f>
        <v>0.6</v>
      </c>
      <c r="M296" s="18">
        <f>M298</f>
        <v>0.6</v>
      </c>
    </row>
    <row r="297" spans="1:13" x14ac:dyDescent="0.3">
      <c r="A297" s="16"/>
      <c r="B297" s="16"/>
      <c r="C297" s="16"/>
      <c r="D297" s="19"/>
      <c r="E297" s="14" t="s">
        <v>18</v>
      </c>
      <c r="F297" s="16">
        <v>1</v>
      </c>
      <c r="G297" s="20"/>
      <c r="H297" s="20"/>
      <c r="I297" s="20"/>
      <c r="J297" s="17">
        <f>F297*(G297+ (G297= 0))*(H297+ (H297= 0))*(I297+ (I297= 0))</f>
        <v>1</v>
      </c>
      <c r="K297" s="16"/>
      <c r="L297" s="16"/>
      <c r="M297" s="16"/>
    </row>
    <row r="298" spans="1:13" x14ac:dyDescent="0.3">
      <c r="A298" s="16"/>
      <c r="B298" s="16"/>
      <c r="C298" s="16"/>
      <c r="D298" s="19"/>
      <c r="E298" s="16"/>
      <c r="F298" s="16"/>
      <c r="G298" s="16"/>
      <c r="H298" s="16"/>
      <c r="I298" s="16"/>
      <c r="J298" s="13" t="s">
        <v>234</v>
      </c>
      <c r="K298" s="21">
        <f>SUM(J297:J297)</f>
        <v>1</v>
      </c>
      <c r="L298" s="22">
        <f>0.52*1.15</f>
        <v>0.6</v>
      </c>
      <c r="M298" s="23">
        <f>ROUND(L298*K298,2)</f>
        <v>0.6</v>
      </c>
    </row>
    <row r="299" spans="1:13" ht="3" customHeight="1" x14ac:dyDescent="0.3">
      <c r="A299" s="24"/>
      <c r="B299" s="24"/>
      <c r="C299" s="24"/>
      <c r="D299" s="25"/>
      <c r="E299" s="24"/>
      <c r="F299" s="24"/>
      <c r="G299" s="24"/>
      <c r="H299" s="24"/>
      <c r="I299" s="24"/>
      <c r="J299" s="24"/>
      <c r="K299" s="24"/>
      <c r="L299" s="24"/>
      <c r="M299" s="24"/>
    </row>
    <row r="300" spans="1:13" x14ac:dyDescent="0.3">
      <c r="A300" s="13" t="s">
        <v>235</v>
      </c>
      <c r="B300" s="14" t="s">
        <v>21</v>
      </c>
      <c r="C300" s="14" t="s">
        <v>101</v>
      </c>
      <c r="D300" s="15" t="s">
        <v>236</v>
      </c>
      <c r="E300" s="16"/>
      <c r="F300" s="16"/>
      <c r="G300" s="16"/>
      <c r="H300" s="16"/>
      <c r="I300" s="16"/>
      <c r="J300" s="16"/>
      <c r="K300" s="17">
        <f>K303</f>
        <v>192</v>
      </c>
      <c r="L300" s="18">
        <f>L303</f>
        <v>104.86</v>
      </c>
      <c r="M300" s="18">
        <f>M303</f>
        <v>20133.12</v>
      </c>
    </row>
    <row r="301" spans="1:13" ht="86.4" x14ac:dyDescent="0.3">
      <c r="A301" s="16"/>
      <c r="B301" s="16"/>
      <c r="C301" s="16"/>
      <c r="D301" s="19" t="s">
        <v>237</v>
      </c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1:13" x14ac:dyDescent="0.3">
      <c r="A302" s="16"/>
      <c r="B302" s="16"/>
      <c r="C302" s="16"/>
      <c r="D302" s="19"/>
      <c r="E302" s="14" t="s">
        <v>18</v>
      </c>
      <c r="F302" s="16">
        <v>1</v>
      </c>
      <c r="G302" s="20">
        <v>192</v>
      </c>
      <c r="H302" s="20"/>
      <c r="I302" s="20"/>
      <c r="J302" s="17">
        <f>F302*(G302+ (G302= 0))*(H302+ (H302= 0))*(I302+ (I302= 0))</f>
        <v>192</v>
      </c>
      <c r="K302" s="16"/>
      <c r="L302" s="16"/>
      <c r="M302" s="16"/>
    </row>
    <row r="303" spans="1:13" x14ac:dyDescent="0.3">
      <c r="A303" s="16"/>
      <c r="B303" s="16"/>
      <c r="C303" s="16"/>
      <c r="D303" s="19"/>
      <c r="E303" s="16"/>
      <c r="F303" s="16"/>
      <c r="G303" s="16"/>
      <c r="H303" s="16"/>
      <c r="I303" s="16"/>
      <c r="J303" s="13" t="s">
        <v>238</v>
      </c>
      <c r="K303" s="21">
        <f>SUM(J302:J302)</f>
        <v>192</v>
      </c>
      <c r="L303" s="22">
        <f>91.18*1.15</f>
        <v>104.86</v>
      </c>
      <c r="M303" s="23">
        <f>ROUND(L303*K303,2)</f>
        <v>20133.12</v>
      </c>
    </row>
    <row r="304" spans="1:13" ht="3" customHeight="1" x14ac:dyDescent="0.3">
      <c r="A304" s="24"/>
      <c r="B304" s="24"/>
      <c r="C304" s="24"/>
      <c r="D304" s="25"/>
      <c r="E304" s="24"/>
      <c r="F304" s="24"/>
      <c r="G304" s="24"/>
      <c r="H304" s="24"/>
      <c r="I304" s="24"/>
      <c r="J304" s="24"/>
      <c r="K304" s="24"/>
      <c r="L304" s="24"/>
      <c r="M304" s="24"/>
    </row>
    <row r="305" spans="1:13" x14ac:dyDescent="0.3">
      <c r="A305" s="13" t="s">
        <v>239</v>
      </c>
      <c r="B305" s="14" t="s">
        <v>21</v>
      </c>
      <c r="C305" s="14" t="s">
        <v>114</v>
      </c>
      <c r="D305" s="15" t="s">
        <v>240</v>
      </c>
      <c r="E305" s="16"/>
      <c r="F305" s="16"/>
      <c r="G305" s="16"/>
      <c r="H305" s="16"/>
      <c r="I305" s="16"/>
      <c r="J305" s="16"/>
      <c r="K305" s="17">
        <f>K308</f>
        <v>111.5</v>
      </c>
      <c r="L305" s="18">
        <f>L308</f>
        <v>82.83</v>
      </c>
      <c r="M305" s="18">
        <f>M308</f>
        <v>9235.5499999999993</v>
      </c>
    </row>
    <row r="306" spans="1:13" ht="75.599999999999994" x14ac:dyDescent="0.3">
      <c r="A306" s="16"/>
      <c r="B306" s="16"/>
      <c r="C306" s="16"/>
      <c r="D306" s="19" t="s">
        <v>241</v>
      </c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13" x14ac:dyDescent="0.3">
      <c r="A307" s="16"/>
      <c r="B307" s="16"/>
      <c r="C307" s="16"/>
      <c r="D307" s="19"/>
      <c r="E307" s="14" t="s">
        <v>18</v>
      </c>
      <c r="F307" s="16">
        <v>1</v>
      </c>
      <c r="G307" s="20">
        <v>111.5</v>
      </c>
      <c r="H307" s="20"/>
      <c r="I307" s="20"/>
      <c r="J307" s="17">
        <f>F307*(G307+ (G307= 0))*(H307+ (H307= 0))*(I307+ (I307= 0))</f>
        <v>111.5</v>
      </c>
      <c r="K307" s="16"/>
      <c r="L307" s="16"/>
      <c r="M307" s="16"/>
    </row>
    <row r="308" spans="1:13" x14ac:dyDescent="0.3">
      <c r="A308" s="16"/>
      <c r="B308" s="16"/>
      <c r="C308" s="16"/>
      <c r="D308" s="19"/>
      <c r="E308" s="16"/>
      <c r="F308" s="16"/>
      <c r="G308" s="16"/>
      <c r="H308" s="16"/>
      <c r="I308" s="16"/>
      <c r="J308" s="13" t="s">
        <v>242</v>
      </c>
      <c r="K308" s="21">
        <f>SUM(J307:J307)</f>
        <v>111.5</v>
      </c>
      <c r="L308" s="22">
        <f>72.03*1.15</f>
        <v>82.83</v>
      </c>
      <c r="M308" s="23">
        <f>ROUND(L308*K308,2)</f>
        <v>9235.5499999999993</v>
      </c>
    </row>
    <row r="309" spans="1:13" ht="3" customHeight="1" x14ac:dyDescent="0.3">
      <c r="A309" s="24"/>
      <c r="B309" s="24"/>
      <c r="C309" s="24"/>
      <c r="D309" s="25"/>
      <c r="E309" s="24"/>
      <c r="F309" s="24"/>
      <c r="G309" s="24"/>
      <c r="H309" s="24"/>
      <c r="I309" s="24"/>
      <c r="J309" s="24"/>
      <c r="K309" s="24"/>
      <c r="L309" s="24"/>
      <c r="M309" s="24"/>
    </row>
    <row r="310" spans="1:13" x14ac:dyDescent="0.3">
      <c r="A310" s="13" t="s">
        <v>243</v>
      </c>
      <c r="B310" s="14" t="s">
        <v>21</v>
      </c>
      <c r="C310" s="14" t="s">
        <v>41</v>
      </c>
      <c r="D310" s="15" t="s">
        <v>244</v>
      </c>
      <c r="E310" s="16"/>
      <c r="F310" s="16"/>
      <c r="G310" s="16"/>
      <c r="H310" s="16"/>
      <c r="I310" s="16"/>
      <c r="J310" s="16"/>
      <c r="K310" s="17">
        <f>K313</f>
        <v>1</v>
      </c>
      <c r="L310" s="18">
        <f>L313</f>
        <v>2572.85</v>
      </c>
      <c r="M310" s="18">
        <f>M313</f>
        <v>2572.85</v>
      </c>
    </row>
    <row r="311" spans="1:13" ht="32.4" x14ac:dyDescent="0.3">
      <c r="A311" s="16"/>
      <c r="B311" s="16"/>
      <c r="C311" s="16"/>
      <c r="D311" s="19" t="s">
        <v>245</v>
      </c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x14ac:dyDescent="0.3">
      <c r="A312" s="16"/>
      <c r="B312" s="16"/>
      <c r="C312" s="16"/>
      <c r="D312" s="19"/>
      <c r="E312" s="14" t="s">
        <v>18</v>
      </c>
      <c r="F312" s="16">
        <v>1</v>
      </c>
      <c r="G312" s="20"/>
      <c r="H312" s="20"/>
      <c r="I312" s="20"/>
      <c r="J312" s="17">
        <f>F312*(G312+ (G312= 0))*(H312+ (H312= 0))*(I312+ (I312= 0))</f>
        <v>1</v>
      </c>
      <c r="K312" s="16"/>
      <c r="L312" s="16"/>
      <c r="M312" s="16"/>
    </row>
    <row r="313" spans="1:13" x14ac:dyDescent="0.3">
      <c r="A313" s="16"/>
      <c r="B313" s="16"/>
      <c r="C313" s="16"/>
      <c r="D313" s="19"/>
      <c r="E313" s="16"/>
      <c r="F313" s="16"/>
      <c r="G313" s="16"/>
      <c r="H313" s="16"/>
      <c r="I313" s="16"/>
      <c r="J313" s="13" t="s">
        <v>246</v>
      </c>
      <c r="K313" s="21">
        <f>SUM(J312:J312)</f>
        <v>1</v>
      </c>
      <c r="L313" s="22">
        <f>2237.26*1.15</f>
        <v>2572.85</v>
      </c>
      <c r="M313" s="23">
        <f>ROUND(L313*K313,2)</f>
        <v>2572.85</v>
      </c>
    </row>
    <row r="314" spans="1:13" ht="3" customHeight="1" x14ac:dyDescent="0.3">
      <c r="A314" s="24"/>
      <c r="B314" s="24"/>
      <c r="C314" s="24"/>
      <c r="D314" s="25"/>
      <c r="E314" s="24"/>
      <c r="F314" s="24"/>
      <c r="G314" s="24"/>
      <c r="H314" s="24"/>
      <c r="I314" s="24"/>
      <c r="J314" s="24"/>
      <c r="K314" s="24"/>
      <c r="L314" s="24"/>
      <c r="M314" s="24"/>
    </row>
    <row r="315" spans="1:13" x14ac:dyDescent="0.3">
      <c r="A315" s="16"/>
      <c r="B315" s="16"/>
      <c r="C315" s="16"/>
      <c r="D315" s="19"/>
      <c r="E315" s="16"/>
      <c r="F315" s="16"/>
      <c r="G315" s="16"/>
      <c r="H315" s="16"/>
      <c r="I315" s="16"/>
      <c r="J315" s="13" t="s">
        <v>247</v>
      </c>
      <c r="K315" s="26">
        <v>1</v>
      </c>
      <c r="L315" s="23">
        <f>M259+M264+M269+M274+M279+M284+M289+M294+M298+M303+M308+M313</f>
        <v>173387.17</v>
      </c>
      <c r="M315" s="23">
        <f>ROUND(L315*K315,2)</f>
        <v>173387.17</v>
      </c>
    </row>
    <row r="316" spans="1:13" ht="3" customHeight="1" x14ac:dyDescent="0.3">
      <c r="A316" s="24"/>
      <c r="B316" s="24"/>
      <c r="C316" s="24"/>
      <c r="D316" s="25"/>
      <c r="E316" s="24"/>
      <c r="F316" s="24"/>
      <c r="G316" s="24"/>
      <c r="H316" s="24"/>
      <c r="I316" s="24"/>
      <c r="J316" s="24"/>
      <c r="K316" s="24"/>
      <c r="L316" s="24"/>
      <c r="M316" s="24"/>
    </row>
    <row r="317" spans="1:13" x14ac:dyDescent="0.3">
      <c r="A317" s="27" t="s">
        <v>248</v>
      </c>
      <c r="B317" s="27" t="s">
        <v>17</v>
      </c>
      <c r="C317" s="27" t="s">
        <v>18</v>
      </c>
      <c r="D317" s="28" t="s">
        <v>249</v>
      </c>
      <c r="E317" s="29"/>
      <c r="F317" s="29"/>
      <c r="G317" s="29"/>
      <c r="H317" s="29"/>
      <c r="I317" s="29"/>
      <c r="J317" s="29"/>
      <c r="K317" s="30">
        <f>K328</f>
        <v>1</v>
      </c>
      <c r="L317" s="23">
        <f>L328</f>
        <v>72676.100000000006</v>
      </c>
      <c r="M317" s="23">
        <f>M328</f>
        <v>72676.100000000006</v>
      </c>
    </row>
    <row r="318" spans="1:13" x14ac:dyDescent="0.3">
      <c r="A318" s="13" t="s">
        <v>250</v>
      </c>
      <c r="B318" s="14" t="s">
        <v>21</v>
      </c>
      <c r="C318" s="14" t="s">
        <v>114</v>
      </c>
      <c r="D318" s="15" t="s">
        <v>251</v>
      </c>
      <c r="E318" s="16"/>
      <c r="F318" s="16"/>
      <c r="G318" s="16"/>
      <c r="H318" s="16"/>
      <c r="I318" s="16"/>
      <c r="J318" s="16"/>
      <c r="K318" s="17">
        <f>K321</f>
        <v>10</v>
      </c>
      <c r="L318" s="18">
        <f>L321</f>
        <v>1210.6099999999999</v>
      </c>
      <c r="M318" s="18">
        <f>M321</f>
        <v>12106.1</v>
      </c>
    </row>
    <row r="319" spans="1:13" ht="64.8" x14ac:dyDescent="0.3">
      <c r="A319" s="16"/>
      <c r="B319" s="16"/>
      <c r="C319" s="16"/>
      <c r="D319" s="19" t="s">
        <v>252</v>
      </c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x14ac:dyDescent="0.3">
      <c r="A320" s="16"/>
      <c r="B320" s="16"/>
      <c r="C320" s="16"/>
      <c r="D320" s="19"/>
      <c r="E320" s="14" t="s">
        <v>18</v>
      </c>
      <c r="F320" s="16">
        <v>1</v>
      </c>
      <c r="G320" s="20">
        <v>10</v>
      </c>
      <c r="H320" s="20"/>
      <c r="I320" s="20"/>
      <c r="J320" s="17">
        <f>F320*(G320+ (G320= 0))*(H320+ (H320= 0))*(I320+ (I320= 0))</f>
        <v>10</v>
      </c>
      <c r="K320" s="16"/>
      <c r="L320" s="16"/>
      <c r="M320" s="16"/>
    </row>
    <row r="321" spans="1:13" x14ac:dyDescent="0.3">
      <c r="A321" s="16"/>
      <c r="B321" s="16"/>
      <c r="C321" s="16"/>
      <c r="D321" s="19"/>
      <c r="E321" s="16"/>
      <c r="F321" s="16"/>
      <c r="G321" s="16"/>
      <c r="H321" s="16"/>
      <c r="I321" s="16"/>
      <c r="J321" s="13" t="s">
        <v>253</v>
      </c>
      <c r="K321" s="21">
        <f>SUM(J320:J320)</f>
        <v>10</v>
      </c>
      <c r="L321" s="22">
        <f>1052.7*1.15</f>
        <v>1210.6099999999999</v>
      </c>
      <c r="M321" s="23">
        <f>ROUND(L321*K321,2)</f>
        <v>12106.1</v>
      </c>
    </row>
    <row r="322" spans="1:13" ht="3" customHeight="1" x14ac:dyDescent="0.3">
      <c r="A322" s="24"/>
      <c r="B322" s="24"/>
      <c r="C322" s="24"/>
      <c r="D322" s="25"/>
      <c r="E322" s="24"/>
      <c r="F322" s="24"/>
      <c r="G322" s="24"/>
      <c r="H322" s="24"/>
      <c r="I322" s="24"/>
      <c r="J322" s="24"/>
      <c r="K322" s="24"/>
      <c r="L322" s="24"/>
      <c r="M322" s="24"/>
    </row>
    <row r="323" spans="1:13" x14ac:dyDescent="0.3">
      <c r="A323" s="13" t="s">
        <v>254</v>
      </c>
      <c r="B323" s="14" t="s">
        <v>21</v>
      </c>
      <c r="C323" s="14" t="s">
        <v>114</v>
      </c>
      <c r="D323" s="15" t="s">
        <v>255</v>
      </c>
      <c r="E323" s="16"/>
      <c r="F323" s="16"/>
      <c r="G323" s="16"/>
      <c r="H323" s="16"/>
      <c r="I323" s="16"/>
      <c r="J323" s="16"/>
      <c r="K323" s="17">
        <f>K326</f>
        <v>50</v>
      </c>
      <c r="L323" s="18">
        <f>L326</f>
        <v>1211.4000000000001</v>
      </c>
      <c r="M323" s="18">
        <f>M326</f>
        <v>60570</v>
      </c>
    </row>
    <row r="324" spans="1:13" ht="75.599999999999994" x14ac:dyDescent="0.3">
      <c r="A324" s="16"/>
      <c r="B324" s="16"/>
      <c r="C324" s="16"/>
      <c r="D324" s="19" t="s">
        <v>256</v>
      </c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x14ac:dyDescent="0.3">
      <c r="A325" s="16"/>
      <c r="B325" s="16"/>
      <c r="C325" s="16"/>
      <c r="D325" s="19"/>
      <c r="E325" s="14" t="s">
        <v>18</v>
      </c>
      <c r="F325" s="16">
        <v>1</v>
      </c>
      <c r="G325" s="20">
        <v>50</v>
      </c>
      <c r="H325" s="20"/>
      <c r="I325" s="20"/>
      <c r="J325" s="17">
        <f>F325*(G325+ (G325= 0))*(H325+ (H325= 0))*(I325+ (I325= 0))</f>
        <v>50</v>
      </c>
      <c r="K325" s="16"/>
      <c r="L325" s="16"/>
      <c r="M325" s="16"/>
    </row>
    <row r="326" spans="1:13" x14ac:dyDescent="0.3">
      <c r="A326" s="16"/>
      <c r="B326" s="16"/>
      <c r="C326" s="16"/>
      <c r="D326" s="19"/>
      <c r="E326" s="16"/>
      <c r="F326" s="16"/>
      <c r="G326" s="16"/>
      <c r="H326" s="16"/>
      <c r="I326" s="16"/>
      <c r="J326" s="13" t="s">
        <v>257</v>
      </c>
      <c r="K326" s="21">
        <f>SUM(J325:J325)</f>
        <v>50</v>
      </c>
      <c r="L326" s="22">
        <f>1053.39*1.15</f>
        <v>1211.4000000000001</v>
      </c>
      <c r="M326" s="23">
        <f>ROUND(L326*K326,2)</f>
        <v>60570</v>
      </c>
    </row>
    <row r="327" spans="1:13" ht="3" customHeight="1" x14ac:dyDescent="0.3">
      <c r="A327" s="24"/>
      <c r="B327" s="24"/>
      <c r="C327" s="24"/>
      <c r="D327" s="25"/>
      <c r="E327" s="24"/>
      <c r="F327" s="24"/>
      <c r="G327" s="24"/>
      <c r="H327" s="24"/>
      <c r="I327" s="24"/>
      <c r="J327" s="24"/>
      <c r="K327" s="24"/>
      <c r="L327" s="24"/>
      <c r="M327" s="24"/>
    </row>
    <row r="328" spans="1:13" x14ac:dyDescent="0.3">
      <c r="A328" s="16"/>
      <c r="B328" s="16"/>
      <c r="C328" s="16"/>
      <c r="D328" s="19"/>
      <c r="E328" s="16"/>
      <c r="F328" s="16"/>
      <c r="G328" s="16"/>
      <c r="H328" s="16"/>
      <c r="I328" s="16"/>
      <c r="J328" s="13" t="s">
        <v>258</v>
      </c>
      <c r="K328" s="26">
        <v>1</v>
      </c>
      <c r="L328" s="23">
        <f>M321+M326</f>
        <v>72676.100000000006</v>
      </c>
      <c r="M328" s="23">
        <f>ROUND(L328*K328,2)</f>
        <v>72676.100000000006</v>
      </c>
    </row>
    <row r="329" spans="1:13" ht="3" customHeight="1" x14ac:dyDescent="0.3">
      <c r="A329" s="24"/>
      <c r="B329" s="24"/>
      <c r="C329" s="24"/>
      <c r="D329" s="25"/>
      <c r="E329" s="24"/>
      <c r="F329" s="24"/>
      <c r="G329" s="24"/>
      <c r="H329" s="24"/>
      <c r="I329" s="24"/>
      <c r="J329" s="24"/>
      <c r="K329" s="24"/>
      <c r="L329" s="24"/>
      <c r="M329" s="24"/>
    </row>
    <row r="330" spans="1:13" x14ac:dyDescent="0.3">
      <c r="A330" s="27" t="s">
        <v>259</v>
      </c>
      <c r="B330" s="27" t="s">
        <v>17</v>
      </c>
      <c r="C330" s="27" t="s">
        <v>18</v>
      </c>
      <c r="D330" s="28" t="s">
        <v>260</v>
      </c>
      <c r="E330" s="29"/>
      <c r="F330" s="29"/>
      <c r="G330" s="29"/>
      <c r="H330" s="29"/>
      <c r="I330" s="29"/>
      <c r="J330" s="29"/>
      <c r="K330" s="30">
        <f>K336</f>
        <v>1</v>
      </c>
      <c r="L330" s="23">
        <f>L336</f>
        <v>4128.01</v>
      </c>
      <c r="M330" s="23">
        <f>M336</f>
        <v>4128.01</v>
      </c>
    </row>
    <row r="331" spans="1:13" ht="21.6" x14ac:dyDescent="0.3">
      <c r="A331" s="13" t="s">
        <v>261</v>
      </c>
      <c r="B331" s="14" t="s">
        <v>21</v>
      </c>
      <c r="C331" s="14" t="s">
        <v>41</v>
      </c>
      <c r="D331" s="15" t="s">
        <v>262</v>
      </c>
      <c r="E331" s="16"/>
      <c r="F331" s="16"/>
      <c r="G331" s="16"/>
      <c r="H331" s="16"/>
      <c r="I331" s="16"/>
      <c r="J331" s="16"/>
      <c r="K331" s="17">
        <f>K334</f>
        <v>1</v>
      </c>
      <c r="L331" s="18">
        <f>L334</f>
        <v>4128.01</v>
      </c>
      <c r="M331" s="18">
        <f>M334</f>
        <v>4128.01</v>
      </c>
    </row>
    <row r="332" spans="1:13" ht="54" x14ac:dyDescent="0.3">
      <c r="A332" s="16"/>
      <c r="B332" s="16"/>
      <c r="C332" s="16"/>
      <c r="D332" s="19" t="s">
        <v>263</v>
      </c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x14ac:dyDescent="0.3">
      <c r="A333" s="16"/>
      <c r="B333" s="16"/>
      <c r="C333" s="16"/>
      <c r="D333" s="19"/>
      <c r="E333" s="14" t="s">
        <v>18</v>
      </c>
      <c r="F333" s="16">
        <v>1</v>
      </c>
      <c r="G333" s="20"/>
      <c r="H333" s="20"/>
      <c r="I333" s="20"/>
      <c r="J333" s="17">
        <f>F333*(G333+ (G333= 0))*(H333+ (H333= 0))*(I333+ (I333= 0))</f>
        <v>1</v>
      </c>
      <c r="K333" s="16"/>
      <c r="L333" s="16"/>
      <c r="M333" s="16"/>
    </row>
    <row r="334" spans="1:13" x14ac:dyDescent="0.3">
      <c r="A334" s="16"/>
      <c r="B334" s="16"/>
      <c r="C334" s="16"/>
      <c r="D334" s="19"/>
      <c r="E334" s="16"/>
      <c r="F334" s="16"/>
      <c r="G334" s="16"/>
      <c r="H334" s="16"/>
      <c r="I334" s="16"/>
      <c r="J334" s="13" t="s">
        <v>264</v>
      </c>
      <c r="K334" s="21">
        <f>SUM(J333:J333)</f>
        <v>1</v>
      </c>
      <c r="L334" s="22">
        <f>3589.57*1.15</f>
        <v>4128.01</v>
      </c>
      <c r="M334" s="23">
        <f>ROUND(L334*K334,2)</f>
        <v>4128.01</v>
      </c>
    </row>
    <row r="335" spans="1:13" ht="3" customHeight="1" x14ac:dyDescent="0.3">
      <c r="A335" s="24"/>
      <c r="B335" s="24"/>
      <c r="C335" s="24"/>
      <c r="D335" s="25"/>
      <c r="E335" s="24"/>
      <c r="F335" s="24"/>
      <c r="G335" s="24"/>
      <c r="H335" s="24"/>
      <c r="I335" s="24"/>
      <c r="J335" s="24"/>
      <c r="K335" s="24"/>
      <c r="L335" s="24"/>
      <c r="M335" s="24"/>
    </row>
    <row r="336" spans="1:13" x14ac:dyDescent="0.3">
      <c r="A336" s="16"/>
      <c r="B336" s="16"/>
      <c r="C336" s="16"/>
      <c r="D336" s="19"/>
      <c r="E336" s="16"/>
      <c r="F336" s="16"/>
      <c r="G336" s="16"/>
      <c r="H336" s="16"/>
      <c r="I336" s="16"/>
      <c r="J336" s="13" t="s">
        <v>265</v>
      </c>
      <c r="K336" s="26">
        <v>1</v>
      </c>
      <c r="L336" s="23">
        <f>M334</f>
        <v>4128.01</v>
      </c>
      <c r="M336" s="23">
        <f>ROUND(L336*K336,2)</f>
        <v>4128.01</v>
      </c>
    </row>
    <row r="337" spans="1:13" ht="3" customHeight="1" x14ac:dyDescent="0.3">
      <c r="A337" s="24"/>
      <c r="B337" s="24"/>
      <c r="C337" s="24"/>
      <c r="D337" s="25"/>
      <c r="E337" s="24"/>
      <c r="F337" s="24"/>
      <c r="G337" s="24"/>
      <c r="H337" s="24"/>
      <c r="I337" s="24"/>
      <c r="J337" s="24"/>
      <c r="K337" s="24"/>
      <c r="L337" s="24"/>
      <c r="M337" s="24"/>
    </row>
    <row r="338" spans="1:13" x14ac:dyDescent="0.3">
      <c r="A338" s="27" t="s">
        <v>266</v>
      </c>
      <c r="B338" s="27" t="s">
        <v>17</v>
      </c>
      <c r="C338" s="27" t="s">
        <v>18</v>
      </c>
      <c r="D338" s="28" t="s">
        <v>267</v>
      </c>
      <c r="E338" s="29"/>
      <c r="F338" s="29"/>
      <c r="G338" s="29"/>
      <c r="H338" s="29"/>
      <c r="I338" s="29"/>
      <c r="J338" s="29"/>
      <c r="K338" s="30">
        <f>K354</f>
        <v>1</v>
      </c>
      <c r="L338" s="23">
        <f>L354</f>
        <v>2711.18</v>
      </c>
      <c r="M338" s="23">
        <f>M354</f>
        <v>2711.18</v>
      </c>
    </row>
    <row r="339" spans="1:13" x14ac:dyDescent="0.3">
      <c r="A339" s="13" t="s">
        <v>268</v>
      </c>
      <c r="B339" s="14" t="s">
        <v>21</v>
      </c>
      <c r="C339" s="14" t="s">
        <v>41</v>
      </c>
      <c r="D339" s="15" t="s">
        <v>269</v>
      </c>
      <c r="E339" s="16"/>
      <c r="F339" s="16"/>
      <c r="G339" s="16"/>
      <c r="H339" s="16"/>
      <c r="I339" s="16"/>
      <c r="J339" s="16"/>
      <c r="K339" s="17">
        <f>K342</f>
        <v>1</v>
      </c>
      <c r="L339" s="18">
        <f>L342</f>
        <v>1432.38</v>
      </c>
      <c r="M339" s="18">
        <f>M342</f>
        <v>1432.38</v>
      </c>
    </row>
    <row r="340" spans="1:13" ht="43.2" x14ac:dyDescent="0.3">
      <c r="A340" s="16"/>
      <c r="B340" s="16"/>
      <c r="C340" s="16"/>
      <c r="D340" s="19" t="s">
        <v>270</v>
      </c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x14ac:dyDescent="0.3">
      <c r="A341" s="16"/>
      <c r="B341" s="16"/>
      <c r="C341" s="16"/>
      <c r="D341" s="19"/>
      <c r="E341" s="14" t="s">
        <v>18</v>
      </c>
      <c r="F341" s="16">
        <v>1</v>
      </c>
      <c r="G341" s="20"/>
      <c r="H341" s="20"/>
      <c r="I341" s="20"/>
      <c r="J341" s="17">
        <f>F341*(G341+ (G341= 0))*(H341+ (H341= 0))*(I341+ (I341= 0))</f>
        <v>1</v>
      </c>
      <c r="K341" s="16"/>
      <c r="L341" s="16"/>
      <c r="M341" s="16"/>
    </row>
    <row r="342" spans="1:13" x14ac:dyDescent="0.3">
      <c r="A342" s="16"/>
      <c r="B342" s="16"/>
      <c r="C342" s="16"/>
      <c r="D342" s="19"/>
      <c r="E342" s="16"/>
      <c r="F342" s="16"/>
      <c r="G342" s="16"/>
      <c r="H342" s="16"/>
      <c r="I342" s="16"/>
      <c r="J342" s="13" t="s">
        <v>271</v>
      </c>
      <c r="K342" s="21">
        <f>SUM(J341:J341)</f>
        <v>1</v>
      </c>
      <c r="L342" s="22">
        <f>1245.55*1.15</f>
        <v>1432.38</v>
      </c>
      <c r="M342" s="23">
        <f>ROUND(L342*K342,2)</f>
        <v>1432.38</v>
      </c>
    </row>
    <row r="343" spans="1:13" ht="3" customHeight="1" x14ac:dyDescent="0.3">
      <c r="A343" s="24"/>
      <c r="B343" s="24"/>
      <c r="C343" s="24"/>
      <c r="D343" s="25"/>
      <c r="E343" s="24"/>
      <c r="F343" s="24"/>
      <c r="G343" s="24"/>
      <c r="H343" s="24"/>
      <c r="I343" s="24"/>
      <c r="J343" s="24"/>
      <c r="K343" s="24"/>
      <c r="L343" s="24"/>
      <c r="M343" s="24"/>
    </row>
    <row r="344" spans="1:13" x14ac:dyDescent="0.3">
      <c r="A344" s="13" t="s">
        <v>272</v>
      </c>
      <c r="B344" s="14" t="s">
        <v>21</v>
      </c>
      <c r="C344" s="14" t="s">
        <v>114</v>
      </c>
      <c r="D344" s="15" t="s">
        <v>273</v>
      </c>
      <c r="E344" s="16"/>
      <c r="F344" s="16"/>
      <c r="G344" s="16"/>
      <c r="H344" s="16"/>
      <c r="I344" s="16"/>
      <c r="J344" s="16"/>
      <c r="K344" s="17">
        <f>K347</f>
        <v>2</v>
      </c>
      <c r="L344" s="18">
        <f>L347</f>
        <v>381.8</v>
      </c>
      <c r="M344" s="18">
        <f>M347</f>
        <v>763.6</v>
      </c>
    </row>
    <row r="345" spans="1:13" ht="75.599999999999994" x14ac:dyDescent="0.3">
      <c r="A345" s="16"/>
      <c r="B345" s="16"/>
      <c r="C345" s="16"/>
      <c r="D345" s="19" t="s">
        <v>274</v>
      </c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x14ac:dyDescent="0.3">
      <c r="A346" s="16"/>
      <c r="B346" s="16"/>
      <c r="C346" s="16"/>
      <c r="D346" s="19"/>
      <c r="E346" s="14" t="s">
        <v>18</v>
      </c>
      <c r="F346" s="16">
        <v>2</v>
      </c>
      <c r="G346" s="20"/>
      <c r="H346" s="20"/>
      <c r="I346" s="20"/>
      <c r="J346" s="17">
        <f>F346*(G346+ (G346= 0))*(H346+ (H346= 0))*(I346+ (I346= 0))</f>
        <v>2</v>
      </c>
      <c r="K346" s="16"/>
      <c r="L346" s="16"/>
      <c r="M346" s="16"/>
    </row>
    <row r="347" spans="1:13" x14ac:dyDescent="0.3">
      <c r="A347" s="16"/>
      <c r="B347" s="16"/>
      <c r="C347" s="16"/>
      <c r="D347" s="19"/>
      <c r="E347" s="16"/>
      <c r="F347" s="16"/>
      <c r="G347" s="16"/>
      <c r="H347" s="16"/>
      <c r="I347" s="16"/>
      <c r="J347" s="13" t="s">
        <v>275</v>
      </c>
      <c r="K347" s="21">
        <f>SUM(J346:J346)</f>
        <v>2</v>
      </c>
      <c r="L347" s="22">
        <f>332*1.15</f>
        <v>381.8</v>
      </c>
      <c r="M347" s="23">
        <f>ROUND(L347*K347,2)</f>
        <v>763.6</v>
      </c>
    </row>
    <row r="348" spans="1:13" ht="3" customHeight="1" x14ac:dyDescent="0.3">
      <c r="A348" s="24"/>
      <c r="B348" s="24"/>
      <c r="C348" s="24"/>
      <c r="D348" s="25"/>
      <c r="E348" s="24"/>
      <c r="F348" s="24"/>
      <c r="G348" s="24"/>
      <c r="H348" s="24"/>
      <c r="I348" s="24"/>
      <c r="J348" s="24"/>
      <c r="K348" s="24"/>
      <c r="L348" s="24"/>
      <c r="M348" s="24"/>
    </row>
    <row r="349" spans="1:13" x14ac:dyDescent="0.3">
      <c r="A349" s="13" t="s">
        <v>276</v>
      </c>
      <c r="B349" s="14" t="s">
        <v>21</v>
      </c>
      <c r="C349" s="14" t="s">
        <v>114</v>
      </c>
      <c r="D349" s="15" t="s">
        <v>277</v>
      </c>
      <c r="E349" s="16"/>
      <c r="F349" s="16"/>
      <c r="G349" s="16"/>
      <c r="H349" s="16"/>
      <c r="I349" s="16"/>
      <c r="J349" s="16"/>
      <c r="K349" s="17">
        <f>K352</f>
        <v>2</v>
      </c>
      <c r="L349" s="18">
        <f>L352</f>
        <v>257.60000000000002</v>
      </c>
      <c r="M349" s="18">
        <f>M352</f>
        <v>515.20000000000005</v>
      </c>
    </row>
    <row r="350" spans="1:13" ht="54" x14ac:dyDescent="0.3">
      <c r="A350" s="16"/>
      <c r="B350" s="16"/>
      <c r="C350" s="16"/>
      <c r="D350" s="19" t="s">
        <v>278</v>
      </c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x14ac:dyDescent="0.3">
      <c r="A351" s="16"/>
      <c r="B351" s="16"/>
      <c r="C351" s="16"/>
      <c r="D351" s="19"/>
      <c r="E351" s="14" t="s">
        <v>18</v>
      </c>
      <c r="F351" s="16">
        <v>2</v>
      </c>
      <c r="G351" s="20"/>
      <c r="H351" s="20"/>
      <c r="I351" s="20"/>
      <c r="J351" s="17">
        <f>F351*(G351+ (G351= 0))*(H351+ (H351= 0))*(I351+ (I351= 0))</f>
        <v>2</v>
      </c>
      <c r="K351" s="16"/>
      <c r="L351" s="16"/>
      <c r="M351" s="16"/>
    </row>
    <row r="352" spans="1:13" x14ac:dyDescent="0.3">
      <c r="A352" s="16"/>
      <c r="B352" s="16"/>
      <c r="C352" s="16"/>
      <c r="D352" s="19"/>
      <c r="E352" s="16"/>
      <c r="F352" s="16"/>
      <c r="G352" s="16"/>
      <c r="H352" s="16"/>
      <c r="I352" s="16"/>
      <c r="J352" s="13" t="s">
        <v>279</v>
      </c>
      <c r="K352" s="21">
        <f>SUM(J351:J351)</f>
        <v>2</v>
      </c>
      <c r="L352" s="22">
        <f>224*1.15</f>
        <v>257.60000000000002</v>
      </c>
      <c r="M352" s="23">
        <f>ROUND(L352*K352,2)</f>
        <v>515.20000000000005</v>
      </c>
    </row>
    <row r="353" spans="1:13" ht="3" customHeight="1" x14ac:dyDescent="0.3">
      <c r="A353" s="24"/>
      <c r="B353" s="24"/>
      <c r="C353" s="24"/>
      <c r="D353" s="25"/>
      <c r="E353" s="24"/>
      <c r="F353" s="24"/>
      <c r="G353" s="24"/>
      <c r="H353" s="24"/>
      <c r="I353" s="24"/>
      <c r="J353" s="24"/>
      <c r="K353" s="24"/>
      <c r="L353" s="24"/>
      <c r="M353" s="24"/>
    </row>
    <row r="354" spans="1:13" x14ac:dyDescent="0.3">
      <c r="A354" s="16"/>
      <c r="B354" s="16"/>
      <c r="C354" s="16"/>
      <c r="D354" s="19"/>
      <c r="E354" s="16"/>
      <c r="F354" s="16"/>
      <c r="G354" s="16"/>
      <c r="H354" s="16"/>
      <c r="I354" s="16"/>
      <c r="J354" s="13" t="s">
        <v>280</v>
      </c>
      <c r="K354" s="26">
        <v>1</v>
      </c>
      <c r="L354" s="23">
        <f>M342+M347+M352</f>
        <v>2711.18</v>
      </c>
      <c r="M354" s="23">
        <f>ROUND(L354*K354,2)</f>
        <v>2711.18</v>
      </c>
    </row>
    <row r="355" spans="1:13" ht="3" customHeight="1" x14ac:dyDescent="0.3">
      <c r="A355" s="24"/>
      <c r="B355" s="24"/>
      <c r="C355" s="24"/>
      <c r="D355" s="25"/>
      <c r="E355" s="24"/>
      <c r="F355" s="24"/>
      <c r="G355" s="24"/>
      <c r="H355" s="24"/>
      <c r="I355" s="24"/>
      <c r="J355" s="24"/>
      <c r="K355" s="24"/>
      <c r="L355" s="24"/>
      <c r="M355" s="24"/>
    </row>
    <row r="356" spans="1:13" x14ac:dyDescent="0.3">
      <c r="A356" s="27" t="s">
        <v>281</v>
      </c>
      <c r="B356" s="27" t="s">
        <v>17</v>
      </c>
      <c r="C356" s="27" t="s">
        <v>18</v>
      </c>
      <c r="D356" s="28" t="s">
        <v>282</v>
      </c>
      <c r="E356" s="29"/>
      <c r="F356" s="29"/>
      <c r="G356" s="29"/>
      <c r="H356" s="29"/>
      <c r="I356" s="29"/>
      <c r="J356" s="29"/>
      <c r="K356" s="30">
        <f>K362</f>
        <v>1</v>
      </c>
      <c r="L356" s="23">
        <f>L362</f>
        <v>7420</v>
      </c>
      <c r="M356" s="23">
        <f>M362</f>
        <v>7420</v>
      </c>
    </row>
    <row r="357" spans="1:13" ht="21.6" x14ac:dyDescent="0.3">
      <c r="A357" s="13" t="s">
        <v>283</v>
      </c>
      <c r="B357" s="14" t="s">
        <v>21</v>
      </c>
      <c r="C357" s="14" t="s">
        <v>41</v>
      </c>
      <c r="D357" s="15" t="s">
        <v>284</v>
      </c>
      <c r="E357" s="16"/>
      <c r="F357" s="16"/>
      <c r="G357" s="16"/>
      <c r="H357" s="16"/>
      <c r="I357" s="16"/>
      <c r="J357" s="16"/>
      <c r="K357" s="17">
        <f>K360</f>
        <v>1</v>
      </c>
      <c r="L357" s="18">
        <f>L360</f>
        <v>7420</v>
      </c>
      <c r="M357" s="18">
        <f>M360</f>
        <v>7420</v>
      </c>
    </row>
    <row r="358" spans="1:13" ht="64.8" x14ac:dyDescent="0.3">
      <c r="A358" s="16"/>
      <c r="B358" s="16"/>
      <c r="C358" s="16"/>
      <c r="D358" s="19" t="s">
        <v>285</v>
      </c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x14ac:dyDescent="0.3">
      <c r="A359" s="16"/>
      <c r="B359" s="16"/>
      <c r="C359" s="16"/>
      <c r="D359" s="19"/>
      <c r="E359" s="14" t="s">
        <v>18</v>
      </c>
      <c r="F359" s="16">
        <v>1</v>
      </c>
      <c r="G359" s="20"/>
      <c r="H359" s="20"/>
      <c r="I359" s="20"/>
      <c r="J359" s="17">
        <f>F359*(G359+ (G359= 0))*(H359+ (H359= 0))*(I359+ (I359= 0))</f>
        <v>1</v>
      </c>
      <c r="K359" s="16"/>
      <c r="L359" s="16"/>
      <c r="M359" s="16"/>
    </row>
    <row r="360" spans="1:13" x14ac:dyDescent="0.3">
      <c r="A360" s="16"/>
      <c r="B360" s="16"/>
      <c r="C360" s="16"/>
      <c r="D360" s="19"/>
      <c r="E360" s="16"/>
      <c r="F360" s="16"/>
      <c r="G360" s="16"/>
      <c r="H360" s="16"/>
      <c r="I360" s="16"/>
      <c r="J360" s="13" t="s">
        <v>286</v>
      </c>
      <c r="K360" s="21">
        <f>SUM(J359:J359)</f>
        <v>1</v>
      </c>
      <c r="L360" s="22">
        <f>6452.17*1.15</f>
        <v>7420</v>
      </c>
      <c r="M360" s="23">
        <f>ROUND(L360*K360,2)</f>
        <v>7420</v>
      </c>
    </row>
    <row r="361" spans="1:13" ht="3" customHeight="1" x14ac:dyDescent="0.3">
      <c r="A361" s="24"/>
      <c r="B361" s="24"/>
      <c r="C361" s="24"/>
      <c r="D361" s="25"/>
      <c r="E361" s="24"/>
      <c r="F361" s="24"/>
      <c r="G361" s="24"/>
      <c r="H361" s="24"/>
      <c r="I361" s="24"/>
      <c r="J361" s="24"/>
      <c r="K361" s="24"/>
      <c r="L361" s="24"/>
      <c r="M361" s="24"/>
    </row>
    <row r="362" spans="1:13" x14ac:dyDescent="0.3">
      <c r="A362" s="16"/>
      <c r="B362" s="16"/>
      <c r="C362" s="16"/>
      <c r="D362" s="19"/>
      <c r="E362" s="16"/>
      <c r="F362" s="16"/>
      <c r="G362" s="16"/>
      <c r="H362" s="16"/>
      <c r="I362" s="16"/>
      <c r="J362" s="13" t="s">
        <v>287</v>
      </c>
      <c r="K362" s="26">
        <v>1</v>
      </c>
      <c r="L362" s="23">
        <f>M360</f>
        <v>7420</v>
      </c>
      <c r="M362" s="23">
        <f>ROUND(L362*K362,2)</f>
        <v>7420</v>
      </c>
    </row>
    <row r="363" spans="1:13" ht="3" customHeight="1" x14ac:dyDescent="0.3">
      <c r="A363" s="24"/>
      <c r="B363" s="24"/>
      <c r="C363" s="24"/>
      <c r="D363" s="25"/>
      <c r="E363" s="24"/>
      <c r="F363" s="24"/>
      <c r="G363" s="24"/>
      <c r="H363" s="24"/>
      <c r="I363" s="24"/>
      <c r="J363" s="24"/>
      <c r="K363" s="24"/>
      <c r="L363" s="24"/>
      <c r="M363" s="24"/>
    </row>
    <row r="364" spans="1:13" x14ac:dyDescent="0.3">
      <c r="A364" s="31"/>
      <c r="B364" s="31"/>
      <c r="C364" s="31"/>
      <c r="D364" s="32"/>
      <c r="E364" s="31"/>
      <c r="F364" s="31"/>
      <c r="G364" s="31"/>
      <c r="H364" s="31"/>
      <c r="I364" s="31"/>
      <c r="J364" s="33" t="s">
        <v>288</v>
      </c>
      <c r="K364" s="34">
        <v>1</v>
      </c>
      <c r="L364" s="35">
        <f>M59+M94+M133+M253+M315+M328+M336+M354+M362</f>
        <v>791679.68</v>
      </c>
      <c r="M364" s="35">
        <f>ROUND(L364*K364,2)</f>
        <v>791679.68</v>
      </c>
    </row>
    <row r="365" spans="1:13" x14ac:dyDescent="0.3">
      <c r="A365" s="3"/>
      <c r="B365" s="3"/>
      <c r="C365" s="3"/>
      <c r="D365" s="4"/>
      <c r="E365" s="3"/>
      <c r="F365" s="3"/>
      <c r="G365" s="3"/>
      <c r="H365" s="3"/>
      <c r="I365" s="3"/>
      <c r="J365" s="3"/>
      <c r="K365" s="3"/>
      <c r="L365" s="3"/>
      <c r="M365" s="3"/>
    </row>
  </sheetData>
  <dataValidations count="1">
    <dataValidation type="list" allowBlank="1" showInputMessage="1" showErrorMessage="1" sqref="B4:B65535" xr:uid="{ED05007F-3B0A-41CD-BDB2-C59A3C49183F}">
      <formula1>"Capítol,Partida,Mà d'obra,Maquinària,Material,Altres,"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Ferré Menéndez</dc:creator>
  <cp:lastModifiedBy>Eva Ferré Menéndez</cp:lastModifiedBy>
  <cp:lastPrinted>2024-10-28T16:14:53Z</cp:lastPrinted>
  <dcterms:created xsi:type="dcterms:W3CDTF">2024-10-28T16:13:04Z</dcterms:created>
  <dcterms:modified xsi:type="dcterms:W3CDTF">2025-02-11T11:19:39Z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ón Presto">
    <vt:lpwstr>1.0</vt:lpwstr>
  </property>
</Properties>
</file>