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b+r29-PRJ\370-RLLU\PE\DE\E1\AMID\EXCEL\"/>
    </mc:Choice>
  </mc:AlternateContent>
  <xr:revisionPtr revIDLastSave="0" documentId="13_ncr:1_{B63F0B47-7906-45E1-BAD5-DC779ED5EED4}" xr6:coauthVersionLast="47" xr6:coauthVersionMax="47" xr10:uidLastSave="{00000000-0000-0000-0000-000000000000}"/>
  <bookViews>
    <workbookView xWindow="-28920" yWindow="-120" windowWidth="29040" windowHeight="15840" xr2:uid="{00000000-000D-0000-FFFF-FFFF00000000}"/>
  </bookViews>
  <sheets>
    <sheet name="Hoja 1" sheetId="1" r:id="rId1"/>
  </sheets>
  <calcPr calcId="191029"/>
</workbook>
</file>

<file path=xl/calcChain.xml><?xml version="1.0" encoding="utf-8"?>
<calcChain xmlns="http://schemas.openxmlformats.org/spreadsheetml/2006/main">
  <c r="L418" i="1" l="1"/>
  <c r="K418" i="1"/>
  <c r="M418" i="1" s="1"/>
  <c r="M416" i="1"/>
  <c r="L420" i="1" s="1"/>
  <c r="L416" i="1"/>
  <c r="K416" i="1"/>
  <c r="L410" i="1"/>
  <c r="K410" i="1"/>
  <c r="M410" i="1" s="1"/>
  <c r="L408" i="1"/>
  <c r="K408" i="1"/>
  <c r="M408" i="1" s="1"/>
  <c r="L404" i="1"/>
  <c r="K404" i="1"/>
  <c r="M404" i="1" s="1"/>
  <c r="L406" i="1" s="1"/>
  <c r="L400" i="1"/>
  <c r="K400" i="1"/>
  <c r="M400" i="1" s="1"/>
  <c r="L398" i="1"/>
  <c r="M398" i="1" s="1"/>
  <c r="L402" i="1" s="1"/>
  <c r="K398" i="1"/>
  <c r="L392" i="1"/>
  <c r="K392" i="1"/>
  <c r="M392" i="1" s="1"/>
  <c r="L390" i="1"/>
  <c r="K390" i="1"/>
  <c r="M390" i="1" s="1"/>
  <c r="L394" i="1" s="1"/>
  <c r="L386" i="1"/>
  <c r="K386" i="1"/>
  <c r="M386" i="1" s="1"/>
  <c r="L384" i="1"/>
  <c r="M384" i="1" s="1"/>
  <c r="K384" i="1"/>
  <c r="L382" i="1"/>
  <c r="K382" i="1"/>
  <c r="M382" i="1" s="1"/>
  <c r="L380" i="1"/>
  <c r="K380" i="1"/>
  <c r="M380" i="1" s="1"/>
  <c r="M378" i="1"/>
  <c r="L378" i="1"/>
  <c r="K378" i="1"/>
  <c r="L376" i="1"/>
  <c r="K376" i="1"/>
  <c r="M376" i="1" s="1"/>
  <c r="L374" i="1"/>
  <c r="K374" i="1"/>
  <c r="M374" i="1" s="1"/>
  <c r="L370" i="1"/>
  <c r="K370" i="1"/>
  <c r="M370" i="1" s="1"/>
  <c r="M368" i="1"/>
  <c r="L372" i="1" s="1"/>
  <c r="L368" i="1"/>
  <c r="K368" i="1"/>
  <c r="L362" i="1"/>
  <c r="K362" i="1"/>
  <c r="M362" i="1" s="1"/>
  <c r="L364" i="1" s="1"/>
  <c r="L356" i="1"/>
  <c r="K356" i="1"/>
  <c r="M356" i="1" s="1"/>
  <c r="M354" i="1"/>
  <c r="L354" i="1"/>
  <c r="K354" i="1"/>
  <c r="L352" i="1"/>
  <c r="K352" i="1"/>
  <c r="M352" i="1" s="1"/>
  <c r="L350" i="1"/>
  <c r="M350" i="1" s="1"/>
  <c r="K350" i="1"/>
  <c r="M348" i="1"/>
  <c r="L348" i="1"/>
  <c r="K348" i="1"/>
  <c r="L346" i="1"/>
  <c r="K346" i="1"/>
  <c r="M346" i="1" s="1"/>
  <c r="M344" i="1"/>
  <c r="L344" i="1"/>
  <c r="K344" i="1"/>
  <c r="L342" i="1"/>
  <c r="K342" i="1"/>
  <c r="M342" i="1" s="1"/>
  <c r="L340" i="1"/>
  <c r="K340" i="1"/>
  <c r="M340" i="1" s="1"/>
  <c r="L335" i="1"/>
  <c r="M335" i="1" s="1"/>
  <c r="K335" i="1"/>
  <c r="L333" i="1"/>
  <c r="K333" i="1"/>
  <c r="M333" i="1" s="1"/>
  <c r="L331" i="1"/>
  <c r="K331" i="1"/>
  <c r="M331" i="1" s="1"/>
  <c r="M329" i="1"/>
  <c r="L329" i="1"/>
  <c r="K329" i="1"/>
  <c r="L325" i="1"/>
  <c r="M325" i="1" s="1"/>
  <c r="K325" i="1"/>
  <c r="M323" i="1"/>
  <c r="L323" i="1"/>
  <c r="K323" i="1"/>
  <c r="L321" i="1"/>
  <c r="K321" i="1"/>
  <c r="M321" i="1" s="1"/>
  <c r="M319" i="1"/>
  <c r="L319" i="1"/>
  <c r="K319" i="1"/>
  <c r="L317" i="1"/>
  <c r="K317" i="1"/>
  <c r="M317" i="1" s="1"/>
  <c r="L315" i="1"/>
  <c r="K315" i="1"/>
  <c r="M315" i="1" s="1"/>
  <c r="L313" i="1"/>
  <c r="M313" i="1" s="1"/>
  <c r="K313" i="1"/>
  <c r="L311" i="1"/>
  <c r="K311" i="1"/>
  <c r="M311" i="1" s="1"/>
  <c r="L309" i="1"/>
  <c r="M309" i="1" s="1"/>
  <c r="K309" i="1"/>
  <c r="M307" i="1"/>
  <c r="L307" i="1"/>
  <c r="K307" i="1"/>
  <c r="L305" i="1"/>
  <c r="K305" i="1"/>
  <c r="M305" i="1" s="1"/>
  <c r="M303" i="1"/>
  <c r="L303" i="1"/>
  <c r="K303" i="1"/>
  <c r="L301" i="1"/>
  <c r="K301" i="1"/>
  <c r="M301" i="1" s="1"/>
  <c r="L299" i="1"/>
  <c r="K299" i="1"/>
  <c r="M299" i="1" s="1"/>
  <c r="L297" i="1"/>
  <c r="M297" i="1" s="1"/>
  <c r="K297" i="1"/>
  <c r="L295" i="1"/>
  <c r="K295" i="1"/>
  <c r="M295" i="1" s="1"/>
  <c r="L293" i="1"/>
  <c r="M293" i="1" s="1"/>
  <c r="K293" i="1"/>
  <c r="M291" i="1"/>
  <c r="L291" i="1"/>
  <c r="K291" i="1"/>
  <c r="L289" i="1"/>
  <c r="K289" i="1"/>
  <c r="M289" i="1" s="1"/>
  <c r="M287" i="1"/>
  <c r="L287" i="1"/>
  <c r="K287" i="1"/>
  <c r="L285" i="1"/>
  <c r="K285" i="1"/>
  <c r="M285" i="1" s="1"/>
  <c r="L283" i="1"/>
  <c r="K283" i="1"/>
  <c r="M283" i="1" s="1"/>
  <c r="L281" i="1"/>
  <c r="K281" i="1"/>
  <c r="M281" i="1" s="1"/>
  <c r="L279" i="1"/>
  <c r="K279" i="1"/>
  <c r="M279" i="1" s="1"/>
  <c r="L277" i="1"/>
  <c r="M277" i="1" s="1"/>
  <c r="K277" i="1"/>
  <c r="L273" i="1"/>
  <c r="K273" i="1"/>
  <c r="M273" i="1" s="1"/>
  <c r="L271" i="1"/>
  <c r="K271" i="1"/>
  <c r="M271" i="1" s="1"/>
  <c r="L269" i="1"/>
  <c r="K269" i="1"/>
  <c r="M269" i="1" s="1"/>
  <c r="L267" i="1"/>
  <c r="M267" i="1" s="1"/>
  <c r="K267" i="1"/>
  <c r="M265" i="1"/>
  <c r="L265" i="1"/>
  <c r="K265" i="1"/>
  <c r="L263" i="1"/>
  <c r="K263" i="1"/>
  <c r="M263" i="1" s="1"/>
  <c r="M261" i="1"/>
  <c r="L261" i="1"/>
  <c r="K261" i="1"/>
  <c r="L259" i="1"/>
  <c r="K259" i="1"/>
  <c r="M259" i="1" s="1"/>
  <c r="L257" i="1"/>
  <c r="K257" i="1"/>
  <c r="M257" i="1" s="1"/>
  <c r="L253" i="1"/>
  <c r="K253" i="1"/>
  <c r="M253" i="1" s="1"/>
  <c r="M251" i="1"/>
  <c r="L251" i="1"/>
  <c r="K251" i="1"/>
  <c r="L249" i="1"/>
  <c r="K249" i="1"/>
  <c r="M249" i="1" s="1"/>
  <c r="L247" i="1"/>
  <c r="K247" i="1"/>
  <c r="M247" i="1" s="1"/>
  <c r="L245" i="1"/>
  <c r="M245" i="1" s="1"/>
  <c r="K245" i="1"/>
  <c r="L243" i="1"/>
  <c r="K243" i="1"/>
  <c r="M243" i="1" s="1"/>
  <c r="L241" i="1"/>
  <c r="M241" i="1" s="1"/>
  <c r="K241" i="1"/>
  <c r="M239" i="1"/>
  <c r="L239" i="1"/>
  <c r="K239" i="1"/>
  <c r="L237" i="1"/>
  <c r="K237" i="1"/>
  <c r="M237" i="1" s="1"/>
  <c r="M235" i="1"/>
  <c r="L235" i="1"/>
  <c r="K235" i="1"/>
  <c r="L233" i="1"/>
  <c r="K233" i="1"/>
  <c r="M233" i="1" s="1"/>
  <c r="M229" i="1"/>
  <c r="L229" i="1"/>
  <c r="K229" i="1"/>
  <c r="L227" i="1"/>
  <c r="K227" i="1"/>
  <c r="M227" i="1" s="1"/>
  <c r="M225" i="1"/>
  <c r="L225" i="1"/>
  <c r="K225" i="1"/>
  <c r="L223" i="1"/>
  <c r="K223" i="1"/>
  <c r="M223" i="1" s="1"/>
  <c r="L221" i="1"/>
  <c r="K221" i="1"/>
  <c r="M221" i="1" s="1"/>
  <c r="L219" i="1"/>
  <c r="M219" i="1" s="1"/>
  <c r="K219" i="1"/>
  <c r="L217" i="1"/>
  <c r="K217" i="1"/>
  <c r="M217" i="1" s="1"/>
  <c r="L215" i="1"/>
  <c r="M215" i="1" s="1"/>
  <c r="K215" i="1"/>
  <c r="M209" i="1"/>
  <c r="L209" i="1"/>
  <c r="K209" i="1"/>
  <c r="L207" i="1"/>
  <c r="K207" i="1"/>
  <c r="M207" i="1" s="1"/>
  <c r="M205" i="1"/>
  <c r="L205" i="1"/>
  <c r="K205" i="1"/>
  <c r="L203" i="1"/>
  <c r="K203" i="1"/>
  <c r="M203" i="1" s="1"/>
  <c r="L201" i="1"/>
  <c r="K201" i="1"/>
  <c r="M201" i="1" s="1"/>
  <c r="L197" i="1"/>
  <c r="K197" i="1"/>
  <c r="M197" i="1" s="1"/>
  <c r="M195" i="1"/>
  <c r="L195" i="1"/>
  <c r="K195" i="1"/>
  <c r="L193" i="1"/>
  <c r="K193" i="1"/>
  <c r="M193" i="1" s="1"/>
  <c r="L191" i="1"/>
  <c r="K191" i="1"/>
  <c r="M191" i="1" s="1"/>
  <c r="L189" i="1"/>
  <c r="M189" i="1" s="1"/>
  <c r="K189" i="1"/>
  <c r="L187" i="1"/>
  <c r="K187" i="1"/>
  <c r="M187" i="1" s="1"/>
  <c r="L185" i="1"/>
  <c r="M185" i="1" s="1"/>
  <c r="K185" i="1"/>
  <c r="M183" i="1"/>
  <c r="L183" i="1"/>
  <c r="K183" i="1"/>
  <c r="L181" i="1"/>
  <c r="K181" i="1"/>
  <c r="M181" i="1" s="1"/>
  <c r="L177" i="1"/>
  <c r="K177" i="1"/>
  <c r="M177" i="1" s="1"/>
  <c r="L175" i="1"/>
  <c r="M175" i="1" s="1"/>
  <c r="K175" i="1"/>
  <c r="M173" i="1"/>
  <c r="L173" i="1"/>
  <c r="K173" i="1"/>
  <c r="L171" i="1"/>
  <c r="K171" i="1"/>
  <c r="M171" i="1" s="1"/>
  <c r="M169" i="1"/>
  <c r="L169" i="1"/>
  <c r="K169" i="1"/>
  <c r="L167" i="1"/>
  <c r="K167" i="1"/>
  <c r="M167" i="1" s="1"/>
  <c r="L165" i="1"/>
  <c r="K165" i="1"/>
  <c r="M165" i="1" s="1"/>
  <c r="L161" i="1"/>
  <c r="K161" i="1"/>
  <c r="M161" i="1" s="1"/>
  <c r="M159" i="1"/>
  <c r="L159" i="1"/>
  <c r="K159" i="1"/>
  <c r="L157" i="1"/>
  <c r="K157" i="1"/>
  <c r="M157" i="1" s="1"/>
  <c r="M153" i="1"/>
  <c r="L153" i="1"/>
  <c r="K153" i="1"/>
  <c r="L151" i="1"/>
  <c r="K151" i="1"/>
  <c r="M151" i="1" s="1"/>
  <c r="M149" i="1"/>
  <c r="L149" i="1"/>
  <c r="K149" i="1"/>
  <c r="L147" i="1"/>
  <c r="K147" i="1"/>
  <c r="M147" i="1" s="1"/>
  <c r="L145" i="1"/>
  <c r="K145" i="1"/>
  <c r="M145" i="1" s="1"/>
  <c r="L143" i="1"/>
  <c r="M143" i="1" s="1"/>
  <c r="K143" i="1"/>
  <c r="L141" i="1"/>
  <c r="K141" i="1"/>
  <c r="M141" i="1" s="1"/>
  <c r="L137" i="1"/>
  <c r="K137" i="1"/>
  <c r="M137" i="1" s="1"/>
  <c r="L135" i="1"/>
  <c r="K135" i="1"/>
  <c r="M135" i="1" s="1"/>
  <c r="L133" i="1"/>
  <c r="M133" i="1" s="1"/>
  <c r="K133" i="1"/>
  <c r="L131" i="1"/>
  <c r="K131" i="1"/>
  <c r="M131" i="1" s="1"/>
  <c r="L129" i="1"/>
  <c r="M129" i="1" s="1"/>
  <c r="K129" i="1"/>
  <c r="M127" i="1"/>
  <c r="L127" i="1"/>
  <c r="K127" i="1"/>
  <c r="L125" i="1"/>
  <c r="K125" i="1"/>
  <c r="M125" i="1" s="1"/>
  <c r="M123" i="1"/>
  <c r="L123" i="1"/>
  <c r="K123" i="1"/>
  <c r="L121" i="1"/>
  <c r="K121" i="1"/>
  <c r="M121" i="1" s="1"/>
  <c r="L119" i="1"/>
  <c r="K119" i="1"/>
  <c r="M119" i="1" s="1"/>
  <c r="L117" i="1"/>
  <c r="M117" i="1" s="1"/>
  <c r="K117" i="1"/>
  <c r="L115" i="1"/>
  <c r="K115" i="1"/>
  <c r="M115" i="1" s="1"/>
  <c r="L113" i="1"/>
  <c r="M113" i="1" s="1"/>
  <c r="K113" i="1"/>
  <c r="M111" i="1"/>
  <c r="L111" i="1"/>
  <c r="K111" i="1"/>
  <c r="L107" i="1"/>
  <c r="M107" i="1" s="1"/>
  <c r="K107" i="1"/>
  <c r="L105" i="1"/>
  <c r="K105" i="1"/>
  <c r="M105" i="1" s="1"/>
  <c r="L103" i="1"/>
  <c r="M103" i="1" s="1"/>
  <c r="K103" i="1"/>
  <c r="M101" i="1"/>
  <c r="L101" i="1"/>
  <c r="K101" i="1"/>
  <c r="L99" i="1"/>
  <c r="K99" i="1"/>
  <c r="M99" i="1" s="1"/>
  <c r="L109" i="1" s="1"/>
  <c r="L95" i="1"/>
  <c r="K95" i="1"/>
  <c r="M95" i="1" s="1"/>
  <c r="L93" i="1"/>
  <c r="M93" i="1" s="1"/>
  <c r="K93" i="1"/>
  <c r="M91" i="1"/>
  <c r="L97" i="1" s="1"/>
  <c r="L91" i="1"/>
  <c r="K91" i="1"/>
  <c r="L85" i="1"/>
  <c r="K85" i="1"/>
  <c r="M85" i="1" s="1"/>
  <c r="M83" i="1"/>
  <c r="L83" i="1"/>
  <c r="K83" i="1"/>
  <c r="L81" i="1"/>
  <c r="K81" i="1"/>
  <c r="M81" i="1" s="1"/>
  <c r="L79" i="1"/>
  <c r="K79" i="1"/>
  <c r="M79" i="1" s="1"/>
  <c r="L77" i="1"/>
  <c r="M77" i="1" s="1"/>
  <c r="K77" i="1"/>
  <c r="M73" i="1"/>
  <c r="L73" i="1"/>
  <c r="K73" i="1"/>
  <c r="L71" i="1"/>
  <c r="K71" i="1"/>
  <c r="M71" i="1" s="1"/>
  <c r="L69" i="1"/>
  <c r="K69" i="1"/>
  <c r="M69" i="1" s="1"/>
  <c r="L67" i="1"/>
  <c r="M67" i="1" s="1"/>
  <c r="K67" i="1"/>
  <c r="L65" i="1"/>
  <c r="K65" i="1"/>
  <c r="M65" i="1" s="1"/>
  <c r="L63" i="1"/>
  <c r="M63" i="1" s="1"/>
  <c r="K63" i="1"/>
  <c r="M61" i="1"/>
  <c r="L61" i="1"/>
  <c r="K61" i="1"/>
  <c r="L59" i="1"/>
  <c r="K59" i="1"/>
  <c r="M59" i="1" s="1"/>
  <c r="M57" i="1"/>
  <c r="L57" i="1"/>
  <c r="K57" i="1"/>
  <c r="L55" i="1"/>
  <c r="K55" i="1"/>
  <c r="M55" i="1" s="1"/>
  <c r="L53" i="1"/>
  <c r="K53" i="1"/>
  <c r="M53" i="1" s="1"/>
  <c r="L51" i="1"/>
  <c r="M51" i="1" s="1"/>
  <c r="K51" i="1"/>
  <c r="L49" i="1"/>
  <c r="K49" i="1"/>
  <c r="M49" i="1" s="1"/>
  <c r="L47" i="1"/>
  <c r="M47" i="1" s="1"/>
  <c r="L75" i="1" s="1"/>
  <c r="K47" i="1"/>
  <c r="M45" i="1"/>
  <c r="L45" i="1"/>
  <c r="K45" i="1"/>
  <c r="L39" i="1"/>
  <c r="K39" i="1"/>
  <c r="M39" i="1" s="1"/>
  <c r="M37" i="1"/>
  <c r="L37" i="1"/>
  <c r="K37" i="1"/>
  <c r="L35" i="1"/>
  <c r="K35" i="1"/>
  <c r="M35" i="1" s="1"/>
  <c r="L33" i="1"/>
  <c r="K33" i="1"/>
  <c r="M33" i="1" s="1"/>
  <c r="L31" i="1"/>
  <c r="M31" i="1" s="1"/>
  <c r="K31" i="1"/>
  <c r="L29" i="1"/>
  <c r="K29" i="1"/>
  <c r="M29" i="1" s="1"/>
  <c r="L27" i="1"/>
  <c r="M27" i="1" s="1"/>
  <c r="K27" i="1"/>
  <c r="M25" i="1"/>
  <c r="L25" i="1"/>
  <c r="K25" i="1"/>
  <c r="L23" i="1"/>
  <c r="K23" i="1"/>
  <c r="M23" i="1" s="1"/>
  <c r="M21" i="1"/>
  <c r="L21" i="1"/>
  <c r="K21" i="1"/>
  <c r="L19" i="1"/>
  <c r="K19" i="1"/>
  <c r="M19" i="1" s="1"/>
  <c r="L17" i="1"/>
  <c r="K17" i="1"/>
  <c r="M17" i="1" s="1"/>
  <c r="L15" i="1"/>
  <c r="M15" i="1" s="1"/>
  <c r="K15" i="1"/>
  <c r="L13" i="1"/>
  <c r="K13" i="1"/>
  <c r="M13" i="1" s="1"/>
  <c r="L11" i="1"/>
  <c r="M11" i="1" s="1"/>
  <c r="K11" i="1"/>
  <c r="M9" i="1"/>
  <c r="L9" i="1"/>
  <c r="K9" i="1"/>
  <c r="L7" i="1"/>
  <c r="K7" i="1"/>
  <c r="M7" i="1" s="1"/>
  <c r="L87" i="1" l="1"/>
  <c r="L179" i="1"/>
  <c r="L199" i="1"/>
  <c r="L327" i="1"/>
  <c r="L358" i="1"/>
  <c r="M402" i="1"/>
  <c r="L397" i="1"/>
  <c r="M397" i="1" s="1"/>
  <c r="L155" i="1"/>
  <c r="L163" i="1"/>
  <c r="L231" i="1"/>
  <c r="L337" i="1"/>
  <c r="M372" i="1"/>
  <c r="L367" i="1"/>
  <c r="M367" i="1" s="1"/>
  <c r="M97" i="1"/>
  <c r="L90" i="1"/>
  <c r="M90" i="1" s="1"/>
  <c r="L255" i="1"/>
  <c r="L98" i="1"/>
  <c r="M98" i="1" s="1"/>
  <c r="M109" i="1"/>
  <c r="L275" i="1"/>
  <c r="L389" i="1"/>
  <c r="M389" i="1" s="1"/>
  <c r="M394" i="1"/>
  <c r="L403" i="1"/>
  <c r="M403" i="1" s="1"/>
  <c r="M406" i="1"/>
  <c r="M420" i="1"/>
  <c r="L415" i="1"/>
  <c r="M415" i="1" s="1"/>
  <c r="L139" i="1"/>
  <c r="L211" i="1"/>
  <c r="L388" i="1"/>
  <c r="M75" i="1"/>
  <c r="L44" i="1"/>
  <c r="M44" i="1" s="1"/>
  <c r="L41" i="1"/>
  <c r="M364" i="1"/>
  <c r="L365" i="1" s="1"/>
  <c r="L361" i="1"/>
  <c r="M361" i="1" s="1"/>
  <c r="L412" i="1"/>
  <c r="M155" i="1" l="1"/>
  <c r="L140" i="1"/>
  <c r="M140" i="1" s="1"/>
  <c r="L413" i="1"/>
  <c r="L339" i="1"/>
  <c r="M339" i="1" s="1"/>
  <c r="M358" i="1"/>
  <c r="L276" i="1"/>
  <c r="M276" i="1" s="1"/>
  <c r="M327" i="1"/>
  <c r="M255" i="1"/>
  <c r="L232" i="1"/>
  <c r="M232" i="1" s="1"/>
  <c r="L256" i="1"/>
  <c r="M256" i="1" s="1"/>
  <c r="M275" i="1"/>
  <c r="L328" i="1"/>
  <c r="M328" i="1" s="1"/>
  <c r="M337" i="1"/>
  <c r="L180" i="1"/>
  <c r="M180" i="1" s="1"/>
  <c r="M199" i="1"/>
  <c r="L6" i="1"/>
  <c r="M6" i="1" s="1"/>
  <c r="M41" i="1"/>
  <c r="L42" i="1" s="1"/>
  <c r="M388" i="1"/>
  <c r="L395" i="1" s="1"/>
  <c r="L373" i="1"/>
  <c r="M373" i="1" s="1"/>
  <c r="L200" i="1"/>
  <c r="M200" i="1" s="1"/>
  <c r="M211" i="1"/>
  <c r="M412" i="1"/>
  <c r="L407" i="1"/>
  <c r="M407" i="1" s="1"/>
  <c r="M179" i="1"/>
  <c r="L164" i="1"/>
  <c r="M164" i="1" s="1"/>
  <c r="L360" i="1"/>
  <c r="M360" i="1" s="1"/>
  <c r="M365" i="1"/>
  <c r="M139" i="1"/>
  <c r="L212" i="1" s="1"/>
  <c r="L110" i="1"/>
  <c r="M110" i="1" s="1"/>
  <c r="L214" i="1"/>
  <c r="M214" i="1" s="1"/>
  <c r="M231" i="1"/>
  <c r="M163" i="1"/>
  <c r="L156" i="1"/>
  <c r="M156" i="1" s="1"/>
  <c r="L76" i="1"/>
  <c r="M76" i="1" s="1"/>
  <c r="M87" i="1"/>
  <c r="L88" i="1" s="1"/>
  <c r="M88" i="1" l="1"/>
  <c r="L43" i="1"/>
  <c r="M43" i="1" s="1"/>
  <c r="L89" i="1"/>
  <c r="M89" i="1" s="1"/>
  <c r="M212" i="1"/>
  <c r="M395" i="1"/>
  <c r="L414" i="1" s="1"/>
  <c r="L366" i="1"/>
  <c r="M366" i="1" s="1"/>
  <c r="L396" i="1"/>
  <c r="M396" i="1" s="1"/>
  <c r="M413" i="1"/>
  <c r="M42" i="1"/>
  <c r="L5" i="1"/>
  <c r="M5" i="1" s="1"/>
  <c r="L338" i="1"/>
  <c r="L359" i="1" l="1"/>
  <c r="M359" i="1" s="1"/>
  <c r="M414" i="1"/>
  <c r="M338" i="1"/>
  <c r="L213" i="1"/>
  <c r="M213" i="1" s="1"/>
  <c r="L421" i="1"/>
  <c r="M421" i="1" l="1"/>
  <c r="L4" i="1"/>
  <c r="M4" i="1" s="1"/>
</calcChain>
</file>

<file path=xl/sharedStrings.xml><?xml version="1.0" encoding="utf-8"?>
<sst xmlns="http://schemas.openxmlformats.org/spreadsheetml/2006/main" count="1022" uniqueCount="1022">
  <si>
    <t>Obra:</t>
  </si>
  <si>
    <t>Presupuesto</t>
  </si>
  <si>
    <t>% C.I.</t>
  </si>
  <si>
    <t>Código</t>
  </si>
  <si>
    <t>Tipo</t>
  </si>
  <si>
    <t>Ud</t>
  </si>
  <si>
    <t>Resumen</t>
  </si>
  <si>
    <t>Cantidad</t>
  </si>
  <si>
    <t>Precio (€)</t>
  </si>
  <si>
    <t>Importe (€)</t>
  </si>
  <si>
    <t>370E_INSTAL_DISSECIONES_PRECIO A</t>
  </si>
  <si>
    <t>Capítulo</t>
  </si>
  <si>
    <t>Presupuesto UDL DISECCIONES</t>
  </si>
  <si>
    <t>01.01</t>
  </si>
  <si>
    <t>Capítulo</t>
  </si>
  <si>
    <t>Saneamiento</t>
  </si>
  <si>
    <t>01.01.01</t>
  </si>
  <si>
    <t>Capítulo</t>
  </si>
  <si>
    <t>Residuales</t>
  </si>
  <si>
    <t>PD19-49LY</t>
  </si>
  <si>
    <t>Partida</t>
  </si>
  <si>
    <t>m</t>
  </si>
  <si>
    <t>Desag.ap.sanitario tubo polipropileno pared tricapa,evacua.insonoriz.,DN=40mm,junta elástica</t>
  </si>
  <si>
    <t>Desagüe de aparato sanitario con tubo de polipropileno de pared tricapa para evacuación insonorizada, según norma UNE-EN 1451-1, de DN 40 mm, clase de reacción al fuego B-s1, d0 según norma UNE-EN 13501-1, junta elástica, hasta bajante, caja o albañal</t>
  </si>
  <si>
    <t>PD19-49M1</t>
  </si>
  <si>
    <t>Partida</t>
  </si>
  <si>
    <t>m</t>
  </si>
  <si>
    <t>Desag.ap.sanitario tubo polipropileno pared tricapa,evacua.insonoriz.,DN=50mm,junta elástica</t>
  </si>
  <si>
    <t>Desagüe de aparato sanitario con tubo de polipropileno de pared tricapa para evacuación insonorizada, según norma UNE-EN 1451-1, de DN 50 mm, clase de reacción al fuego B-s1, d0 según norma UNE-EN 13501-1, junta elástica, hasta bajante, caja o albañal</t>
  </si>
  <si>
    <t>PD19-49LN</t>
  </si>
  <si>
    <t>Partida</t>
  </si>
  <si>
    <t>m</t>
  </si>
  <si>
    <t>Desag.ap.sanitario tubo polipropileno pared tricapa,evacua.insonoriz.,DN=90mm,junta elástica</t>
  </si>
  <si>
    <t>Desagüe de aparato sanitario con tubo de polipropileno de pared tricapa para evacuación insonorizada, según norma UNE-EN 1451-1, de DN 90 mm, clase de reacción al fuego B-s1, d0 según norma UNE-EN 13501-1, junta elástica, hasta bajante, caja o albañal</t>
  </si>
  <si>
    <t>PD19-49M0</t>
  </si>
  <si>
    <t>Partida</t>
  </si>
  <si>
    <t>m</t>
  </si>
  <si>
    <t>Desag.ap.sanitario tubo polipropileno pared tricapa,evacua.insonoriz.,DN=110mm,junta elástica</t>
  </si>
  <si>
    <t>Desagüe de aparato sanitario con tubo de polipropileno de pared tricapa para evacuación insonorizada, según norma UNE-EN 1451-1, de DN 110 mm, clase de reacción al fuego B-s1, d0 según norma UNE-EN 13501-1, junta elástica, hasta bajante, caja o albañal</t>
  </si>
  <si>
    <t>PD54-72TS</t>
  </si>
  <si>
    <t>Partida</t>
  </si>
  <si>
    <t>u</t>
  </si>
  <si>
    <t>Sumidero sifónico acero inox.salida horiz.,D=110mm,tapa plana acero inox.,col.mort.albañilería M 5</t>
  </si>
  <si>
    <t>Sumidero sifónico de acero inoxidable AISI 304 con salida horizontal de 110 mm de diámetro, con tapa plana acero inoxidable, colocada con mortero para albañilería clase M 5 (5 N/mm2 )</t>
  </si>
  <si>
    <t>PD57-7AD7</t>
  </si>
  <si>
    <t>Partida</t>
  </si>
  <si>
    <t>u</t>
  </si>
  <si>
    <t>Canal acero inox. ranur.,c/pendiente,+sumidero horiz.,e=1,5mm,a&lt;= 100mm,h=100 a 200mm,cl.L15,col.</t>
  </si>
  <si>
    <t>Canal de acero inoxidable de tipo ranurada con pendiente, con sumidero, horizontal, de 1,5 mm de espesor, de &lt;= 100 mm de ancho, de 100 a 200 mm de altura, para una carga clase L 15, colocada</t>
  </si>
  <si>
    <t>PFA8-DV4Q</t>
  </si>
  <si>
    <t>Partida</t>
  </si>
  <si>
    <t>m</t>
  </si>
  <si>
    <t>Tubo PVC,DN=40mm,PN=6bar,encoladoUNE-EN 1452-2,dific.mediano,col.fondo zanja</t>
  </si>
  <si>
    <t>Tubo de PVC de 40 mm de diámetro nominal exterior, de 6 bar de presión nominal, encolado, según la norma UNE-EN 1452-2, con grado de dificultad mediano y colocado en el fondo de la zanja</t>
  </si>
  <si>
    <t>PFA8-DV4T</t>
  </si>
  <si>
    <t>Partida</t>
  </si>
  <si>
    <t>m</t>
  </si>
  <si>
    <t>Tubo PVC,DN=50mm,PN=6bar,encoladoUNE-EN 1452-2,dific.mediano,col.fondo zanja</t>
  </si>
  <si>
    <t>Tubo de PVC de 50 mm de diámetro nominal exterior, de 6 bar de presión nominal, encolado, según la norma UNE-EN 1452-2, con grado de dificultad mediano y colocado en el fondo de la zanja</t>
  </si>
  <si>
    <t>PFA8-DV4W</t>
  </si>
  <si>
    <t>Partida</t>
  </si>
  <si>
    <t>m</t>
  </si>
  <si>
    <t>Tubo PVC,DN=63mm,PN=6bar,encoladoUNE-EN 1452-2,dific.mediano,col.fondo zanja</t>
  </si>
  <si>
    <t>Tubo de PVC de 63 mm de diámetro nominal exterior, de 6 bar de presión nominal, encolado, según la norma UNE-EN 1452-2, con grado de dificultad mediano y colocado en el fondo de la zanja</t>
  </si>
  <si>
    <t>PFA8-DV4Z</t>
  </si>
  <si>
    <t>Partida</t>
  </si>
  <si>
    <t>m</t>
  </si>
  <si>
    <t>Tubo PVC,DN=75mm,PN=6bar,encoladoUNE-EN 1452-2,dific.mediano,col.fondo zanja</t>
  </si>
  <si>
    <t>Tubo de PVC de 75 mm de diámetro nominal exterior, de 6 bar de presión nominal, encolado, según la norma UNE-EN 1452-2, con grado de dificultad mediano y colocado en el fondo de la zanja</t>
  </si>
  <si>
    <t>PFA8-DV52</t>
  </si>
  <si>
    <t>Partida</t>
  </si>
  <si>
    <t>m</t>
  </si>
  <si>
    <t>Tubo PVC,DN=90mm,PN=6bar,encoladoUNE-EN 1452-2,dific.mediano,col.fondo zanja</t>
  </si>
  <si>
    <t>Tubo de PVC de 90 mm de diámetro nominal exterior, de 6 bar de presión nominal, encolado, según la norma UNE-EN 1452-2, con grado de dificultad mediano y colocado en el fondo de la zanja</t>
  </si>
  <si>
    <t>PFA8-DV55</t>
  </si>
  <si>
    <t>Partida</t>
  </si>
  <si>
    <t>m</t>
  </si>
  <si>
    <t>Tubo PVC,DN=110mm,PN=6bar,encoladoUNE-EN 1452-2,dific.mediano,col.fondo zanja</t>
  </si>
  <si>
    <t>Tubo de PVC de 110 mm de diámetro nominal exterior, de 6 bar de presión nominal, encolado, según la norma UNE-EN 1452-2, con grado de dificultad mediano y colocado en el fondo de la zanja</t>
  </si>
  <si>
    <t>P7DC-FIKH</t>
  </si>
  <si>
    <t>Partida</t>
  </si>
  <si>
    <t>u</t>
  </si>
  <si>
    <t>Sellado tubería EI-120,D=110mm,paredes+forjados cortafuegos,abrazadera anillo metál.,col.superf.+tor</t>
  </si>
  <si>
    <t>Sellado de paso de tubería combustible EI-120, de 110 mm de diámetro a través de paredes y forjados cortafuegos, con abrazadera formada por anillo metálico colocada superficialmente con tornillos</t>
  </si>
  <si>
    <t>P7DC-FIL4</t>
  </si>
  <si>
    <t>Partida</t>
  </si>
  <si>
    <t>u</t>
  </si>
  <si>
    <t>Sellado tubería EI-120,D=125mm,paredes+forjados cortafuegos,abrazadera anillo metál.,col.empotrada+t</t>
  </si>
  <si>
    <t>Sellado de paso de tubería combustible EI-120, de 125 mm de diámetro a través de paredes y forjados cortafuegos, con abrazadera formada por anillo metálico colocada empotrada con tornillos</t>
  </si>
  <si>
    <t>PD33-B284</t>
  </si>
  <si>
    <t>Partida</t>
  </si>
  <si>
    <t>u</t>
  </si>
  <si>
    <t>Arqueta prefab. PP, 550x550x550mm +rejilla,col.</t>
  </si>
  <si>
    <t>Arqueta prefabricada de polipropileno de 550x550x550 mm, registrable, con tapa de rejilla de PVC reforzada, colocado</t>
  </si>
  <si>
    <t>EFVAZB01</t>
  </si>
  <si>
    <t>Partida</t>
  </si>
  <si>
    <t>m</t>
  </si>
  <si>
    <t>Partida de conexión a instalación de saneamiento existente</t>
  </si>
  <si>
    <t>Partida de los trabajos de conexión a la instalación de saneamiento existente de aguas residuales. Catas para encontrar las posibles conexiones 
La partida incluye mano de obra, medios auxiliares y materiales necesarios.</t>
  </si>
  <si>
    <t>K21G-ZE01</t>
  </si>
  <si>
    <t>Partida</t>
  </si>
  <si>
    <t>m2</t>
  </si>
  <si>
    <t>Partida desmontaje y conexión del nuevo saneamiento en planta inferior</t>
  </si>
  <si>
    <t>Partida de desmontaje y conexión de nuevo saneamiento de aulas planta segunda a la instalación de saneamiento  existente de la planta inferior, consistente en, 
- Desmontaje de instalaciones en falso techo
- Acopio, si se determina por la propiedad/DF
- Transporte a vertedero controlado
- Copia de la acreditación de la entrada y pago de tasas de vertedero
Todos los trabajos coordinados con el resto de trabajos.</t>
  </si>
  <si>
    <t>01.01.01</t>
  </si>
  <si>
    <t>01.01</t>
  </si>
  <si>
    <t>01.02</t>
  </si>
  <si>
    <t>Capítulo</t>
  </si>
  <si>
    <t>Fontaneria</t>
  </si>
  <si>
    <t>01.02.01</t>
  </si>
  <si>
    <t>Capítulo</t>
  </si>
  <si>
    <t>Red agua fria y ACS</t>
  </si>
  <si>
    <t>PFB6-ZE01</t>
  </si>
  <si>
    <t>Partida</t>
  </si>
  <si>
    <t>m</t>
  </si>
  <si>
    <t>Tubos distribución de agua en salas húmedas (baños, cocinas etc) tubo poliet.retic.D=12mm,e=1,5mm,b</t>
  </si>
  <si>
    <t>Tubos para distribución de agua en salas húmedas (baños, cocinas etc) con tubo de polietileno reticulado de 12 mm de diámetro nominal exterior y 1,5 mm de espesor, con barrera antioxígeno, montado con accesorios para prensar</t>
  </si>
  <si>
    <t>PFB6-7AH4</t>
  </si>
  <si>
    <t>Partida</t>
  </si>
  <si>
    <t>m</t>
  </si>
  <si>
    <t>Tubos distribución de agua en salas húmedas (baños, cocinas etc) tubo poliet.retic.D=16mm,e=1,5mm,ba</t>
  </si>
  <si>
    <t>Tubos para distribución de agua en salas húmedas (baños, cocinas etc) con tubo de polietileno reticulado de 16 mm de diámetro nominal exterior y 1,5 mm de espesor, con barrera antioxígeno, montado con accesorios para prensar</t>
  </si>
  <si>
    <t>PFB6-7AH6</t>
  </si>
  <si>
    <t>Partida</t>
  </si>
  <si>
    <t>m</t>
  </si>
  <si>
    <t>Tubos distribución de agua en salas húmedas (baños, cocinas etc) tubo poliet.retic.D=20mm,e=2,8mm,ba</t>
  </si>
  <si>
    <t>Tubos para distribución de agua en salas húmedas (baños, cocinas etc) con tubo de polietileno reticulado de 20 mm de diámetro nominal exterior y 2,8 mm de espesor, con barrera antioxígeno, montado con accesorios para prensar</t>
  </si>
  <si>
    <t>PFB6-7AHC</t>
  </si>
  <si>
    <t>Partida</t>
  </si>
  <si>
    <t>m</t>
  </si>
  <si>
    <t>Tubos distribución de agua en salas húmedas (baños, cocinas etc) tubo poliet.retic.D=25mm,e=2,3mm,se</t>
  </si>
  <si>
    <t>Tubos para distribución de agua en salas húmedas (baños, cocinas etc) con tubo de polietileno reticulado de 25 mm de diámetro nominal exterior y 2,3 mm de espesor, de la serie 5 según UNE-EN ISO 15875-2, montado con accesorios para prensar</t>
  </si>
  <si>
    <t>PFB6-7AHE</t>
  </si>
  <si>
    <t>Partida</t>
  </si>
  <si>
    <t>m</t>
  </si>
  <si>
    <t>Tubos distribución de agua en salas húmedas (baños, cocinas etc) tubo poliet.retic.D=32mm,e=2,9mm,se</t>
  </si>
  <si>
    <t>Tubos para distribución de agua en salas húmedas (baños, cocinas etc) con tubo de polietileno reticulado de 32 mm de diámetro nominal exterior y 2,9 mm de espesor, de la serie 5 según UNE-EN ISO 15875-2, montado con accesorios para prensar</t>
  </si>
  <si>
    <t>PFQ0-3K9Q</t>
  </si>
  <si>
    <t>Partida</t>
  </si>
  <si>
    <t>m</t>
  </si>
  <si>
    <t>Aislamiento térmico espum.elastom.,fluidos (-50 y 105°C),D=12mm,e=9mm,factor dif.vapor&gt;= 5000superf.</t>
  </si>
  <si>
    <t>Aislamiento térmico de espuma elastomérica para tuberías que transportan fluidos a temperatura entre -50°C y 105°C, para tubo de diámetro exterior 12 mm, de 9 mm de espesor, clase de reacción al fuego BL-s2, d0 según norma UNE-EN 13501-1, con un factor de resistencia a la difusión del vapor de agua &gt;= 5000, colocado superficialmente con grado de dificultad alto</t>
  </si>
  <si>
    <t>PFQ0-3K9U</t>
  </si>
  <si>
    <t>Partida</t>
  </si>
  <si>
    <t>m</t>
  </si>
  <si>
    <t>Aislamiento térmico espum.elastom.,fluidos (-50 y 105°C),D=18mm,e=9mm,factor dif.vapor&gt;= 5000superf.</t>
  </si>
  <si>
    <t>Aislamiento térmico de espuma elastomérica para tuberías que transportan fluidos a temperatura entre -50°C y 105°C, para tubo de diámetro exterior 18 mm, de 9 mm de espesor, clase de reacción al fuego BL-s2, d0 según norma UNE-EN 13501-1, con un factor de resistencia a la difusión del vapor de agua &gt;= 5000, colocado superficialmente con grado de dificultad alto</t>
  </si>
  <si>
    <t>PFQ0-3KDB</t>
  </si>
  <si>
    <t>Partida</t>
  </si>
  <si>
    <t>m</t>
  </si>
  <si>
    <t>Aislamiento térmico espum.elastom.,fluidos (-50 y 105°C),D=22mm,e=9mm,factor dif.vapor&gt;= 5000superf.</t>
  </si>
  <si>
    <t>Aislamiento térmico de espuma elastomérica para tuberías que transportan fluidos a temperatura entre -50°C y 105°C, para tubo de diámetro exterior 22 mm, de 9 mm de espesor, clase de reacción al fuego BL-s2, d0 según norma UNE-EN 13501-1, con un factor de resistencia a la difusión del vapor de agua &gt;= 5000, colocado superficialmente con grado de dificultad alto</t>
  </si>
  <si>
    <t>PFQ0-3KDD</t>
  </si>
  <si>
    <t>Partida</t>
  </si>
  <si>
    <t>m</t>
  </si>
  <si>
    <t>Aislamiento térmico espum.elastom.,fluidos (-50 y 105°C),D=28mm,e=9mm,factor dif.vapor&gt;= 5000superf.</t>
  </si>
  <si>
    <t>Aislamiento térmico de espuma elastomérica para tuberías que transportan fluidos a temperatura entre -50°C y 105°C, para tubo de diámetro exterior 28 mm, de 9 mm de espesor, clase de reacción al fuego BL-s2, d0 según norma UNE-EN 13501-1, con un factor de resistencia a la difusión del vapor de agua &gt;= 5000, colocado superficialmente con grado de dificultad alto</t>
  </si>
  <si>
    <t>PFQ0-3KDF</t>
  </si>
  <si>
    <t>Partida</t>
  </si>
  <si>
    <t>m</t>
  </si>
  <si>
    <t>Aislamiento térmico espum.elastom.,fluidos (-50 y 105°C),D=35mm,e=9mm,factor dif.vapor&gt;= 5000superf.</t>
  </si>
  <si>
    <t>Aislamiento térmico de espuma elastomérica para tuberías que transportan fluidos a temperatura entre -50°C y 105°C, para tubo de diámetro exterior 35 mm, de 9 mm de espesor, clase de reacción al fuego BL-s2, d0 según norma UNE-EN 13501-1, con un factor de resistencia a la difusión del vapor de agua &gt;= 5000, colocado superficialmente con grado de dificultad alto</t>
  </si>
  <si>
    <t>PFQ0-3KB9</t>
  </si>
  <si>
    <t>Partida</t>
  </si>
  <si>
    <t>m</t>
  </si>
  <si>
    <t>Aislamiento térmico espum.elastom.,fluidos (-50 y 105°C),D=12mm,e=25mm,factor dif.vapor&gt;= 7000superf</t>
  </si>
  <si>
    <t>Aislamiento térmico de espuma elastomérica para tuberías que transportan fluidos a temperatura entre -50°C y 105°C, para tubo de diámetro exterior 12 mm, de 25 mm de espesor, clase de reacción al fuego BL-s2, d0 según norma UNE-EN 13501-1, con un factor de resistencia a la difusión del vapor de agua &gt;= 7000, colocado superficialmente con grado de dificultad alto</t>
  </si>
  <si>
    <t>PFQ0-3KBB</t>
  </si>
  <si>
    <t>Partida</t>
  </si>
  <si>
    <t>m</t>
  </si>
  <si>
    <t>Aislamiento térmico espum.elastom.,fluidos (-50 y 105°C),D=18mm,e=25mm,factor dif.vapor&gt;= 7000superf</t>
  </si>
  <si>
    <t>Aislamiento térmico de espuma elastomérica para tuberías que transportan fluidos a temperatura entre -50°C y 105°C, para tubo de diámetro exterior 18 mm, de 25 mm de espesor, clase de reacción al fuego BL-s2, d0 según norma UNE-EN 13501-1, con un factor de resistencia a la difusión del vapor de agua &gt;= 7000, colocado superficialmente con grado de dificultad alto</t>
  </si>
  <si>
    <t>PFQ0-3KET</t>
  </si>
  <si>
    <t>Partida</t>
  </si>
  <si>
    <t>m</t>
  </si>
  <si>
    <t>Aislamiento térmico espum.elastom.,fluidos (-50 y 105°C),D=22mm,e=25mm,factor dif.vapor&gt;= 7000superf</t>
  </si>
  <si>
    <t>Aislamiento térmico de espuma elastomérica para tuberías que transportan fluidos a temperatura entre -50°C y 105°C, para tubo de diámetro exterior 22 mm, de 25 mm de espesor, clase de reacción al fuego BL-s2, d0 según norma UNE-EN 13501-1, con un factor de resistencia a la difusión del vapor de agua &gt;= 7000, colocado superficialmente con grado de dificultad alto</t>
  </si>
  <si>
    <t>PFQ0-3KEU</t>
  </si>
  <si>
    <t>Partida</t>
  </si>
  <si>
    <t>m</t>
  </si>
  <si>
    <t>Aislamiento térmico espum.elastom.,fluidos (-50 y 105°C),D=28mm,e=25mm,factor dif.vapor&gt;= 7000superf</t>
  </si>
  <si>
    <t>Aislamiento térmico de espuma elastomérica para tuberías que transportan fluidos a temperatura entre -50°C y 105°C, para tubo de diámetro exterior 28 mm, de 25 mm de espesor, clase de reacción al fuego BL-s2, d0 según norma UNE-EN 13501-1, con un factor de resistencia a la difusión del vapor de agua &gt;= 7000, colocado superficialmente con grado de dificultad alto</t>
  </si>
  <si>
    <t>PFQ0-3KEV</t>
  </si>
  <si>
    <t>Partida</t>
  </si>
  <si>
    <t>m</t>
  </si>
  <si>
    <t>Aislamiento térmico espum.elastom.,fluidos (-50 y 105°C),D=35mm,e=25mm,factor dif.vapor&gt;= 7000superf</t>
  </si>
  <si>
    <t>Aislamiento térmico de espuma elastomérica para tuberías que transportan fluidos a temperatura entre -50°C y 105°C, para tubo de diámetro exterior 35 mm, de 25 mm de espesor, clase de reacción al fuego BL-s2, d0 según norma UNE-EN 13501-1, con un factor de resistencia a la difusión del vapor de agua &gt;= 7000, colocado superficialmente con grado de dificultad alto</t>
  </si>
  <si>
    <t>01.02.01</t>
  </si>
  <si>
    <t>01.02.02</t>
  </si>
  <si>
    <t>Capítulo</t>
  </si>
  <si>
    <t>Valvuleria y accesorios</t>
  </si>
  <si>
    <t>PN39-EBTC</t>
  </si>
  <si>
    <t>Partida</t>
  </si>
  <si>
    <t>u</t>
  </si>
  <si>
    <t>Válvula de bola manual+bridas,2 vías,DN=15mm,PN=16bar,cuerpo 2piezas 1.4408 (CF8M)/inox.1.4401, supe</t>
  </si>
  <si>
    <t>Válvula de bola según norma UNE-EN 13709, manual, con bridas, de 2 vías, de 15 mm de diámetro nominal, de 16 bar de presión nominal, cuerpo de dos piezas de fundición de acero inoxidable 1.4408 (CF8M), bola de acero inoxidable 1.4401 (AISI 316), eje de acero inoxidable 1.4401 (AISI 316), asiento de teflón PTFE, accionamiento por palanca, montada superficialmente</t>
  </si>
  <si>
    <t>PN39-EBTH</t>
  </si>
  <si>
    <t>Partida</t>
  </si>
  <si>
    <t>u</t>
  </si>
  <si>
    <t>Válvula de bola manual+bridas,2 vías,DN=20mm,PN=16bar,cuerpo 2piezas 1.4408 (CF8M)/inox.1.4401, supe</t>
  </si>
  <si>
    <t>Válvula de bola según norma UNE-EN 13709, manual, con bridas, de 2 vías, de 20 mm de diámetro nominal, de 16 bar de presión nominal, cuerpo de dos piezas de fundición de acero inoxidable 1.4408 (CF8M), bola de acero inoxidable 1.4401 (AISI 316), eje de acero inoxidable 1.4401 (AISI 316), asiento de teflón PTFE, accionamiento por palanca, montada superficialmente</t>
  </si>
  <si>
    <t>PN39-EBTM</t>
  </si>
  <si>
    <t>Partida</t>
  </si>
  <si>
    <t>u</t>
  </si>
  <si>
    <t>Válvula de bola manual+bridas,2 vías,DN=25mm,PN=16bar,cuerpo 2piezas 1.4408 (CF8M)/inox.1.4401, supe</t>
  </si>
  <si>
    <t>Válvula de bola según norma UNE-EN 13709, manual, con bridas, de 2 vías, de 25 mm de diámetro nominal, de 16 bar de presión nominal, cuerpo de dos piezas de fundición de acero inoxidable 1.4408 (CF8M), bola de acero inoxidable 1.4401 (AISI 316), eje de acero inoxidable 1.4401 (AISI 316), asiento de teflón PTFE, accionamiento por palanca, montada superficialmente</t>
  </si>
  <si>
    <t>PN39-EBTT</t>
  </si>
  <si>
    <t>Partida</t>
  </si>
  <si>
    <t>u</t>
  </si>
  <si>
    <t>Válvula de bola manual+bridas,2 vías,DN=32mm,PN=16bar,cuerpo 2piezas 1.4408 (CF8M)/inox.1.4401, supe</t>
  </si>
  <si>
    <t>Válvula de bola según norma UNE-EN 13709, manual, con bridas, de 2 vías, de 32 mm de diámetro nominal, de 16 bar de presión nominal, cuerpo de dos piezas de fundición de acero inoxidable 1.4408 (CF8M), bola de acero inoxidable 1.4401 (AISI 316), eje de acero inoxidable 1.4401 (AISI 316), asiento de teflón PTFE, accionamiento por palanca, montada superficialmente</t>
  </si>
  <si>
    <t>PNC4-H3Q4</t>
  </si>
  <si>
    <t>Partida</t>
  </si>
  <si>
    <t>u</t>
  </si>
  <si>
    <t>Válvula equilibrado dinámico+rosca,latón,DN= 1 ´´,caudal= 0.865 a 2.34 m3/h,col.</t>
  </si>
  <si>
    <t>Válvula de equilibrado dinámico con rosca de latón, 1 ´´ de diámetro nominal y un caudal de 0.865 a 2.34 m3/h, colocada</t>
  </si>
  <si>
    <t>01.02.02</t>
  </si>
  <si>
    <t>01.02</t>
  </si>
  <si>
    <t>01.03</t>
  </si>
  <si>
    <t>Capítulo</t>
  </si>
  <si>
    <t>Climatización y ventilación</t>
  </si>
  <si>
    <t>01.03.01</t>
  </si>
  <si>
    <t>Capítulo</t>
  </si>
  <si>
    <t>Producción</t>
  </si>
  <si>
    <t>PEU7-6RV8</t>
  </si>
  <si>
    <t>Partida</t>
  </si>
  <si>
    <t>u</t>
  </si>
  <si>
    <t>Depósito inercia acero negro,aislam.espum.poliur.,+plástico,vol.=1500l,,conex. rosc.1 1/2´´,presión</t>
  </si>
  <si>
    <t>Depósito de inercia de acero negro con aislamiento térmico de espuma de poliuretano y revestimiento exterior de plástico, de 1500 l de capacidad, de purga de aire con conexiones de rosca 1 1/2´´, de presión máxima de servicio 6 bar y 95°C de temperatura máxima, colocado en posición vertical con fijaciones murales y conectado</t>
  </si>
  <si>
    <t>PEU7-ZE01</t>
  </si>
  <si>
    <t>Partida</t>
  </si>
  <si>
    <t>u</t>
  </si>
  <si>
    <t>Vaso de expansión de acero negro 100L</t>
  </si>
  <si>
    <t xml:space="preserve"> Vaso de expansión de acero negro con aislamiento térmico de espuma de poliuretano y revestimiento exterior de plástico, de 100 l de capacidad, de purga de aire con conexiones de rosca 1 1/2´´, de presión máxima de servicio 6 bar y 95°C de temperatura máxima, colocado en posición vertical con fijaciones murales y conectado</t>
  </si>
  <si>
    <t>PNL3-ZE01</t>
  </si>
  <si>
    <t>Partida</t>
  </si>
  <si>
    <t>u</t>
  </si>
  <si>
    <t>Bomb.circ.rotor encapsulada.,DN=65,simp.,P=10bar,230V,1377 W</t>
  </si>
  <si>
    <t>Suministro y colocación de bomba circuladora de rotor húmedo para un rango de temperatura del líquido de -10 a 110 ºC, con sensor de temperatura y presión diferencial incorporado, supervisión de energia calorífica, entradas digitales, bajo nivel de ruido y relés de estado y alarma. La carcasa de la bomba esta fabricada con hierro fundido. 
Características técnicas:
- Caudal nominal: 16,0m³/h.
- Altura nominal: 11,5 m.
- Classe TF:110.
- Potencia - P1: 29-1377 W
- Frecuencia de red:50 / 60 Hz
- Tensión nominal:1 x 230 V
Instalación:
Rango de temperaturas ambientes:0 .. 40 °C
Presión de trabajo máxima:10 bar
Normativa de brida:DIN
Conexión de tubería:DN 65
Presión nominal:PN 6/10
Longitud puerto a puerto:340 mm
Marca Grundfos modelo MAGNA3 65-150 F 340 1x230V PN6/10 o equivalente.
Incluye: 4 valvulas de corte de bola de diametro tuberia, filtro de particulas, vaciado de DN25 con valvula, puente manometrico, mangitos elasticos del diametro tuberia, reduccions troncoconica, valvula antirretorn i manometres.
Totalmente instalado según especificaciones de fabricante, testeado y en funcionamiento, previamente autorizado por DF.</t>
  </si>
  <si>
    <t>01.03.01</t>
  </si>
  <si>
    <t>01.03.02</t>
  </si>
  <si>
    <t>Capítulo</t>
  </si>
  <si>
    <t>Unidades terminales</t>
  </si>
  <si>
    <t>PEKB-ZE01</t>
  </si>
  <si>
    <t>Partida</t>
  </si>
  <si>
    <t>U</t>
  </si>
  <si>
    <t>Difusor rotacional,alet.deflec.sector.ABS,cuadr.,lacado blanco,long.=600mm,48salidas,D=248mm,s/compu</t>
  </si>
  <si>
    <t>Difusor rotacional helicoidal para impulsión de aire, de aletas deflectoras sectorizadas de ABS, con placa frontal cuadrada de plancha de acero acabado lacado blanco de 600 mm de lado, de 48 salidas, con plénum de conexión de acero galvanizado y boca de conexión circular de 248 mm de diámetro, vertical u horizontal, y sin compuerta de regulación, montado suspendido en el techo
Incluido conducto flexible aislado de conexión con conducto de acero, Ø250 tramo máximo un 1,5m.</t>
  </si>
  <si>
    <t>PEKM-ZE01</t>
  </si>
  <si>
    <t>Partida</t>
  </si>
  <si>
    <t>u</t>
  </si>
  <si>
    <t>Rejilla retorno cuadríc.,alum.lacado blanco,625x325mm,16/12.5mm recta,fijada marco</t>
  </si>
  <si>
    <t>Rejilla retorno cuadríc.,alum.lacado blanco,625x325mm,16/12.5mm recta,fijada marco
Marca: Trox Modelo: X-GRILLE MODULAR-V-MO-A-VS / 625 x 325 / AG / A1 / P1 - RAL 9010 o equivalente
La partida incluye la parte proporcional de accesorios de montaje, mano de obra y materiales y medios auxiliares
Totalmente instalado, testeado y en funcionamiento segun especificaciones de fabricante y DF.</t>
  </si>
  <si>
    <t>PEKM-ZE02</t>
  </si>
  <si>
    <t>Partida</t>
  </si>
  <si>
    <t>u</t>
  </si>
  <si>
    <t>Rejilla retorno cuadríc.,alum.lacado blanco,425x325mm,16/12.5mm recta,fijada marco</t>
  </si>
  <si>
    <t>Rejilla retorno cuadríc.,alum.lacado blanco,425x325mm,16/12.5mm recta,fijada marco
Marca: Trox Modelo: X-GRILLE MODULAR-H-MO-A-VS / 425 x 325 / AG / A1 / P1 - RAL 9010 o equivalente
La partida incluye la parte proporcional de accesorios de montaje, mano de obra y materiales y medios auxiliares
Totalmente instalado, testeado y en funcionamiento segun especificaciones de fabricante y DF.</t>
  </si>
  <si>
    <t>PEKM-ZE03</t>
  </si>
  <si>
    <t>Partida</t>
  </si>
  <si>
    <t>u</t>
  </si>
  <si>
    <t>Rejilla impulsión/ retorno cuadríc.,alum.lacado blanco,325x125mm,16/12.5mm recta,fijada marco</t>
  </si>
  <si>
    <t>Rejilla impulsión/retorno cuadríc.,alum.lacado blanco,325x125mm,16/12.5mm recta,fijada marco
Marca: Trox Modelo: X-GRILLE MODULAR-H-P0-A-VS / 325 x 125 / AG / A1 / P1 - RAL 9010 o equivalente
La partida incluye la parte proporcional de accesorios de montaje, mano de obra y materiales y medios auxiliares
Totalmente instalado, testeado y en funcionamiento segun especificaciones de fabricante y DF.</t>
  </si>
  <si>
    <t>PEKM-ZE04</t>
  </si>
  <si>
    <t>Partida</t>
  </si>
  <si>
    <t>u</t>
  </si>
  <si>
    <t>Rejilla impulsión/retorno cuadríc.,alum.lacado blanco,225x125mm,16/12.5mm recta,fijada marco</t>
  </si>
  <si>
    <t>Rejilla  impulsión/retorno cuadríc.,alum.lacado blanco,225x75mm,16/12.5mm recta,fijada marco
Marca: Trox Modelo: X-GRILLE MODULAR-H-P0-A-VS / 225 x 75 / AG / A1 / P1 - RAL 9010 o equivalente
La partida incluye la parte proporcional de accesorios de montaje, mano de obra y materiales y medios auxiliares
Totalmente instalado, testeado y en funcionamiento segun especificaciones de fabricante y DF.</t>
  </si>
  <si>
    <t>01.03.02</t>
  </si>
  <si>
    <t>01.03.03</t>
  </si>
  <si>
    <t>Capítulo</t>
  </si>
  <si>
    <t>Distribución de agua</t>
  </si>
  <si>
    <t>EF92ZE08</t>
  </si>
  <si>
    <t>Partida</t>
  </si>
  <si>
    <t>m</t>
  </si>
  <si>
    <t>Climatización con tuberia PPR100 compuesto por FC: NIRON CLIMA PN16; DN=25 mm</t>
  </si>
  <si>
    <t>Suministro y montaje de tubo de polipropileno copolimero PPR100, compuesto con fibra de vidrio, (1/4) PPR//(2/4)PPR+FV//(1/4)PPR, SDR11, de diámetro 25 mm y 3,5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</si>
  <si>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EF92ZE07</t>
  </si>
  <si>
    <t>Partida</t>
  </si>
  <si>
    <t>m</t>
  </si>
  <si>
    <t>Climatización con tuberia PPR100 compuesto por FC: NIRON CLIMA PN16; DN=32 mm</t>
  </si>
  <si>
    <t>Suministro y montaje de tubo de polipropileno copolimero PPR100, compuesto con fibra de vidrio, (1/4) PPR//(2/4)PPR+FV//(1/4)PPR, SDR11, de diámetro 32 mm y2, 9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</si>
  <si>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EF92ZE09</t>
  </si>
  <si>
    <t>Partida</t>
  </si>
  <si>
    <t>m</t>
  </si>
  <si>
    <t>Climatización con tuberia PPR100 compuesto por FC: NIRON CLIMA PN16; DN=40 mm</t>
  </si>
  <si>
    <t>Suministro y montaje de tubo de polipropileno copolimero PPR100, compuesto con fibra de vidrio, (1/4) PPR//(2/4)PPR+FV//(1/4)PPR, SDR11, de diámetro 40 mm y 2, 9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</si>
  <si>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EF92ZE12</t>
  </si>
  <si>
    <t>Partida</t>
  </si>
  <si>
    <t>m</t>
  </si>
  <si>
    <t>Climatización con tubería PPR100 compuesto por FC: NIRON CLIMA PN16; DN=50 mm</t>
  </si>
  <si>
    <t>Climatización con tubería PPR100 compuesto por FC: NIRON CLIMA PN16; DN=50 mm</t>
  </si>
  <si>
    <t>EF92ZE06</t>
  </si>
  <si>
    <t>Partida</t>
  </si>
  <si>
    <t>m</t>
  </si>
  <si>
    <t>Climatización con tuberia PPR100 compuesto por FC: NIRON CLIMA PN16; DN=63 mm</t>
  </si>
  <si>
    <t>Suministro y montaje de tubo de polipropileno copolimero PPR100, compuesto con fibra de vidrio, (1/4) PPR//(2/4)PPR+FV//(1/4)PPR, SDR11, de diámetro 63 mm y 6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</si>
  <si>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EF92ZE04</t>
  </si>
  <si>
    <t>Partida</t>
  </si>
  <si>
    <t>m</t>
  </si>
  <si>
    <t>Climatización con tuberia PPR100 compuesto por FC: NIRON CLIMA PN16; DN=75 mm</t>
  </si>
  <si>
    <t>Suministro y montaje de tubo de polipropileno copolimero PPR100, compuesto con fibra de vidrio, (1/4) PPR//(2/4)PPR+FV//(1/4)PPR, SDR11, de diámetro 75 mm y 8, 2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</si>
  <si>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EF92ZE05</t>
  </si>
  <si>
    <t>Partida</t>
  </si>
  <si>
    <t>m</t>
  </si>
  <si>
    <t>Climatización con tuberia PPR100 compuesto por FC: NIRON CLIMA PN16; DN=90 mm</t>
  </si>
  <si>
    <t>Suministro y montaje de tubo de polipropileno copolimero PPR100, compuesto con fibra de vidrio, (1/4) PPR//(2/4)PPR+FV//(1/4)PPR, SDR11, de diámetro 90 mm y 6, 8 mm de espesor, fabricado y certificado según Reglamento Particular d'Aenor RP 01.72, incluido p/p de accesorios y material auxiliar para montaje y subjección, para instalaciones de climatización (calefacción, sistemas agua/agua, aire/agua), con temperaturas entre -20 ºC y 70 ºC, presión nominal PN16, con grosor de aislamiento de acuerdo con RITE calculado mediante procedimiento alternativo según norma UNE EN ISO 12241. Suministrado en barra de 4 metros, color azul NIRON con banda azul
Ref: TNIRCL7511 de la serie Niron d'ITALSAN o equivalente.</t>
  </si>
  <si>
    <t>PFQ0-3KEU</t>
  </si>
  <si>
    <t>Partida</t>
  </si>
  <si>
    <t>m</t>
  </si>
  <si>
    <t>Aislamiento térmico espum.elastom.,fluidos (-50 y 105°C),D=28mm,e=25mm,factor dif.vapor&gt;= 7000superf</t>
  </si>
  <si>
    <t>Aislamiento térmico de espuma elastomérica para tuberías que transportan fluidos a temperatura entre -50°C y 105°C, para tubo de diámetro exterior 28 mm, de 25 mm de espesor, clase de reacción al fuego BL-s2, d0 según norma UNE-EN 13501-1, con un factor de resistencia a la difusión del vapor de agua &gt;= 7000, colocado superficialmente con grado de dificultad alto</t>
  </si>
  <si>
    <t>PFQ0-3KF2</t>
  </si>
  <si>
    <t>Partida</t>
  </si>
  <si>
    <t>m</t>
  </si>
  <si>
    <t>Aislamiento térmico espum.elastom.,fluidos (-50 y 105°C),D=35mm,e=32mm,factor dif.vapor&gt;= 7000superf</t>
  </si>
  <si>
    <t>Aislamiento térmico de espuma elastomérica para tuberías que transportan fluidos a temperatura entre -50°C y 105°C, para tubo de diámetro exterior 35 mm, de 32 mm de espesor, clase de reacción al fuego BL-s2, d0 según norma UNE-EN 13501-1, con un factor de resistencia a la difusión del vapor de agua &gt;= 7000, colocado superficialmente con grado de dificultad alto</t>
  </si>
  <si>
    <t>PFQ0-3KF3</t>
  </si>
  <si>
    <t>Partida</t>
  </si>
  <si>
    <t>m</t>
  </si>
  <si>
    <t>Aislamiento térmico espum.elastom.,fluidos (-50 y 105°C),D=42mm,e=32mm,factor dif.vapor&gt;= 5000superf</t>
  </si>
  <si>
    <t>Aislamiento térmico de espuma elastomérica para tuberías que transportan fluidos a temperatura entre -50°C y 105°C, para tubo de diámetro exterior 42 mm, de 32 mm de espesor, clase de reacción al fuego BL-s2, d0 según norma UNE-EN 13501-1, con un factor de resistencia a la difusión del vapor de agua &gt;= 5000, colocado superficialmente con grado de dificultad alto</t>
  </si>
  <si>
    <t>PFQ0-3KF7</t>
  </si>
  <si>
    <t>Partida</t>
  </si>
  <si>
    <t>m</t>
  </si>
  <si>
    <t>Aislamiento térmico espum.elastom.,fluidos (-50 y 105°C),D=54mm,e=32mm,factor dif.vapor&gt;= 5000superf</t>
  </si>
  <si>
    <t>Aislamiento térmico de espuma elastomérica para tuberías que transportan fluidos a temperatura entre -50°C y 105°C, para tubo de diámetro exterior 54 mm, de 32 mm de espesor, clase de reacción al fuego BL-s2, d0 según norma UNE-EN 13501-1, con un factor de resistencia a la difusión del vapor de agua &gt;= 5000, colocado superficialmente con grado de dificultad alto</t>
  </si>
  <si>
    <t>PFQ0-3KF9</t>
  </si>
  <si>
    <t>Partida</t>
  </si>
  <si>
    <t>m</t>
  </si>
  <si>
    <t>Aislamiento térmico espum.elastom.,fluidos (-50 y 105°C),D=64mm,e=32mm,factor dif.vapor&gt;= 7000superf</t>
  </si>
  <si>
    <t>Aislamiento térmico de espuma elastomérica para tuberías que transportan fluidos a temperatura entre -50°C y 105°C, para tubo de diámetro exterior 64 mm, de 32 mm de espesor, clase de reacción al fuego BL-s2, d0 según norma UNE-EN 13501-1, con un factor de resistencia a la difusión del vapor de agua &gt;= 7000, colocado superficialmente con grado de dificultad alto</t>
  </si>
  <si>
    <t>PFQ0-3KH1</t>
  </si>
  <si>
    <t>Partida</t>
  </si>
  <si>
    <t>m</t>
  </si>
  <si>
    <t>Aislamiento térmico espum.elastom.,fluidos (-50 y 105°C),D=76mm,e=32mm,factor dif.vapor&gt;= 5000superf</t>
  </si>
  <si>
    <t>Aislamiento térmico de espuma elastomérica para tuberías que transportan fluidos a temperatura entre -50°C y 105°C, para tubo de diámetro exterior 76 mm, de 32 mm de espesor, clase de reacción al fuego BL-s2, d0 según norma UNE-EN 13501-1, con un factor de resistencia a la difusión del vapor de agua &gt;= 5000, colocado superficialmente con grado de dificultad alto</t>
  </si>
  <si>
    <t>PFQ0-HM01</t>
  </si>
  <si>
    <t>Partida</t>
  </si>
  <si>
    <t>m</t>
  </si>
  <si>
    <t>Aislamiento térmico espum.elastom.,fluidos (-50 y 105°C),D=89mm,e=32mm,factor dif.vapor&gt;= 7000superf</t>
  </si>
  <si>
    <t>Aislamiento térmico de espuma elastomérica para tuberías que transportan fluidos a temperatura entre -50°C y 105°C, para tubo de diámetro exterior 89 mm, de 32 mm de espesor, clase de reacción al fuego BL-s1, d0 según norma UNE-EN 13501-1, con un factor de resistencia a la difusión del vapor de agua &gt;= 7000, colocado superficialmente con grado de dificultad alto</t>
  </si>
  <si>
    <t>01.03.03</t>
  </si>
  <si>
    <t>01.03.04</t>
  </si>
  <si>
    <t>Capítulo</t>
  </si>
  <si>
    <t>Valvuleria y accesorios</t>
  </si>
  <si>
    <t>PN44-FAR2</t>
  </si>
  <si>
    <t>Partida</t>
  </si>
  <si>
    <t>u</t>
  </si>
  <si>
    <t>Válvula marip.concént.,manual,2xbrida,DN=80mm,PN=16bar,EN-GJS-400-15/inox.1.4401,reductor manual,sup</t>
  </si>
  <si>
    <t>Válvula de mariposa concéntrica, según norma UNE-EN 593, manual, de doble brida, de 80 mm de diámetro nominal, de 16 bar de presión nominal, cuerpo de fundición nodular EN-GJS-400-15 (GGG40) con revestimiento de resina epoxy (150 micras), disco de acero inoxidable 1.4401 (AISI 316), anillo de etileno propileno dieno (EPDM), eje de acero inoxidable 1.4021 (AISI 420) y accionamiento por reductor manual, montada superficialmente</t>
  </si>
  <si>
    <t>PEUE-6YQ3</t>
  </si>
  <si>
    <t>Partida</t>
  </si>
  <si>
    <t>u</t>
  </si>
  <si>
    <t>Termómetro bimetálico,vaina D=1/2´´,esfera 80mm,&lt;= 120°C,col.roscado</t>
  </si>
  <si>
    <t>Termómetro bimetálico, con vaina de 1/2´´ de diámetro, de esfera de 80 mm, de &lt;= 120°C, colocado roscado</t>
  </si>
  <si>
    <t>PEVB-6PHD</t>
  </si>
  <si>
    <t>Partida</t>
  </si>
  <si>
    <t>u</t>
  </si>
  <si>
    <t>Sonda temperatura tubería vaina,mont.+conectada</t>
  </si>
  <si>
    <t>Sonda de temperatura en tubería con vaina, con accesorios de montaje, montada y conectada</t>
  </si>
  <si>
    <t>EN72-ZE01</t>
  </si>
  <si>
    <t>Partida</t>
  </si>
  <si>
    <t>u</t>
  </si>
  <si>
    <t>Válvula de control electrónica 0-10V,2vias,C215QPT-D+CQ24A-SR, DN15,PN25, Vnom420l/h, 24V, col.</t>
  </si>
  <si>
    <t>Suministro y montaje de válvula de control caracterizada electrónica independiente de la presión (PIQCV), modelo C215QPT-D con actuador rotativo 1Nm CQ24A-SR, de la marca BELIMO o equivalente, Vnom 420 l/h.
Caracteristicas:
- Rosca interna conforme a ISO 7-1
- Carcasa cuerpo de latón
- PN25
- DN15, Rp 1/2´´ 
- AC/DC 24V, proporcional
- Rango de funcionamento 2...90ºC
- Curva característica isopercentual
- Estanca a les bombollas de aire, tasa de fuga A
- Actuador rotatiu (ZoneTight) 1Nm
- Tiempo de giro del motor 75s / 90º
- Caudal ajustable V'max 30...100% del Vnom
- Margen de trabajo DC 2...10V
- Señal de saliida (posició) 2...10V
- IP40, accionamento manual con actuador
- Conexión cable 1m PVC
- Con presas de medición (preses P/T) 
- Racor DN15 de latón niquelado Rf. ZR2315
La partida incluye parte proporcional de elementos de tubería, racors de conexión, accesorios de montaje, elementos de sustentación, mano de obra y medios auxiliares.
Completamente  instalada,  señalizada, testeada y funcionando, cumpliendo con los parámetros establecidos por el fabricante y la dirección facultativa según especificaciones de proyecto.</t>
  </si>
  <si>
    <t>EN72-ZE02</t>
  </si>
  <si>
    <t>Partida</t>
  </si>
  <si>
    <t>u</t>
  </si>
  <si>
    <t>Válvula de control de tipo mariposa, modelo D65N+DR24A-5 con actuador rotativo 90Nm, de la marca BEL</t>
  </si>
  <si>
    <t>Suministro y montaje de válvula de control de tipo mariposa, modelo D65N+DR24A-5 con actuador rotativo 90Nm, de la marca BELIMO o equivalente, kvmax=170m³/h
Características:
- Carcasa EN-GJS-400-15 (GGG 40), revestimiento de polvo epoxi
- Bridas con tipo WAFER, kvmax=170m³/h
- Elementp de cerramiento de acero inoxidable (1.4308)
- PN6/10/16
- Rango de funcionamento -10...120ºC
- Estanca a las burbujas de aire, tasa de fuga A
- Actuador rotativo de 90Nm
- AC/DC 24V, todo o nada
- Tiempo de giro del motor de 150s/90º
- IP54
- Accionamento manual con pulsador (se puede desbloquear)
- Conexión cable 1m PVC
La partida incluye parte proporcional de elementos de tubería, accessorios de montaje, elementos de sustentación,  mano de obra y medios auxiliares.
Completamente  instalada,  señalizada, testeada y funcionando, cumplinendo con els parámetros establecidos por el fabricante y la dirección facultativa según especificaciones de proyecto.</t>
  </si>
  <si>
    <t>PEVB-H958</t>
  </si>
  <si>
    <t>Partida</t>
  </si>
  <si>
    <t>u</t>
  </si>
  <si>
    <t>Presóstato p/líquidos</t>
  </si>
  <si>
    <t>Presóstato por líquidos, con accesorios de montaje, montado y conectado</t>
  </si>
  <si>
    <t>EN72-ZE03</t>
  </si>
  <si>
    <t>Partida</t>
  </si>
  <si>
    <t>u</t>
  </si>
  <si>
    <t>Válvula de control de tipo mariposa, modelo D65N+DR24A-5 con actuador rotativo 90Nm, de la marca BEL</t>
  </si>
  <si>
    <t>Suministro y montaje de válvula de control de tipo mariposa, modelo D65N+DR24A-5 con actuador rotativo 90Nm, de la marca BELIMO o equivalente, kvmax=170m³/h
Características:
- Carcasa EN-GJS-400-15 (GGG 40), revestimiento de polvo epoxi
- Bridas con tipo WAFER, kvmax=170m³/h
- Elementp de cerramiento de acero inoxidable (1.4308)
- PN6/10/16
- Rango de funcionamento -10...120ºC
- Estanca a las burbujas de aire, tasa de fuga A
- Actuador rotativo de 90Nm
- AC/DC 24V, todo o nada
- Tiempo de giro del motor de 150s/90º
- IP54
- Accionamento manual con pulsador (se puede desbloquear)
- Conexión cable 1m PVC
La partida incluye parte proporcional de elementos de tubería, accessorios de montaje, elementos de sustentación,  mano de obra y medios auxiliares.
Completamente  instalada,  señalizada, testeada y funcionando, cumplinendo con els parámetros establecidos por el fabricante y la dirección facultativa según especificaciones de proyecto.</t>
  </si>
  <si>
    <t>01.03.04</t>
  </si>
  <si>
    <t>01.03.05</t>
  </si>
  <si>
    <t>Capítulo</t>
  </si>
  <si>
    <t>Distribución de aire</t>
  </si>
  <si>
    <t>PE54-35DQ</t>
  </si>
  <si>
    <t>Partida</t>
  </si>
  <si>
    <t>m2</t>
  </si>
  <si>
    <t>Conducto ac.galv.,e=0,8mm,+unión marco atornillado,munt./suports</t>
  </si>
  <si>
    <t>Formación de conducto rectangular de plancha de acero galvanizado, de espesor 0,8 mm, con unión marco atornillado y clips, montado adosado con soportes</t>
  </si>
  <si>
    <t>PE63-6PF9</t>
  </si>
  <si>
    <t>Partida</t>
  </si>
  <si>
    <t>m2</t>
  </si>
  <si>
    <t>Aislamiento térm.chapa espum.elastom. p/aislam.térm.conduct.,autoadh.,e=30mm,factor dif.vapor&gt;= 5000</t>
  </si>
  <si>
    <t>Aislamiento térmico con plancha de espuma elastomérica para aislamiento térmico de conductos, autoadhesiva, de 30 mm de espesor, con un factor de resistencia a la difusión del vapor de agua &gt;= 5000, clase de reacción al fuego B-s3, d0 según norma UNE-EN 13501-1, montado exteriormente, adherido</t>
  </si>
  <si>
    <t>PE63-6PG8</t>
  </si>
  <si>
    <t>Partida</t>
  </si>
  <si>
    <t>m2</t>
  </si>
  <si>
    <t>Aislamiento térm.chapa espum.elastom.+Al p/aislam.térm.equipos/conduct.,e=50mm,factor dif.vapor&gt;= 70</t>
  </si>
  <si>
    <t>Aislamiento térmico con plancha de espuma elastomérica con revestimiento de aluminio para aislamiento térmico de equipos y conductos, de 50 mm de espesor, con un factor de resistencia a la difusión del vapor de agua &gt;= 7000, clase de reacción al fuego B-s3, d0 según norma UNE-EN 13501-1, montado exteriormente, adherido</t>
  </si>
  <si>
    <t>01.03.05</t>
  </si>
  <si>
    <t>01.03.06</t>
  </si>
  <si>
    <t>Capítulo</t>
  </si>
  <si>
    <t>Equipos</t>
  </si>
  <si>
    <t>PEJ6-ZE02</t>
  </si>
  <si>
    <t>Partida</t>
  </si>
  <si>
    <t>u</t>
  </si>
  <si>
    <t>Fan-coil del tipo cassette, agua de 2 tubos, de 4 vías F.1,93 KW C.4,15 KW</t>
  </si>
  <si>
    <t>Fan-coil del tipo cassette, para trabajar en sistemas de distribución de agua de 2 tubos, de 4 vías de salida de aire, con alimentación monofásica de 230 V, colocado
Características del equipo:
-Caudal de aire: 530 m3/h
-Potencia refrigeración:1,93 KW
-Potencia calefacción: 4,15 KW
-Presión estática disponible: 150 Pa
-Potencia sonora: 45 dB
-Potencia absorbida por el ventilador: 18 W
-Tensión de funcionamiento: 230V - 50Hz
-Dimensiones(longxanch.xalt): 642x575x260 mm
-Peso: 16 Kg
Marca Daikin modelo FWF02DF o equivalente.
El montaje incluye:
- Alimentación eléctrica i de control y conexión electrica.
- Estructura de suportación con sistema antivibratorio.
- Válvulas de corte y válvula de equilibrado dinamico i control 2 vias tipo TA smart.
- Filtros tipo Y.
- Válvulas de bola.
- Parte proporcional a tuberías de agua de refrigeración y calefacción de PPR NIRON.
- Aislamiento térmico de las tuberías de distribución de agua según RITE.
- Manguitos elásticos de conexión.
-10 m de tubo de desagüe con sifón.
- Termostato.
- Conexionado con termostatos mediante cable y tubo segun especificaciones de fabricante.
- Mano de obra, material auxiliar y medios auxiliares.
Totalmente instalado según especificaciones de fabricante, testeado y en funcionamiento, previamente autorizado por DF.</t>
  </si>
  <si>
    <t>PEJ6-ZE03</t>
  </si>
  <si>
    <t>Partida</t>
  </si>
  <si>
    <t>u</t>
  </si>
  <si>
    <t>Fan-coil del tipo cassette, agua de 2 tubos, de 4 vías F.2,77 KW C.5,2 KW</t>
  </si>
  <si>
    <t>Fan-coil del tipo cassette, para trabajar en sistemas de distribución de agua de 2 tubos, de 4 vías de salida de aire, con alimentación monofásica de 230 V, colocado
Características del equipo:
-Caudal de aire: 587 m3/h
-Potencia refrigeración:2,77 KW
-Potencia calefacción: 5,2 KW
-Presión estática disponible: 150 Pa
-Potencia sonora: 45 dB
-Potencia absorbida por el ventilador: 19 W
-Tensión de funcionamiento: 230V - 50Hz
-Dimensiones(longxanch.xalt): 642x575x260 mm
-Peso: 17 Kg
Marca Daikin modelo FWF03DF o equivalente.
El montaje incluye:
- Alimentación eléctrica i de control y conexión electrica.
- Estructura de suportación con sistema antivibratorio.
- Válvulas de corte y válvula de equilibrado dinamico i control 2 vias tipo TA smart.
- Filtros tipo Y.
- Válvulas de bola.
- Parte proporcional a tuberías de agua de refrigeración y calefacción de PPR NIRON.
- Aislamiento térmico de las tuberías de distribución de agua según RITE.
- Manguitos elásticos de conexión.
-10 m de tubo de desagüe con sifón.
- Termostato.
- Conexionado con termostatos mediante cable y tubo segun especificaciones de fabricante.
- Mano de obra, material auxiliar y medios auxiliares.
Totalmente instalado según especificaciones de fabricante, testeado y en funcionamiento, previamente autorizado por DF.</t>
  </si>
  <si>
    <t>PEJ6-ZE04</t>
  </si>
  <si>
    <t>Partida</t>
  </si>
  <si>
    <t>u</t>
  </si>
  <si>
    <t>Fan-coil del tipo cassette, agua de 2 tubos, de 4 vías F.3,85 KW C.5,81 KW</t>
  </si>
  <si>
    <t>Fan-coil del tipo cassette, para trabajar en sistemas de distribución de agua de 2 tubos, de 4 vías de salida de aire, con alimentación monofásica de 230 V, colocado
Características del equipo:
-Caudal de aire: 687 m3/h
-Potencia refrigeración:3,85 KW
-Potencia calefacción: 5,81 KW
-Presión estática disponible: 150 Pa
-Potencia sonora: 45 dB
-Potencia absorbida por el ventilador: 24 W
-Tensión de funcionamiento: 230V - 50Hz
-Dimensiones(longxanch.xalt): 642x575x260 mm
-Peso: 17 Kg
Marca Daikin modelo FWF04DF o equivalente.
El montaje incluye:
- Alimentación eléctrica i de control y conexión electrica.
- Estructura de suportación con sistema antivibratorio.
- Válvulas de corte y válvula de equilibrado dinamico i control 2 vias tipo TA smart.
- Filtros tipo Y.
- Válvulas de bola.
- Parte proporcional a tuberías de agua de refrigeración y calefacción de PPR NIRON.
- Aislamiento térmico de las tuberías de distribución de agua según RITE.
- Manguitos elásticos de conexión.
-10 m de tubo de desagüe con sifón.
- Termostato.
- Conexionado con termostatos mediante cable y tubo segun especificaciones de fabricante.
- Mano de obra, material auxiliar y medios auxiliares.
Totalmente instalado según especificaciones de fabricante, testeado y en funcionamiento, previamente autorizado por DF.</t>
  </si>
  <si>
    <t>PEJD-ZE01</t>
  </si>
  <si>
    <t>Partida</t>
  </si>
  <si>
    <t>u</t>
  </si>
  <si>
    <t>Unidad de tratamiento de aire de 50,9 kW caudal 7900 m³/h</t>
  </si>
  <si>
    <t>Unidad de tratamiento de aire básica, sistema deinstalación de 2 tubos, caudal nominal de 7900 m3/h, estructura de tubo metálico y envolvente de panel sándwich de 25 mm de espesor de acero galvanizado con aislamiento, configuración horizontal, batería de frío y calor de tubo de cobre con aletas de aluminio de 45 a 55 kW en refrigeración (aire (30°/60%) agua (7°/12°)) y 65 a 75 kW en calefacción (aire (0°) agua (80°/70°)), sección de impulsión formada por 1 ventilador centrífugo con transmisión y filtros de plafón de eficacias F6 y F7, con sección de enfriamiento adiabático, colocada
Marca Daikin Modelo ADK06E o equivalente
La partida incluye:
- Tarjeta de comunicación Bacnet (ITM) ES.BACNET
- Cableado hasta modulo de control
- Reprogramación
- Bancada y soportació antivibratoria</t>
  </si>
  <si>
    <t>PEJD-ZE02</t>
  </si>
  <si>
    <t>Partida</t>
  </si>
  <si>
    <t>u</t>
  </si>
  <si>
    <t>Recuperador de calor aire primario caudal 2800 m³/h</t>
  </si>
  <si>
    <t>Unidad de tratamiento de aire básica, sistema deinstalación de 2 tubos, caudal nominal de 2800 m3/h, estructura de tubo metálico y envolvente de panel sándwich de 25 mm de espesor de acero galvanizado con aislamiento, configuración horizontal, batería de frío y calor de tubo de cobre con aletas de aluminio de 10 a 27 kW. 
Marca Daikin Modelo ES.MODULAR-R-3 o equivalente
La partida incluye:
- Tejadillo para intemperie MR T3 ES.INTEM-R3
- Bat. Agua (incl. valv 3 vías) T3 ES.BAT-H20-3
- Módulo filtrado adicional f9 (IDA1) T3 ES.AD-F9-IDA1-3
- Recuperador tipo sorción T3 ES.REC-SOR-3
- Tarjeta de comunicación Bacnet (ITM) ES.BACNET
- Sonda CO2 para control de caudal ES.CO2
- Control para presión constante ES.P-CTE
- Cableado hasta modulo de control
- Reprogramación
- Bancada y soportació antivibratoria</t>
  </si>
  <si>
    <t>PEM9-D47A</t>
  </si>
  <si>
    <t>Partida</t>
  </si>
  <si>
    <t>u</t>
  </si>
  <si>
    <t>Ventilador centríf.trif.230V,caudal&lt;10000m3/h,media.pres.mont.bancada</t>
  </si>
  <si>
    <t>Ventilador centrífugo trifásico para 230 V de tensión, de 10000 m3/h de caudal máximo de aire, de presión media presión y montado sobre bancada
Marca S&amp;P Modelo CVAT/4-12000/560 N D PTC 2,2KW (230/400V) 50HZ N8 o equivalente
La partida incluye:
- Variador de Frecuencia VFTM320 TRI 2,2(x1)
- Cajas dotadas de filtrosMFL-560 G4(x1) 
- Soportes antivibratorios KSE-45(x4) 
- Visera circular de protecció APC-560(x1)
- Sonda de presión diferencial</t>
  </si>
  <si>
    <t>PEM0-BH0N</t>
  </si>
  <si>
    <t>Partida</t>
  </si>
  <si>
    <t>u</t>
  </si>
  <si>
    <t>Caja+vent.axial,2 veloc.,5000/2500m3/h,400V,0,25/0,03kW,1450/730rpm,IP 55,D=400mm,col.</t>
  </si>
  <si>
    <t>Caja con ventilador axial regulable de dos velocidades de 5000/2500 m3/h de caudal máximo, motor trifásico de 400 V de 4/8 polos y 0,25/0,03 kW de potencia a 1450/730 rpm, con una clase de eficiencia energética IE2, según REGLAMENTO (CE) 640/2009, IP 55, ventilador de 400 mm de diámetro con palas de aluminio y caja de acero galvanizado con aislamiento, eficiencia energética según REGLAMENTO (UE) 327/2011, colocada</t>
  </si>
  <si>
    <t>01.03.06</t>
  </si>
  <si>
    <t>01.03.07</t>
  </si>
  <si>
    <t>Capítulo</t>
  </si>
  <si>
    <t>Regulación y control</t>
  </si>
  <si>
    <t>PEK3-BY16</t>
  </si>
  <si>
    <t>Partida</t>
  </si>
  <si>
    <t>u</t>
  </si>
  <si>
    <t>Comp.reg.caud.rect. aluminio,act.eléc.,señal 0-10V,24V,5N·m,200x200mm,fij.mec.</t>
  </si>
  <si>
    <t>Compuerta de regulación de caudal para conductos rectangulares, marco de aluminio y lamas de aluminio de perfil aerodinámico, accionamiento con actuador eléctrico de señal de 0-10 V alimentado a 24 V y un par motor de 5 N·m, de 200 mm de longitud, 200 mm de altura y 120 mm de profundidad, fijada mecánicamente</t>
  </si>
  <si>
    <t>PEK3-ZE01</t>
  </si>
  <si>
    <t>Partida</t>
  </si>
  <si>
    <t>u</t>
  </si>
  <si>
    <t>Comp.reg.caud.rect. aluminio,act.eléc.,señal 0-10V,230V,5N·m,350x350mm,fij.mec.</t>
  </si>
  <si>
    <t>Compuerta de regulación de caudal para conductos rectangulares, marco de aluminio y lamas de aluminio de perfil aerodinámico, accionamiento con actuador eléctrico de señal de 0-10 V alimentado a 230 V y un par motor de 5 N·m, de 350 mm de longitud, 350 mm de altura y 120 mm de profundidad</t>
  </si>
  <si>
    <t>PEK3-BY19</t>
  </si>
  <si>
    <t>Partida</t>
  </si>
  <si>
    <t>u</t>
  </si>
  <si>
    <t>Comp.reg.caud.rect. aluminio,act.eléc.,señal 0-10V,24V,5N·m,400x200mm,fij.mec.</t>
  </si>
  <si>
    <t>Compuerta de regulación de caudal para conductos rectangulares, marco de aluminio y lamas de aluminio de perfil aerodinámico, accionamiento con actuador eléctrico de señal de 0-10 V alimentado a 24 V y un par motor de 5 N·m, de 400 mm de longitud, 200 mm de altura y 120 mm de profundidad, fijada mecánicamente</t>
  </si>
  <si>
    <t>PEK3-BYR0</t>
  </si>
  <si>
    <t>Partida</t>
  </si>
  <si>
    <t>u</t>
  </si>
  <si>
    <t>Comp.reg.caud.rect. aluminio,act.eléc.,señal 0-10V,230V,5N·m,400x250mm,fij.mec.</t>
  </si>
  <si>
    <t>Compuerta de regulación de caudal para conductos rectangulares, marco de aluminio y lamas de aluminio de perfil aerodinámico, accionamiento con actuador eléctrico de señal de 0-10 V alimentado a 230 V y un par motor de 5 N·m, de 400 mm de longitud, 250 mm de altura y 120 mm de profundidad, fijada mecánicamente</t>
  </si>
  <si>
    <t>EG74ZE01</t>
  </si>
  <si>
    <t>Partida</t>
  </si>
  <si>
    <t>u</t>
  </si>
  <si>
    <t>Certificición de punto de voz y datos y tomas de telefonía</t>
  </si>
  <si>
    <t>Certificación de punto de voz y datos y tomas de telefonía, según normativa ISO/IEC 11801: 2002, clase e.
 Es necesario entregar la documentación de homologación y calibración del equipamiento y las certificaciones a la D.F. y a la propiedad.</t>
  </si>
  <si>
    <t>PPAUZC04</t>
  </si>
  <si>
    <t>Partida</t>
  </si>
  <si>
    <t>pa</t>
  </si>
  <si>
    <t>Reprogramación sistema gestión</t>
  </si>
  <si>
    <t>Partida para la reprogramación del sistema de gestión para añadir los nuevos equipos.
Se incluye mano de obra, materiales y medios auxiliares.
Totalmente instalado y en funcionamiento.</t>
  </si>
  <si>
    <t>PP4B-CTKN</t>
  </si>
  <si>
    <t>Partida</t>
  </si>
  <si>
    <t>u</t>
  </si>
  <si>
    <t>Conector macho tipo RJ-45 categoria 6 para cable de pares,connectado</t>
  </si>
  <si>
    <t>Conector macho tipo RJ-45 categoria 6 para cable de pares, connectado al cable</t>
  </si>
  <si>
    <t>PP44-Z0UX</t>
  </si>
  <si>
    <t>Partida</t>
  </si>
  <si>
    <t>m</t>
  </si>
  <si>
    <t>Cable transm.datos,4par.,cat.6a U/FTP,poliolefina/poliolefina,n/propag.llama UNE-EN 60332,col.tubo/c</t>
  </si>
  <si>
    <t>Cable para transmisión de datos con conductor de cobre, de 4 pares, categoría 6a U/FTP, aislamiento de poliolefina y cubierta de poliolefina, de baja emisión de humos y opacidad reducida, no propagador de la llama según UNE-EN 60332-1-2, colocado bajo tubo o canal</t>
  </si>
  <si>
    <t>PP7C-66U0</t>
  </si>
  <si>
    <t>Partida</t>
  </si>
  <si>
    <t>u</t>
  </si>
  <si>
    <t>Panel int.fijo,16 RJ45 cat.6a S/FTP, p/rack 19´´,1U,c/org.cablesfijado mecánicamente</t>
  </si>
  <si>
    <t>Panel integrado fijo, equipado con 16 conectores RJ45 categoría 6a S/FTP, para montar sobre bastidor rack 19´´, de 1 unidad de altura, con organizador de cables, fijado mecánicamente</t>
  </si>
  <si>
    <t>01.03.07</t>
  </si>
  <si>
    <t>01.03.08</t>
  </si>
  <si>
    <t>Capítulo</t>
  </si>
  <si>
    <t>Varios</t>
  </si>
  <si>
    <t>PY01-ZE05</t>
  </si>
  <si>
    <t>Partida</t>
  </si>
  <si>
    <t>h</t>
  </si>
  <si>
    <t>legalizacion instalación de climatización</t>
  </si>
  <si>
    <t>legalizacion instalacion de climatización incluye:
- Proyecto legalizacion
- tasas Industria
- Tasas entidad de control i visita del inspector de entidad de control
- Entrada al canal empresa</t>
  </si>
  <si>
    <t>PY01-ZE01</t>
  </si>
  <si>
    <t>Partida</t>
  </si>
  <si>
    <t>h</t>
  </si>
  <si>
    <t>Ayudas de paleteria</t>
  </si>
  <si>
    <t>Partida alzada de ayudas de paleteria para el paso de las instala ciones</t>
  </si>
  <si>
    <t>PY01-ZE02</t>
  </si>
  <si>
    <t>Partida</t>
  </si>
  <si>
    <t>u</t>
  </si>
  <si>
    <t>Partida de movimiento de elmentos de climatización y ventilación en falso techo</t>
  </si>
  <si>
    <t>Partida de movimiento de elementos de climatización y ventilación en falso techo
Incluye:
- Movimiento de rejas/difusores y reconexión a conducto existente.
- Reparación y pintado de falso techo.</t>
  </si>
  <si>
    <t>P21Z0-ZE01</t>
  </si>
  <si>
    <t>Partida</t>
  </si>
  <si>
    <t>u</t>
  </si>
  <si>
    <t>Perforación muro horm.arm. p/formación pasamuros,D hasta 400mm,e=entre 30 y 40cm,broca diamante</t>
  </si>
  <si>
    <t>Perforación de muro de hormigón armado para formación de pasamuros hasta 400 mm de diámetro nominal con un grueso de pared entre 30 y 40 cm con equipo de barrenado con broca de diamante intercambiable, entre 100 y 400 mm de diámetro</t>
  </si>
  <si>
    <t>P45R1-4UAV</t>
  </si>
  <si>
    <t>Partida</t>
  </si>
  <si>
    <t>m</t>
  </si>
  <si>
    <t>Pasivado armadura,dos capas impr.+puente unión cemento+res.epoxi</t>
  </si>
  <si>
    <t>Pasivado de armadura con dos capas de mortero polimérico de imprimación anticorrosiva y puente de unión de cemento y resinas epoxi</t>
  </si>
  <si>
    <t>01.03.08</t>
  </si>
  <si>
    <t>01.03</t>
  </si>
  <si>
    <t>01.04</t>
  </si>
  <si>
    <t>Capítulo</t>
  </si>
  <si>
    <t>Electricidad BT</t>
  </si>
  <si>
    <t>01.04.01</t>
  </si>
  <si>
    <t>Capítulo</t>
  </si>
  <si>
    <t>Cuadros Eléctricos y legalizaciones</t>
  </si>
  <si>
    <t>XPAUZE12</t>
  </si>
  <si>
    <t>Partida</t>
  </si>
  <si>
    <t>u</t>
  </si>
  <si>
    <t>Partida de Ampliación/Modificación de legalización instalaciones electricidad + tasas</t>
  </si>
  <si>
    <t>Partida para la Legalización de la instalación de Electricidad en Baja Tensión, en caso de ampliar o modificar una instalación en uso.
Incluye proyecto o memoria técnica según REBT ITC-BT-04, documentación y tasas derivadas. También incluye la tramitación frente al departamento de industria y las inspecciones de las ECA según REBT ITC-BT-05.
Incluye costes de inspección e inscripción así como las tasas asociadas a ambos trámites. 
Se aplicará Trámite de Ampliación cuando se añadan nuevos circuitos a una instalación en servicio.
Se aplicará Trámite de Modificación cuando se modifiquen circuitos de una instalación en servicio.
Al finalizar el trámite, se entregará una copia de toda la documentación generada en la propiedad.</t>
  </si>
  <si>
    <t>EG14ZE45</t>
  </si>
  <si>
    <t>Partida</t>
  </si>
  <si>
    <t>u</t>
  </si>
  <si>
    <t>Partida de trabajos para adecuación, reordenación de líneas y/o retirada de Cuadro eléctrico existen</t>
  </si>
  <si>
    <t>Partida de trabajos para adecuación, reordenación de líneas y/o retirada de Cuadro eléctrico existente.
Los trabajos comprenden:
- Desmontaje de tapas de protección y posterior colocación una vez finalizados los trabajos de ampliación para la/s nueva/s línea/s.
- Retirada/anulación de protecciones magnetotérmica y diferencial según indicaciones de la DF/PROP. 
- Rotulación de elementos y accesorios, si corresponde.
- Reconexión de elementos según indicaciones de la DF/PROP.
Esta partida se aplica únicamente si se realizan trabajos en los subcuadros existentes de planta sótano que dan servicio a las zonas en las que se realiza la actuación. 
Se incluye la mano de obra, materiales y medios auxiliares.</t>
  </si>
  <si>
    <t>EG14ZE03</t>
  </si>
  <si>
    <t>Partida</t>
  </si>
  <si>
    <t>u</t>
  </si>
  <si>
    <t>Subcuadro eléctrico Sala Disección 1</t>
  </si>
  <si>
    <t>Suministro e instalación de cuadro eléctrico, colocado en Sala de Disección 1, en planta sótano, según esquema eléctrico unifilar y especificaciones de la DF/PROP. 
Marca Hager o equivalente. armario metálico IP30 IK07, en chapa electrozincada, reforzado, en montaje superficial. Incluye chasis, soportes de carril, marco frontal con sistema de etiquetado, obturadores y colector tierra/neutro, con puerta metálica, cerradura y llave. La carcasa del cuadro debidamente conectada a tierra mediante latiguillo con cable de tierra amarillo-verde. 
Incluye, 
- Protección  diferencial i magnetotermica trifàsica general regulable
- Protección contra sobretensions (Permanentes i Transitorias)
- Protección diferencial amb contacte d’estats
- Protección diferencial superimmunitzat per línies de SAI, Informática, senyals febles i enllumenat (segons quadre unifilar) 
- Protección diferencial  superimmunizada tipus A per línies d'Ascensor (segons quadre unifilar) 
- Protección automàtica magnetotèrmica
- Contactores (segons esquema unifilar)
- Telerruptores (segons esquema unifilar)
- Guardamotores regulables (segons esquema unifilar) 
- Variadores de freqüència  (segons esquema unifilar) 
- enchuefes en cuadro (Carril DIN)
- Analitzador de redes de carril DIN
- Maniobras i enclavamientos
- otros equips segun esquema unifilar.
- Interruptor corte en carga (Motors&gt;2,2 Kw)
Todas las protecciones garantizarán su coordinación, filiación y selectividad. El poder de corte en cabecera será como mínimo el indicado en el esquema unifilar. Rotulación de los circuitos i esquema eléctrico as-built en papel en el interior del cuadro. 
Incluye el cableado interior el cual quedará peinado y recogido con bridas, e identificación del circuito. El armario dispondrá de un espacio de reserva del 30%. Ejecutado según REBT, normativa vigente, planos, esquemas unifilares e indicaciones de la DF / PROP. 
Incluye mano de obra, materiales y medios auxiliares. 
Totalmente montado y en funcionamiento.</t>
  </si>
  <si>
    <t>EG14ZE33</t>
  </si>
  <si>
    <t>Partida</t>
  </si>
  <si>
    <t>u</t>
  </si>
  <si>
    <t>Subcuadro eléctrico Osteoteca</t>
  </si>
  <si>
    <t>Suministro e instalación de cuadro eléctrico, colocado en Sala Osteoteca, en planta sótano, según esquema eléctrico unifilar y especificaciones de la DF/PROP. 
Marca Hager o equivalente. armario metálico IP30 IK07, en chapa electrozincada, reforzado, en montaje superficial. Incluye chasis, soportes de carril, marco frontal con sistema de etiquetado, obturadores y colector tierra/neutro, con puerta metálica, cerradura y llave. La carcasa del cuadro debidamente conectada a tierra mediante latiguillo con cable de tierra amarillo-verde. 
Incluye, 
- Protección  diferencial i magnetotermica trifàsica general regulable
- Protección contra sobretensions (Permanentes i Transitorias)
- Protección diferencial amb contacte d’estats
- Protección diferencial superimmunitzat per línies de SAI, Informática, senyals febles i enllumenat (segons quadre unifilar) 
- Protección diferencial  superimmunizada tipus A per línies d'Ascensor (segons quadre unifilar) 
- Protección automàtica magnetotèrmica
- Contactores (segons esquema unifilar)
- Telerruptores (segons esquema unifilar)
- Guardamotores regulables (segons esquema unifilar) 
- Variadores de freqüència  (segons esquema unifilar) 
- enchuefes en cuadro (Carril DIN)
- Analitzador de redes de carril DIN
- Maniobras i enclavamientos
- otros equips segun esquema unifilar.
- Interruptor corte en carga (Motors&gt;2,2 Kw)
Todas las protecciones garantizarán su coordinación, filiación y selectividad. El poder de corte en cabecera será como mínimo el indicado en el esquema unifilar. Rotulación de los circuitos i esquema eléctrico as-built en papel en el interior del cuadro. 
Incluye el cableado interior el cual quedará peinado y recogido con bridas, e identificación del circuito. El armario dispondrá de un espacio de reserva del 30%. Ejecutado según REBT, normativa vigente, planos, esquemas unifilares e indicaciones de la DF / PROP. 
Incluye mano de obra, materiales y medios auxiliares. 
Totalmente montado y en funcionamiento.</t>
  </si>
  <si>
    <t>EG14ZE34</t>
  </si>
  <si>
    <t>Partida</t>
  </si>
  <si>
    <t>u</t>
  </si>
  <si>
    <t>Subcuadro eléctrico P2 - aulas 1</t>
  </si>
  <si>
    <t>Suministro e instalación de cuadro eléctrico, colocado en aulas tipo 1, en planta segunda según esquema eléctrico unifilar y especificaciones de la DF/PROP.
Marca Hager o equivalente. armario metálico IP30 IK07, en chapa electrozincada, reforzado, en montaje superficial. Incluye chasis, soportes de carril, marco frontal con sistema de etiquetado, obturadores y colector tierra/neutro, con puerta metálica, cerradura y llave. La carcasa del cuadro debidamente conectada a tierra mediante latiguillo con cable de tierra amarillo-verde. 
Incluye, 
- Protección  diferencial i magnetotermica trifàsica general
- Protección contra sobretensions (Permanentes i Transitorias)
- Protección diferencial amb contacte d’estats
- Protección automàtica magnetotèrmica
- Contactores (segun esquema unifilar)
- Telerruptores (seguns esquema unifilar)
- enchuefes en cuadro (Carril DIN)
- Maniobras i enclavamientos
- otros equipos segun esquema unifilar.
Todas las protecciones garantizarán su coordinación, filiación y selectividad. El poder de corte en cabecera será como mínimo el indicado en el esquema unifilar. Rotulación de los circuitos i esquema eléctrico as-built en papel en el interior del cuadro. 
Incluye el cableado interior el cual quedará peinado y recogido con bridas, e identificación del circuito. El armario dispondrá de un espacio de reserva del 30%. Ejecutado según REBT, normativa vigente, planos, esquemas unifilares e indicaciones de la DF / PROP. 
Incluye mano de obra, materiales y medios auxiliares. 
Totalmente montado y en funcionamiento.</t>
  </si>
  <si>
    <t>EG14ZE44</t>
  </si>
  <si>
    <t>Partida</t>
  </si>
  <si>
    <t>u</t>
  </si>
  <si>
    <t>Subcuadro eléctrico P2 - aulas 2</t>
  </si>
  <si>
    <t>Suministro e instalación de cuadro eléctrico, colocado en aulas tipo 2, en planta segunda, según esquema eléctrico unifilar y especificaciones de la DF/PROP. 
Marca Hager o equivalente. armario metálico IP30 IK07, en chapa electrozincada, reforzado, en montaje superficial. Incluye chasis, soportes de carril, marco frontal con sistema de etiquetado, obturadores y colector tierra/neutro, con puerta metálica, cerradura y llave. La carcasa del cuadro debidamente conectada a tierra mediante latiguillo con cable de tierra amarillo-verde. 
Incluye, 
- Protecció  diferencial i magnetotermica trifàsica general regulable
- Protecció contra sobretensions (Permanents i Transitories)
- Protecció diferencial amb contacte d’estats
- Protecció diferencial superimmunitzat per línies de SAI, Informática, senyals febles i enllumenat (segons quadre unifilar) 
- Protecció diferencial  superimmunizada tipus A per línies d'Ascensor (segons quadre unifilar) 
- Protecció automàtica magnetotèrmica
- Contactors (segons quadre unifilar)
- Telerruptors (segons quadre unifilar)
- Guardamotors regulables (segons quadre unifilar) 
- Variadors de freqüència  (segons quadre unifilar) 
- Endolls a quadre (Carril DIN)
- Analitzador de Xarxa de carril DIN
- Maniobres i enclavaments
- Altres equips segons esquema unifilar.
- Interruptor tall en càrrega (Motors&gt;2,2 Kw)
Todas las protecciones garantizarán su coordinación, filiación y selectividad. El poder de corte en cabecera será como mínimo el indicado en el esquema unifilar. Rotulación de los circuitos i esquema eléctrico as-built en papel en el interior del cuadro. 
Incluye el cableado interior el cual quedará peinado y recogido con bridas, e identificación del circuito. El armario dispondrá de un espacio de reserva del 30%. Ejecutado según REBT, normativa vigente, planos, esquemas unifilares e indicaciones de la DF / PROP. 
Incluye mano de obra, materiales y medios auxiliares. 
Totalmente montado y en funcionamiento.</t>
  </si>
  <si>
    <t>EG14ZE01</t>
  </si>
  <si>
    <t>Partida</t>
  </si>
  <si>
    <t>u</t>
  </si>
  <si>
    <t>Partida de trabajos de ampliación/modific. de Cuadro eléctrico existente y situado en Planta sótano</t>
  </si>
  <si>
    <t>Partida de trabajos de ampliación/modificación del Cuadro eléctrico existente y situado en Planta sótano (según documentación gráfica). 
Los trabajos comprenden:
- Retirada de las protecciones actuales hacia los cuadros existentes a retirar (a definir por PROP/DF). 
- Retirada del cableado de la protección eliminada del cuadro general hasta subcuadro de planta.
- Colocación de nuevas protecciones (subcuadro sala disección 1 y subcuadro sala osteoteca - según esquemas unifilares) para las nuevas líneas de los subcuadros de de Planta sótano.
- Rotulación de todas las protecciones.
Los trabajos se realizarán según el horario indicado por la propiedad/DF. 
Se incluye la mano de obra, materiales y medios auxiliares.</t>
  </si>
  <si>
    <t>EG14ZE02</t>
  </si>
  <si>
    <t>Partida</t>
  </si>
  <si>
    <t>u</t>
  </si>
  <si>
    <t>Partida de trabajos de ampliación/modific. de Cuadro eléctrico existente y situado en Planta sótano</t>
  </si>
  <si>
    <t>Partida de trabajos de ampliación/modificación del Cuadro eléctrico existente y situado en Planta segunda (según documentación gráfica). 
Los trabajos comprenden:
- Retirada de las protecciones actuales hacia los cuadros existentes a retirar (a definir por PROP/DF). 
- Retirada del cableado de la protección eliminada del cuadro general hasta subcuadro de planta.
- Colocación de nuevas protecciones (subcuadro aulas laboratorios 1 y 2 y subcuadros aulas microscopia 1 y 2 - según esquemas unifilares) para las nuevas líneas de los subcuadros de de Planta segunda
- Rotulación de todas las protecciones.
Los trabajos se realizarán según el horario indicado por la propiedad/DF. 
Se incluye la mano de obra, materiales y medios auxiliares.</t>
  </si>
  <si>
    <t>01.04.01</t>
  </si>
  <si>
    <t>01.04.02</t>
  </si>
  <si>
    <t>Capítulo</t>
  </si>
  <si>
    <t>Mecanismos</t>
  </si>
  <si>
    <t>EG61ZE11</t>
  </si>
  <si>
    <t>Partida</t>
  </si>
  <si>
    <t>u</t>
  </si>
  <si>
    <t>Punto de Trabajo formado por 2 ench.SN, 2 ench.SP y 2 tomas RJ45 (PT1)</t>
  </si>
  <si>
    <t>Suministro y colocación de Punto de Trabajo formado por 2 enchufes de servicio normal de color blanco, 2 enchufes de servicio preferente de color rojo y 2 tomas RJ45 de voz y datos Cat.6 UTP.
Marca: Hager o equivalente
Modelo: LPT03H
Color / tipo: blanco
Situación del PT: según documentación gráfica (PT1)
incluye:
- Mecanismos
- Marco
- Tapa
Totalmente montado, colocado y en funcionamiento.</t>
  </si>
  <si>
    <t>EG61ZE12</t>
  </si>
  <si>
    <t>Partida</t>
  </si>
  <si>
    <t>u</t>
  </si>
  <si>
    <t>Punto de Trabajo formado por 2 ench.SN y 2 tomas RJ45 (PT2)</t>
  </si>
  <si>
    <t>Suministro y colocación de Punto de Trabajo formado por 2 enchufes de servicio normal de color blanco y 2 tomas RJ45 de voz y datos Cat.6 UTP.
Marca: Hager o equivalente
Modelo: LPT03H
Color / tipo: blanco
Situación del PT: según documentación gráfica (PT2)
incluye:
- Mecanismos
- Marco
- Tapa
Totalmente montado, colocado y en funcionamiento.</t>
  </si>
  <si>
    <t>EG61ZE13</t>
  </si>
  <si>
    <t>Partida</t>
  </si>
  <si>
    <t>u</t>
  </si>
  <si>
    <t>Punto de Trabajo formado por 2 ench.SN, 2 tomas RJ45 y 2 tomas HDMI (PT3)</t>
  </si>
  <si>
    <t>Suministro y colocación de Punto de Trabajo instalado en techo para alimentación de equipamiento específico.  
Formado por 2 enchufes de servicio normal de color blanco, 2 tomas RJ45 de voz y datos Cat.6 UTP y 2 tomas HDMI.
Marca: Hager o equivalente
Modelo: LPT03H
Color / tipo: -
Situación del PT: según documentación gráfica (PT3)
incluye:
- Mecanismos
- Marco
- Tapa
Totalmente montado, colocado y en funcionamiento.</t>
  </si>
  <si>
    <t>PG6O-77MY</t>
  </si>
  <si>
    <t>Partida</t>
  </si>
  <si>
    <t>u</t>
  </si>
  <si>
    <t>Toma corrientebipolar+tierra lateral,(2P+T),16A250V,c/tapa+caja estanca,IP-55,precio alto,mont.super</t>
  </si>
  <si>
    <t>Toma de corriente de superficie, bipolar com toma de tierra lateral, (2P+T), 16 A 250 V, con tapa y caja estanca, con grado de protección IP-55, precio alto, montada superficialmente</t>
  </si>
  <si>
    <t>PG6O-77NR</t>
  </si>
  <si>
    <t>Partida</t>
  </si>
  <si>
    <t>u</t>
  </si>
  <si>
    <t>Toma corriente,tipo univ.(2P+T),16A/250V,c/tapa,precio alto,empotrada</t>
  </si>
  <si>
    <t>Toma de corriente de tipo universal, bipolar com toma de tierra lateral (2P+T), 16 A 250 V, con tapa, precio alto, empotrada</t>
  </si>
  <si>
    <t>PP7F-CUIH</t>
  </si>
  <si>
    <t>Partida</t>
  </si>
  <si>
    <t>u</t>
  </si>
  <si>
    <t>Toma multimedia,tipo univ.,+conector HDMI,c/tapa,empotrada</t>
  </si>
  <si>
    <t>Toma multimedia, de tipo universal, con conector HDMI, con tapa, empotrada</t>
  </si>
  <si>
    <t>EG61ZE14</t>
  </si>
  <si>
    <t>Partida</t>
  </si>
  <si>
    <t>u</t>
  </si>
  <si>
    <t>Base de enchufe aérea a instalar en el techo</t>
  </si>
  <si>
    <t>Suministro y colocación de Base de enchufe aérea a instalar en el techo, tipo schuko en goma negra o equivalente, 230V - 16A. 
Base de enchufe fabricada en caucho negro con prensaestopas pasacables para conexión, dispone de toma de tierra de 3680W y 16A a 230V y salida de cable recta. Incorpora una alta tracción de cable, gracias a la prensaestopa: 30 kg de 2,5 mm2 máx. Con tapa de protección de los polos de conexión
Marca: Legrand o equivalente
Modelo: 050341
Color / tipo: -
Situación del PT: en el techo, según documentación gráfica
Totalmente instalada y en funcionamiento.</t>
  </si>
  <si>
    <t>PG70-78AK</t>
  </si>
  <si>
    <t>Partida</t>
  </si>
  <si>
    <t>u</t>
  </si>
  <si>
    <t>Int.detect.mov.,tipo univ.,resistivas,1000W,230V,10 a 300s,5 a 120lx,c/tapa,precio medio,empotrado</t>
  </si>
  <si>
    <t>Interruptor detector de movimiento, de tipo universal, para cargas resistivas de hasta 1000 W de poténcia y 230 V de tensión de alimentación, de 10 a 300 s de tiempo de desconexión, sensibilidad de activación de 5 a 120 lx, con tapa, precio medio, empotrado</t>
  </si>
  <si>
    <t>PG6K-77HO</t>
  </si>
  <si>
    <t>Partida</t>
  </si>
  <si>
    <t>u</t>
  </si>
  <si>
    <t>Puls. tipo univ.,10A/250V,1NA,c/tecla,precio alto,empotrado</t>
  </si>
  <si>
    <t>Pulsador de tipo universal, 10 A 250 V, con 1 contacto NA, con tecla, precio alto, empotrado</t>
  </si>
  <si>
    <t>EG14ZE86</t>
  </si>
  <si>
    <t>Partida</t>
  </si>
  <si>
    <t>u</t>
  </si>
  <si>
    <t>Caja de mecanismos para la centralización de encendidas del aula, de material plástico. máx.6 mec</t>
  </si>
  <si>
    <t>Subministro y colocación de torreta aislante de PVC para 2 mecanismos modulares, dispuestos a una cara. Instalación sobre mesa de trabajo. 
Incluye, 
- zocalo de fijación para instalación en montaje superficial sobre mesa
- fabrición en ABS libre de halógenos
- IP44 / IK04
- diseño según la norma UNE-EN 50.085-1:2006 
Incluye mano de obra, materiales y medios auxiliares. 
Totalmente montado y en funcionamiento.</t>
  </si>
  <si>
    <t>PG6E-76R8</t>
  </si>
  <si>
    <t>Partida</t>
  </si>
  <si>
    <t>u</t>
  </si>
  <si>
    <t>Conmutador doble,tipo mod.2mód.estrechos,(2P),10A/250V,c/tecla,precio alto,mont.bast./caja</t>
  </si>
  <si>
    <t>Conmutador doble, de tipo modular de 2 módulos estrechos, bipolar (2P), 10 A/250 V, con tecla, precio alto, montado sobre bastidor o caja</t>
  </si>
  <si>
    <t>01.04.02</t>
  </si>
  <si>
    <t>01.04.03</t>
  </si>
  <si>
    <t>Capítulo</t>
  </si>
  <si>
    <t>Alumbrado</t>
  </si>
  <si>
    <t>EH61ZE12</t>
  </si>
  <si>
    <t>Partida</t>
  </si>
  <si>
    <t>u</t>
  </si>
  <si>
    <t>Luz emergencia SOS LED 10-300 EB1 superficie 1h 300lm IP66 IK10</t>
  </si>
  <si>
    <t>Suministro y colocación de Luz de emergencia Estanca con Led.
Marca: Trilux o equivalente.
Modelo: SOS LED 10-300 EB1 IP65
Disposición: superficie en pared/techo
Tipo: emergencia rectangular 
Flujo: 300lm
Autonomía: 1h
norma UNE-EN 60598-2-22, UNE-EN 60598-1
Grado de proteccion: IP65 - IK 08.
Grado de aislamiento: Clase I I .
LED indicador de presencia de red y carga de bateria.
Bateria de Ni -Cd estanca, de al ta temperatura.
Instalacion con base pre-placa.
Telemandable
Marcado CE y de acorde a la di rect iva RoHS.
ECORAEE LED
Totalmente colocada, montada y en funcionamiento.</t>
  </si>
  <si>
    <t>EH61ZE13</t>
  </si>
  <si>
    <t>Partida</t>
  </si>
  <si>
    <t>u</t>
  </si>
  <si>
    <t>Luz emergencia SOS LED 10-400 EB1 empotrable 1h 400lm IP44 IK04</t>
  </si>
  <si>
    <t>Suministro y colocación de Luz de emergencia con Led.
Marca: Trilux o equivalente.
Modelo: SOS LED 10-400 EB1 
Incluye dispositivo de Empotrar en techo Serie 10 color Blanco.
Disposición: superficie/empotrada en pared/techo
Tipo: emergencia rectangular 
Flujo: 400lm
Autonomía: 1h
norma UNE-EN 60598-2-22, UNE-EN 60598-1
Grado de proteccion: IP44 - IK 04.
Grado de aislamiento: Clase I I .
LED indicador de presencia de red y carga de bateria.
Bateria de Ni -Cd estanca, de al ta temperatura.
Instalacion con base pre-placa.
Telemandable
Marcado CE y de acorde a la di rect iva RoHS.
ECORAEE LED
Totalmente colocada, montada y en funcionamiento.</t>
  </si>
  <si>
    <t>EH61ZE14</t>
  </si>
  <si>
    <t>Partida</t>
  </si>
  <si>
    <t>u</t>
  </si>
  <si>
    <t>Luz emergencia SOS LED 10-150 EB1 empotrable 1h 150lm IP44 IK04</t>
  </si>
  <si>
    <t>Suministro y colocación de Luz de emergencia con Led.
Marca: Trilux o equivalente.
Modelo: SOS LED 10-150 EB1 
Incluye dispositivo de Empotrar en techo Serie 10 color Blanco.
Disposición: superficie/empotrada en pared/techo
Tipo: emergencia rectangular 
Flujo: 150lm
Autonomía: 1h
norma UNE-EN 60598-2-22, UNE-EN 60598-1
Grado de proteccion: IP44 - IK 04.
Grado de aislamiento: Clase I I .
LED indicador de presencia de red y carga de bateria.
Bateria de Ni -Cd estanca, de al ta temperatura.
Instalacion con base pre-placa.
Telemandable
Marcado CE y de acorde a la di rect iva RoHS.
ECORAEE LED
Totalmente colocada, montada y en funcionamiento.</t>
  </si>
  <si>
    <t>EH61ZE15</t>
  </si>
  <si>
    <t>Partida</t>
  </si>
  <si>
    <t>u</t>
  </si>
  <si>
    <t>Luz emergencia SOS LED 10-060 EB1 empotrable 1h 60lm IP44 IK04</t>
  </si>
  <si>
    <t>Suministro y colocación de Luz de emergencia con Led.
Marca: Trilux o equivalente.
Modelo: SOS LED 10-060 EB1 
Incluye dispositivo de Empotrar en techo Serie 10 color Blanco.
Disposición: superficie/empotrada en pared/techo
Tipo: emergencia rectangular 
Flujo: 60lm
Autonomía: 1h
norma UNE-EN 60598-2-22, UNE-EN 60598-1
Grado de proteccion: IP44 - IK 04.
Grado de aislamiento: Clase I I .
LED indicador de presencia de red y carga de bateria.
Bateria de Ni -Cd estanca, de al ta temperatura.
Instalacion con base pre-placa.
Telemandable
Marcado CE y de acorde a la di rect iva RoHS.
ECORAEE LED
Totalmente colocada, montada y en funcionamiento.</t>
  </si>
  <si>
    <t>EH2LZE18</t>
  </si>
  <si>
    <t>Partida</t>
  </si>
  <si>
    <t>u</t>
  </si>
  <si>
    <t>Downlight empotrable LED 15W, IP54 , diam.180 mm DALI</t>
  </si>
  <si>
    <t>Suministro y colocación de Downlight empotrado en techo.
Marca: TRILUX o equivalente
Modelo: Aviella C05 OA 1200-840 ETDD 01
Disposición: empotrado a techo
Tipo: Downlight decorativo
Difusor: -
Potencia total: 15 W
Temperatura color: 4000K
Grado de Protección: IP54
Índice de Protección: --
Aislamiento eléctrico: Clase II
Flujo luminoso: 1300 lm
Eficacia de la luminaria: 87 lm/W
IRC: 80
Control: DALI-2-Standard EN 62386
Dimensiones: diam.180 mm x 24 mm de profundidad
Incluido todos los elementos y medios auxiliares. Conectada eléctricamente. Incluye el equipo y la lámpara. Instalada y funcionando</t>
  </si>
  <si>
    <t>EH2LZE19</t>
  </si>
  <si>
    <t>Partida</t>
  </si>
  <si>
    <t>u</t>
  </si>
  <si>
    <t>Downlight empotrable LED 24W, IP54 , diam.240 mm DALI</t>
  </si>
  <si>
    <t>Suministro y colocación de Downlight empotrado en techo.
Marca: TRILUX o equivalente
Modelo: Aviella C07 OA 2000-840 ETDD 01
Disposición: empotrado a techo
Tipo: Downlight decorativo
Difusor: -
Potencia total: 24 W
Temperatura color: 4000K
Grado de Protección: IP54
Índice de Protección: --
Aislamiento eléctrico: Clase II
Flujo luminoso: 2000 lm
Eficacia de la luminaria: 83 lm/W
IRC: 80
Control: DALI-2-Standard EN 62386
Dimensiones: diam.180 mm x 24 mm de profundidad
Incluido todos los elementos y medios auxiliares. Conectada eléctricamente. Incluye el equipo y la lámpara. Instalada y funcionando</t>
  </si>
  <si>
    <t>EHB5ZE14</t>
  </si>
  <si>
    <t>Partida</t>
  </si>
  <si>
    <t>u</t>
  </si>
  <si>
    <t>Lum.estanca leds 16W, IP66 , IK08,</t>
  </si>
  <si>
    <t>Suministro y colocación de Luminaria estanca para locales húmedos. Para montar superficialmente.
Marca: TRILUX o equivalente
Modelo: AragFHE 12 PXW 23-840 ETDD PC
Disposición: superficie pared o techo
Tipo: Pantalla estanca.
Difusor: de policarbonato opal (PC).
Equipo: no regulable
Potencia: 16 W
Temperatura color: 4000K
Grado de Protección: IP66
Índice de Protección; IK08
Aislamiento eléctrico; Clase II
Flujo luminoso: 2300 lm
Eficacia de la luminaria: 144 lm/W
Dimensiones: 1.257 x 102 x 91 mm
Incluye mano de obra, materiales y medios auxiliares.
Totalmente montada y funcionando.</t>
  </si>
  <si>
    <t>EH22ZE08</t>
  </si>
  <si>
    <t>Partida</t>
  </si>
  <si>
    <t>u</t>
  </si>
  <si>
    <t>Lum.decorativa modular 60x60cm,22W,4100 lm,IP40,empt.4000K</t>
  </si>
  <si>
    <t>Suministro y colocación de Pantalla modular empotrada a techo. 
Marca: TRILUX o equivalente 
Modelo: Siella G8 M73 PW19 28-40/3ML-840 ET
Disposición: empotrada a techo 
Tipo: Pantalla modular 60x60cm 
Difusor: estructura microprismática Acrílico
Potencia total: 22W
Temperatura color: 4000K
Grado de Protección: IP20 
Índice de Protección: IK03
Aislamiento eléctrico: -
Flujo luminoso: 2800-4100 lm
Eficacia de la luminaria: 127 lm/W
Control: On-Off
Dimensiones: 597x 597 x 60 mm de profundidad
Incluye accesorios de montaje, mano de obra, medios y medios auxiliares.
Conectada eléctricamente. Incluye el equipo y la lámpara. Instalada, testeada y en funcionamiento.</t>
  </si>
  <si>
    <t>EH22ZE20</t>
  </si>
  <si>
    <t>Partida</t>
  </si>
  <si>
    <t>u</t>
  </si>
  <si>
    <t>Pantalla modular lineal empotrada 1413mm</t>
  </si>
  <si>
    <t>Suministro y colocación de Pantalla modular empotrada a techo. 
Marca: TRILUX o equivalente 
Modelo: SFlow C2-L MRX LED4000-840 ETDD 01
Disposición: empotrada a techo 
Tipo: Luminaria LED empotrable para aplicaciones individuales o en línea continua.
Difusor: estructura microprismática Acrílico
Potencia total: 26W
Temperatura color: 4000K
Grado de Protección: IP20 
Índice de Protección: IK03
Aislamiento eléctrico: -
Flujo luminoso: 2800-4100 lm
Eficacia de la luminaria: 127 lm/W
Control: On-Off
Dimensiones: 1413x 100 x 45 mm
Incluye accesorios de montaje, mano de obra, medios y medios auxiliares.
Conectada eléctricamente. Incluye el equipo y la lámpara. Instalada, testeada y en funcionamiento.</t>
  </si>
  <si>
    <t>01.04.03</t>
  </si>
  <si>
    <t>01.04.04</t>
  </si>
  <si>
    <t>Capítulo</t>
  </si>
  <si>
    <t>Circuitos y alimentaciones</t>
  </si>
  <si>
    <t>EGZ0ZE02</t>
  </si>
  <si>
    <t>Partida</t>
  </si>
  <si>
    <t>u</t>
  </si>
  <si>
    <t>Alimentación eléctrica de punto de luz de emergencia Inst.Empotrada</t>
  </si>
  <si>
    <t>Punto de Alimentación Eléctrica desde la caja de derivación hasta el Punto de Luz Emergencia. Incluido caja derivación, conductores y canalización a luminaria.
Características Derivación a punto de Luz:
- cable de cobre de ES07Z1-K (AS) 2x1,5 + 1,5 mm2 según normativa CPR Cca-s1b, de 1, a1
- tubo flexible corrugado de PVC sin halógenos, de 16 mm de diámetro nominal (UNE 23-727-90)
- protección superficial fija y dimensionado Según ITC-BT-21
- parte proporciona de cajas aislantes IP55 con tapa atornillada y entradas elásticas / roscadas.
Configuración del cable y sección de los conductores según esquema unifilar del proyecto.
Todos los elementos estarán libres de halógenos.
Completamente montado, instal.lat y en funcionamiento.</t>
  </si>
  <si>
    <t>EGZ0ZE05</t>
  </si>
  <si>
    <t>Partida</t>
  </si>
  <si>
    <t>u</t>
  </si>
  <si>
    <t>Alimentación eléctrica de punto de luz Inst.Empotrada</t>
  </si>
  <si>
    <t>Punto de Alimentación Eléctrica desde la caja de derivación hasta el Punto de Luz. Incluido caja derivación, conductores y canalización a luminaria.
Características Derivación a punto de Luz:
- cable de cobre de ES07Z1-K (AS) 2x1,5 + 1,5 mm2 según normativa CPR Cca-s1b, de 1, a1
- tubo flexible corrugado de PVC sin halógenos, de 16 mm de diámetro nominal (UNE 23-727-90)
- protección superficial fija y dimensionado Según ITC-BT-21
- parte proporciona de cajas aislantes IP55 con tapa atornillada y entradas elásticas / roscadas.
Configuración del cable y sección de los conductores según esquema unifilar del proyecto.
Todos los elementos estarán libres de halógenos.
Completamente montado, instal.lat y en funcionamiento.</t>
  </si>
  <si>
    <t>EGZ0ZE07</t>
  </si>
  <si>
    <t>Partida</t>
  </si>
  <si>
    <t>u</t>
  </si>
  <si>
    <t>Alimentación eléctrica de punto de luz DALI Inst.Empotrada</t>
  </si>
  <si>
    <t>Punto de Alimentación Eléctrica desde la caja de derivación hasta el Punt de Llum DALI. Incluido caja de derivación, conductores y canalización a luminaria.
Características Derivación a punto de Luz:
- cable de cobre de ES07Z1-K (AS) 2x1,5 + 1,5 mm2 según normativa CPR Cca-s1b,d1,a1
- cable de comunicaciones para bus de datos, 2x1 mm2 trenzado y apantallado
- tubo flexible corrugado de PVC sin halógenos, de 16 mm de diámetro nominal (UNE 23-727-90)
- protección superficial fija y dimensionado Según ITC-BT-21
- parte proporciona de cajas aislantes IP55 con tapa atornillada y entradas elásticas/roscadas.
Configuración del cable y sección de los conductores según un esquema unifilar del proyecto.
Todos los elementos serán libres de halógenos.
Completamente montado, instalado y en funcionamiento.</t>
  </si>
  <si>
    <t>EGZ0ZE11</t>
  </si>
  <si>
    <t>Partida</t>
  </si>
  <si>
    <t>u</t>
  </si>
  <si>
    <t>Alimentación eléctrica toma de corriente simple / múltiple Inst.Empotrada</t>
  </si>
  <si>
    <t>Punto de Alimentación eléctrica desde la caja de derivación hasta la Toma de Corriente simple / múltiple, punto de trabajo o dispositivo similar. Incluyendo cables, caja y canalización mecanismo.
Características Derivación mecanismo:
- cable de cobre H07Z1-K (AS) 2x2,5 + 2,5 mm2. Cca-s1b, de 1, a1
- tubo flexible corrugado de PVC sin halógenos, de 20 mm de diámetro nominal (UNE 23-727-90)
- caja aislante IP55 con tapa atornillada y entradas elásticas / roscadas.
- protección superficial fija y dimensionado según ITC-BT-21.
Configuración del cable, sección de los conductores y tubo, según esquema unifilar del proyecto.
Todos los elementos estarán libres de halógenos.
Completamente montado, instal.lat y en funcionamiento.</t>
  </si>
  <si>
    <t>EGZ0ZE09</t>
  </si>
  <si>
    <t>Partida</t>
  </si>
  <si>
    <t>u</t>
  </si>
  <si>
    <t>Alimentación eléctrica de Interruptor (encendido) Inst.Empotrada</t>
  </si>
  <si>
    <t>Punto de Alimentación eléctrica desde la caja de derivación hasta el Punto de interruptor (simple, conmutado, doble conmutado, cruce, pulsador, detectores o similares) Incluidos conductores, caja y canalización mecanismo de accionamiento.
Características Derivación mecanismo:
- cable de cobre de H07Z1-K (AS) 2x1,5 + 1,5 mm2. Cca-s1b, de 1, a1
- tubo flexible corrugado de PVC sin halógenos, de 16 mm de diámetro nominal (UNE 23-727-90)
- parte proporciona de cajas aislantes IP55 con tapa atornillada y entradas elásticas / roscadas.
- protección superficial fija y dimensionado Según ITC-BT-21.
Configuración del cable, sección de los conductores y tubo, según esquema unifilar del proyecto.
Todos los elementos estarán libres de halógenos.
Completamente montado, instal.lat y en funcionamiento.</t>
  </si>
  <si>
    <t>EGZ0ZE14</t>
  </si>
  <si>
    <t>Partida</t>
  </si>
  <si>
    <t>u</t>
  </si>
  <si>
    <t>Alimentación eléctrica a elemento de climatización Inst.Vista</t>
  </si>
  <si>
    <t>Alimentación eléctrica desde la caja de derivación hasta el elemento terminal de climatización como fancoil, inductor, ventilador, Caja de caudal variable o climatizador, o dispositivo similar.
Incluyendo cables, caja y canalización en el elemento terminal.
Características Derivación a mecanismo:
- cable de cobre H07Z1-K (AS) 2x2,5 + 2,5 mm2. Cca-s1b,d1,a1
- tubo PVC rígido clase m1 (UNE 23-727-90), diámetro 20mm
- caja aislante IP55 con tapa atornillada y entradas elásticas/roscadas.
- protección superficial fija y dimensionado según ITC-BT-21.
Configuración del cable, sección de conductores y tubo, según esquema unifilar del proyecto.
Todos los elementos serán libres de halógenos.
Completamente montado, instalado y en funcionamiento.</t>
  </si>
  <si>
    <t>EGZ0ZE18</t>
  </si>
  <si>
    <t>Partida</t>
  </si>
  <si>
    <t>u</t>
  </si>
  <si>
    <t>Alimentación eléctrica proyector Inst.Empotrada</t>
  </si>
  <si>
    <t>Punto de Alimentación eléctrica desde la caja de derivación hasta proyector o dispositivo similar. Incluyendo cables, caja y canalización mecanismo.
Características Derivación mecanismo:
- cable de cobre H07Z1-K (AS) 2x2,5 + 2,5 mm2. Cca-s1b, de 1, a1
- tubo flexible corrugado de PVC sin halógenos, de 20 mm de diámetro nominal (UNE 23-727-90)
- caja aislante IP55 con tapa atornillada y entradas elásticas / roscadas.
- protección superficial fija y dimensionado según ITC-BT-21.
Configuración del cable, sección de los conductores y tubo, según esquema unifilar del proyecto.
Todos los elementos estarán libres de halógenos.
Completamente montado, instal.lat y en funcionamiento.</t>
  </si>
  <si>
    <t>EGZ0ZE17</t>
  </si>
  <si>
    <t>Partida</t>
  </si>
  <si>
    <t>u</t>
  </si>
  <si>
    <t>Alimentación eléctrica bombas y elementos del circuito de ACS/Clima a/cable 6mm2 inst.Vista</t>
  </si>
  <si>
    <t>Punto de Alimentación eléctrica desde la caja de derivación hasta bomba de circulación o dispositivo similar. Incluyendo cables, caja y canalización a elemento a alimentar.
Características Derivación: 
- cable de cobre H07Z1-K (AS) 3x6 + 6 mm2. Cca-s1b,d1,a1
- tubo rígido PVC sin halógenos, de 25 mm de diámetro nominal (UNE 23-727-90)
- caja aislante IP55 con tapa atornillada y entradas elásticas/roscadas.
- protección superficial fija y dimensionado según ITC-BT-21.
Configuración del cable, sección de conductores y tubo, según esquema unifilar del proyecto. 
Todos los elementos serán libres de halógenos.
Completamente montado, instalado y en funcionamiento.</t>
  </si>
  <si>
    <t>PG12-DH7R</t>
  </si>
  <si>
    <t>Partida</t>
  </si>
  <si>
    <t>u</t>
  </si>
  <si>
    <t>Caja deriv.plástico,100x100mm,prot.IP-65,mont.superf.</t>
  </si>
  <si>
    <t>Caja de derivación cuadrada de plástico, de 100x100 mm, con grado de protección IP-65, montada superficialmente</t>
  </si>
  <si>
    <t>PG12-DH99</t>
  </si>
  <si>
    <t>Partida</t>
  </si>
  <si>
    <t>u</t>
  </si>
  <si>
    <t>Caja deriv.plástico,150x150mm,prot.IP-54,mont.superf.</t>
  </si>
  <si>
    <t>Caja de derivación cuadrada de plástico, de 150x150 mm, con grado de protección IP-54, montada superficialmente</t>
  </si>
  <si>
    <t>PG2N-EUHZ</t>
  </si>
  <si>
    <t>Partida</t>
  </si>
  <si>
    <t>m</t>
  </si>
  <si>
    <t>Tubo flexible corrugado plástico s/halógenos,DN=25mmbaja emisión humos,2J,320N,2000V,sob/falso techo</t>
  </si>
  <si>
    <t>Tubo flexible corrugado de plástico sin halógenos, de 25 mm de diámetro nominal, aislante y no propagador de la llama, de baja emisión de humos y sin emisión de gases tóxicos ni corrosivos, resistencia al impacto de 2 J, resistencia a compresión de 320 N y una rigidez dieléctrica de 2000 V, montado sobre falso techo</t>
  </si>
  <si>
    <t>PG2N-EUIA</t>
  </si>
  <si>
    <t>Partida</t>
  </si>
  <si>
    <t>m</t>
  </si>
  <si>
    <t>Tubo flexible corrugado plástico s/halógenos,DN=32mmbaja emisión humos,2J,320N,2000V,sob/falso techo</t>
  </si>
  <si>
    <t>Tubo flexible corrugado de plástico sin halógenos, de 32 mm de diámetro nominal, aislante y no propagador de la llama, de baja emisión de humos y sin emisión de gases tóxicos ni corrosivos, resistencia al impacto de 2 J, resistencia a compresión de 320 N y una rigidez dieléctrica de 2000 V, montado sobre falso techo</t>
  </si>
  <si>
    <t>PG35-HIKY</t>
  </si>
  <si>
    <t>Partida</t>
  </si>
  <si>
    <t>m</t>
  </si>
  <si>
    <t>Cable Cu 450/750 V, H07Z1-K (AS) Type 2, 1x1,5mm2, Cca-s1b, d1, a1,col.tubo</t>
  </si>
  <si>
    <t>Cable con conductor de cobre de tensión asignada inferior o igual a 450/750 V, de designación H07Z1-K (AS) Type 2, construcción según norma UNE-EN 50525-3-31, unipolar, de sección 1x1,5 mm2, con aislamiento de poliolefinas, clase de reacción al fuego Cca-s1b, d1, a1 según la norma UNE-EN 50575, con baja emisión humos, colocado en tubo</t>
  </si>
  <si>
    <t>PG35-HIIT</t>
  </si>
  <si>
    <t>Partida</t>
  </si>
  <si>
    <t>m</t>
  </si>
  <si>
    <t>Cable Cu 450/750 V, H07Z1-K (AS) Type 2, 1x2,5mm2, Cca-s1b, d1, a1,col.tubo</t>
  </si>
  <si>
    <t>Cable con conductor de cobre de tensión asignada inferior o igual a 450/750 V, de designación H07Z1-K (AS) Type 2, construcción según norma UNE-EN 50525-3-31, unipolar, de sección 1x2,5 mm2, con aislamiento de poliolefinas, clase de reacción al fuego Cca-s1b, d1, a1 según la norma UNE-EN 50575, con baja emisión humos, colocado en tubo</t>
  </si>
  <si>
    <t>PG35-HIW2</t>
  </si>
  <si>
    <t>Partida</t>
  </si>
  <si>
    <t>m</t>
  </si>
  <si>
    <t>Cable Cu 450/750 V, H07Z1-K (AS) Type 2, 1x4mm2, Cca-s1b, d1, a1,col.tubo</t>
  </si>
  <si>
    <t>Cable con conductor de cobre de tensión asignada inferior o igual a 450/750 V, de designación H07Z1-K (AS) Type 2, construcción según norma UNE-EN 50525-3-31, unipolar, de sección 1x4 mm2, con aislamiento de poliolefinas, clase de reacción al fuego Cca-s1b, d1, a1 según la norma UNE-EN 50575, con baja emisión humos, colocado en tubo</t>
  </si>
  <si>
    <t>PG35-DY9A</t>
  </si>
  <si>
    <t>Partida</t>
  </si>
  <si>
    <t>m</t>
  </si>
  <si>
    <t>Cable Cu 450/750 V, H07V-K, 1x16mm2, Eca,col.tubo</t>
  </si>
  <si>
    <t>Cable con conductor de cobre de tensión asignada inferior o igual a 450/750 V, de designación H07V-K, construcción según norma UNE-EN 50525-2-31, unipolar, de sección 1x16 mm2, con aislamiento de PVC, clase de reacción al fuego Eca según la norma UNE-EN 50575, colocado en tubo</t>
  </si>
  <si>
    <t>PG35-DY94</t>
  </si>
  <si>
    <t>Partida</t>
  </si>
  <si>
    <t>m</t>
  </si>
  <si>
    <t>Cable Cu 450/750 V, H07V-R, 1x10mm2, Eca,col.tubo</t>
  </si>
  <si>
    <t>Cable con conductor de cobre de tensión asignada inferior o igual a 450/750 V, de designación H07V-R, construcción según norma UNE-EN 50525-2-31, unipolar, de sección 1x10 mm2, con aislamiento de PVC, clase de reacción al fuego Eca según la norma UNE-EN 50575, colocado en tubo</t>
  </si>
  <si>
    <t>PG35-DY9M</t>
  </si>
  <si>
    <t>Partida</t>
  </si>
  <si>
    <t>m</t>
  </si>
  <si>
    <t>Cable Cu 450/750 V, H07V-K, 1x35mm2, Eca,col.tubo</t>
  </si>
  <si>
    <t>Cable con conductor de cobre de tensión asignada inferior o igual a 450/750 V, de designación H07V-K, construcción según norma UNE-EN 50525-2-31, unipolar, de sección 1x35 mm2, con aislamiento de PVC, clase de reacción al fuego Eca según la norma UNE-EN 50575, colocado en tubo</t>
  </si>
  <si>
    <t>PG35-HK5U</t>
  </si>
  <si>
    <t>Partida</t>
  </si>
  <si>
    <t>m</t>
  </si>
  <si>
    <t>Cable Cu 450/750 V, H07Z1-K (AS) Type 2, 1x6mm2, Cca-s1b, d1, a1,col.tubo</t>
  </si>
  <si>
    <t>Cable con conductor de cobre de tensión asignada inferior o igual a 450/750 V, de designación H07Z1-K (AS) Type 2, construcción según norma UNE-EN 50525-3-31, unipolar, de sección 1x6 mm2, con aislamiento de poliolefinas, clase de reacción al fuego Cca-s1b, d1, a1 según la norma UNE-EN 50575, con baja emisión humos, colocado en tubo</t>
  </si>
  <si>
    <t>PG25-AZDZ</t>
  </si>
  <si>
    <t>Partida</t>
  </si>
  <si>
    <t>m</t>
  </si>
  <si>
    <t>Canal aislante PVC,1 tapa p/distribución,60x110mm,2 compartimentos,blanco,IP4X,IK10,n/propag.llama,a</t>
  </si>
  <si>
    <t>Canal aislante de PVC, con 1 tapa para distribución, de 60x110 mm, con 2 compartimentos, de color blanco, resistencia a la penetración de objetos sólidos IP4X, protección mecánica contra impactos IK10, no propagador de la llama, apertura tapa con herramienta especial, de temperatura de servicio de -5ºC a +60°C, de acuerdo con la norma UNE-EN 50085-2-1, directamente sobre paramentos verticales</t>
  </si>
  <si>
    <t>EGDZZE02</t>
  </si>
  <si>
    <t>Partida</t>
  </si>
  <si>
    <t>u</t>
  </si>
  <si>
    <t>Sistema de red equipotencial</t>
  </si>
  <si>
    <t>Sistema de red equipotencial en baños, aseos, vestuarios, piscina, spa y todas las masas metálicas, mediante el conexionado de cada una de las partes metálicas de grifos, desagües, rejas, etc., con conductores de 4 mm² de sección con aislamiento de PVC de 750 V, incluso tubo flexible para las conexiones, cajas de paso, etc.
Completamente instalado.</t>
  </si>
  <si>
    <t>PG29-DWGH</t>
  </si>
  <si>
    <t>Partida</t>
  </si>
  <si>
    <t>m</t>
  </si>
  <si>
    <t>Canal plancha acero lisa,100x300mm,mont.superf.</t>
  </si>
  <si>
    <t>Canal metálico de plancha de acero lisa, de 100x300 mm, montada superficialmente</t>
  </si>
  <si>
    <t>PG2O-6SX9</t>
  </si>
  <si>
    <t>Partida</t>
  </si>
  <si>
    <t>m</t>
  </si>
  <si>
    <t>Tubo rígido acero galv.,DN=40mm,impacto=20J,resist.compres.=4000N,unión roscada+mont.superf.</t>
  </si>
  <si>
    <t>Tubo rígido de acero galvanizado, de 40 mm de diámetro nominal, resistencia al impacto de 20 J, resistencia a compresión de 4000 N, con unión roscada y montado superficialmente</t>
  </si>
  <si>
    <t>PG2O-6SX8</t>
  </si>
  <si>
    <t>Partida</t>
  </si>
  <si>
    <t>m</t>
  </si>
  <si>
    <t>Tubo rígido acero galv.,DN=25mm,impacto=20J,resist.compres.=4000N,unión roscada+mont.superf.</t>
  </si>
  <si>
    <t>Tubo rígido de acero galvanizado, de 25 mm de diámetro nominal, resistencia al impacto de 20 J, resistencia a compresión de 4000 N, con unión roscada y montado superficialmente</t>
  </si>
  <si>
    <t>PG2O-6SXB</t>
  </si>
  <si>
    <t>Partida</t>
  </si>
  <si>
    <t>m</t>
  </si>
  <si>
    <t>Tubo rígido acero galv.,DN=32mm,impacto=20J,resist.compres.=4000N,unión roscada+mont.superf.</t>
  </si>
  <si>
    <t>Tubo rígido de acero galvanizado, de 32 mm de diámetro nominal, resistencia al impacto de 20 J, resistencia a compresión de 4000 N, con unión roscada y montado superficialmente</t>
  </si>
  <si>
    <t>01.04.04</t>
  </si>
  <si>
    <t>01.04.05</t>
  </si>
  <si>
    <t>Capítulo</t>
  </si>
  <si>
    <t>Varios</t>
  </si>
  <si>
    <t>K21GZ112</t>
  </si>
  <si>
    <t>Partida</t>
  </si>
  <si>
    <t>m2</t>
  </si>
  <si>
    <t>Partida desmontaje de instalación de electricidad existente</t>
  </si>
  <si>
    <t>Partida de desmontaje de la instalación de electricidad y alumbrado existente hasta el cuadro existente, consistente en, 
- Desmontaje de instalaciones en falso techo
- Acopio, si se determina por la propiedad/DF
- Transporte a vertedero controlado
- Copia de la acreditación de la entrada y pago de tasas de vertedero
Todos los trabajos coordinados con el resto de trabajos.</t>
  </si>
  <si>
    <t>P89I-4V8Q</t>
  </si>
  <si>
    <t>Partida</t>
  </si>
  <si>
    <t>m2</t>
  </si>
  <si>
    <t>Pint.horiz.yeso,pintura plástica liso+selladora+2acab.</t>
  </si>
  <si>
    <t>Pintado de paramento horizontal de yeso, con pintura plástica con acabado liso, con una capa selladora y dos de acabado</t>
  </si>
  <si>
    <t>P846-9JNH</t>
  </si>
  <si>
    <t>Partida</t>
  </si>
  <si>
    <t>m2</t>
  </si>
  <si>
    <t>Falso techo,placa yeso lamin.,A,e=15mm,borde afinado+maestras c/600mm</t>
  </si>
  <si>
    <t>Falso techo de placa de yeso laminado estándar (A) y espesor 15 mm, con borde afinado (BA), según la norma UNE-EN 520, con perfileria de maestras fijadas directamente al techo colocadas cada 600 mm, para una altura de falso techo de 4 m como máximo</t>
  </si>
  <si>
    <t>P84J-9JQS</t>
  </si>
  <si>
    <t>Partida</t>
  </si>
  <si>
    <t>m2</t>
  </si>
  <si>
    <t>Falso techo reg.PYL acabada perfor. agrupadas,600x600mm e=12,5mm, clas.absor.acústica=D, sistema des</t>
  </si>
  <si>
    <t>Falso techo registrable de placas de yeso laminado acabada con perforaciones agrupadas, 600x 600 mm y 12,5 mm de espesor con clase de absorción acústica D según la UNE-EN ISO 11654, sistema desmontable con estructura de acero galvanizado semioculto formado por perfiles principales con forma de T invertida de 24 mm de base colocados cada 1,2 m y fijados al techo mediante varilla de suspensión cada 1,2 m, con perfiles secundarios colocados formando retícula de 600x 600 mm, para una altura de falso techo de 4 m como máximo</t>
  </si>
  <si>
    <t>01.04.05</t>
  </si>
  <si>
    <t>01.04</t>
  </si>
  <si>
    <t>01.05</t>
  </si>
  <si>
    <t>Capítulo</t>
  </si>
  <si>
    <t>Voz y datos</t>
  </si>
  <si>
    <t>PG2N-EUHI</t>
  </si>
  <si>
    <t>Partida</t>
  </si>
  <si>
    <t>m</t>
  </si>
  <si>
    <t>Tubo flexible corrugado PVC,DN=40mm,1J,320N,2000V,sob/falso techo</t>
  </si>
  <si>
    <t>Tubo flexible corrugado de PVC, de 40 mm de diámetro nominal, aislante y no propagador de la llama, resistencia al impacto de 1 J, resistencia a compresión de 320 N y una rigidez dieléctrica de 2000 V, montado sobre falso techo</t>
  </si>
  <si>
    <t>PP44-Z0UX</t>
  </si>
  <si>
    <t>Partida</t>
  </si>
  <si>
    <t>m</t>
  </si>
  <si>
    <t>Cable transm.datos,4par.,cat.6a U/FTP,poliolefina/poliolefina,n/propag.llama UNE-EN 60332,col.tubo/c</t>
  </si>
  <si>
    <t>Cable para transmisión de datos con conductor de cobre, de 4 pares, categoría 6a U/FTP, aislamiento de poliolefina y cubierta de poliolefina, de baja emisión de humos y opacidad reducida, no propagador de la llama según UNE-EN 60332-1-2, colocado bajo tubo o canal</t>
  </si>
  <si>
    <t>PP7H-782Q</t>
  </si>
  <si>
    <t>Partida</t>
  </si>
  <si>
    <t>u</t>
  </si>
  <si>
    <t>Toma señal,tipo mod.1mód.estrecho,RJ45 simple,cat.6 U/FTP,despl.aisl.,c/tapa,precio sup.,mont.caja/b</t>
  </si>
  <si>
    <t>Toma de señal de voz y datos, de tipo modular de 1 módulo estrecho, con conector RJ45 simple, categoría 6 U/FTP, con conexión por desplazamiento del aislante, con tapa, precio superior, montada sobre caja o marco</t>
  </si>
  <si>
    <t>PP4B-CTKN</t>
  </si>
  <si>
    <t>Partida</t>
  </si>
  <si>
    <t>u</t>
  </si>
  <si>
    <t>Conector macho tipo RJ-45 categoria 6 para cable de pares,connectado</t>
  </si>
  <si>
    <t>Conector macho tipo RJ-45 categoria 6 para cable de pares, connectado al cable</t>
  </si>
  <si>
    <t>PP7I-891Y</t>
  </si>
  <si>
    <t>Partida</t>
  </si>
  <si>
    <t>u</t>
  </si>
  <si>
    <t>Reglet.aliment.desliz.,7 schucko 2P+T,confiltrosobretensionesp/armar. rack 19´´,1 U,horiz.fij.mec.</t>
  </si>
  <si>
    <t>Regleta de alimentación deslizante, con 7 bases schucko 2P+T de 16 A y 250 V, con filtro de sobretensiones, para armarios rack 19´´, de 1 unidad de altura, montaje horizontal, fijada mecánicamente</t>
  </si>
  <si>
    <t>EG74ZE01</t>
  </si>
  <si>
    <t>Partida</t>
  </si>
  <si>
    <t>u</t>
  </si>
  <si>
    <t>Certificición de punto de voz y datos y tomas de telefonía</t>
  </si>
  <si>
    <t>Certificación de punto de voz y datos y tomas de telefonía, según normativa ISO/IEC 11801: 2002, clase e.
 Es necesario entregar la documentación de homologación y calibración del equipamiento y las certificaciones a la D.F. y a la propiedad.</t>
  </si>
  <si>
    <t>EP110029</t>
  </si>
  <si>
    <t>Partida</t>
  </si>
  <si>
    <t>u</t>
  </si>
  <si>
    <t>Conector hembra UTP RJ45</t>
  </si>
  <si>
    <t>CONECTOR HEMBRA UTP RJ45. Instalado y probado.</t>
  </si>
  <si>
    <t>PP7C-66U0</t>
  </si>
  <si>
    <t>Partida</t>
  </si>
  <si>
    <t>u</t>
  </si>
  <si>
    <t>Panel int.fijo,16 RJ45 cat.6a S/FTP, p/rack 19´´,1U,c/org.cablesfijado mecánicamente</t>
  </si>
  <si>
    <t>Panel integrado fijo, equipado con 16 conectores RJ45 categoría 6a S/FTP, para montar sobre bastidor rack 19´´, de 1 unidad de altura, con organizador de cables, fijado mecánicamente</t>
  </si>
  <si>
    <t>PP44-EG01</t>
  </si>
  <si>
    <t>Partida</t>
  </si>
  <si>
    <t>m</t>
  </si>
  <si>
    <t>Cable transm.datos, HDMI 2.0 4K a 60 Fps, aislamiento de espuma de polietileno</t>
  </si>
  <si>
    <t>Cable para transmisión de datos con conductor de cobre pulido, HDMI 2.0 4K a 60 Fps, aislamiento de espuma de polietileno, de baja emisión de humos y opacidad reducida, no propagador de la llama según UNE-EN 60332-1-2, colocado bajo tubo o canal.</t>
  </si>
  <si>
    <t>01.05</t>
  </si>
  <si>
    <t>01.06</t>
  </si>
  <si>
    <t>Capítulo</t>
  </si>
  <si>
    <t>Protección contraincendios</t>
  </si>
  <si>
    <t>01.06.01</t>
  </si>
  <si>
    <t>Capítulo</t>
  </si>
  <si>
    <t>Extinción</t>
  </si>
  <si>
    <t>01.06.01.02</t>
  </si>
  <si>
    <t>Capítulo</t>
  </si>
  <si>
    <t>Extintores</t>
  </si>
  <si>
    <t>PM32-DZ3Z</t>
  </si>
  <si>
    <t>Partida</t>
  </si>
  <si>
    <t>u</t>
  </si>
  <si>
    <t>Extintor manual polvo seco poliv.,6kg,presión incorpo.,pintado,sop.pared</t>
  </si>
  <si>
    <t>Extintor manual de polvo seco polivalente, de carga 6 kg, con presión incorporada, pintado, con soporte a pared</t>
  </si>
  <si>
    <t>01.06.01.02</t>
  </si>
  <si>
    <t>01.06.01</t>
  </si>
  <si>
    <t>01.06.02</t>
  </si>
  <si>
    <t>Capítulo</t>
  </si>
  <si>
    <t>Detección</t>
  </si>
  <si>
    <t>01.06.02.01</t>
  </si>
  <si>
    <t>Capítulo</t>
  </si>
  <si>
    <t>Central</t>
  </si>
  <si>
    <t>PM11-ZE04</t>
  </si>
  <si>
    <t>Partida</t>
  </si>
  <si>
    <t>u</t>
  </si>
  <si>
    <t>Baterias Recargables 12V/17 Ah</t>
  </si>
  <si>
    <t>Baterias Recargables 12V/17 Ah
Baterías recargables de tipo ácido-plomo sin mantenimiento.</t>
  </si>
  <si>
    <t>PEM9-E44D</t>
  </si>
  <si>
    <t>Partida</t>
  </si>
  <si>
    <t>u</t>
  </si>
  <si>
    <t>Ventilador centríf.trif.230V,caudal&lt;10000m3/h,media.pres.mont.bancada</t>
  </si>
  <si>
    <t>Programación de central de detección de incendios existente. 
La partida incluye:
- Integración de nuevos elementos de campo en zona de actuación y programacion de central. 
- Integración en el sistema de gestión del edificio
Según indicaciones de la propiedad/DF. 
Incluye pequeño material necesario, pruebas y puesta en marcha de la instalación.</t>
  </si>
  <si>
    <t>01.06.02.01</t>
  </si>
  <si>
    <t>01.06.02.02</t>
  </si>
  <si>
    <t>Capítulo</t>
  </si>
  <si>
    <t>Elementos de campo</t>
  </si>
  <si>
    <t>PM11-ZE17</t>
  </si>
  <si>
    <t>Partida</t>
  </si>
  <si>
    <t>u</t>
  </si>
  <si>
    <t>Módulo máster 1 zona detectores conv. C5</t>
  </si>
  <si>
    <t>Módulo máster 1 zona detectores conv. C5
Unidad microprocesada direccionable fabricada por AGUILERA ELECTRONICA o equivalente, que controla un bucle con detectores, pulsadores y otros equipos convencionales. Indicado para una zona de detectores convencionales de la serie C5.
Dispone de un rele de salida supervisado para la activacion de una maniobra de evacuacion en cumplimiento de la norma de instalacion EN 54-14. Especial para controlar zonas de detectores o pulsadores convencionales en areas donde no se instalan detectores inteligentes.
- Admite alimentacion auxiliar para los equipos del bucle.
- Provisto de autoaislador que le aisla del resto de la instalacion en caso de cortocircuito en su interior.
- Conexion a 2 hilos con clemas extraibles.
- Alimentacion: entre 18 y 27 Vcc..
- Consumo maximo: 900 ƒÊA.
- Consumo maximo bucle alimentacion auxiliar: 44 mA.
- Montado en caja de ABS de 105 x 82 x 25 mm</t>
  </si>
  <si>
    <t>PM11-ZE19</t>
  </si>
  <si>
    <t>Partida</t>
  </si>
  <si>
    <t>u</t>
  </si>
  <si>
    <t>Protector pulsadores para exterior 18 mm</t>
  </si>
  <si>
    <t>Protector pulsadores para exterior 18 mm
Protector de pulsador para exteriores válido para los modelos AE/SA-PT Y AE/V-PSAT o equivalente.</t>
  </si>
  <si>
    <t>PM11-ZE13</t>
  </si>
  <si>
    <t>Partida</t>
  </si>
  <si>
    <t>u</t>
  </si>
  <si>
    <t>Módulo algorítmico 2 salidas vigiladas</t>
  </si>
  <si>
    <t>Módulo algorítmico 2 salidas vigiladas
Unidad microprocesada direccionable fabricada por AGUILERA ELECTRONICA según norma EN 54-18, que gestiona dos salidas supervisadas de relé. Especial para ejecutar dos maniobras de evacuación independientes (sirenas, campanas, etc.) según y para qué hayan sido configuradas desde la central en cumplimiento de la norma de instalación EN 54-14.
- Provisto de autoaislador que le aísla del resto de la instalación en caso de cortocircuito en su interior.
- Admite alimentación auxiliar para maniobras.
- Conexión a 2 hilos con clemas extraíbles.
- Alimentación: entre 18 y 27 Vcc.
- Consumo reposo 1 mA.
- Consumo máximo bucle alimentación auxiliar: 27 mA.
- Montado en caja de ABS de 105 x 82 x 25 mm.</t>
  </si>
  <si>
    <t>PM15-4ICW</t>
  </si>
  <si>
    <t>Partida</t>
  </si>
  <si>
    <t>u</t>
  </si>
  <si>
    <t>Sensor dual óptico/térmico,instal.analógica-algorítmica,UNE-EN 54-5/A1 y UNE-EN 54-7,+base superfici</t>
  </si>
  <si>
    <t>Sensor dual óptico/térmico para instalación contra incendios analógica-algorítmica, según norma UNE-EN 54-5/A1 y UNE-EN 54-7, con base de superficie, montado superficialmente</t>
  </si>
  <si>
    <t>PM15-4ICY</t>
  </si>
  <si>
    <t>Partida</t>
  </si>
  <si>
    <t>u</t>
  </si>
  <si>
    <t>Sensor térm. termoveloc.,instal.analógica,UNE-EN 54-5,+base superficie,mont.superf.</t>
  </si>
  <si>
    <t>Sensor térmico termovelocimétrico para instalación contra incendios analógica, según norma UNE-EN 54-5, con base de superficie, montado superficialmente</t>
  </si>
  <si>
    <t>PM18-385U</t>
  </si>
  <si>
    <t>Partida</t>
  </si>
  <si>
    <t>u</t>
  </si>
  <si>
    <t>Sirena electr.,instal.analógica,93dB,alimentada lazo,señal lumi.+multitono,IP-54,UNE-EN 54-3,col.int</t>
  </si>
  <si>
    <t>Sirena electrónica para instalación analógica, nivel de potencia acústica 93 dB, alimentada desde el lazo, con señal luminoso y sonido multitono, grado de protección IP-54, fabricada según la norma UNE-EN 54-3, colocada al interior</t>
  </si>
  <si>
    <t>PM17-386T</t>
  </si>
  <si>
    <t>Partida</t>
  </si>
  <si>
    <t>u</t>
  </si>
  <si>
    <t>Pulsador alarma,instalación analógica,manual+rotura,direccionable,UNE-EN 54-11,mont.superf.</t>
  </si>
  <si>
    <t>Pulsador de alarma para instalación contra incendios analógica, accionamiento manual por rotura de elemento frágil, direccionable, según norma UNE-EN 54-11, montado superficialmente</t>
  </si>
  <si>
    <t>01.06.02.02</t>
  </si>
  <si>
    <t>01.06.02.03</t>
  </si>
  <si>
    <t>Capítulo</t>
  </si>
  <si>
    <t>Cables y canalizaciones</t>
  </si>
  <si>
    <t>EM12ZE02</t>
  </si>
  <si>
    <t>Partida</t>
  </si>
  <si>
    <t>m</t>
  </si>
  <si>
    <t>Instalación de lazo analógico 2X1.5, en tubo corrugado, col.</t>
  </si>
  <si>
    <t>Suministro e instalación de metro lineal de cable manguera de 2 conductores (2x1.5) mm2, con pantalla de aluminio-polietser, homologada para su sistema algorítmico. Cumple las normas EN 50265, EN 50266, EN 50267,EN 50268 y EN50200 (no propagadora de la llama, libre de Halógenos y baja emisor de humos y resistente al fuego).
Instalado bajo tubo corrugado de 16mm. Ejecución en superficie y en ciertos tramos de pared. Incluso p.p. de cajas de derivación, regletas, apoyos y pequeño material.
Incluye:
- Tubo flexible corrugado de PVC Ø16
- Mano de obra
- Material y medios auxiliares y accesorios de montaje
- Material complementario
Totalmente instalado, conexionado y probado.
Ref. AE/MANG2RF30C de AQUILERA ELECTRONICA o equivalente.</t>
  </si>
  <si>
    <t>PFA8-DVC5</t>
  </si>
  <si>
    <t>Partida</t>
  </si>
  <si>
    <t>m</t>
  </si>
  <si>
    <t>Tubo PVC,DN=16mm,PN=20bar,encoladoUNE-EN 1452-2,dific.mediano,col.superf.</t>
  </si>
  <si>
    <t>Tubo de PVC de 16 mm de diámetro nominal exterior, de 20 bar de presión nominal, encolado, según la norma UNE-EN 1452-2, con grado de dificultad mediano y colocado superficialmente</t>
  </si>
  <si>
    <t>01.06.02.03</t>
  </si>
  <si>
    <t>01.06.02</t>
  </si>
  <si>
    <t>01.06.03</t>
  </si>
  <si>
    <t>Capítulo</t>
  </si>
  <si>
    <t>Protección pasiva</t>
  </si>
  <si>
    <t>01.06.03.01</t>
  </si>
  <si>
    <t>Capítulo</t>
  </si>
  <si>
    <t>Señalización</t>
  </si>
  <si>
    <t>PMS0-6Z81</t>
  </si>
  <si>
    <t>Partida</t>
  </si>
  <si>
    <t>u</t>
  </si>
  <si>
    <t>Rótulo señ. salid.emergencia,420x210mm2,panel PVC,espesor=1mm,fotoluminiscente (A),col.fijado mecáni</t>
  </si>
  <si>
    <t>Rótulo señalización salida de emergencia, rectangular, de 420x210 mm2 de panel de PVC de 1 mm de espesor, fotoluminiscente categoría A según UNE 23035-4, colocado fijado mecánicamente sobre paramento vertical</t>
  </si>
  <si>
    <t>PMS0-6Z83</t>
  </si>
  <si>
    <t>Partida</t>
  </si>
  <si>
    <t>u</t>
  </si>
  <si>
    <t>Rótulo señ. instal.protección/incendios,420x420mm2,panel PVC,espesor=1mm,fotoluminiscente (A),col.fi</t>
  </si>
  <si>
    <t>Rótulo señalización instalación de protección contra incendios, cuadrado, de 420x420 mm2 de panel de PVC de 1 mm de espesor, fotoluminiscente categoría A según UNE 23035-4, colocado fijado mecánicamente sobre paramento vertical</t>
  </si>
  <si>
    <t>01.06.03.01</t>
  </si>
  <si>
    <t>01.06.03.02</t>
  </si>
  <si>
    <t>Capítulo</t>
  </si>
  <si>
    <t>Compuertas y collarines</t>
  </si>
  <si>
    <t>0A.03.02.1</t>
  </si>
  <si>
    <t>Partida</t>
  </si>
  <si>
    <t>u</t>
  </si>
  <si>
    <t>Compuertas y collarines</t>
  </si>
  <si>
    <t>Elementos de sellado de paso de instalaciones
Incluye: 
- Sellado de paso de tubería a través de paredes y forjados cortafuegos
- Compuertas cortafuego para conductos de aire de plancha de acero galvanizado rectangulares y circulares
- Accesorios para compuertas cortafuegos 
- Almohadillas intumescentes</t>
  </si>
  <si>
    <t>01.06.03.02</t>
  </si>
  <si>
    <t>01.06.03.03</t>
  </si>
  <si>
    <t>Capítulo</t>
  </si>
  <si>
    <t>Elementos de sellado</t>
  </si>
  <si>
    <t>P7DB-65O3</t>
  </si>
  <si>
    <t>Partida</t>
  </si>
  <si>
    <t>m2</t>
  </si>
  <si>
    <t>Sellado paso instal.almohadilla intumescente termoexp.,EI-180</t>
  </si>
  <si>
    <t>Sellado de hueco de paso de instalaciones con almohadilla de material intumescente termoexpansivo, con resistencia al fuego EI-180</t>
  </si>
  <si>
    <t>P7DB-65NY</t>
  </si>
  <si>
    <t>Partida</t>
  </si>
  <si>
    <t>m2</t>
  </si>
  <si>
    <t>Sellado paso instal.2placas MW-roca 116 a 125kg/m3,e=30mm,+revestimiento resist.fuego resinas termop</t>
  </si>
  <si>
    <t>Sellado de hueco de paso de instalaciones con 2 placas de lana mineral de roca de 116 a 125 kg/m3 de densidad, de 30 mm de espesor y revestimiento resistente al fuego a base de resinas termoplásticas en disolución acuosa, impermeable al agua y al aceite, incluida la protección en 250 mm de las bandejas de cables a ambos lados de la penetración, con resistencia al fuego EI-120</t>
  </si>
  <si>
    <t>01.06.03.03</t>
  </si>
  <si>
    <t>01.06.03</t>
  </si>
  <si>
    <t>01.06</t>
  </si>
  <si>
    <t>01.07</t>
  </si>
  <si>
    <t>Capítulo</t>
  </si>
  <si>
    <t>Equipamiento</t>
  </si>
  <si>
    <t>PA01-ZE01</t>
  </si>
  <si>
    <t>Partida</t>
  </si>
  <si>
    <t>u</t>
  </si>
  <si>
    <t>Partida de ampliación de polipasto existente localizado en sala de preparación.</t>
  </si>
  <si>
    <t>Partida de ampliación de polipasto existente localizado en sala de preparación. 
Según indicaciones de la propiedad/DF. 
Totalmente instalado, probado y en funcionamiento.</t>
  </si>
  <si>
    <t>PEM9-E43C</t>
  </si>
  <si>
    <t>Partida</t>
  </si>
  <si>
    <t>u</t>
  </si>
  <si>
    <t>Equipor frigorífico para el recinto de camra congelación</t>
  </si>
  <si>
    <t>Suministro e instalación de equipo frigorífico partido para el recinto camara de congelación.
La partida incluye:
- Equipo frigorífico según especificaciones propiedad/DF
- Alimentación eléctrica equipos interior y exterior
- Circuito frigorífico 
- Integración en el sistema de gestión del edificio
Incluye mano de obra y pequeño material necesario. 
Completamente instalado, probado y en funcionamiento.</t>
  </si>
  <si>
    <t>01.07</t>
  </si>
  <si>
    <t>370E_INSTAL_DISSECIONES_PRECIO A</t>
  </si>
  <si>
    <t>Presupuesto UDL DISECCIONES_iNSTALACIONES_PRECIO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</si>
</sst>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s>
  <fills count="7">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63">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0" fillId="0" borderId="3" xfId="0" applyBorder="1" applyAlignment="1">
      <alignment horizontal="center" vertical="center" wrapText="1"/>
    </xf>
    <xf numFmtId="0" fontId="4" fillId="4" borderId="3" xfId="0" applyFont="1" applyFill="1" applyBorder="1" applyAlignment="1">
      <alignment horizontal="left" vertical="top" wrapText="1"/>
    </xf>
    <xf numFmtId="0" fontId="0" fillId="4" borderId="3" xfId="0" applyFill="1" applyBorder="1" applyAlignment="1">
      <alignment horizontal="left" vertical="top" wrapText="1"/>
    </xf>
    <xf numFmtId="4" fontId="4" fillId="4" borderId="3"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4" fontId="4" fillId="6" borderId="1" xfId="0" applyNumberFormat="1" applyFont="1" applyFill="1" applyBorder="1" applyAlignment="1">
      <alignment horizontal="right" vertical="top" wrapText="1"/>
    </xf>
    <xf numFmtId="0" fontId="4" fillId="5" borderId="3" xfId="0" applyFont="1" applyFill="1" applyBorder="1" applyAlignment="1">
      <alignment horizontal="left" vertical="top" wrapText="1"/>
    </xf>
    <xf numFmtId="0" fontId="0" fillId="5" borderId="3" xfId="0" applyFill="1" applyBorder="1" applyAlignment="1">
      <alignment horizontal="left" vertical="top" wrapText="1"/>
    </xf>
    <xf numFmtId="4" fontId="4" fillId="5" borderId="3" xfId="0" applyNumberFormat="1" applyFont="1" applyFill="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0" fillId="3" borderId="3" xfId="0" applyFill="1" applyBorder="1" applyAlignment="1">
      <alignment horizontal="left" vertical="top" wrapText="1"/>
    </xf>
    <xf numFmtId="4" fontId="4" fillId="3" borderId="3" xfId="0" applyNumberFormat="1" applyFont="1" applyFill="1" applyBorder="1" applyAlignment="1">
      <alignment horizontal="right" vertical="top" wrapText="1"/>
    </xf>
    <xf numFmtId="0" fontId="2" fillId="0" borderId="0" xfId="0" applyFont="1" applyAlignment="1">
      <alignment horizontal="justify" vertical="top" wrapText="1"/>
    </xf>
    <xf numFmtId="0" fontId="4" fillId="4" borderId="2" xfId="0" applyFont="1" applyFill="1" applyBorder="1" applyAlignment="1">
      <alignment horizontal="justify" vertical="top" wrapText="1"/>
    </xf>
    <xf numFmtId="0" fontId="4" fillId="6" borderId="2" xfId="0" applyFont="1" applyFill="1" applyBorder="1" applyAlignment="1">
      <alignment horizontal="justify" vertical="top" wrapText="1"/>
    </xf>
    <xf numFmtId="0" fontId="4" fillId="5" borderId="2" xfId="0" applyFont="1" applyFill="1" applyBorder="1" applyAlignment="1">
      <alignment horizontal="justify" vertical="top" wrapText="1"/>
    </xf>
    <xf numFmtId="0" fontId="4" fillId="6" borderId="0" xfId="0" applyFont="1" applyFill="1" applyAlignment="1">
      <alignment horizontal="justify" vertical="top" wrapText="1"/>
    </xf>
    <xf numFmtId="0" fontId="4" fillId="5" borderId="0" xfId="0" applyFont="1" applyFill="1" applyAlignment="1">
      <alignment horizontal="justify"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1"/>
  <sheetViews>
    <sheetView tabSelected="1" view="pageLayout" workbookViewId="0">
      <selection activeCell="B1" sqref="B1:M1"/>
    </sheetView>
  </sheetViews>
  <sheetFormatPr baseColWidth="10" defaultRowHeight="15" x14ac:dyDescent="0.2"/>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x14ac:dyDescent="0.25">
      <c r="A1" s="1" t="s">
        <v>0</v>
      </c>
      <c r="B1" s="60" t="s">
        <v>1021</v>
      </c>
      <c r="C1" s="60"/>
      <c r="D1" s="60"/>
      <c r="E1" s="60"/>
      <c r="F1" s="60"/>
      <c r="G1" s="60"/>
      <c r="H1" s="60"/>
      <c r="I1" s="60"/>
      <c r="J1" s="60"/>
      <c r="K1" s="60"/>
      <c r="L1" s="60"/>
      <c r="M1" s="60"/>
    </row>
    <row r="2" spans="1:13" ht="17.850000000000001" customHeight="1" thickBot="1" x14ac:dyDescent="0.25">
      <c r="A2" s="60" t="s">
        <v>1</v>
      </c>
      <c r="B2" s="60"/>
      <c r="C2" s="60"/>
      <c r="D2" s="2"/>
      <c r="E2" s="2"/>
      <c r="F2" s="2"/>
      <c r="G2" s="2"/>
      <c r="H2" s="2"/>
      <c r="I2" s="2"/>
      <c r="J2" s="2"/>
      <c r="K2" s="2"/>
      <c r="L2" s="3" t="s">
        <v>2</v>
      </c>
      <c r="M2" s="5">
        <v>0</v>
      </c>
    </row>
    <row r="3" spans="1:13" ht="16.7" customHeight="1" thickBot="1" x14ac:dyDescent="0.25">
      <c r="A3" s="6" t="s">
        <v>3</v>
      </c>
      <c r="B3" s="6" t="s">
        <v>4</v>
      </c>
      <c r="C3" s="6" t="s">
        <v>5</v>
      </c>
      <c r="D3" s="6" t="s">
        <v>6</v>
      </c>
      <c r="E3" s="7"/>
      <c r="F3" s="7"/>
      <c r="G3" s="7"/>
      <c r="H3" s="7"/>
      <c r="I3" s="7"/>
      <c r="J3" s="7"/>
      <c r="K3" s="8" t="s">
        <v>7</v>
      </c>
      <c r="L3" s="8" t="s">
        <v>8</v>
      </c>
      <c r="M3" s="8" t="s">
        <v>9</v>
      </c>
    </row>
    <row r="4" spans="1:13" ht="34.700000000000003" customHeight="1" thickBot="1" x14ac:dyDescent="0.25">
      <c r="A4" s="10" t="s">
        <v>10</v>
      </c>
      <c r="B4" s="10" t="s">
        <v>11</v>
      </c>
      <c r="C4" s="11"/>
      <c r="D4" s="61" t="s">
        <v>12</v>
      </c>
      <c r="E4" s="61"/>
      <c r="F4" s="61"/>
      <c r="G4" s="61"/>
      <c r="H4" s="61"/>
      <c r="I4" s="61"/>
      <c r="J4" s="61"/>
      <c r="K4" s="11"/>
      <c r="L4" s="12">
        <f>L421</f>
        <v>0</v>
      </c>
      <c r="M4" s="12">
        <f>ROUND(L4,2)</f>
        <v>0</v>
      </c>
    </row>
    <row r="5" spans="1:13" ht="15.4" customHeight="1" thickBot="1" x14ac:dyDescent="0.25">
      <c r="A5" s="13" t="s">
        <v>13</v>
      </c>
      <c r="B5" s="13" t="s">
        <v>14</v>
      </c>
      <c r="C5" s="14"/>
      <c r="D5" s="62" t="s">
        <v>15</v>
      </c>
      <c r="E5" s="62"/>
      <c r="F5" s="62"/>
      <c r="G5" s="62"/>
      <c r="H5" s="62"/>
      <c r="I5" s="62"/>
      <c r="J5" s="62"/>
      <c r="K5" s="14"/>
      <c r="L5" s="15">
        <f>L42</f>
        <v>0</v>
      </c>
      <c r="M5" s="15">
        <f>ROUND(L5,2)</f>
        <v>0</v>
      </c>
    </row>
    <row r="6" spans="1:13" ht="15.4" customHeight="1" thickBot="1" x14ac:dyDescent="0.25">
      <c r="A6" s="16" t="s">
        <v>16</v>
      </c>
      <c r="B6" s="16" t="s">
        <v>17</v>
      </c>
      <c r="C6" s="17"/>
      <c r="D6" s="59" t="s">
        <v>18</v>
      </c>
      <c r="E6" s="59"/>
      <c r="F6" s="59"/>
      <c r="G6" s="59"/>
      <c r="H6" s="59"/>
      <c r="I6" s="59"/>
      <c r="J6" s="59"/>
      <c r="K6" s="17"/>
      <c r="L6" s="18">
        <f>L41</f>
        <v>0</v>
      </c>
      <c r="M6" s="18">
        <f>ROUND(L6,2)</f>
        <v>0</v>
      </c>
    </row>
    <row r="7" spans="1:13" ht="15.4" customHeight="1" thickBot="1" x14ac:dyDescent="0.25">
      <c r="A7" s="9" t="s">
        <v>19</v>
      </c>
      <c r="B7" s="4" t="s">
        <v>20</v>
      </c>
      <c r="C7" s="4" t="s">
        <v>21</v>
      </c>
      <c r="D7" s="54" t="s">
        <v>22</v>
      </c>
      <c r="E7" s="54"/>
      <c r="F7" s="54"/>
      <c r="G7" s="54"/>
      <c r="H7" s="54"/>
      <c r="I7" s="54"/>
      <c r="J7" s="54"/>
      <c r="K7" s="19">
        <f>ROUND(47,2)</f>
        <v>47</v>
      </c>
      <c r="L7" s="20">
        <f>ROUND(0*(1+M2/100),2)</f>
        <v>0</v>
      </c>
      <c r="M7" s="20">
        <f>ROUND(K7*L7,2)</f>
        <v>0</v>
      </c>
    </row>
    <row r="8" spans="1:13" ht="21.4" customHeight="1" thickBot="1" x14ac:dyDescent="0.25">
      <c r="A8" s="21"/>
      <c r="B8" s="21"/>
      <c r="C8" s="21"/>
      <c r="D8" s="54" t="s">
        <v>23</v>
      </c>
      <c r="E8" s="54"/>
      <c r="F8" s="54"/>
      <c r="G8" s="54"/>
      <c r="H8" s="54"/>
      <c r="I8" s="54"/>
      <c r="J8" s="54"/>
      <c r="K8" s="54"/>
      <c r="L8" s="54"/>
      <c r="M8" s="54"/>
    </row>
    <row r="9" spans="1:13" ht="15.4" customHeight="1" thickBot="1" x14ac:dyDescent="0.25">
      <c r="A9" s="9" t="s">
        <v>24</v>
      </c>
      <c r="B9" s="4" t="s">
        <v>25</v>
      </c>
      <c r="C9" s="4" t="s">
        <v>26</v>
      </c>
      <c r="D9" s="54" t="s">
        <v>27</v>
      </c>
      <c r="E9" s="54"/>
      <c r="F9" s="54"/>
      <c r="G9" s="54"/>
      <c r="H9" s="54"/>
      <c r="I9" s="54"/>
      <c r="J9" s="54"/>
      <c r="K9" s="19">
        <f>ROUND(16,2)</f>
        <v>16</v>
      </c>
      <c r="L9" s="20">
        <f>ROUND(0*(1+M2/100),2)</f>
        <v>0</v>
      </c>
      <c r="M9" s="20">
        <f>ROUND(K9*L9,2)</f>
        <v>0</v>
      </c>
    </row>
    <row r="10" spans="1:13" ht="21.4" customHeight="1" thickBot="1" x14ac:dyDescent="0.25">
      <c r="A10" s="21"/>
      <c r="B10" s="21"/>
      <c r="C10" s="21"/>
      <c r="D10" s="54" t="s">
        <v>28</v>
      </c>
      <c r="E10" s="54"/>
      <c r="F10" s="54"/>
      <c r="G10" s="54"/>
      <c r="H10" s="54"/>
      <c r="I10" s="54"/>
      <c r="J10" s="54"/>
      <c r="K10" s="54"/>
      <c r="L10" s="54"/>
      <c r="M10" s="54"/>
    </row>
    <row r="11" spans="1:13" ht="15.4" customHeight="1" thickBot="1" x14ac:dyDescent="0.25">
      <c r="A11" s="9" t="s">
        <v>29</v>
      </c>
      <c r="B11" s="4" t="s">
        <v>30</v>
      </c>
      <c r="C11" s="4" t="s">
        <v>31</v>
      </c>
      <c r="D11" s="54" t="s">
        <v>32</v>
      </c>
      <c r="E11" s="54"/>
      <c r="F11" s="54"/>
      <c r="G11" s="54"/>
      <c r="H11" s="54"/>
      <c r="I11" s="54"/>
      <c r="J11" s="54"/>
      <c r="K11" s="19">
        <f>ROUND(10,2)</f>
        <v>10</v>
      </c>
      <c r="L11" s="20">
        <f>ROUND(0*(1+M2/100),2)</f>
        <v>0</v>
      </c>
      <c r="M11" s="20">
        <f>ROUND(K11*L11,2)</f>
        <v>0</v>
      </c>
    </row>
    <row r="12" spans="1:13" ht="21.4" customHeight="1" thickBot="1" x14ac:dyDescent="0.25">
      <c r="A12" s="21"/>
      <c r="B12" s="21"/>
      <c r="C12" s="21"/>
      <c r="D12" s="54" t="s">
        <v>33</v>
      </c>
      <c r="E12" s="54"/>
      <c r="F12" s="54"/>
      <c r="G12" s="54"/>
      <c r="H12" s="54"/>
      <c r="I12" s="54"/>
      <c r="J12" s="54"/>
      <c r="K12" s="54"/>
      <c r="L12" s="54"/>
      <c r="M12" s="54"/>
    </row>
    <row r="13" spans="1:13" ht="15.4" customHeight="1" thickBot="1" x14ac:dyDescent="0.25">
      <c r="A13" s="9" t="s">
        <v>34</v>
      </c>
      <c r="B13" s="4" t="s">
        <v>35</v>
      </c>
      <c r="C13" s="4" t="s">
        <v>36</v>
      </c>
      <c r="D13" s="54" t="s">
        <v>37</v>
      </c>
      <c r="E13" s="54"/>
      <c r="F13" s="54"/>
      <c r="G13" s="54"/>
      <c r="H13" s="54"/>
      <c r="I13" s="54"/>
      <c r="J13" s="54"/>
      <c r="K13" s="19">
        <f>ROUND(3,2)</f>
        <v>3</v>
      </c>
      <c r="L13" s="20">
        <f>ROUND(0*(1+M2/100),2)</f>
        <v>0</v>
      </c>
      <c r="M13" s="20">
        <f>ROUND(K13*L13,2)</f>
        <v>0</v>
      </c>
    </row>
    <row r="14" spans="1:13" ht="21.4" customHeight="1" thickBot="1" x14ac:dyDescent="0.25">
      <c r="A14" s="21"/>
      <c r="B14" s="21"/>
      <c r="C14" s="21"/>
      <c r="D14" s="54" t="s">
        <v>38</v>
      </c>
      <c r="E14" s="54"/>
      <c r="F14" s="54"/>
      <c r="G14" s="54"/>
      <c r="H14" s="54"/>
      <c r="I14" s="54"/>
      <c r="J14" s="54"/>
      <c r="K14" s="54"/>
      <c r="L14" s="54"/>
      <c r="M14" s="54"/>
    </row>
    <row r="15" spans="1:13" ht="15.4" customHeight="1" thickBot="1" x14ac:dyDescent="0.25">
      <c r="A15" s="9" t="s">
        <v>39</v>
      </c>
      <c r="B15" s="4" t="s">
        <v>40</v>
      </c>
      <c r="C15" s="4" t="s">
        <v>41</v>
      </c>
      <c r="D15" s="54" t="s">
        <v>42</v>
      </c>
      <c r="E15" s="54"/>
      <c r="F15" s="54"/>
      <c r="G15" s="54"/>
      <c r="H15" s="54"/>
      <c r="I15" s="54"/>
      <c r="J15" s="54"/>
      <c r="K15" s="19">
        <f>ROUND(3,2)</f>
        <v>3</v>
      </c>
      <c r="L15" s="20">
        <f>ROUND(0*(1+M2/100),2)</f>
        <v>0</v>
      </c>
      <c r="M15" s="20">
        <f>ROUND(K15*L15,2)</f>
        <v>0</v>
      </c>
    </row>
    <row r="16" spans="1:13" ht="21.4" customHeight="1" thickBot="1" x14ac:dyDescent="0.25">
      <c r="A16" s="21"/>
      <c r="B16" s="21"/>
      <c r="C16" s="21"/>
      <c r="D16" s="54" t="s">
        <v>43</v>
      </c>
      <c r="E16" s="54"/>
      <c r="F16" s="54"/>
      <c r="G16" s="54"/>
      <c r="H16" s="54"/>
      <c r="I16" s="54"/>
      <c r="J16" s="54"/>
      <c r="K16" s="54"/>
      <c r="L16" s="54"/>
      <c r="M16" s="54"/>
    </row>
    <row r="17" spans="1:13" ht="15.4" customHeight="1" thickBot="1" x14ac:dyDescent="0.25">
      <c r="A17" s="9" t="s">
        <v>44</v>
      </c>
      <c r="B17" s="4" t="s">
        <v>45</v>
      </c>
      <c r="C17" s="4" t="s">
        <v>46</v>
      </c>
      <c r="D17" s="54" t="s">
        <v>47</v>
      </c>
      <c r="E17" s="54"/>
      <c r="F17" s="54"/>
      <c r="G17" s="54"/>
      <c r="H17" s="54"/>
      <c r="I17" s="54"/>
      <c r="J17" s="54"/>
      <c r="K17" s="19">
        <f>ROUND(31.7,2)</f>
        <v>31.7</v>
      </c>
      <c r="L17" s="20">
        <f>ROUND(0*(1+M2/100),2)</f>
        <v>0</v>
      </c>
      <c r="M17" s="20">
        <f>ROUND(K17*L17,2)</f>
        <v>0</v>
      </c>
    </row>
    <row r="18" spans="1:13" ht="21.4" customHeight="1" thickBot="1" x14ac:dyDescent="0.25">
      <c r="A18" s="21"/>
      <c r="B18" s="21"/>
      <c r="C18" s="21"/>
      <c r="D18" s="54" t="s">
        <v>48</v>
      </c>
      <c r="E18" s="54"/>
      <c r="F18" s="54"/>
      <c r="G18" s="54"/>
      <c r="H18" s="54"/>
      <c r="I18" s="54"/>
      <c r="J18" s="54"/>
      <c r="K18" s="54"/>
      <c r="L18" s="54"/>
      <c r="M18" s="54"/>
    </row>
    <row r="19" spans="1:13" ht="15.4" customHeight="1" thickBot="1" x14ac:dyDescent="0.25">
      <c r="A19" s="9" t="s">
        <v>49</v>
      </c>
      <c r="B19" s="4" t="s">
        <v>50</v>
      </c>
      <c r="C19" s="4" t="s">
        <v>51</v>
      </c>
      <c r="D19" s="54" t="s">
        <v>52</v>
      </c>
      <c r="E19" s="54"/>
      <c r="F19" s="54"/>
      <c r="G19" s="54"/>
      <c r="H19" s="54"/>
      <c r="I19" s="54"/>
      <c r="J19" s="54"/>
      <c r="K19" s="19">
        <f>ROUND(3.5,2)</f>
        <v>3.5</v>
      </c>
      <c r="L19" s="20">
        <f>ROUND(0*(1+M2/100),2)</f>
        <v>0</v>
      </c>
      <c r="M19" s="20">
        <f>ROUND(K19*L19,2)</f>
        <v>0</v>
      </c>
    </row>
    <row r="20" spans="1:13" ht="21.4" customHeight="1" thickBot="1" x14ac:dyDescent="0.25">
      <c r="A20" s="21"/>
      <c r="B20" s="21"/>
      <c r="C20" s="21"/>
      <c r="D20" s="54" t="s">
        <v>53</v>
      </c>
      <c r="E20" s="54"/>
      <c r="F20" s="54"/>
      <c r="G20" s="54"/>
      <c r="H20" s="54"/>
      <c r="I20" s="54"/>
      <c r="J20" s="54"/>
      <c r="K20" s="54"/>
      <c r="L20" s="54"/>
      <c r="M20" s="54"/>
    </row>
    <row r="21" spans="1:13" ht="15.4" customHeight="1" thickBot="1" x14ac:dyDescent="0.25">
      <c r="A21" s="9" t="s">
        <v>54</v>
      </c>
      <c r="B21" s="4" t="s">
        <v>55</v>
      </c>
      <c r="C21" s="4" t="s">
        <v>56</v>
      </c>
      <c r="D21" s="54" t="s">
        <v>57</v>
      </c>
      <c r="E21" s="54"/>
      <c r="F21" s="54"/>
      <c r="G21" s="54"/>
      <c r="H21" s="54"/>
      <c r="I21" s="54"/>
      <c r="J21" s="54"/>
      <c r="K21" s="19">
        <f>ROUND(13.5,2)</f>
        <v>13.5</v>
      </c>
      <c r="L21" s="20">
        <f>ROUND(0*(1+M2/100),2)</f>
        <v>0</v>
      </c>
      <c r="M21" s="20">
        <f>ROUND(K21*L21,2)</f>
        <v>0</v>
      </c>
    </row>
    <row r="22" spans="1:13" ht="21.4" customHeight="1" thickBot="1" x14ac:dyDescent="0.25">
      <c r="A22" s="21"/>
      <c r="B22" s="21"/>
      <c r="C22" s="21"/>
      <c r="D22" s="54" t="s">
        <v>58</v>
      </c>
      <c r="E22" s="54"/>
      <c r="F22" s="54"/>
      <c r="G22" s="54"/>
      <c r="H22" s="54"/>
      <c r="I22" s="54"/>
      <c r="J22" s="54"/>
      <c r="K22" s="54"/>
      <c r="L22" s="54"/>
      <c r="M22" s="54"/>
    </row>
    <row r="23" spans="1:13" ht="15.4" customHeight="1" thickBot="1" x14ac:dyDescent="0.25">
      <c r="A23" s="9" t="s">
        <v>59</v>
      </c>
      <c r="B23" s="4" t="s">
        <v>60</v>
      </c>
      <c r="C23" s="4" t="s">
        <v>61</v>
      </c>
      <c r="D23" s="54" t="s">
        <v>62</v>
      </c>
      <c r="E23" s="54"/>
      <c r="F23" s="54"/>
      <c r="G23" s="54"/>
      <c r="H23" s="54"/>
      <c r="I23" s="54"/>
      <c r="J23" s="54"/>
      <c r="K23" s="19">
        <f>ROUND(24.6,2)</f>
        <v>24.6</v>
      </c>
      <c r="L23" s="20">
        <f>ROUND(0*(1+M2/100),2)</f>
        <v>0</v>
      </c>
      <c r="M23" s="20">
        <f>ROUND(K23*L23,2)</f>
        <v>0</v>
      </c>
    </row>
    <row r="24" spans="1:13" ht="21.4" customHeight="1" thickBot="1" x14ac:dyDescent="0.25">
      <c r="A24" s="21"/>
      <c r="B24" s="21"/>
      <c r="C24" s="21"/>
      <c r="D24" s="54" t="s">
        <v>63</v>
      </c>
      <c r="E24" s="54"/>
      <c r="F24" s="54"/>
      <c r="G24" s="54"/>
      <c r="H24" s="54"/>
      <c r="I24" s="54"/>
      <c r="J24" s="54"/>
      <c r="K24" s="54"/>
      <c r="L24" s="54"/>
      <c r="M24" s="54"/>
    </row>
    <row r="25" spans="1:13" ht="15.4" customHeight="1" thickBot="1" x14ac:dyDescent="0.25">
      <c r="A25" s="9" t="s">
        <v>64</v>
      </c>
      <c r="B25" s="4" t="s">
        <v>65</v>
      </c>
      <c r="C25" s="4" t="s">
        <v>66</v>
      </c>
      <c r="D25" s="54" t="s">
        <v>67</v>
      </c>
      <c r="E25" s="54"/>
      <c r="F25" s="54"/>
      <c r="G25" s="54"/>
      <c r="H25" s="54"/>
      <c r="I25" s="54"/>
      <c r="J25" s="54"/>
      <c r="K25" s="19">
        <f>ROUND(20.5,2)</f>
        <v>20.5</v>
      </c>
      <c r="L25" s="20">
        <f>ROUND(0*(1+M2/100),2)</f>
        <v>0</v>
      </c>
      <c r="M25" s="20">
        <f>ROUND(K25*L25,2)</f>
        <v>0</v>
      </c>
    </row>
    <row r="26" spans="1:13" ht="21.4" customHeight="1" thickBot="1" x14ac:dyDescent="0.25">
      <c r="A26" s="21"/>
      <c r="B26" s="21"/>
      <c r="C26" s="21"/>
      <c r="D26" s="54" t="s">
        <v>68</v>
      </c>
      <c r="E26" s="54"/>
      <c r="F26" s="54"/>
      <c r="G26" s="54"/>
      <c r="H26" s="54"/>
      <c r="I26" s="54"/>
      <c r="J26" s="54"/>
      <c r="K26" s="54"/>
      <c r="L26" s="54"/>
      <c r="M26" s="54"/>
    </row>
    <row r="27" spans="1:13" ht="15.4" customHeight="1" thickBot="1" x14ac:dyDescent="0.25">
      <c r="A27" s="9" t="s">
        <v>69</v>
      </c>
      <c r="B27" s="4" t="s">
        <v>70</v>
      </c>
      <c r="C27" s="4" t="s">
        <v>71</v>
      </c>
      <c r="D27" s="54" t="s">
        <v>72</v>
      </c>
      <c r="E27" s="54"/>
      <c r="F27" s="54"/>
      <c r="G27" s="54"/>
      <c r="H27" s="54"/>
      <c r="I27" s="54"/>
      <c r="J27" s="54"/>
      <c r="K27" s="19">
        <f>ROUND(10.2,2)</f>
        <v>10.199999999999999</v>
      </c>
      <c r="L27" s="20">
        <f>ROUND(0*(1+M2/100),2)</f>
        <v>0</v>
      </c>
      <c r="M27" s="20">
        <f>ROUND(K27*L27,2)</f>
        <v>0</v>
      </c>
    </row>
    <row r="28" spans="1:13" ht="21.4" customHeight="1" thickBot="1" x14ac:dyDescent="0.25">
      <c r="A28" s="21"/>
      <c r="B28" s="21"/>
      <c r="C28" s="21"/>
      <c r="D28" s="54" t="s">
        <v>73</v>
      </c>
      <c r="E28" s="54"/>
      <c r="F28" s="54"/>
      <c r="G28" s="54"/>
      <c r="H28" s="54"/>
      <c r="I28" s="54"/>
      <c r="J28" s="54"/>
      <c r="K28" s="54"/>
      <c r="L28" s="54"/>
      <c r="M28" s="54"/>
    </row>
    <row r="29" spans="1:13" ht="15.4" customHeight="1" thickBot="1" x14ac:dyDescent="0.25">
      <c r="A29" s="9" t="s">
        <v>74</v>
      </c>
      <c r="B29" s="4" t="s">
        <v>75</v>
      </c>
      <c r="C29" s="4" t="s">
        <v>76</v>
      </c>
      <c r="D29" s="54" t="s">
        <v>77</v>
      </c>
      <c r="E29" s="54"/>
      <c r="F29" s="54"/>
      <c r="G29" s="54"/>
      <c r="H29" s="54"/>
      <c r="I29" s="54"/>
      <c r="J29" s="54"/>
      <c r="K29" s="19">
        <f>ROUND(70,2)</f>
        <v>70</v>
      </c>
      <c r="L29" s="20">
        <f>ROUND(0*(1+M2/100),2)</f>
        <v>0</v>
      </c>
      <c r="M29" s="20">
        <f>ROUND(K29*L29,2)</f>
        <v>0</v>
      </c>
    </row>
    <row r="30" spans="1:13" ht="21.4" customHeight="1" thickBot="1" x14ac:dyDescent="0.25">
      <c r="A30" s="21"/>
      <c r="B30" s="21"/>
      <c r="C30" s="21"/>
      <c r="D30" s="54" t="s">
        <v>78</v>
      </c>
      <c r="E30" s="54"/>
      <c r="F30" s="54"/>
      <c r="G30" s="54"/>
      <c r="H30" s="54"/>
      <c r="I30" s="54"/>
      <c r="J30" s="54"/>
      <c r="K30" s="54"/>
      <c r="L30" s="54"/>
      <c r="M30" s="54"/>
    </row>
    <row r="31" spans="1:13" ht="15.4" customHeight="1" thickBot="1" x14ac:dyDescent="0.25">
      <c r="A31" s="9" t="s">
        <v>79</v>
      </c>
      <c r="B31" s="4" t="s">
        <v>80</v>
      </c>
      <c r="C31" s="4" t="s">
        <v>81</v>
      </c>
      <c r="D31" s="54" t="s">
        <v>82</v>
      </c>
      <c r="E31" s="54"/>
      <c r="F31" s="54"/>
      <c r="G31" s="54"/>
      <c r="H31" s="54"/>
      <c r="I31" s="54"/>
      <c r="J31" s="54"/>
      <c r="K31" s="19">
        <f>ROUND(23,2)</f>
        <v>23</v>
      </c>
      <c r="L31" s="20">
        <f>ROUND(0*(1+M2/100),2)</f>
        <v>0</v>
      </c>
      <c r="M31" s="20">
        <f>ROUND(K31*L31,2)</f>
        <v>0</v>
      </c>
    </row>
    <row r="32" spans="1:13" ht="21.4" customHeight="1" thickBot="1" x14ac:dyDescent="0.25">
      <c r="A32" s="21"/>
      <c r="B32" s="21"/>
      <c r="C32" s="21"/>
      <c r="D32" s="54" t="s">
        <v>83</v>
      </c>
      <c r="E32" s="54"/>
      <c r="F32" s="54"/>
      <c r="G32" s="54"/>
      <c r="H32" s="54"/>
      <c r="I32" s="54"/>
      <c r="J32" s="54"/>
      <c r="K32" s="54"/>
      <c r="L32" s="54"/>
      <c r="M32" s="54"/>
    </row>
    <row r="33" spans="1:13" ht="15.4" customHeight="1" thickBot="1" x14ac:dyDescent="0.25">
      <c r="A33" s="9" t="s">
        <v>84</v>
      </c>
      <c r="B33" s="4" t="s">
        <v>85</v>
      </c>
      <c r="C33" s="4" t="s">
        <v>86</v>
      </c>
      <c r="D33" s="54" t="s">
        <v>87</v>
      </c>
      <c r="E33" s="54"/>
      <c r="F33" s="54"/>
      <c r="G33" s="54"/>
      <c r="H33" s="54"/>
      <c r="I33" s="54"/>
      <c r="J33" s="54"/>
      <c r="K33" s="19">
        <f>ROUND(8,2)</f>
        <v>8</v>
      </c>
      <c r="L33" s="20">
        <f>ROUND(0*(1+M2/100),2)</f>
        <v>0</v>
      </c>
      <c r="M33" s="20">
        <f>ROUND(K33*L33,2)</f>
        <v>0</v>
      </c>
    </row>
    <row r="34" spans="1:13" ht="21.4" customHeight="1" thickBot="1" x14ac:dyDescent="0.25">
      <c r="A34" s="21"/>
      <c r="B34" s="21"/>
      <c r="C34" s="21"/>
      <c r="D34" s="54" t="s">
        <v>88</v>
      </c>
      <c r="E34" s="54"/>
      <c r="F34" s="54"/>
      <c r="G34" s="54"/>
      <c r="H34" s="54"/>
      <c r="I34" s="54"/>
      <c r="J34" s="54"/>
      <c r="K34" s="54"/>
      <c r="L34" s="54"/>
      <c r="M34" s="54"/>
    </row>
    <row r="35" spans="1:13" ht="15.4" customHeight="1" thickBot="1" x14ac:dyDescent="0.25">
      <c r="A35" s="9" t="s">
        <v>89</v>
      </c>
      <c r="B35" s="4" t="s">
        <v>90</v>
      </c>
      <c r="C35" s="4" t="s">
        <v>91</v>
      </c>
      <c r="D35" s="54" t="s">
        <v>92</v>
      </c>
      <c r="E35" s="54"/>
      <c r="F35" s="54"/>
      <c r="G35" s="54"/>
      <c r="H35" s="54"/>
      <c r="I35" s="54"/>
      <c r="J35" s="54"/>
      <c r="K35" s="19">
        <f>ROUND(1,2)</f>
        <v>1</v>
      </c>
      <c r="L35" s="20">
        <f>ROUND(0*(1+M2/100),2)</f>
        <v>0</v>
      </c>
      <c r="M35" s="20">
        <f>ROUND(K35*L35,2)</f>
        <v>0</v>
      </c>
    </row>
    <row r="36" spans="1:13" ht="12.2" customHeight="1" thickBot="1" x14ac:dyDescent="0.25">
      <c r="A36" s="21"/>
      <c r="B36" s="21"/>
      <c r="C36" s="21"/>
      <c r="D36" s="54" t="s">
        <v>93</v>
      </c>
      <c r="E36" s="54"/>
      <c r="F36" s="54"/>
      <c r="G36" s="54"/>
      <c r="H36" s="54"/>
      <c r="I36" s="54"/>
      <c r="J36" s="54"/>
      <c r="K36" s="54"/>
      <c r="L36" s="54"/>
      <c r="M36" s="54"/>
    </row>
    <row r="37" spans="1:13" ht="15.4" customHeight="1" thickBot="1" x14ac:dyDescent="0.25">
      <c r="A37" s="9" t="s">
        <v>94</v>
      </c>
      <c r="B37" s="4" t="s">
        <v>95</v>
      </c>
      <c r="C37" s="4" t="s">
        <v>96</v>
      </c>
      <c r="D37" s="54" t="s">
        <v>97</v>
      </c>
      <c r="E37" s="54"/>
      <c r="F37" s="54"/>
      <c r="G37" s="54"/>
      <c r="H37" s="54"/>
      <c r="I37" s="54"/>
      <c r="J37" s="54"/>
      <c r="K37" s="19">
        <f>ROUND(13,2)</f>
        <v>13</v>
      </c>
      <c r="L37" s="20">
        <f>ROUND(0*(1+M2/100),2)</f>
        <v>0</v>
      </c>
      <c r="M37" s="20">
        <f>ROUND(K37*L37,2)</f>
        <v>0</v>
      </c>
    </row>
    <row r="38" spans="1:13" ht="30.6" customHeight="1" thickBot="1" x14ac:dyDescent="0.25">
      <c r="A38" s="21"/>
      <c r="B38" s="21"/>
      <c r="C38" s="21"/>
      <c r="D38" s="54" t="s">
        <v>98</v>
      </c>
      <c r="E38" s="54"/>
      <c r="F38" s="54"/>
      <c r="G38" s="54"/>
      <c r="H38" s="54"/>
      <c r="I38" s="54"/>
      <c r="J38" s="54"/>
      <c r="K38" s="54"/>
      <c r="L38" s="54"/>
      <c r="M38" s="54"/>
    </row>
    <row r="39" spans="1:13" ht="15.4" customHeight="1" thickBot="1" x14ac:dyDescent="0.25">
      <c r="A39" s="9" t="s">
        <v>99</v>
      </c>
      <c r="B39" s="4" t="s">
        <v>100</v>
      </c>
      <c r="C39" s="4" t="s">
        <v>101</v>
      </c>
      <c r="D39" s="54" t="s">
        <v>102</v>
      </c>
      <c r="E39" s="54"/>
      <c r="F39" s="54"/>
      <c r="G39" s="54"/>
      <c r="H39" s="54"/>
      <c r="I39" s="54"/>
      <c r="J39" s="54"/>
      <c r="K39" s="19">
        <f>ROUND(213.34,2)</f>
        <v>213.34</v>
      </c>
      <c r="L39" s="20">
        <f>ROUND(0*(1+M2/100),2)</f>
        <v>0</v>
      </c>
      <c r="M39" s="20">
        <f>ROUND(K39*L39,2)</f>
        <v>0</v>
      </c>
    </row>
    <row r="40" spans="1:13" ht="58.35" customHeight="1" thickBot="1" x14ac:dyDescent="0.25">
      <c r="A40" s="21"/>
      <c r="B40" s="21"/>
      <c r="C40" s="21"/>
      <c r="D40" s="54" t="s">
        <v>103</v>
      </c>
      <c r="E40" s="54"/>
      <c r="F40" s="54"/>
      <c r="G40" s="54"/>
      <c r="H40" s="54"/>
      <c r="I40" s="54"/>
      <c r="J40" s="54"/>
      <c r="K40" s="54"/>
      <c r="L40" s="54"/>
      <c r="M40" s="54"/>
    </row>
    <row r="41" spans="1:13" ht="15.4" customHeight="1" thickBot="1" x14ac:dyDescent="0.25">
      <c r="A41" s="22"/>
      <c r="B41" s="22"/>
      <c r="C41" s="22"/>
      <c r="D41" s="23" t="s">
        <v>104</v>
      </c>
      <c r="E41" s="24"/>
      <c r="F41" s="24"/>
      <c r="G41" s="24"/>
      <c r="H41" s="24"/>
      <c r="I41" s="24"/>
      <c r="J41" s="24"/>
      <c r="K41" s="24"/>
      <c r="L41" s="25">
        <f>M7+M9+M11+M13+M15+M17+M19+M21+M23+M25+M27+M29+M31+M33+M35+M37+M39</f>
        <v>0</v>
      </c>
      <c r="M41" s="25">
        <f>ROUND(L41,2)</f>
        <v>0</v>
      </c>
    </row>
    <row r="42" spans="1:13" ht="15.4" customHeight="1" thickBot="1" x14ac:dyDescent="0.25">
      <c r="A42" s="26"/>
      <c r="B42" s="26"/>
      <c r="C42" s="26"/>
      <c r="D42" s="27" t="s">
        <v>105</v>
      </c>
      <c r="E42" s="28"/>
      <c r="F42" s="28"/>
      <c r="G42" s="28"/>
      <c r="H42" s="28"/>
      <c r="I42" s="28"/>
      <c r="J42" s="28"/>
      <c r="K42" s="28"/>
      <c r="L42" s="29">
        <f>M41</f>
        <v>0</v>
      </c>
      <c r="M42" s="29">
        <f>ROUND(L42,2)</f>
        <v>0</v>
      </c>
    </row>
    <row r="43" spans="1:13" ht="15.4" customHeight="1" thickBot="1" x14ac:dyDescent="0.25">
      <c r="A43" s="30" t="s">
        <v>106</v>
      </c>
      <c r="B43" s="30" t="s">
        <v>107</v>
      </c>
      <c r="C43" s="31"/>
      <c r="D43" s="55" t="s">
        <v>108</v>
      </c>
      <c r="E43" s="55"/>
      <c r="F43" s="55"/>
      <c r="G43" s="55"/>
      <c r="H43" s="55"/>
      <c r="I43" s="55"/>
      <c r="J43" s="55"/>
      <c r="K43" s="31"/>
      <c r="L43" s="32">
        <f>L88</f>
        <v>0</v>
      </c>
      <c r="M43" s="32">
        <f>ROUND(L43,2)</f>
        <v>0</v>
      </c>
    </row>
    <row r="44" spans="1:13" ht="15.4" customHeight="1" thickBot="1" x14ac:dyDescent="0.25">
      <c r="A44" s="16" t="s">
        <v>109</v>
      </c>
      <c r="B44" s="16" t="s">
        <v>110</v>
      </c>
      <c r="C44" s="17"/>
      <c r="D44" s="59" t="s">
        <v>111</v>
      </c>
      <c r="E44" s="59"/>
      <c r="F44" s="59"/>
      <c r="G44" s="59"/>
      <c r="H44" s="59"/>
      <c r="I44" s="59"/>
      <c r="J44" s="59"/>
      <c r="K44" s="17"/>
      <c r="L44" s="18">
        <f>L75</f>
        <v>0</v>
      </c>
      <c r="M44" s="18">
        <f>ROUND(L44,2)</f>
        <v>0</v>
      </c>
    </row>
    <row r="45" spans="1:13" ht="15.4" customHeight="1" thickBot="1" x14ac:dyDescent="0.25">
      <c r="A45" s="9" t="s">
        <v>112</v>
      </c>
      <c r="B45" s="4" t="s">
        <v>113</v>
      </c>
      <c r="C45" s="4" t="s">
        <v>114</v>
      </c>
      <c r="D45" s="54" t="s">
        <v>115</v>
      </c>
      <c r="E45" s="54"/>
      <c r="F45" s="54"/>
      <c r="G45" s="54"/>
      <c r="H45" s="54"/>
      <c r="I45" s="54"/>
      <c r="J45" s="54"/>
      <c r="K45" s="19">
        <f>ROUND(138.25,2)</f>
        <v>138.25</v>
      </c>
      <c r="L45" s="20">
        <f>ROUND(0*(1+M2/100),2)</f>
        <v>0</v>
      </c>
      <c r="M45" s="20">
        <f>ROUND(K45*L45,2)</f>
        <v>0</v>
      </c>
    </row>
    <row r="46" spans="1:13" ht="21.4" customHeight="1" thickBot="1" x14ac:dyDescent="0.25">
      <c r="A46" s="21"/>
      <c r="B46" s="21"/>
      <c r="C46" s="21"/>
      <c r="D46" s="54" t="s">
        <v>116</v>
      </c>
      <c r="E46" s="54"/>
      <c r="F46" s="54"/>
      <c r="G46" s="54"/>
      <c r="H46" s="54"/>
      <c r="I46" s="54"/>
      <c r="J46" s="54"/>
      <c r="K46" s="54"/>
      <c r="L46" s="54"/>
      <c r="M46" s="54"/>
    </row>
    <row r="47" spans="1:13" ht="15.4" customHeight="1" thickBot="1" x14ac:dyDescent="0.25">
      <c r="A47" s="9" t="s">
        <v>117</v>
      </c>
      <c r="B47" s="4" t="s">
        <v>118</v>
      </c>
      <c r="C47" s="4" t="s">
        <v>119</v>
      </c>
      <c r="D47" s="54" t="s">
        <v>120</v>
      </c>
      <c r="E47" s="54"/>
      <c r="F47" s="54"/>
      <c r="G47" s="54"/>
      <c r="H47" s="54"/>
      <c r="I47" s="54"/>
      <c r="J47" s="54"/>
      <c r="K47" s="19">
        <f>ROUND(51.24,2)</f>
        <v>51.24</v>
      </c>
      <c r="L47" s="20">
        <f>ROUND(0*(1+M2/100),2)</f>
        <v>0</v>
      </c>
      <c r="M47" s="20">
        <f>ROUND(K47*L47,2)</f>
        <v>0</v>
      </c>
    </row>
    <row r="48" spans="1:13" ht="21.4" customHeight="1" thickBot="1" x14ac:dyDescent="0.25">
      <c r="A48" s="21"/>
      <c r="B48" s="21"/>
      <c r="C48" s="21"/>
      <c r="D48" s="54" t="s">
        <v>121</v>
      </c>
      <c r="E48" s="54"/>
      <c r="F48" s="54"/>
      <c r="G48" s="54"/>
      <c r="H48" s="54"/>
      <c r="I48" s="54"/>
      <c r="J48" s="54"/>
      <c r="K48" s="54"/>
      <c r="L48" s="54"/>
      <c r="M48" s="54"/>
    </row>
    <row r="49" spans="1:13" ht="15.4" customHeight="1" thickBot="1" x14ac:dyDescent="0.25">
      <c r="A49" s="9" t="s">
        <v>122</v>
      </c>
      <c r="B49" s="4" t="s">
        <v>123</v>
      </c>
      <c r="C49" s="4" t="s">
        <v>124</v>
      </c>
      <c r="D49" s="54" t="s">
        <v>125</v>
      </c>
      <c r="E49" s="54"/>
      <c r="F49" s="54"/>
      <c r="G49" s="54"/>
      <c r="H49" s="54"/>
      <c r="I49" s="54"/>
      <c r="J49" s="54"/>
      <c r="K49" s="19">
        <f>ROUND(98.19,2)</f>
        <v>98.19</v>
      </c>
      <c r="L49" s="20">
        <f>ROUND(0*(1+M2/100),2)</f>
        <v>0</v>
      </c>
      <c r="M49" s="20">
        <f>ROUND(K49*L49,2)</f>
        <v>0</v>
      </c>
    </row>
    <row r="50" spans="1:13" ht="21.4" customHeight="1" thickBot="1" x14ac:dyDescent="0.25">
      <c r="A50" s="21"/>
      <c r="B50" s="21"/>
      <c r="C50" s="21"/>
      <c r="D50" s="54" t="s">
        <v>126</v>
      </c>
      <c r="E50" s="54"/>
      <c r="F50" s="54"/>
      <c r="G50" s="54"/>
      <c r="H50" s="54"/>
      <c r="I50" s="54"/>
      <c r="J50" s="54"/>
      <c r="K50" s="54"/>
      <c r="L50" s="54"/>
      <c r="M50" s="54"/>
    </row>
    <row r="51" spans="1:13" ht="15.4" customHeight="1" thickBot="1" x14ac:dyDescent="0.25">
      <c r="A51" s="9" t="s">
        <v>127</v>
      </c>
      <c r="B51" s="4" t="s">
        <v>128</v>
      </c>
      <c r="C51" s="4" t="s">
        <v>129</v>
      </c>
      <c r="D51" s="54" t="s">
        <v>130</v>
      </c>
      <c r="E51" s="54"/>
      <c r="F51" s="54"/>
      <c r="G51" s="54"/>
      <c r="H51" s="54"/>
      <c r="I51" s="54"/>
      <c r="J51" s="54"/>
      <c r="K51" s="19">
        <f>ROUND(41.85,2)</f>
        <v>41.85</v>
      </c>
      <c r="L51" s="20">
        <f>ROUND(0*(1+M2/100),2)</f>
        <v>0</v>
      </c>
      <c r="M51" s="20">
        <f>ROUND(K51*L51,2)</f>
        <v>0</v>
      </c>
    </row>
    <row r="52" spans="1:13" ht="21.4" customHeight="1" thickBot="1" x14ac:dyDescent="0.25">
      <c r="A52" s="21"/>
      <c r="B52" s="21"/>
      <c r="C52" s="21"/>
      <c r="D52" s="54" t="s">
        <v>131</v>
      </c>
      <c r="E52" s="54"/>
      <c r="F52" s="54"/>
      <c r="G52" s="54"/>
      <c r="H52" s="54"/>
      <c r="I52" s="54"/>
      <c r="J52" s="54"/>
      <c r="K52" s="54"/>
      <c r="L52" s="54"/>
      <c r="M52" s="54"/>
    </row>
    <row r="53" spans="1:13" ht="15.4" customHeight="1" thickBot="1" x14ac:dyDescent="0.25">
      <c r="A53" s="9" t="s">
        <v>132</v>
      </c>
      <c r="B53" s="4" t="s">
        <v>133</v>
      </c>
      <c r="C53" s="4" t="s">
        <v>134</v>
      </c>
      <c r="D53" s="54" t="s">
        <v>135</v>
      </c>
      <c r="E53" s="54"/>
      <c r="F53" s="54"/>
      <c r="G53" s="54"/>
      <c r="H53" s="54"/>
      <c r="I53" s="54"/>
      <c r="J53" s="54"/>
      <c r="K53" s="19">
        <f>ROUND(33.65,2)</f>
        <v>33.65</v>
      </c>
      <c r="L53" s="20">
        <f>ROUND(0*(1+M2/100),2)</f>
        <v>0</v>
      </c>
      <c r="M53" s="20">
        <f>ROUND(K53*L53,2)</f>
        <v>0</v>
      </c>
    </row>
    <row r="54" spans="1:13" ht="21.4" customHeight="1" thickBot="1" x14ac:dyDescent="0.25">
      <c r="A54" s="21"/>
      <c r="B54" s="21"/>
      <c r="C54" s="21"/>
      <c r="D54" s="54" t="s">
        <v>136</v>
      </c>
      <c r="E54" s="54"/>
      <c r="F54" s="54"/>
      <c r="G54" s="54"/>
      <c r="H54" s="54"/>
      <c r="I54" s="54"/>
      <c r="J54" s="54"/>
      <c r="K54" s="54"/>
      <c r="L54" s="54"/>
      <c r="M54" s="54"/>
    </row>
    <row r="55" spans="1:13" ht="15.4" customHeight="1" thickBot="1" x14ac:dyDescent="0.25">
      <c r="A55" s="9" t="s">
        <v>137</v>
      </c>
      <c r="B55" s="4" t="s">
        <v>138</v>
      </c>
      <c r="C55" s="4" t="s">
        <v>139</v>
      </c>
      <c r="D55" s="54" t="s">
        <v>140</v>
      </c>
      <c r="E55" s="54"/>
      <c r="F55" s="54"/>
      <c r="G55" s="54"/>
      <c r="H55" s="54"/>
      <c r="I55" s="54"/>
      <c r="J55" s="54"/>
      <c r="K55" s="19">
        <f>ROUND(62.65,2)</f>
        <v>62.65</v>
      </c>
      <c r="L55" s="20">
        <f>ROUND(0*(1+M2/100),2)</f>
        <v>0</v>
      </c>
      <c r="M55" s="20">
        <f>ROUND(K55*L55,2)</f>
        <v>0</v>
      </c>
    </row>
    <row r="56" spans="1:13" ht="30.6" customHeight="1" thickBot="1" x14ac:dyDescent="0.25">
      <c r="A56" s="21"/>
      <c r="B56" s="21"/>
      <c r="C56" s="21"/>
      <c r="D56" s="54" t="s">
        <v>141</v>
      </c>
      <c r="E56" s="54"/>
      <c r="F56" s="54"/>
      <c r="G56" s="54"/>
      <c r="H56" s="54"/>
      <c r="I56" s="54"/>
      <c r="J56" s="54"/>
      <c r="K56" s="54"/>
      <c r="L56" s="54"/>
      <c r="M56" s="54"/>
    </row>
    <row r="57" spans="1:13" ht="15.4" customHeight="1" thickBot="1" x14ac:dyDescent="0.25">
      <c r="A57" s="9" t="s">
        <v>142</v>
      </c>
      <c r="B57" s="4" t="s">
        <v>143</v>
      </c>
      <c r="C57" s="4" t="s">
        <v>144</v>
      </c>
      <c r="D57" s="54" t="s">
        <v>145</v>
      </c>
      <c r="E57" s="54"/>
      <c r="F57" s="54"/>
      <c r="G57" s="54"/>
      <c r="H57" s="54"/>
      <c r="I57" s="54"/>
      <c r="J57" s="54"/>
      <c r="K57" s="19">
        <f>ROUND(27.64,2)</f>
        <v>27.64</v>
      </c>
      <c r="L57" s="20">
        <f>ROUND(0*(1+M2/100),2)</f>
        <v>0</v>
      </c>
      <c r="M57" s="20">
        <f>ROUND(K57*L57,2)</f>
        <v>0</v>
      </c>
    </row>
    <row r="58" spans="1:13" ht="30.6" customHeight="1" thickBot="1" x14ac:dyDescent="0.25">
      <c r="A58" s="21"/>
      <c r="B58" s="21"/>
      <c r="C58" s="21"/>
      <c r="D58" s="54" t="s">
        <v>146</v>
      </c>
      <c r="E58" s="54"/>
      <c r="F58" s="54"/>
      <c r="G58" s="54"/>
      <c r="H58" s="54"/>
      <c r="I58" s="54"/>
      <c r="J58" s="54"/>
      <c r="K58" s="54"/>
      <c r="L58" s="54"/>
      <c r="M58" s="54"/>
    </row>
    <row r="59" spans="1:13" ht="15.4" customHeight="1" thickBot="1" x14ac:dyDescent="0.25">
      <c r="A59" s="9" t="s">
        <v>147</v>
      </c>
      <c r="B59" s="4" t="s">
        <v>148</v>
      </c>
      <c r="C59" s="4" t="s">
        <v>149</v>
      </c>
      <c r="D59" s="54" t="s">
        <v>150</v>
      </c>
      <c r="E59" s="54"/>
      <c r="F59" s="54"/>
      <c r="G59" s="54"/>
      <c r="H59" s="54"/>
      <c r="I59" s="54"/>
      <c r="J59" s="54"/>
      <c r="K59" s="19">
        <f>ROUND(31.35,2)</f>
        <v>31.35</v>
      </c>
      <c r="L59" s="20">
        <f>ROUND(0*(1+M2/100),2)</f>
        <v>0</v>
      </c>
      <c r="M59" s="20">
        <f>ROUND(K59*L59,2)</f>
        <v>0</v>
      </c>
    </row>
    <row r="60" spans="1:13" ht="30.6" customHeight="1" thickBot="1" x14ac:dyDescent="0.25">
      <c r="A60" s="21"/>
      <c r="B60" s="21"/>
      <c r="C60" s="21"/>
      <c r="D60" s="54" t="s">
        <v>151</v>
      </c>
      <c r="E60" s="54"/>
      <c r="F60" s="54"/>
      <c r="G60" s="54"/>
      <c r="H60" s="54"/>
      <c r="I60" s="54"/>
      <c r="J60" s="54"/>
      <c r="K60" s="54"/>
      <c r="L60" s="54"/>
      <c r="M60" s="54"/>
    </row>
    <row r="61" spans="1:13" ht="15.4" customHeight="1" thickBot="1" x14ac:dyDescent="0.25">
      <c r="A61" s="9" t="s">
        <v>152</v>
      </c>
      <c r="B61" s="4" t="s">
        <v>153</v>
      </c>
      <c r="C61" s="4" t="s">
        <v>154</v>
      </c>
      <c r="D61" s="54" t="s">
        <v>155</v>
      </c>
      <c r="E61" s="54"/>
      <c r="F61" s="54"/>
      <c r="G61" s="54"/>
      <c r="H61" s="54"/>
      <c r="I61" s="54"/>
      <c r="J61" s="54"/>
      <c r="K61" s="19">
        <f>ROUND(20.85,2)</f>
        <v>20.85</v>
      </c>
      <c r="L61" s="20">
        <f>ROUND(0*(1+M2/100),2)</f>
        <v>0</v>
      </c>
      <c r="M61" s="20">
        <f>ROUND(K61*L61,2)</f>
        <v>0</v>
      </c>
    </row>
    <row r="62" spans="1:13" ht="30.6" customHeight="1" thickBot="1" x14ac:dyDescent="0.25">
      <c r="A62" s="21"/>
      <c r="B62" s="21"/>
      <c r="C62" s="21"/>
      <c r="D62" s="54" t="s">
        <v>156</v>
      </c>
      <c r="E62" s="54"/>
      <c r="F62" s="54"/>
      <c r="G62" s="54"/>
      <c r="H62" s="54"/>
      <c r="I62" s="54"/>
      <c r="J62" s="54"/>
      <c r="K62" s="54"/>
      <c r="L62" s="54"/>
      <c r="M62" s="54"/>
    </row>
    <row r="63" spans="1:13" ht="15.4" customHeight="1" thickBot="1" x14ac:dyDescent="0.25">
      <c r="A63" s="9" t="s">
        <v>157</v>
      </c>
      <c r="B63" s="4" t="s">
        <v>158</v>
      </c>
      <c r="C63" s="4" t="s">
        <v>159</v>
      </c>
      <c r="D63" s="54" t="s">
        <v>160</v>
      </c>
      <c r="E63" s="54"/>
      <c r="F63" s="54"/>
      <c r="G63" s="54"/>
      <c r="H63" s="54"/>
      <c r="I63" s="54"/>
      <c r="J63" s="54"/>
      <c r="K63" s="19">
        <f>ROUND(29.55,2)</f>
        <v>29.55</v>
      </c>
      <c r="L63" s="20">
        <f>ROUND(0*(1+M2/100),2)</f>
        <v>0</v>
      </c>
      <c r="M63" s="20">
        <f>ROUND(K63*L63,2)</f>
        <v>0</v>
      </c>
    </row>
    <row r="64" spans="1:13" ht="30.6" customHeight="1" thickBot="1" x14ac:dyDescent="0.25">
      <c r="A64" s="21"/>
      <c r="B64" s="21"/>
      <c r="C64" s="21"/>
      <c r="D64" s="54" t="s">
        <v>161</v>
      </c>
      <c r="E64" s="54"/>
      <c r="F64" s="54"/>
      <c r="G64" s="54"/>
      <c r="H64" s="54"/>
      <c r="I64" s="54"/>
      <c r="J64" s="54"/>
      <c r="K64" s="54"/>
      <c r="L64" s="54"/>
      <c r="M64" s="54"/>
    </row>
    <row r="65" spans="1:13" ht="15.4" customHeight="1" thickBot="1" x14ac:dyDescent="0.25">
      <c r="A65" s="9" t="s">
        <v>162</v>
      </c>
      <c r="B65" s="4" t="s">
        <v>163</v>
      </c>
      <c r="C65" s="4" t="s">
        <v>164</v>
      </c>
      <c r="D65" s="54" t="s">
        <v>165</v>
      </c>
      <c r="E65" s="54"/>
      <c r="F65" s="54"/>
      <c r="G65" s="54"/>
      <c r="H65" s="54"/>
      <c r="I65" s="54"/>
      <c r="J65" s="54"/>
      <c r="K65" s="19">
        <f>ROUND(75.6,2)</f>
        <v>75.599999999999994</v>
      </c>
      <c r="L65" s="20">
        <f>ROUND(0*(1+M2/100),2)</f>
        <v>0</v>
      </c>
      <c r="M65" s="20">
        <f>ROUND(K65*L65,2)</f>
        <v>0</v>
      </c>
    </row>
    <row r="66" spans="1:13" ht="30.6" customHeight="1" thickBot="1" x14ac:dyDescent="0.25">
      <c r="A66" s="21"/>
      <c r="B66" s="21"/>
      <c r="C66" s="21"/>
      <c r="D66" s="54" t="s">
        <v>166</v>
      </c>
      <c r="E66" s="54"/>
      <c r="F66" s="54"/>
      <c r="G66" s="54"/>
      <c r="H66" s="54"/>
      <c r="I66" s="54"/>
      <c r="J66" s="54"/>
      <c r="K66" s="54"/>
      <c r="L66" s="54"/>
      <c r="M66" s="54"/>
    </row>
    <row r="67" spans="1:13" ht="15.4" customHeight="1" thickBot="1" x14ac:dyDescent="0.25">
      <c r="A67" s="9" t="s">
        <v>167</v>
      </c>
      <c r="B67" s="4" t="s">
        <v>168</v>
      </c>
      <c r="C67" s="4" t="s">
        <v>169</v>
      </c>
      <c r="D67" s="54" t="s">
        <v>170</v>
      </c>
      <c r="E67" s="54"/>
      <c r="F67" s="54"/>
      <c r="G67" s="54"/>
      <c r="H67" s="54"/>
      <c r="I67" s="54"/>
      <c r="J67" s="54"/>
      <c r="K67" s="19">
        <f>ROUND(23.6,2)</f>
        <v>23.6</v>
      </c>
      <c r="L67" s="20">
        <f>ROUND(0*(1+M2/100),2)</f>
        <v>0</v>
      </c>
      <c r="M67" s="20">
        <f>ROUND(K67*L67,2)</f>
        <v>0</v>
      </c>
    </row>
    <row r="68" spans="1:13" ht="30.6" customHeight="1" thickBot="1" x14ac:dyDescent="0.25">
      <c r="A68" s="21"/>
      <c r="B68" s="21"/>
      <c r="C68" s="21"/>
      <c r="D68" s="54" t="s">
        <v>171</v>
      </c>
      <c r="E68" s="54"/>
      <c r="F68" s="54"/>
      <c r="G68" s="54"/>
      <c r="H68" s="54"/>
      <c r="I68" s="54"/>
      <c r="J68" s="54"/>
      <c r="K68" s="54"/>
      <c r="L68" s="54"/>
      <c r="M68" s="54"/>
    </row>
    <row r="69" spans="1:13" ht="15.4" customHeight="1" thickBot="1" x14ac:dyDescent="0.25">
      <c r="A69" s="9" t="s">
        <v>172</v>
      </c>
      <c r="B69" s="4" t="s">
        <v>173</v>
      </c>
      <c r="C69" s="4" t="s">
        <v>174</v>
      </c>
      <c r="D69" s="54" t="s">
        <v>175</v>
      </c>
      <c r="E69" s="54"/>
      <c r="F69" s="54"/>
      <c r="G69" s="54"/>
      <c r="H69" s="54"/>
      <c r="I69" s="54"/>
      <c r="J69" s="54"/>
      <c r="K69" s="19">
        <f>ROUND(66.84,2)</f>
        <v>66.84</v>
      </c>
      <c r="L69" s="20">
        <f>ROUND(0*(1+M2/100),2)</f>
        <v>0</v>
      </c>
      <c r="M69" s="20">
        <f>ROUND(K69*L69,2)</f>
        <v>0</v>
      </c>
    </row>
    <row r="70" spans="1:13" ht="30.6" customHeight="1" thickBot="1" x14ac:dyDescent="0.25">
      <c r="A70" s="21"/>
      <c r="B70" s="21"/>
      <c r="C70" s="21"/>
      <c r="D70" s="54" t="s">
        <v>176</v>
      </c>
      <c r="E70" s="54"/>
      <c r="F70" s="54"/>
      <c r="G70" s="54"/>
      <c r="H70" s="54"/>
      <c r="I70" s="54"/>
      <c r="J70" s="54"/>
      <c r="K70" s="54"/>
      <c r="L70" s="54"/>
      <c r="M70" s="54"/>
    </row>
    <row r="71" spans="1:13" ht="15.4" customHeight="1" thickBot="1" x14ac:dyDescent="0.25">
      <c r="A71" s="9" t="s">
        <v>177</v>
      </c>
      <c r="B71" s="4" t="s">
        <v>178</v>
      </c>
      <c r="C71" s="4" t="s">
        <v>179</v>
      </c>
      <c r="D71" s="54" t="s">
        <v>180</v>
      </c>
      <c r="E71" s="54"/>
      <c r="F71" s="54"/>
      <c r="G71" s="54"/>
      <c r="H71" s="54"/>
      <c r="I71" s="54"/>
      <c r="J71" s="54"/>
      <c r="K71" s="19">
        <f>ROUND(21,2)</f>
        <v>21</v>
      </c>
      <c r="L71" s="20">
        <f>ROUND(0*(1+M2/100),2)</f>
        <v>0</v>
      </c>
      <c r="M71" s="20">
        <f>ROUND(K71*L71,2)</f>
        <v>0</v>
      </c>
    </row>
    <row r="72" spans="1:13" ht="30.6" customHeight="1" thickBot="1" x14ac:dyDescent="0.25">
      <c r="A72" s="21"/>
      <c r="B72" s="21"/>
      <c r="C72" s="21"/>
      <c r="D72" s="54" t="s">
        <v>181</v>
      </c>
      <c r="E72" s="54"/>
      <c r="F72" s="54"/>
      <c r="G72" s="54"/>
      <c r="H72" s="54"/>
      <c r="I72" s="54"/>
      <c r="J72" s="54"/>
      <c r="K72" s="54"/>
      <c r="L72" s="54"/>
      <c r="M72" s="54"/>
    </row>
    <row r="73" spans="1:13" ht="15.4" customHeight="1" thickBot="1" x14ac:dyDescent="0.25">
      <c r="A73" s="9" t="s">
        <v>182</v>
      </c>
      <c r="B73" s="4" t="s">
        <v>183</v>
      </c>
      <c r="C73" s="4" t="s">
        <v>184</v>
      </c>
      <c r="D73" s="54" t="s">
        <v>185</v>
      </c>
      <c r="E73" s="54"/>
      <c r="F73" s="54"/>
      <c r="G73" s="54"/>
      <c r="H73" s="54"/>
      <c r="I73" s="54"/>
      <c r="J73" s="54"/>
      <c r="K73" s="19">
        <f>ROUND(13,2)</f>
        <v>13</v>
      </c>
      <c r="L73" s="20">
        <f>ROUND(0*(1+M2/100),2)</f>
        <v>0</v>
      </c>
      <c r="M73" s="20">
        <f>ROUND(K73*L73,2)</f>
        <v>0</v>
      </c>
    </row>
    <row r="74" spans="1:13" ht="30.6" customHeight="1" thickBot="1" x14ac:dyDescent="0.25">
      <c r="A74" s="21"/>
      <c r="B74" s="21"/>
      <c r="C74" s="21"/>
      <c r="D74" s="54" t="s">
        <v>186</v>
      </c>
      <c r="E74" s="54"/>
      <c r="F74" s="54"/>
      <c r="G74" s="54"/>
      <c r="H74" s="54"/>
      <c r="I74" s="54"/>
      <c r="J74" s="54"/>
      <c r="K74" s="54"/>
      <c r="L74" s="54"/>
      <c r="M74" s="54"/>
    </row>
    <row r="75" spans="1:13" ht="15.4" customHeight="1" thickBot="1" x14ac:dyDescent="0.25">
      <c r="A75" s="22"/>
      <c r="B75" s="22"/>
      <c r="C75" s="22"/>
      <c r="D75" s="23" t="s">
        <v>187</v>
      </c>
      <c r="E75" s="24"/>
      <c r="F75" s="24"/>
      <c r="G75" s="24"/>
      <c r="H75" s="24"/>
      <c r="I75" s="24"/>
      <c r="J75" s="24"/>
      <c r="K75" s="24"/>
      <c r="L75" s="25">
        <f>M45+M47+M49+M51+M53+M55+M57+M59+M61+M63+M65+M67+M69+M71+M73</f>
        <v>0</v>
      </c>
      <c r="M75" s="25">
        <f>ROUND(L75,2)</f>
        <v>0</v>
      </c>
    </row>
    <row r="76" spans="1:13" ht="15.4" customHeight="1" thickBot="1" x14ac:dyDescent="0.25">
      <c r="A76" s="33" t="s">
        <v>188</v>
      </c>
      <c r="B76" s="33" t="s">
        <v>189</v>
      </c>
      <c r="C76" s="34"/>
      <c r="D76" s="57" t="s">
        <v>190</v>
      </c>
      <c r="E76" s="57"/>
      <c r="F76" s="57"/>
      <c r="G76" s="57"/>
      <c r="H76" s="57"/>
      <c r="I76" s="57"/>
      <c r="J76" s="57"/>
      <c r="K76" s="34"/>
      <c r="L76" s="35">
        <f>L87</f>
        <v>0</v>
      </c>
      <c r="M76" s="35">
        <f>ROUND(L76,2)</f>
        <v>0</v>
      </c>
    </row>
    <row r="77" spans="1:13" ht="15.4" customHeight="1" thickBot="1" x14ac:dyDescent="0.25">
      <c r="A77" s="9" t="s">
        <v>191</v>
      </c>
      <c r="B77" s="4" t="s">
        <v>192</v>
      </c>
      <c r="C77" s="4" t="s">
        <v>193</v>
      </c>
      <c r="D77" s="54" t="s">
        <v>194</v>
      </c>
      <c r="E77" s="54"/>
      <c r="F77" s="54"/>
      <c r="G77" s="54"/>
      <c r="H77" s="54"/>
      <c r="I77" s="54"/>
      <c r="J77" s="54"/>
      <c r="K77" s="19">
        <f>ROUND(2,2)</f>
        <v>2</v>
      </c>
      <c r="L77" s="20">
        <f>ROUND(0*(1+M2/100),2)</f>
        <v>0</v>
      </c>
      <c r="M77" s="20">
        <f>ROUND(K77*L77,2)</f>
        <v>0</v>
      </c>
    </row>
    <row r="78" spans="1:13" ht="30.6" customHeight="1" thickBot="1" x14ac:dyDescent="0.25">
      <c r="A78" s="21"/>
      <c r="B78" s="21"/>
      <c r="C78" s="21"/>
      <c r="D78" s="54" t="s">
        <v>195</v>
      </c>
      <c r="E78" s="54"/>
      <c r="F78" s="54"/>
      <c r="G78" s="54"/>
      <c r="H78" s="54"/>
      <c r="I78" s="54"/>
      <c r="J78" s="54"/>
      <c r="K78" s="54"/>
      <c r="L78" s="54"/>
      <c r="M78" s="54"/>
    </row>
    <row r="79" spans="1:13" ht="15.4" customHeight="1" thickBot="1" x14ac:dyDescent="0.25">
      <c r="A79" s="9" t="s">
        <v>196</v>
      </c>
      <c r="B79" s="4" t="s">
        <v>197</v>
      </c>
      <c r="C79" s="4" t="s">
        <v>198</v>
      </c>
      <c r="D79" s="54" t="s">
        <v>199</v>
      </c>
      <c r="E79" s="54"/>
      <c r="F79" s="54"/>
      <c r="G79" s="54"/>
      <c r="H79" s="54"/>
      <c r="I79" s="54"/>
      <c r="J79" s="54"/>
      <c r="K79" s="19">
        <f>ROUND(2,2)</f>
        <v>2</v>
      </c>
      <c r="L79" s="20">
        <f>ROUND(0*(1+M2/100),2)</f>
        <v>0</v>
      </c>
      <c r="M79" s="20">
        <f>ROUND(K79*L79,2)</f>
        <v>0</v>
      </c>
    </row>
    <row r="80" spans="1:13" ht="30.6" customHeight="1" thickBot="1" x14ac:dyDescent="0.25">
      <c r="A80" s="21"/>
      <c r="B80" s="21"/>
      <c r="C80" s="21"/>
      <c r="D80" s="54" t="s">
        <v>200</v>
      </c>
      <c r="E80" s="54"/>
      <c r="F80" s="54"/>
      <c r="G80" s="54"/>
      <c r="H80" s="54"/>
      <c r="I80" s="54"/>
      <c r="J80" s="54"/>
      <c r="K80" s="54"/>
      <c r="L80" s="54"/>
      <c r="M80" s="54"/>
    </row>
    <row r="81" spans="1:13" ht="15.4" customHeight="1" thickBot="1" x14ac:dyDescent="0.25">
      <c r="A81" s="9" t="s">
        <v>201</v>
      </c>
      <c r="B81" s="4" t="s">
        <v>202</v>
      </c>
      <c r="C81" s="4" t="s">
        <v>203</v>
      </c>
      <c r="D81" s="54" t="s">
        <v>204</v>
      </c>
      <c r="E81" s="54"/>
      <c r="F81" s="54"/>
      <c r="G81" s="54"/>
      <c r="H81" s="54"/>
      <c r="I81" s="54"/>
      <c r="J81" s="54"/>
      <c r="K81" s="19">
        <f>ROUND(4,2)</f>
        <v>4</v>
      </c>
      <c r="L81" s="20">
        <f>ROUND(0*(1+M2/100),2)</f>
        <v>0</v>
      </c>
      <c r="M81" s="20">
        <f>ROUND(K81*L81,2)</f>
        <v>0</v>
      </c>
    </row>
    <row r="82" spans="1:13" ht="30.6" customHeight="1" thickBot="1" x14ac:dyDescent="0.25">
      <c r="A82" s="21"/>
      <c r="B82" s="21"/>
      <c r="C82" s="21"/>
      <c r="D82" s="54" t="s">
        <v>205</v>
      </c>
      <c r="E82" s="54"/>
      <c r="F82" s="54"/>
      <c r="G82" s="54"/>
      <c r="H82" s="54"/>
      <c r="I82" s="54"/>
      <c r="J82" s="54"/>
      <c r="K82" s="54"/>
      <c r="L82" s="54"/>
      <c r="M82" s="54"/>
    </row>
    <row r="83" spans="1:13" ht="15.4" customHeight="1" thickBot="1" x14ac:dyDescent="0.25">
      <c r="A83" s="9" t="s">
        <v>206</v>
      </c>
      <c r="B83" s="4" t="s">
        <v>207</v>
      </c>
      <c r="C83" s="4" t="s">
        <v>208</v>
      </c>
      <c r="D83" s="54" t="s">
        <v>209</v>
      </c>
      <c r="E83" s="54"/>
      <c r="F83" s="54"/>
      <c r="G83" s="54"/>
      <c r="H83" s="54"/>
      <c r="I83" s="54"/>
      <c r="J83" s="54"/>
      <c r="K83" s="19">
        <f>ROUND(2,2)</f>
        <v>2</v>
      </c>
      <c r="L83" s="20">
        <f>ROUND(0*(1+M2/100),2)</f>
        <v>0</v>
      </c>
      <c r="M83" s="20">
        <f>ROUND(K83*L83,2)</f>
        <v>0</v>
      </c>
    </row>
    <row r="84" spans="1:13" ht="30.6" customHeight="1" thickBot="1" x14ac:dyDescent="0.25">
      <c r="A84" s="21"/>
      <c r="B84" s="21"/>
      <c r="C84" s="21"/>
      <c r="D84" s="54" t="s">
        <v>210</v>
      </c>
      <c r="E84" s="54"/>
      <c r="F84" s="54"/>
      <c r="G84" s="54"/>
      <c r="H84" s="54"/>
      <c r="I84" s="54"/>
      <c r="J84" s="54"/>
      <c r="K84" s="54"/>
      <c r="L84" s="54"/>
      <c r="M84" s="54"/>
    </row>
    <row r="85" spans="1:13" ht="15.4" customHeight="1" thickBot="1" x14ac:dyDescent="0.25">
      <c r="A85" s="9" t="s">
        <v>211</v>
      </c>
      <c r="B85" s="4" t="s">
        <v>212</v>
      </c>
      <c r="C85" s="4" t="s">
        <v>213</v>
      </c>
      <c r="D85" s="54" t="s">
        <v>214</v>
      </c>
      <c r="E85" s="54"/>
      <c r="F85" s="54"/>
      <c r="G85" s="54"/>
      <c r="H85" s="54"/>
      <c r="I85" s="54"/>
      <c r="J85" s="54"/>
      <c r="K85" s="19">
        <f>ROUND(5,2)</f>
        <v>5</v>
      </c>
      <c r="L85" s="20">
        <f>ROUND(0*(1+M2/100),2)</f>
        <v>0</v>
      </c>
      <c r="M85" s="20">
        <f>ROUND(K85*L85,2)</f>
        <v>0</v>
      </c>
    </row>
    <row r="86" spans="1:13" ht="12.2" customHeight="1" thickBot="1" x14ac:dyDescent="0.25">
      <c r="A86" s="21"/>
      <c r="B86" s="21"/>
      <c r="C86" s="21"/>
      <c r="D86" s="54" t="s">
        <v>215</v>
      </c>
      <c r="E86" s="54"/>
      <c r="F86" s="54"/>
      <c r="G86" s="54"/>
      <c r="H86" s="54"/>
      <c r="I86" s="54"/>
      <c r="J86" s="54"/>
      <c r="K86" s="54"/>
      <c r="L86" s="54"/>
      <c r="M86" s="54"/>
    </row>
    <row r="87" spans="1:13" ht="15.4" customHeight="1" thickBot="1" x14ac:dyDescent="0.25">
      <c r="A87" s="22"/>
      <c r="B87" s="22"/>
      <c r="C87" s="22"/>
      <c r="D87" s="23" t="s">
        <v>216</v>
      </c>
      <c r="E87" s="24"/>
      <c r="F87" s="24"/>
      <c r="G87" s="24"/>
      <c r="H87" s="24"/>
      <c r="I87" s="24"/>
      <c r="J87" s="24"/>
      <c r="K87" s="24"/>
      <c r="L87" s="25">
        <f>M77+M79+M81+M83+M85</f>
        <v>0</v>
      </c>
      <c r="M87" s="25">
        <f>ROUND(L87,2)</f>
        <v>0</v>
      </c>
    </row>
    <row r="88" spans="1:13" ht="15.4" customHeight="1" thickBot="1" x14ac:dyDescent="0.25">
      <c r="A88" s="26"/>
      <c r="B88" s="26"/>
      <c r="C88" s="26"/>
      <c r="D88" s="27" t="s">
        <v>217</v>
      </c>
      <c r="E88" s="28"/>
      <c r="F88" s="28"/>
      <c r="G88" s="28"/>
      <c r="H88" s="28"/>
      <c r="I88" s="28"/>
      <c r="J88" s="28"/>
      <c r="K88" s="28"/>
      <c r="L88" s="29">
        <f>M75+M87</f>
        <v>0</v>
      </c>
      <c r="M88" s="29">
        <f>ROUND(L88,2)</f>
        <v>0</v>
      </c>
    </row>
    <row r="89" spans="1:13" ht="15.4" customHeight="1" thickBot="1" x14ac:dyDescent="0.25">
      <c r="A89" s="30" t="s">
        <v>218</v>
      </c>
      <c r="B89" s="30" t="s">
        <v>219</v>
      </c>
      <c r="C89" s="31"/>
      <c r="D89" s="55" t="s">
        <v>220</v>
      </c>
      <c r="E89" s="55"/>
      <c r="F89" s="55"/>
      <c r="G89" s="55"/>
      <c r="H89" s="55"/>
      <c r="I89" s="55"/>
      <c r="J89" s="55"/>
      <c r="K89" s="31"/>
      <c r="L89" s="32">
        <f>L212</f>
        <v>0</v>
      </c>
      <c r="M89" s="32">
        <f>ROUND(L89,2)</f>
        <v>0</v>
      </c>
    </row>
    <row r="90" spans="1:13" ht="15.4" customHeight="1" thickBot="1" x14ac:dyDescent="0.25">
      <c r="A90" s="16" t="s">
        <v>221</v>
      </c>
      <c r="B90" s="16" t="s">
        <v>222</v>
      </c>
      <c r="C90" s="17"/>
      <c r="D90" s="59" t="s">
        <v>223</v>
      </c>
      <c r="E90" s="59"/>
      <c r="F90" s="59"/>
      <c r="G90" s="59"/>
      <c r="H90" s="59"/>
      <c r="I90" s="59"/>
      <c r="J90" s="59"/>
      <c r="K90" s="17"/>
      <c r="L90" s="18">
        <f>L97</f>
        <v>0</v>
      </c>
      <c r="M90" s="18">
        <f>ROUND(L90,2)</f>
        <v>0</v>
      </c>
    </row>
    <row r="91" spans="1:13" ht="15.4" customHeight="1" thickBot="1" x14ac:dyDescent="0.25">
      <c r="A91" s="9" t="s">
        <v>224</v>
      </c>
      <c r="B91" s="4" t="s">
        <v>225</v>
      </c>
      <c r="C91" s="4" t="s">
        <v>226</v>
      </c>
      <c r="D91" s="54" t="s">
        <v>227</v>
      </c>
      <c r="E91" s="54"/>
      <c r="F91" s="54"/>
      <c r="G91" s="54"/>
      <c r="H91" s="54"/>
      <c r="I91" s="54"/>
      <c r="J91" s="54"/>
      <c r="K91" s="19">
        <f>ROUND(2,2)</f>
        <v>2</v>
      </c>
      <c r="L91" s="20">
        <f>ROUND(0*(1+M2/100),2)</f>
        <v>0</v>
      </c>
      <c r="M91" s="20">
        <f>ROUND(K91*L91,2)</f>
        <v>0</v>
      </c>
    </row>
    <row r="92" spans="1:13" ht="21.4" customHeight="1" thickBot="1" x14ac:dyDescent="0.25">
      <c r="A92" s="21"/>
      <c r="B92" s="21"/>
      <c r="C92" s="21"/>
      <c r="D92" s="54" t="s">
        <v>228</v>
      </c>
      <c r="E92" s="54"/>
      <c r="F92" s="54"/>
      <c r="G92" s="54"/>
      <c r="H92" s="54"/>
      <c r="I92" s="54"/>
      <c r="J92" s="54"/>
      <c r="K92" s="54"/>
      <c r="L92" s="54"/>
      <c r="M92" s="54"/>
    </row>
    <row r="93" spans="1:13" ht="15.4" customHeight="1" thickBot="1" x14ac:dyDescent="0.25">
      <c r="A93" s="9" t="s">
        <v>229</v>
      </c>
      <c r="B93" s="4" t="s">
        <v>230</v>
      </c>
      <c r="C93" s="4" t="s">
        <v>231</v>
      </c>
      <c r="D93" s="54" t="s">
        <v>232</v>
      </c>
      <c r="E93" s="54"/>
      <c r="F93" s="54"/>
      <c r="G93" s="54"/>
      <c r="H93" s="54"/>
      <c r="I93" s="54"/>
      <c r="J93" s="54"/>
      <c r="K93" s="19">
        <f>ROUND(1,2)</f>
        <v>1</v>
      </c>
      <c r="L93" s="20">
        <f>ROUND(0*(1+M2/100),2)</f>
        <v>0</v>
      </c>
      <c r="M93" s="20">
        <f>ROUND(K93*L93,2)</f>
        <v>0</v>
      </c>
    </row>
    <row r="94" spans="1:13" ht="21.4" customHeight="1" thickBot="1" x14ac:dyDescent="0.25">
      <c r="A94" s="21"/>
      <c r="B94" s="21"/>
      <c r="C94" s="21"/>
      <c r="D94" s="54" t="s">
        <v>233</v>
      </c>
      <c r="E94" s="54"/>
      <c r="F94" s="54"/>
      <c r="G94" s="54"/>
      <c r="H94" s="54"/>
      <c r="I94" s="54"/>
      <c r="J94" s="54"/>
      <c r="K94" s="54"/>
      <c r="L94" s="54"/>
      <c r="M94" s="54"/>
    </row>
    <row r="95" spans="1:13" ht="15.4" customHeight="1" thickBot="1" x14ac:dyDescent="0.25">
      <c r="A95" s="9" t="s">
        <v>234</v>
      </c>
      <c r="B95" s="4" t="s">
        <v>235</v>
      </c>
      <c r="C95" s="4" t="s">
        <v>236</v>
      </c>
      <c r="D95" s="54" t="s">
        <v>237</v>
      </c>
      <c r="E95" s="54"/>
      <c r="F95" s="54"/>
      <c r="G95" s="54"/>
      <c r="H95" s="54"/>
      <c r="I95" s="54"/>
      <c r="J95" s="54"/>
      <c r="K95" s="19">
        <f>ROUND(2,2)</f>
        <v>2</v>
      </c>
      <c r="L95" s="20">
        <f>ROUND(0*(1+M2/100),2)</f>
        <v>0</v>
      </c>
      <c r="M95" s="20">
        <f>ROUND(K95*L95,2)</f>
        <v>0</v>
      </c>
    </row>
    <row r="96" spans="1:13" ht="243.2" customHeight="1" thickBot="1" x14ac:dyDescent="0.25">
      <c r="A96" s="21"/>
      <c r="B96" s="21"/>
      <c r="C96" s="21"/>
      <c r="D96" s="54" t="s">
        <v>238</v>
      </c>
      <c r="E96" s="54"/>
      <c r="F96" s="54"/>
      <c r="G96" s="54"/>
      <c r="H96" s="54"/>
      <c r="I96" s="54"/>
      <c r="J96" s="54"/>
      <c r="K96" s="54"/>
      <c r="L96" s="54"/>
      <c r="M96" s="54"/>
    </row>
    <row r="97" spans="1:13" ht="15.4" customHeight="1" thickBot="1" x14ac:dyDescent="0.25">
      <c r="A97" s="22"/>
      <c r="B97" s="22"/>
      <c r="C97" s="22"/>
      <c r="D97" s="23" t="s">
        <v>239</v>
      </c>
      <c r="E97" s="24"/>
      <c r="F97" s="24"/>
      <c r="G97" s="24"/>
      <c r="H97" s="24"/>
      <c r="I97" s="24"/>
      <c r="J97" s="24"/>
      <c r="K97" s="24"/>
      <c r="L97" s="25">
        <f>M91+M93+M95</f>
        <v>0</v>
      </c>
      <c r="M97" s="25">
        <f>ROUND(L97,2)</f>
        <v>0</v>
      </c>
    </row>
    <row r="98" spans="1:13" ht="15.4" customHeight="1" thickBot="1" x14ac:dyDescent="0.25">
      <c r="A98" s="33" t="s">
        <v>240</v>
      </c>
      <c r="B98" s="33" t="s">
        <v>241</v>
      </c>
      <c r="C98" s="34"/>
      <c r="D98" s="57" t="s">
        <v>242</v>
      </c>
      <c r="E98" s="57"/>
      <c r="F98" s="57"/>
      <c r="G98" s="57"/>
      <c r="H98" s="57"/>
      <c r="I98" s="57"/>
      <c r="J98" s="57"/>
      <c r="K98" s="34"/>
      <c r="L98" s="35">
        <f>L109</f>
        <v>0</v>
      </c>
      <c r="M98" s="35">
        <f>ROUND(L98,2)</f>
        <v>0</v>
      </c>
    </row>
    <row r="99" spans="1:13" ht="15.4" customHeight="1" thickBot="1" x14ac:dyDescent="0.25">
      <c r="A99" s="9" t="s">
        <v>243</v>
      </c>
      <c r="B99" s="4" t="s">
        <v>244</v>
      </c>
      <c r="C99" s="4" t="s">
        <v>245</v>
      </c>
      <c r="D99" s="54" t="s">
        <v>246</v>
      </c>
      <c r="E99" s="54"/>
      <c r="F99" s="54"/>
      <c r="G99" s="54"/>
      <c r="H99" s="54"/>
      <c r="I99" s="54"/>
      <c r="J99" s="54"/>
      <c r="K99" s="19">
        <f>ROUND(15,2)</f>
        <v>15</v>
      </c>
      <c r="L99" s="20">
        <f>ROUND(0*(1+M2/100),2)</f>
        <v>0</v>
      </c>
      <c r="M99" s="20">
        <f>ROUND(K99*L99,2)</f>
        <v>0</v>
      </c>
    </row>
    <row r="100" spans="1:13" ht="49.15" customHeight="1" thickBot="1" x14ac:dyDescent="0.25">
      <c r="A100" s="21"/>
      <c r="B100" s="21"/>
      <c r="C100" s="21"/>
      <c r="D100" s="54" t="s">
        <v>247</v>
      </c>
      <c r="E100" s="54"/>
      <c r="F100" s="54"/>
      <c r="G100" s="54"/>
      <c r="H100" s="54"/>
      <c r="I100" s="54"/>
      <c r="J100" s="54"/>
      <c r="K100" s="54"/>
      <c r="L100" s="54"/>
      <c r="M100" s="54"/>
    </row>
    <row r="101" spans="1:13" ht="15.4" customHeight="1" thickBot="1" x14ac:dyDescent="0.25">
      <c r="A101" s="9" t="s">
        <v>248</v>
      </c>
      <c r="B101" s="4" t="s">
        <v>249</v>
      </c>
      <c r="C101" s="4" t="s">
        <v>250</v>
      </c>
      <c r="D101" s="54" t="s">
        <v>251</v>
      </c>
      <c r="E101" s="54"/>
      <c r="F101" s="54"/>
      <c r="G101" s="54"/>
      <c r="H101" s="54"/>
      <c r="I101" s="54"/>
      <c r="J101" s="54"/>
      <c r="K101" s="19">
        <f>ROUND(3,2)</f>
        <v>3</v>
      </c>
      <c r="L101" s="20">
        <f>ROUND(0*(1+M2/100),2)</f>
        <v>0</v>
      </c>
      <c r="M101" s="20">
        <f>ROUND(K101*L101,2)</f>
        <v>0</v>
      </c>
    </row>
    <row r="102" spans="1:13" ht="67.5" customHeight="1" thickBot="1" x14ac:dyDescent="0.25">
      <c r="A102" s="21"/>
      <c r="B102" s="21"/>
      <c r="C102" s="21"/>
      <c r="D102" s="54" t="s">
        <v>252</v>
      </c>
      <c r="E102" s="54"/>
      <c r="F102" s="54"/>
      <c r="G102" s="54"/>
      <c r="H102" s="54"/>
      <c r="I102" s="54"/>
      <c r="J102" s="54"/>
      <c r="K102" s="54"/>
      <c r="L102" s="54"/>
      <c r="M102" s="54"/>
    </row>
    <row r="103" spans="1:13" ht="15.4" customHeight="1" thickBot="1" x14ac:dyDescent="0.25">
      <c r="A103" s="9" t="s">
        <v>253</v>
      </c>
      <c r="B103" s="4" t="s">
        <v>254</v>
      </c>
      <c r="C103" s="4" t="s">
        <v>255</v>
      </c>
      <c r="D103" s="54" t="s">
        <v>256</v>
      </c>
      <c r="E103" s="54"/>
      <c r="F103" s="54"/>
      <c r="G103" s="54"/>
      <c r="H103" s="54"/>
      <c r="I103" s="54"/>
      <c r="J103" s="54"/>
      <c r="K103" s="19">
        <f>ROUND(2,2)</f>
        <v>2</v>
      </c>
      <c r="L103" s="20">
        <f>ROUND(0*(1+M2/100),2)</f>
        <v>0</v>
      </c>
      <c r="M103" s="20">
        <f>ROUND(K103*L103,2)</f>
        <v>0</v>
      </c>
    </row>
    <row r="104" spans="1:13" ht="67.5" customHeight="1" thickBot="1" x14ac:dyDescent="0.25">
      <c r="A104" s="21"/>
      <c r="B104" s="21"/>
      <c r="C104" s="21"/>
      <c r="D104" s="54" t="s">
        <v>257</v>
      </c>
      <c r="E104" s="54"/>
      <c r="F104" s="54"/>
      <c r="G104" s="54"/>
      <c r="H104" s="54"/>
      <c r="I104" s="54"/>
      <c r="J104" s="54"/>
      <c r="K104" s="54"/>
      <c r="L104" s="54"/>
      <c r="M104" s="54"/>
    </row>
    <row r="105" spans="1:13" ht="15.4" customHeight="1" thickBot="1" x14ac:dyDescent="0.25">
      <c r="A105" s="9" t="s">
        <v>258</v>
      </c>
      <c r="B105" s="4" t="s">
        <v>259</v>
      </c>
      <c r="C105" s="4" t="s">
        <v>260</v>
      </c>
      <c r="D105" s="54" t="s">
        <v>261</v>
      </c>
      <c r="E105" s="54"/>
      <c r="F105" s="54"/>
      <c r="G105" s="54"/>
      <c r="H105" s="54"/>
      <c r="I105" s="54"/>
      <c r="J105" s="54"/>
      <c r="K105" s="19">
        <f>ROUND(8,2)</f>
        <v>8</v>
      </c>
      <c r="L105" s="20">
        <f>ROUND(0*(1+M2/100),2)</f>
        <v>0</v>
      </c>
      <c r="M105" s="20">
        <f>ROUND(K105*L105,2)</f>
        <v>0</v>
      </c>
    </row>
    <row r="106" spans="1:13" ht="67.5" customHeight="1" thickBot="1" x14ac:dyDescent="0.25">
      <c r="A106" s="21"/>
      <c r="B106" s="21"/>
      <c r="C106" s="21"/>
      <c r="D106" s="54" t="s">
        <v>262</v>
      </c>
      <c r="E106" s="54"/>
      <c r="F106" s="54"/>
      <c r="G106" s="54"/>
      <c r="H106" s="54"/>
      <c r="I106" s="54"/>
      <c r="J106" s="54"/>
      <c r="K106" s="54"/>
      <c r="L106" s="54"/>
      <c r="M106" s="54"/>
    </row>
    <row r="107" spans="1:13" ht="15.4" customHeight="1" thickBot="1" x14ac:dyDescent="0.25">
      <c r="A107" s="9" t="s">
        <v>263</v>
      </c>
      <c r="B107" s="4" t="s">
        <v>264</v>
      </c>
      <c r="C107" s="4" t="s">
        <v>265</v>
      </c>
      <c r="D107" s="54" t="s">
        <v>266</v>
      </c>
      <c r="E107" s="54"/>
      <c r="F107" s="54"/>
      <c r="G107" s="54"/>
      <c r="H107" s="54"/>
      <c r="I107" s="54"/>
      <c r="J107" s="54"/>
      <c r="K107" s="19">
        <f>ROUND(12,2)</f>
        <v>12</v>
      </c>
      <c r="L107" s="20">
        <f>ROUND(0*(1+M2/100),2)</f>
        <v>0</v>
      </c>
      <c r="M107" s="20">
        <f>ROUND(K107*L107,2)</f>
        <v>0</v>
      </c>
    </row>
    <row r="108" spans="1:13" ht="67.5" customHeight="1" thickBot="1" x14ac:dyDescent="0.25">
      <c r="A108" s="21"/>
      <c r="B108" s="21"/>
      <c r="C108" s="21"/>
      <c r="D108" s="54" t="s">
        <v>267</v>
      </c>
      <c r="E108" s="54"/>
      <c r="F108" s="54"/>
      <c r="G108" s="54"/>
      <c r="H108" s="54"/>
      <c r="I108" s="54"/>
      <c r="J108" s="54"/>
      <c r="K108" s="54"/>
      <c r="L108" s="54"/>
      <c r="M108" s="54"/>
    </row>
    <row r="109" spans="1:13" ht="15.4" customHeight="1" thickBot="1" x14ac:dyDescent="0.25">
      <c r="A109" s="22"/>
      <c r="B109" s="22"/>
      <c r="C109" s="22"/>
      <c r="D109" s="23" t="s">
        <v>268</v>
      </c>
      <c r="E109" s="24"/>
      <c r="F109" s="24"/>
      <c r="G109" s="24"/>
      <c r="H109" s="24"/>
      <c r="I109" s="24"/>
      <c r="J109" s="24"/>
      <c r="K109" s="24"/>
      <c r="L109" s="25">
        <f>M99+M101+M103+M105+M107</f>
        <v>0</v>
      </c>
      <c r="M109" s="25">
        <f>ROUND(L109,2)</f>
        <v>0</v>
      </c>
    </row>
    <row r="110" spans="1:13" ht="15.4" customHeight="1" thickBot="1" x14ac:dyDescent="0.25">
      <c r="A110" s="33" t="s">
        <v>269</v>
      </c>
      <c r="B110" s="33" t="s">
        <v>270</v>
      </c>
      <c r="C110" s="34"/>
      <c r="D110" s="57" t="s">
        <v>271</v>
      </c>
      <c r="E110" s="57"/>
      <c r="F110" s="57"/>
      <c r="G110" s="57"/>
      <c r="H110" s="57"/>
      <c r="I110" s="57"/>
      <c r="J110" s="57"/>
      <c r="K110" s="34"/>
      <c r="L110" s="35">
        <f>L139</f>
        <v>0</v>
      </c>
      <c r="M110" s="35">
        <f>ROUND(L110,2)</f>
        <v>0</v>
      </c>
    </row>
    <row r="111" spans="1:13" ht="15.4" customHeight="1" thickBot="1" x14ac:dyDescent="0.25">
      <c r="A111" s="9" t="s">
        <v>272</v>
      </c>
      <c r="B111" s="4" t="s">
        <v>273</v>
      </c>
      <c r="C111" s="4" t="s">
        <v>274</v>
      </c>
      <c r="D111" s="54" t="s">
        <v>275</v>
      </c>
      <c r="E111" s="54"/>
      <c r="F111" s="54"/>
      <c r="G111" s="54"/>
      <c r="H111" s="54"/>
      <c r="I111" s="54"/>
      <c r="J111" s="54"/>
      <c r="K111" s="19">
        <f>ROUND(56.8,2)</f>
        <v>56.8</v>
      </c>
      <c r="L111" s="20">
        <f>ROUND(0*(1+M2/100),2)</f>
        <v>0</v>
      </c>
      <c r="M111" s="20">
        <f>ROUND(K111*L111,2)</f>
        <v>0</v>
      </c>
    </row>
    <row r="112" spans="1:13" ht="67.5" customHeight="1" thickBot="1" x14ac:dyDescent="0.25">
      <c r="A112" s="21"/>
      <c r="B112" s="21"/>
      <c r="C112" s="21"/>
      <c r="D112" s="54" t="s">
        <v>276</v>
      </c>
      <c r="E112" s="54"/>
      <c r="F112" s="54"/>
      <c r="G112" s="54"/>
      <c r="H112" s="54"/>
      <c r="I112" s="54"/>
      <c r="J112" s="54"/>
      <c r="K112" s="54"/>
      <c r="L112" s="54"/>
      <c r="M112" s="54"/>
    </row>
    <row r="113" spans="1:13" ht="15.4" customHeight="1" thickBot="1" x14ac:dyDescent="0.25">
      <c r="A113" s="9" t="s">
        <v>277</v>
      </c>
      <c r="B113" s="4" t="s">
        <v>278</v>
      </c>
      <c r="C113" s="4" t="s">
        <v>279</v>
      </c>
      <c r="D113" s="54" t="s">
        <v>280</v>
      </c>
      <c r="E113" s="54"/>
      <c r="F113" s="54"/>
      <c r="G113" s="54"/>
      <c r="H113" s="54"/>
      <c r="I113" s="54"/>
      <c r="J113" s="54"/>
      <c r="K113" s="19">
        <f>ROUND(29.3,2)</f>
        <v>29.3</v>
      </c>
      <c r="L113" s="20">
        <f>ROUND(0*(1+M2/100),2)</f>
        <v>0</v>
      </c>
      <c r="M113" s="20">
        <f>ROUND(K113*L113,2)</f>
        <v>0</v>
      </c>
    </row>
    <row r="114" spans="1:13" ht="67.5" customHeight="1" thickBot="1" x14ac:dyDescent="0.25">
      <c r="A114" s="21"/>
      <c r="B114" s="21"/>
      <c r="C114" s="21"/>
      <c r="D114" s="54" t="s">
        <v>281</v>
      </c>
      <c r="E114" s="54"/>
      <c r="F114" s="54"/>
      <c r="G114" s="54"/>
      <c r="H114" s="54"/>
      <c r="I114" s="54"/>
      <c r="J114" s="54"/>
      <c r="K114" s="54"/>
      <c r="L114" s="54"/>
      <c r="M114" s="54"/>
    </row>
    <row r="115" spans="1:13" ht="15.4" customHeight="1" thickBot="1" x14ac:dyDescent="0.25">
      <c r="A115" s="9" t="s">
        <v>282</v>
      </c>
      <c r="B115" s="4" t="s">
        <v>283</v>
      </c>
      <c r="C115" s="4" t="s">
        <v>284</v>
      </c>
      <c r="D115" s="54" t="s">
        <v>285</v>
      </c>
      <c r="E115" s="54"/>
      <c r="F115" s="54"/>
      <c r="G115" s="54"/>
      <c r="H115" s="54"/>
      <c r="I115" s="54"/>
      <c r="J115" s="54"/>
      <c r="K115" s="19">
        <f>ROUND(27,2)</f>
        <v>27</v>
      </c>
      <c r="L115" s="20">
        <f>ROUND(0*(1+M2/100),2)</f>
        <v>0</v>
      </c>
      <c r="M115" s="20">
        <f>ROUND(K115*L115,2)</f>
        <v>0</v>
      </c>
    </row>
    <row r="116" spans="1:13" ht="67.5" customHeight="1" thickBot="1" x14ac:dyDescent="0.25">
      <c r="A116" s="21"/>
      <c r="B116" s="21"/>
      <c r="C116" s="21"/>
      <c r="D116" s="54" t="s">
        <v>286</v>
      </c>
      <c r="E116" s="54"/>
      <c r="F116" s="54"/>
      <c r="G116" s="54"/>
      <c r="H116" s="54"/>
      <c r="I116" s="54"/>
      <c r="J116" s="54"/>
      <c r="K116" s="54"/>
      <c r="L116" s="54"/>
      <c r="M116" s="54"/>
    </row>
    <row r="117" spans="1:13" ht="15.4" customHeight="1" thickBot="1" x14ac:dyDescent="0.25">
      <c r="A117" s="9" t="s">
        <v>287</v>
      </c>
      <c r="B117" s="4" t="s">
        <v>288</v>
      </c>
      <c r="C117" s="4" t="s">
        <v>289</v>
      </c>
      <c r="D117" s="54" t="s">
        <v>290</v>
      </c>
      <c r="E117" s="54"/>
      <c r="F117" s="54"/>
      <c r="G117" s="54"/>
      <c r="H117" s="54"/>
      <c r="I117" s="54"/>
      <c r="J117" s="54"/>
      <c r="K117" s="19">
        <f>ROUND(31.2,2)</f>
        <v>31.2</v>
      </c>
      <c r="L117" s="20">
        <f>ROUND(0*(1+M2/100),2)</f>
        <v>0</v>
      </c>
      <c r="M117" s="20">
        <f>ROUND(K117*L117,2)</f>
        <v>0</v>
      </c>
    </row>
    <row r="118" spans="1:13" ht="12.2" customHeight="1" thickBot="1" x14ac:dyDescent="0.25">
      <c r="A118" s="21"/>
      <c r="B118" s="21"/>
      <c r="C118" s="21"/>
      <c r="D118" s="54" t="s">
        <v>291</v>
      </c>
      <c r="E118" s="54"/>
      <c r="F118" s="54"/>
      <c r="G118" s="54"/>
      <c r="H118" s="54"/>
      <c r="I118" s="54"/>
      <c r="J118" s="54"/>
      <c r="K118" s="54"/>
      <c r="L118" s="54"/>
      <c r="M118" s="54"/>
    </row>
    <row r="119" spans="1:13" ht="15.4" customHeight="1" thickBot="1" x14ac:dyDescent="0.25">
      <c r="A119" s="9" t="s">
        <v>292</v>
      </c>
      <c r="B119" s="4" t="s">
        <v>293</v>
      </c>
      <c r="C119" s="4" t="s">
        <v>294</v>
      </c>
      <c r="D119" s="54" t="s">
        <v>295</v>
      </c>
      <c r="E119" s="54"/>
      <c r="F119" s="54"/>
      <c r="G119" s="54"/>
      <c r="H119" s="54"/>
      <c r="I119" s="54"/>
      <c r="J119" s="54"/>
      <c r="K119" s="19">
        <f>ROUND(19.2,2)</f>
        <v>19.2</v>
      </c>
      <c r="L119" s="20">
        <f>ROUND(0*(1+M2/100),2)</f>
        <v>0</v>
      </c>
      <c r="M119" s="20">
        <f>ROUND(K119*L119,2)</f>
        <v>0</v>
      </c>
    </row>
    <row r="120" spans="1:13" ht="67.5" customHeight="1" thickBot="1" x14ac:dyDescent="0.25">
      <c r="A120" s="21"/>
      <c r="B120" s="21"/>
      <c r="C120" s="21"/>
      <c r="D120" s="54" t="s">
        <v>296</v>
      </c>
      <c r="E120" s="54"/>
      <c r="F120" s="54"/>
      <c r="G120" s="54"/>
      <c r="H120" s="54"/>
      <c r="I120" s="54"/>
      <c r="J120" s="54"/>
      <c r="K120" s="54"/>
      <c r="L120" s="54"/>
      <c r="M120" s="54"/>
    </row>
    <row r="121" spans="1:13" ht="15.4" customHeight="1" thickBot="1" x14ac:dyDescent="0.25">
      <c r="A121" s="9" t="s">
        <v>297</v>
      </c>
      <c r="B121" s="4" t="s">
        <v>298</v>
      </c>
      <c r="C121" s="4" t="s">
        <v>299</v>
      </c>
      <c r="D121" s="54" t="s">
        <v>300</v>
      </c>
      <c r="E121" s="54"/>
      <c r="F121" s="54"/>
      <c r="G121" s="54"/>
      <c r="H121" s="54"/>
      <c r="I121" s="54"/>
      <c r="J121" s="54"/>
      <c r="K121" s="19">
        <f>ROUND(22.6,2)</f>
        <v>22.6</v>
      </c>
      <c r="L121" s="20">
        <f>ROUND(0*(1+M2/100),2)</f>
        <v>0</v>
      </c>
      <c r="M121" s="20">
        <f>ROUND(K121*L121,2)</f>
        <v>0</v>
      </c>
    </row>
    <row r="122" spans="1:13" ht="67.5" customHeight="1" thickBot="1" x14ac:dyDescent="0.25">
      <c r="A122" s="21"/>
      <c r="B122" s="21"/>
      <c r="C122" s="21"/>
      <c r="D122" s="54" t="s">
        <v>301</v>
      </c>
      <c r="E122" s="54"/>
      <c r="F122" s="54"/>
      <c r="G122" s="54"/>
      <c r="H122" s="54"/>
      <c r="I122" s="54"/>
      <c r="J122" s="54"/>
      <c r="K122" s="54"/>
      <c r="L122" s="54"/>
      <c r="M122" s="54"/>
    </row>
    <row r="123" spans="1:13" ht="15.4" customHeight="1" thickBot="1" x14ac:dyDescent="0.25">
      <c r="A123" s="9" t="s">
        <v>302</v>
      </c>
      <c r="B123" s="4" t="s">
        <v>303</v>
      </c>
      <c r="C123" s="4" t="s">
        <v>304</v>
      </c>
      <c r="D123" s="54" t="s">
        <v>305</v>
      </c>
      <c r="E123" s="54"/>
      <c r="F123" s="54"/>
      <c r="G123" s="54"/>
      <c r="H123" s="54"/>
      <c r="I123" s="54"/>
      <c r="J123" s="54"/>
      <c r="K123" s="19">
        <f>ROUND(24.8,2)</f>
        <v>24.8</v>
      </c>
      <c r="L123" s="20">
        <f>ROUND(0*(1+M2/100),2)</f>
        <v>0</v>
      </c>
      <c r="M123" s="20">
        <f>ROUND(K123*L123,2)</f>
        <v>0</v>
      </c>
    </row>
    <row r="124" spans="1:13" ht="67.5" customHeight="1" thickBot="1" x14ac:dyDescent="0.25">
      <c r="A124" s="21"/>
      <c r="B124" s="21"/>
      <c r="C124" s="21"/>
      <c r="D124" s="54" t="s">
        <v>306</v>
      </c>
      <c r="E124" s="54"/>
      <c r="F124" s="54"/>
      <c r="G124" s="54"/>
      <c r="H124" s="54"/>
      <c r="I124" s="54"/>
      <c r="J124" s="54"/>
      <c r="K124" s="54"/>
      <c r="L124" s="54"/>
      <c r="M124" s="54"/>
    </row>
    <row r="125" spans="1:13" ht="15.4" customHeight="1" thickBot="1" x14ac:dyDescent="0.25">
      <c r="A125" s="9" t="s">
        <v>307</v>
      </c>
      <c r="B125" s="4" t="s">
        <v>308</v>
      </c>
      <c r="C125" s="4" t="s">
        <v>309</v>
      </c>
      <c r="D125" s="54" t="s">
        <v>310</v>
      </c>
      <c r="E125" s="54"/>
      <c r="F125" s="54"/>
      <c r="G125" s="54"/>
      <c r="H125" s="54"/>
      <c r="I125" s="54"/>
      <c r="J125" s="54"/>
      <c r="K125" s="19">
        <f>ROUND(36.8,2)</f>
        <v>36.799999999999997</v>
      </c>
      <c r="L125" s="20">
        <f>ROUND(0*(1+M2/100),2)</f>
        <v>0</v>
      </c>
      <c r="M125" s="20">
        <f>ROUND(K125*L125,2)</f>
        <v>0</v>
      </c>
    </row>
    <row r="126" spans="1:13" ht="30.6" customHeight="1" thickBot="1" x14ac:dyDescent="0.25">
      <c r="A126" s="21"/>
      <c r="B126" s="21"/>
      <c r="C126" s="21"/>
      <c r="D126" s="54" t="s">
        <v>311</v>
      </c>
      <c r="E126" s="54"/>
      <c r="F126" s="54"/>
      <c r="G126" s="54"/>
      <c r="H126" s="54"/>
      <c r="I126" s="54"/>
      <c r="J126" s="54"/>
      <c r="K126" s="54"/>
      <c r="L126" s="54"/>
      <c r="M126" s="54"/>
    </row>
    <row r="127" spans="1:13" ht="15.4" customHeight="1" thickBot="1" x14ac:dyDescent="0.25">
      <c r="A127" s="9" t="s">
        <v>312</v>
      </c>
      <c r="B127" s="4" t="s">
        <v>313</v>
      </c>
      <c r="C127" s="4" t="s">
        <v>314</v>
      </c>
      <c r="D127" s="54" t="s">
        <v>315</v>
      </c>
      <c r="E127" s="54"/>
      <c r="F127" s="54"/>
      <c r="G127" s="54"/>
      <c r="H127" s="54"/>
      <c r="I127" s="54"/>
      <c r="J127" s="54"/>
      <c r="K127" s="19">
        <f>ROUND(29.3,2)</f>
        <v>29.3</v>
      </c>
      <c r="L127" s="20">
        <f>ROUND(0*(1+M2/100),2)</f>
        <v>0</v>
      </c>
      <c r="M127" s="20">
        <f>ROUND(K127*L127,2)</f>
        <v>0</v>
      </c>
    </row>
    <row r="128" spans="1:13" ht="30.6" customHeight="1" thickBot="1" x14ac:dyDescent="0.25">
      <c r="A128" s="21"/>
      <c r="B128" s="21"/>
      <c r="C128" s="21"/>
      <c r="D128" s="54" t="s">
        <v>316</v>
      </c>
      <c r="E128" s="54"/>
      <c r="F128" s="54"/>
      <c r="G128" s="54"/>
      <c r="H128" s="54"/>
      <c r="I128" s="54"/>
      <c r="J128" s="54"/>
      <c r="K128" s="54"/>
      <c r="L128" s="54"/>
      <c r="M128" s="54"/>
    </row>
    <row r="129" spans="1:13" ht="15.4" customHeight="1" thickBot="1" x14ac:dyDescent="0.25">
      <c r="A129" s="9" t="s">
        <v>317</v>
      </c>
      <c r="B129" s="4" t="s">
        <v>318</v>
      </c>
      <c r="C129" s="4" t="s">
        <v>319</v>
      </c>
      <c r="D129" s="54" t="s">
        <v>320</v>
      </c>
      <c r="E129" s="54"/>
      <c r="F129" s="54"/>
      <c r="G129" s="54"/>
      <c r="H129" s="54"/>
      <c r="I129" s="54"/>
      <c r="J129" s="54"/>
      <c r="K129" s="19">
        <f>ROUND(27,2)</f>
        <v>27</v>
      </c>
      <c r="L129" s="20">
        <f>ROUND(0*(1+M2/100),2)</f>
        <v>0</v>
      </c>
      <c r="M129" s="20">
        <f>ROUND(K129*L129,2)</f>
        <v>0</v>
      </c>
    </row>
    <row r="130" spans="1:13" ht="30.6" customHeight="1" thickBot="1" x14ac:dyDescent="0.25">
      <c r="A130" s="21"/>
      <c r="B130" s="21"/>
      <c r="C130" s="21"/>
      <c r="D130" s="54" t="s">
        <v>321</v>
      </c>
      <c r="E130" s="54"/>
      <c r="F130" s="54"/>
      <c r="G130" s="54"/>
      <c r="H130" s="54"/>
      <c r="I130" s="54"/>
      <c r="J130" s="54"/>
      <c r="K130" s="54"/>
      <c r="L130" s="54"/>
      <c r="M130" s="54"/>
    </row>
    <row r="131" spans="1:13" ht="15.4" customHeight="1" thickBot="1" x14ac:dyDescent="0.25">
      <c r="A131" s="9" t="s">
        <v>322</v>
      </c>
      <c r="B131" s="4" t="s">
        <v>323</v>
      </c>
      <c r="C131" s="4" t="s">
        <v>324</v>
      </c>
      <c r="D131" s="54" t="s">
        <v>325</v>
      </c>
      <c r="E131" s="54"/>
      <c r="F131" s="54"/>
      <c r="G131" s="54"/>
      <c r="H131" s="54"/>
      <c r="I131" s="54"/>
      <c r="J131" s="54"/>
      <c r="K131" s="19">
        <f>ROUND(31.2,2)</f>
        <v>31.2</v>
      </c>
      <c r="L131" s="20">
        <f>ROUND(0*(1+M2/100),2)</f>
        <v>0</v>
      </c>
      <c r="M131" s="20">
        <f>ROUND(K131*L131,2)</f>
        <v>0</v>
      </c>
    </row>
    <row r="132" spans="1:13" ht="30.6" customHeight="1" thickBot="1" x14ac:dyDescent="0.25">
      <c r="A132" s="21"/>
      <c r="B132" s="21"/>
      <c r="C132" s="21"/>
      <c r="D132" s="54" t="s">
        <v>326</v>
      </c>
      <c r="E132" s="54"/>
      <c r="F132" s="54"/>
      <c r="G132" s="54"/>
      <c r="H132" s="54"/>
      <c r="I132" s="54"/>
      <c r="J132" s="54"/>
      <c r="K132" s="54"/>
      <c r="L132" s="54"/>
      <c r="M132" s="54"/>
    </row>
    <row r="133" spans="1:13" ht="15.4" customHeight="1" thickBot="1" x14ac:dyDescent="0.25">
      <c r="A133" s="9" t="s">
        <v>327</v>
      </c>
      <c r="B133" s="4" t="s">
        <v>328</v>
      </c>
      <c r="C133" s="4" t="s">
        <v>329</v>
      </c>
      <c r="D133" s="54" t="s">
        <v>330</v>
      </c>
      <c r="E133" s="54"/>
      <c r="F133" s="54"/>
      <c r="G133" s="54"/>
      <c r="H133" s="54"/>
      <c r="I133" s="54"/>
      <c r="J133" s="54"/>
      <c r="K133" s="19">
        <f>ROUND(19.2,2)</f>
        <v>19.2</v>
      </c>
      <c r="L133" s="20">
        <f>ROUND(0*(1+M2/100),2)</f>
        <v>0</v>
      </c>
      <c r="M133" s="20">
        <f>ROUND(K133*L133,2)</f>
        <v>0</v>
      </c>
    </row>
    <row r="134" spans="1:13" ht="30.6" customHeight="1" thickBot="1" x14ac:dyDescent="0.25">
      <c r="A134" s="21"/>
      <c r="B134" s="21"/>
      <c r="C134" s="21"/>
      <c r="D134" s="54" t="s">
        <v>331</v>
      </c>
      <c r="E134" s="54"/>
      <c r="F134" s="54"/>
      <c r="G134" s="54"/>
      <c r="H134" s="54"/>
      <c r="I134" s="54"/>
      <c r="J134" s="54"/>
      <c r="K134" s="54"/>
      <c r="L134" s="54"/>
      <c r="M134" s="54"/>
    </row>
    <row r="135" spans="1:13" ht="15.4" customHeight="1" thickBot="1" x14ac:dyDescent="0.25">
      <c r="A135" s="9" t="s">
        <v>332</v>
      </c>
      <c r="B135" s="4" t="s">
        <v>333</v>
      </c>
      <c r="C135" s="4" t="s">
        <v>334</v>
      </c>
      <c r="D135" s="54" t="s">
        <v>335</v>
      </c>
      <c r="E135" s="54"/>
      <c r="F135" s="54"/>
      <c r="G135" s="54"/>
      <c r="H135" s="54"/>
      <c r="I135" s="54"/>
      <c r="J135" s="54"/>
      <c r="K135" s="19">
        <f>ROUND(22.6,2)</f>
        <v>22.6</v>
      </c>
      <c r="L135" s="20">
        <f>ROUND(0*(1+M2/100),2)</f>
        <v>0</v>
      </c>
      <c r="M135" s="20">
        <f>ROUND(K135*L135,2)</f>
        <v>0</v>
      </c>
    </row>
    <row r="136" spans="1:13" ht="30.6" customHeight="1" thickBot="1" x14ac:dyDescent="0.25">
      <c r="A136" s="21"/>
      <c r="B136" s="21"/>
      <c r="C136" s="21"/>
      <c r="D136" s="54" t="s">
        <v>336</v>
      </c>
      <c r="E136" s="54"/>
      <c r="F136" s="54"/>
      <c r="G136" s="54"/>
      <c r="H136" s="54"/>
      <c r="I136" s="54"/>
      <c r="J136" s="54"/>
      <c r="K136" s="54"/>
      <c r="L136" s="54"/>
      <c r="M136" s="54"/>
    </row>
    <row r="137" spans="1:13" ht="15.4" customHeight="1" thickBot="1" x14ac:dyDescent="0.25">
      <c r="A137" s="9" t="s">
        <v>337</v>
      </c>
      <c r="B137" s="4" t="s">
        <v>338</v>
      </c>
      <c r="C137" s="4" t="s">
        <v>339</v>
      </c>
      <c r="D137" s="54" t="s">
        <v>340</v>
      </c>
      <c r="E137" s="54"/>
      <c r="F137" s="54"/>
      <c r="G137" s="54"/>
      <c r="H137" s="54"/>
      <c r="I137" s="54"/>
      <c r="J137" s="54"/>
      <c r="K137" s="19">
        <f>ROUND(24.8,2)</f>
        <v>24.8</v>
      </c>
      <c r="L137" s="20">
        <f>ROUND(0*(1+M2/100),2)</f>
        <v>0</v>
      </c>
      <c r="M137" s="20">
        <f>ROUND(K137*L137,2)</f>
        <v>0</v>
      </c>
    </row>
    <row r="138" spans="1:13" ht="30.6" customHeight="1" thickBot="1" x14ac:dyDescent="0.25">
      <c r="A138" s="21"/>
      <c r="B138" s="21"/>
      <c r="C138" s="21"/>
      <c r="D138" s="54" t="s">
        <v>341</v>
      </c>
      <c r="E138" s="54"/>
      <c r="F138" s="54"/>
      <c r="G138" s="54"/>
      <c r="H138" s="54"/>
      <c r="I138" s="54"/>
      <c r="J138" s="54"/>
      <c r="K138" s="54"/>
      <c r="L138" s="54"/>
      <c r="M138" s="54"/>
    </row>
    <row r="139" spans="1:13" ht="15.4" customHeight="1" thickBot="1" x14ac:dyDescent="0.25">
      <c r="A139" s="22"/>
      <c r="B139" s="22"/>
      <c r="C139" s="22"/>
      <c r="D139" s="23" t="s">
        <v>342</v>
      </c>
      <c r="E139" s="24"/>
      <c r="F139" s="24"/>
      <c r="G139" s="24"/>
      <c r="H139" s="24"/>
      <c r="I139" s="24"/>
      <c r="J139" s="24"/>
      <c r="K139" s="24"/>
      <c r="L139" s="25">
        <f>M111+M113+M115+M117+M119+M121+M123+M125+M127+M129+M131+M133+M135+M137</f>
        <v>0</v>
      </c>
      <c r="M139" s="25">
        <f>ROUND(L139,2)</f>
        <v>0</v>
      </c>
    </row>
    <row r="140" spans="1:13" ht="15.4" customHeight="1" thickBot="1" x14ac:dyDescent="0.25">
      <c r="A140" s="33" t="s">
        <v>343</v>
      </c>
      <c r="B140" s="33" t="s">
        <v>344</v>
      </c>
      <c r="C140" s="34"/>
      <c r="D140" s="57" t="s">
        <v>345</v>
      </c>
      <c r="E140" s="57"/>
      <c r="F140" s="57"/>
      <c r="G140" s="57"/>
      <c r="H140" s="57"/>
      <c r="I140" s="57"/>
      <c r="J140" s="57"/>
      <c r="K140" s="34"/>
      <c r="L140" s="35">
        <f>L155</f>
        <v>0</v>
      </c>
      <c r="M140" s="35">
        <f>ROUND(L140,2)</f>
        <v>0</v>
      </c>
    </row>
    <row r="141" spans="1:13" ht="15.4" customHeight="1" thickBot="1" x14ac:dyDescent="0.25">
      <c r="A141" s="9" t="s">
        <v>346</v>
      </c>
      <c r="B141" s="4" t="s">
        <v>347</v>
      </c>
      <c r="C141" s="4" t="s">
        <v>348</v>
      </c>
      <c r="D141" s="54" t="s">
        <v>349</v>
      </c>
      <c r="E141" s="54"/>
      <c r="F141" s="54"/>
      <c r="G141" s="54"/>
      <c r="H141" s="54"/>
      <c r="I141" s="54"/>
      <c r="J141" s="54"/>
      <c r="K141" s="19">
        <f>ROUND(3,2)</f>
        <v>3</v>
      </c>
      <c r="L141" s="20">
        <f>ROUND(0*(1+M2/100),2)</f>
        <v>0</v>
      </c>
      <c r="M141" s="20">
        <f>ROUND(K141*L141,2)</f>
        <v>0</v>
      </c>
    </row>
    <row r="142" spans="1:13" ht="30.6" customHeight="1" thickBot="1" x14ac:dyDescent="0.25">
      <c r="A142" s="21"/>
      <c r="B142" s="21"/>
      <c r="C142" s="21"/>
      <c r="D142" s="54" t="s">
        <v>350</v>
      </c>
      <c r="E142" s="54"/>
      <c r="F142" s="54"/>
      <c r="G142" s="54"/>
      <c r="H142" s="54"/>
      <c r="I142" s="54"/>
      <c r="J142" s="54"/>
      <c r="K142" s="54"/>
      <c r="L142" s="54"/>
      <c r="M142" s="54"/>
    </row>
    <row r="143" spans="1:13" ht="15.4" customHeight="1" thickBot="1" x14ac:dyDescent="0.25">
      <c r="A143" s="9" t="s">
        <v>351</v>
      </c>
      <c r="B143" s="4" t="s">
        <v>352</v>
      </c>
      <c r="C143" s="4" t="s">
        <v>353</v>
      </c>
      <c r="D143" s="54" t="s">
        <v>354</v>
      </c>
      <c r="E143" s="54"/>
      <c r="F143" s="54"/>
      <c r="G143" s="54"/>
      <c r="H143" s="54"/>
      <c r="I143" s="54"/>
      <c r="J143" s="54"/>
      <c r="K143" s="19">
        <f>ROUND(2,2)</f>
        <v>2</v>
      </c>
      <c r="L143" s="20">
        <f>ROUND(0*(1+M2/100),2)</f>
        <v>0</v>
      </c>
      <c r="M143" s="20">
        <f>ROUND(K143*L143,2)</f>
        <v>0</v>
      </c>
    </row>
    <row r="144" spans="1:13" ht="12.2" customHeight="1" thickBot="1" x14ac:dyDescent="0.25">
      <c r="A144" s="21"/>
      <c r="B144" s="21"/>
      <c r="C144" s="21"/>
      <c r="D144" s="54" t="s">
        <v>355</v>
      </c>
      <c r="E144" s="54"/>
      <c r="F144" s="54"/>
      <c r="G144" s="54"/>
      <c r="H144" s="54"/>
      <c r="I144" s="54"/>
      <c r="J144" s="54"/>
      <c r="K144" s="54"/>
      <c r="L144" s="54"/>
      <c r="M144" s="54"/>
    </row>
    <row r="145" spans="1:13" ht="15.4" customHeight="1" thickBot="1" x14ac:dyDescent="0.25">
      <c r="A145" s="9" t="s">
        <v>356</v>
      </c>
      <c r="B145" s="4" t="s">
        <v>357</v>
      </c>
      <c r="C145" s="4" t="s">
        <v>358</v>
      </c>
      <c r="D145" s="54" t="s">
        <v>359</v>
      </c>
      <c r="E145" s="54"/>
      <c r="F145" s="54"/>
      <c r="G145" s="54"/>
      <c r="H145" s="54"/>
      <c r="I145" s="54"/>
      <c r="J145" s="54"/>
      <c r="K145" s="19">
        <f>ROUND(2,2)</f>
        <v>2</v>
      </c>
      <c r="L145" s="20">
        <f>ROUND(0*(1+M2/100),2)</f>
        <v>0</v>
      </c>
      <c r="M145" s="20">
        <f>ROUND(K145*L145,2)</f>
        <v>0</v>
      </c>
    </row>
    <row r="146" spans="1:13" ht="12.2" customHeight="1" thickBot="1" x14ac:dyDescent="0.25">
      <c r="A146" s="21"/>
      <c r="B146" s="21"/>
      <c r="C146" s="21"/>
      <c r="D146" s="54" t="s">
        <v>360</v>
      </c>
      <c r="E146" s="54"/>
      <c r="F146" s="54"/>
      <c r="G146" s="54"/>
      <c r="H146" s="54"/>
      <c r="I146" s="54"/>
      <c r="J146" s="54"/>
      <c r="K146" s="54"/>
      <c r="L146" s="54"/>
      <c r="M146" s="54"/>
    </row>
    <row r="147" spans="1:13" ht="15.4" customHeight="1" thickBot="1" x14ac:dyDescent="0.25">
      <c r="A147" s="9" t="s">
        <v>361</v>
      </c>
      <c r="B147" s="4" t="s">
        <v>362</v>
      </c>
      <c r="C147" s="4" t="s">
        <v>363</v>
      </c>
      <c r="D147" s="54" t="s">
        <v>364</v>
      </c>
      <c r="E147" s="54"/>
      <c r="F147" s="54"/>
      <c r="G147" s="54"/>
      <c r="H147" s="54"/>
      <c r="I147" s="54"/>
      <c r="J147" s="54"/>
      <c r="K147" s="19">
        <f>ROUND(9,2)</f>
        <v>9</v>
      </c>
      <c r="L147" s="20">
        <f>ROUND(0*(1+M2/100),2)</f>
        <v>0</v>
      </c>
      <c r="M147" s="20">
        <f>ROUND(K147*L147,2)</f>
        <v>0</v>
      </c>
    </row>
    <row r="148" spans="1:13" ht="252.4" customHeight="1" thickBot="1" x14ac:dyDescent="0.25">
      <c r="A148" s="21"/>
      <c r="B148" s="21"/>
      <c r="C148" s="21"/>
      <c r="D148" s="54" t="s">
        <v>365</v>
      </c>
      <c r="E148" s="54"/>
      <c r="F148" s="54"/>
      <c r="G148" s="54"/>
      <c r="H148" s="54"/>
      <c r="I148" s="54"/>
      <c r="J148" s="54"/>
      <c r="K148" s="54"/>
      <c r="L148" s="54"/>
      <c r="M148" s="54"/>
    </row>
    <row r="149" spans="1:13" ht="15.4" customHeight="1" thickBot="1" x14ac:dyDescent="0.25">
      <c r="A149" s="9" t="s">
        <v>366</v>
      </c>
      <c r="B149" s="4" t="s">
        <v>367</v>
      </c>
      <c r="C149" s="4" t="s">
        <v>368</v>
      </c>
      <c r="D149" s="54" t="s">
        <v>369</v>
      </c>
      <c r="E149" s="54"/>
      <c r="F149" s="54"/>
      <c r="G149" s="54"/>
      <c r="H149" s="54"/>
      <c r="I149" s="54"/>
      <c r="J149" s="54"/>
      <c r="K149" s="19">
        <f>ROUND(1,2)</f>
        <v>1</v>
      </c>
      <c r="L149" s="20">
        <f>ROUND(0*(1+M2/100),2)</f>
        <v>0</v>
      </c>
      <c r="M149" s="20">
        <f>ROUND(K149*L149,2)</f>
        <v>0</v>
      </c>
    </row>
    <row r="150" spans="1:13" ht="187.7" customHeight="1" thickBot="1" x14ac:dyDescent="0.25">
      <c r="A150" s="21"/>
      <c r="B150" s="21"/>
      <c r="C150" s="21"/>
      <c r="D150" s="54" t="s">
        <v>370</v>
      </c>
      <c r="E150" s="54"/>
      <c r="F150" s="54"/>
      <c r="G150" s="54"/>
      <c r="H150" s="54"/>
      <c r="I150" s="54"/>
      <c r="J150" s="54"/>
      <c r="K150" s="54"/>
      <c r="L150" s="54"/>
      <c r="M150" s="54"/>
    </row>
    <row r="151" spans="1:13" ht="15.4" customHeight="1" thickBot="1" x14ac:dyDescent="0.25">
      <c r="A151" s="9" t="s">
        <v>371</v>
      </c>
      <c r="B151" s="4" t="s">
        <v>372</v>
      </c>
      <c r="C151" s="4" t="s">
        <v>373</v>
      </c>
      <c r="D151" s="54" t="s">
        <v>374</v>
      </c>
      <c r="E151" s="54"/>
      <c r="F151" s="54"/>
      <c r="G151" s="54"/>
      <c r="H151" s="54"/>
      <c r="I151" s="54"/>
      <c r="J151" s="54"/>
      <c r="K151" s="19">
        <f>ROUND(2,2)</f>
        <v>2</v>
      </c>
      <c r="L151" s="20">
        <f>ROUND(0*(1+M2/100),2)</f>
        <v>0</v>
      </c>
      <c r="M151" s="20">
        <f>ROUND(K151*L151,2)</f>
        <v>0</v>
      </c>
    </row>
    <row r="152" spans="1:13" ht="12.2" customHeight="1" thickBot="1" x14ac:dyDescent="0.25">
      <c r="A152" s="21"/>
      <c r="B152" s="21"/>
      <c r="C152" s="21"/>
      <c r="D152" s="54" t="s">
        <v>375</v>
      </c>
      <c r="E152" s="54"/>
      <c r="F152" s="54"/>
      <c r="G152" s="54"/>
      <c r="H152" s="54"/>
      <c r="I152" s="54"/>
      <c r="J152" s="54"/>
      <c r="K152" s="54"/>
      <c r="L152" s="54"/>
      <c r="M152" s="54"/>
    </row>
    <row r="153" spans="1:13" ht="15.4" customHeight="1" thickBot="1" x14ac:dyDescent="0.25">
      <c r="A153" s="9" t="s">
        <v>376</v>
      </c>
      <c r="B153" s="4" t="s">
        <v>377</v>
      </c>
      <c r="C153" s="4" t="s">
        <v>378</v>
      </c>
      <c r="D153" s="54" t="s">
        <v>379</v>
      </c>
      <c r="E153" s="54"/>
      <c r="F153" s="54"/>
      <c r="G153" s="54"/>
      <c r="H153" s="54"/>
      <c r="I153" s="54"/>
      <c r="J153" s="54"/>
      <c r="K153" s="19">
        <f>ROUND(1,2)</f>
        <v>1</v>
      </c>
      <c r="L153" s="20">
        <f>ROUND(0*(1+M2/100),2)</f>
        <v>0</v>
      </c>
      <c r="M153" s="20">
        <f>ROUND(K153*L153,2)</f>
        <v>0</v>
      </c>
    </row>
    <row r="154" spans="1:13" ht="187.7" customHeight="1" thickBot="1" x14ac:dyDescent="0.25">
      <c r="A154" s="21"/>
      <c r="B154" s="21"/>
      <c r="C154" s="21"/>
      <c r="D154" s="54" t="s">
        <v>380</v>
      </c>
      <c r="E154" s="54"/>
      <c r="F154" s="54"/>
      <c r="G154" s="54"/>
      <c r="H154" s="54"/>
      <c r="I154" s="54"/>
      <c r="J154" s="54"/>
      <c r="K154" s="54"/>
      <c r="L154" s="54"/>
      <c r="M154" s="54"/>
    </row>
    <row r="155" spans="1:13" ht="15.4" customHeight="1" thickBot="1" x14ac:dyDescent="0.25">
      <c r="A155" s="22"/>
      <c r="B155" s="22"/>
      <c r="C155" s="22"/>
      <c r="D155" s="23" t="s">
        <v>381</v>
      </c>
      <c r="E155" s="24"/>
      <c r="F155" s="24"/>
      <c r="G155" s="24"/>
      <c r="H155" s="24"/>
      <c r="I155" s="24"/>
      <c r="J155" s="24"/>
      <c r="K155" s="24"/>
      <c r="L155" s="25">
        <f>M141+M143+M145+M147+M149+M151+M153</f>
        <v>0</v>
      </c>
      <c r="M155" s="25">
        <f>ROUND(L155,2)</f>
        <v>0</v>
      </c>
    </row>
    <row r="156" spans="1:13" ht="15.4" customHeight="1" thickBot="1" x14ac:dyDescent="0.25">
      <c r="A156" s="33" t="s">
        <v>382</v>
      </c>
      <c r="B156" s="33" t="s">
        <v>383</v>
      </c>
      <c r="C156" s="34"/>
      <c r="D156" s="57" t="s">
        <v>384</v>
      </c>
      <c r="E156" s="57"/>
      <c r="F156" s="57"/>
      <c r="G156" s="57"/>
      <c r="H156" s="57"/>
      <c r="I156" s="57"/>
      <c r="J156" s="57"/>
      <c r="K156" s="34"/>
      <c r="L156" s="35">
        <f>L163</f>
        <v>0</v>
      </c>
      <c r="M156" s="35">
        <f>ROUND(L156,2)</f>
        <v>0</v>
      </c>
    </row>
    <row r="157" spans="1:13" ht="15.4" customHeight="1" thickBot="1" x14ac:dyDescent="0.25">
      <c r="A157" s="9" t="s">
        <v>385</v>
      </c>
      <c r="B157" s="4" t="s">
        <v>386</v>
      </c>
      <c r="C157" s="4" t="s">
        <v>387</v>
      </c>
      <c r="D157" s="54" t="s">
        <v>388</v>
      </c>
      <c r="E157" s="54"/>
      <c r="F157" s="54"/>
      <c r="G157" s="54"/>
      <c r="H157" s="54"/>
      <c r="I157" s="54"/>
      <c r="J157" s="54"/>
      <c r="K157" s="19">
        <f>ROUND(451.04,2)</f>
        <v>451.04</v>
      </c>
      <c r="L157" s="20">
        <f>ROUND(0*(1+M2/100),2)</f>
        <v>0</v>
      </c>
      <c r="M157" s="20">
        <f>ROUND(K157*L157,2)</f>
        <v>0</v>
      </c>
    </row>
    <row r="158" spans="1:13" ht="12.2" customHeight="1" thickBot="1" x14ac:dyDescent="0.25">
      <c r="A158" s="21"/>
      <c r="B158" s="21"/>
      <c r="C158" s="21"/>
      <c r="D158" s="54" t="s">
        <v>389</v>
      </c>
      <c r="E158" s="54"/>
      <c r="F158" s="54"/>
      <c r="G158" s="54"/>
      <c r="H158" s="54"/>
      <c r="I158" s="54"/>
      <c r="J158" s="54"/>
      <c r="K158" s="54"/>
      <c r="L158" s="54"/>
      <c r="M158" s="54"/>
    </row>
    <row r="159" spans="1:13" ht="15.4" customHeight="1" thickBot="1" x14ac:dyDescent="0.25">
      <c r="A159" s="9" t="s">
        <v>390</v>
      </c>
      <c r="B159" s="4" t="s">
        <v>391</v>
      </c>
      <c r="C159" s="4" t="s">
        <v>392</v>
      </c>
      <c r="D159" s="54" t="s">
        <v>393</v>
      </c>
      <c r="E159" s="54"/>
      <c r="F159" s="54"/>
      <c r="G159" s="54"/>
      <c r="H159" s="54"/>
      <c r="I159" s="54"/>
      <c r="J159" s="54"/>
      <c r="K159" s="19">
        <f>ROUND(356.06,2)</f>
        <v>356.06</v>
      </c>
      <c r="L159" s="20">
        <f>ROUND(0*(1+M2/100),2)</f>
        <v>0</v>
      </c>
      <c r="M159" s="20">
        <f>ROUND(K159*L159,2)</f>
        <v>0</v>
      </c>
    </row>
    <row r="160" spans="1:13" ht="21.4" customHeight="1" thickBot="1" x14ac:dyDescent="0.25">
      <c r="A160" s="21"/>
      <c r="B160" s="21"/>
      <c r="C160" s="21"/>
      <c r="D160" s="54" t="s">
        <v>394</v>
      </c>
      <c r="E160" s="54"/>
      <c r="F160" s="54"/>
      <c r="G160" s="54"/>
      <c r="H160" s="54"/>
      <c r="I160" s="54"/>
      <c r="J160" s="54"/>
      <c r="K160" s="54"/>
      <c r="L160" s="54"/>
      <c r="M160" s="54"/>
    </row>
    <row r="161" spans="1:13" ht="15.4" customHeight="1" thickBot="1" x14ac:dyDescent="0.25">
      <c r="A161" s="9" t="s">
        <v>395</v>
      </c>
      <c r="B161" s="4" t="s">
        <v>396</v>
      </c>
      <c r="C161" s="4" t="s">
        <v>397</v>
      </c>
      <c r="D161" s="54" t="s">
        <v>398</v>
      </c>
      <c r="E161" s="54"/>
      <c r="F161" s="54"/>
      <c r="G161" s="54"/>
      <c r="H161" s="54"/>
      <c r="I161" s="54"/>
      <c r="J161" s="54"/>
      <c r="K161" s="19">
        <f>ROUND(54.74,2)</f>
        <v>54.74</v>
      </c>
      <c r="L161" s="20">
        <f>ROUND(0*(1+M2/100),2)</f>
        <v>0</v>
      </c>
      <c r="M161" s="20">
        <f>ROUND(K161*L161,2)</f>
        <v>0</v>
      </c>
    </row>
    <row r="162" spans="1:13" ht="21.4" customHeight="1" thickBot="1" x14ac:dyDescent="0.25">
      <c r="A162" s="21"/>
      <c r="B162" s="21"/>
      <c r="C162" s="21"/>
      <c r="D162" s="54" t="s">
        <v>399</v>
      </c>
      <c r="E162" s="54"/>
      <c r="F162" s="54"/>
      <c r="G162" s="54"/>
      <c r="H162" s="54"/>
      <c r="I162" s="54"/>
      <c r="J162" s="54"/>
      <c r="K162" s="54"/>
      <c r="L162" s="54"/>
      <c r="M162" s="54"/>
    </row>
    <row r="163" spans="1:13" ht="15.4" customHeight="1" thickBot="1" x14ac:dyDescent="0.25">
      <c r="A163" s="22"/>
      <c r="B163" s="22"/>
      <c r="C163" s="22"/>
      <c r="D163" s="23" t="s">
        <v>400</v>
      </c>
      <c r="E163" s="24"/>
      <c r="F163" s="24"/>
      <c r="G163" s="24"/>
      <c r="H163" s="24"/>
      <c r="I163" s="24"/>
      <c r="J163" s="24"/>
      <c r="K163" s="24"/>
      <c r="L163" s="25">
        <f>M157+M159+M161</f>
        <v>0</v>
      </c>
      <c r="M163" s="25">
        <f>ROUND(L163,2)</f>
        <v>0</v>
      </c>
    </row>
    <row r="164" spans="1:13" ht="15.4" customHeight="1" thickBot="1" x14ac:dyDescent="0.25">
      <c r="A164" s="33" t="s">
        <v>401</v>
      </c>
      <c r="B164" s="33" t="s">
        <v>402</v>
      </c>
      <c r="C164" s="34"/>
      <c r="D164" s="57" t="s">
        <v>403</v>
      </c>
      <c r="E164" s="57"/>
      <c r="F164" s="57"/>
      <c r="G164" s="57"/>
      <c r="H164" s="57"/>
      <c r="I164" s="57"/>
      <c r="J164" s="57"/>
      <c r="K164" s="34"/>
      <c r="L164" s="35">
        <f>L179</f>
        <v>0</v>
      </c>
      <c r="M164" s="35">
        <f>ROUND(L164,2)</f>
        <v>0</v>
      </c>
    </row>
    <row r="165" spans="1:13" ht="15.4" customHeight="1" thickBot="1" x14ac:dyDescent="0.25">
      <c r="A165" s="9" t="s">
        <v>404</v>
      </c>
      <c r="B165" s="4" t="s">
        <v>405</v>
      </c>
      <c r="C165" s="4" t="s">
        <v>406</v>
      </c>
      <c r="D165" s="54" t="s">
        <v>407</v>
      </c>
      <c r="E165" s="54"/>
      <c r="F165" s="54"/>
      <c r="G165" s="54"/>
      <c r="H165" s="54"/>
      <c r="I165" s="54"/>
      <c r="J165" s="54"/>
      <c r="K165" s="19">
        <f>ROUND(1,2)</f>
        <v>1</v>
      </c>
      <c r="L165" s="20">
        <f>ROUND(0*(1+M2/100),2)</f>
        <v>0</v>
      </c>
      <c r="M165" s="20">
        <f>ROUND(K165*L165,2)</f>
        <v>0</v>
      </c>
    </row>
    <row r="166" spans="1:13" ht="280.14999999999998" customHeight="1" thickBot="1" x14ac:dyDescent="0.25">
      <c r="A166" s="21"/>
      <c r="B166" s="21"/>
      <c r="C166" s="21"/>
      <c r="D166" s="54" t="s">
        <v>408</v>
      </c>
      <c r="E166" s="54"/>
      <c r="F166" s="54"/>
      <c r="G166" s="54"/>
      <c r="H166" s="54"/>
      <c r="I166" s="54"/>
      <c r="J166" s="54"/>
      <c r="K166" s="54"/>
      <c r="L166" s="54"/>
      <c r="M166" s="54"/>
    </row>
    <row r="167" spans="1:13" ht="15.4" customHeight="1" thickBot="1" x14ac:dyDescent="0.25">
      <c r="A167" s="9" t="s">
        <v>409</v>
      </c>
      <c r="B167" s="4" t="s">
        <v>410</v>
      </c>
      <c r="C167" s="4" t="s">
        <v>411</v>
      </c>
      <c r="D167" s="54" t="s">
        <v>412</v>
      </c>
      <c r="E167" s="54"/>
      <c r="F167" s="54"/>
      <c r="G167" s="54"/>
      <c r="H167" s="54"/>
      <c r="I167" s="54"/>
      <c r="J167" s="54"/>
      <c r="K167" s="19">
        <f>ROUND(1,2)</f>
        <v>1</v>
      </c>
      <c r="L167" s="20">
        <f>ROUND(0*(1+M2/100),2)</f>
        <v>0</v>
      </c>
      <c r="M167" s="20">
        <f>ROUND(K167*L167,2)</f>
        <v>0</v>
      </c>
    </row>
    <row r="168" spans="1:13" ht="280.14999999999998" customHeight="1" thickBot="1" x14ac:dyDescent="0.25">
      <c r="A168" s="21"/>
      <c r="B168" s="21"/>
      <c r="C168" s="21"/>
      <c r="D168" s="54" t="s">
        <v>413</v>
      </c>
      <c r="E168" s="54"/>
      <c r="F168" s="54"/>
      <c r="G168" s="54"/>
      <c r="H168" s="54"/>
      <c r="I168" s="54"/>
      <c r="J168" s="54"/>
      <c r="K168" s="54"/>
      <c r="L168" s="54"/>
      <c r="M168" s="54"/>
    </row>
    <row r="169" spans="1:13" ht="15.4" customHeight="1" thickBot="1" x14ac:dyDescent="0.25">
      <c r="A169" s="9" t="s">
        <v>414</v>
      </c>
      <c r="B169" s="4" t="s">
        <v>415</v>
      </c>
      <c r="C169" s="4" t="s">
        <v>416</v>
      </c>
      <c r="D169" s="54" t="s">
        <v>417</v>
      </c>
      <c r="E169" s="54"/>
      <c r="F169" s="54"/>
      <c r="G169" s="54"/>
      <c r="H169" s="54"/>
      <c r="I169" s="54"/>
      <c r="J169" s="54"/>
      <c r="K169" s="19">
        <f>ROUND(7,2)</f>
        <v>7</v>
      </c>
      <c r="L169" s="20">
        <f>ROUND(0*(1+M2/100),2)</f>
        <v>0</v>
      </c>
      <c r="M169" s="20">
        <f>ROUND(K169*L169,2)</f>
        <v>0</v>
      </c>
    </row>
    <row r="170" spans="1:13" ht="280.14999999999998" customHeight="1" thickBot="1" x14ac:dyDescent="0.25">
      <c r="A170" s="21"/>
      <c r="B170" s="21"/>
      <c r="C170" s="21"/>
      <c r="D170" s="54" t="s">
        <v>418</v>
      </c>
      <c r="E170" s="54"/>
      <c r="F170" s="54"/>
      <c r="G170" s="54"/>
      <c r="H170" s="54"/>
      <c r="I170" s="54"/>
      <c r="J170" s="54"/>
      <c r="K170" s="54"/>
      <c r="L170" s="54"/>
      <c r="M170" s="54"/>
    </row>
    <row r="171" spans="1:13" ht="15.4" customHeight="1" thickBot="1" x14ac:dyDescent="0.25">
      <c r="A171" s="9" t="s">
        <v>419</v>
      </c>
      <c r="B171" s="4" t="s">
        <v>420</v>
      </c>
      <c r="C171" s="4" t="s">
        <v>421</v>
      </c>
      <c r="D171" s="54" t="s">
        <v>422</v>
      </c>
      <c r="E171" s="54"/>
      <c r="F171" s="54"/>
      <c r="G171" s="54"/>
      <c r="H171" s="54"/>
      <c r="I171" s="54"/>
      <c r="J171" s="54"/>
      <c r="K171" s="19">
        <f>ROUND(1,2)</f>
        <v>1</v>
      </c>
      <c r="L171" s="20">
        <f>ROUND(0*(1+M2/100),2)</f>
        <v>0</v>
      </c>
      <c r="M171" s="20">
        <f>ROUND(K171*L171,2)</f>
        <v>0</v>
      </c>
    </row>
    <row r="172" spans="1:13" ht="123" customHeight="1" thickBot="1" x14ac:dyDescent="0.25">
      <c r="A172" s="21"/>
      <c r="B172" s="21"/>
      <c r="C172" s="21"/>
      <c r="D172" s="54" t="s">
        <v>423</v>
      </c>
      <c r="E172" s="54"/>
      <c r="F172" s="54"/>
      <c r="G172" s="54"/>
      <c r="H172" s="54"/>
      <c r="I172" s="54"/>
      <c r="J172" s="54"/>
      <c r="K172" s="54"/>
      <c r="L172" s="54"/>
      <c r="M172" s="54"/>
    </row>
    <row r="173" spans="1:13" ht="15.4" customHeight="1" thickBot="1" x14ac:dyDescent="0.25">
      <c r="A173" s="9" t="s">
        <v>424</v>
      </c>
      <c r="B173" s="4" t="s">
        <v>425</v>
      </c>
      <c r="C173" s="4" t="s">
        <v>426</v>
      </c>
      <c r="D173" s="54" t="s">
        <v>427</v>
      </c>
      <c r="E173" s="54"/>
      <c r="F173" s="54"/>
      <c r="G173" s="54"/>
      <c r="H173" s="54"/>
      <c r="I173" s="54"/>
      <c r="J173" s="54"/>
      <c r="K173" s="19">
        <f>ROUND(1,2)</f>
        <v>1</v>
      </c>
      <c r="L173" s="20">
        <f>ROUND(0*(1+M2/100),2)</f>
        <v>0</v>
      </c>
      <c r="M173" s="20">
        <f>ROUND(K173*L173,2)</f>
        <v>0</v>
      </c>
    </row>
    <row r="174" spans="1:13" ht="159.94999999999999" customHeight="1" thickBot="1" x14ac:dyDescent="0.25">
      <c r="A174" s="21"/>
      <c r="B174" s="21"/>
      <c r="C174" s="21"/>
      <c r="D174" s="54" t="s">
        <v>428</v>
      </c>
      <c r="E174" s="54"/>
      <c r="F174" s="54"/>
      <c r="G174" s="54"/>
      <c r="H174" s="54"/>
      <c r="I174" s="54"/>
      <c r="J174" s="54"/>
      <c r="K174" s="54"/>
      <c r="L174" s="54"/>
      <c r="M174" s="54"/>
    </row>
    <row r="175" spans="1:13" ht="15.4" customHeight="1" thickBot="1" x14ac:dyDescent="0.25">
      <c r="A175" s="9" t="s">
        <v>429</v>
      </c>
      <c r="B175" s="4" t="s">
        <v>430</v>
      </c>
      <c r="C175" s="4" t="s">
        <v>431</v>
      </c>
      <c r="D175" s="54" t="s">
        <v>432</v>
      </c>
      <c r="E175" s="54"/>
      <c r="F175" s="54"/>
      <c r="G175" s="54"/>
      <c r="H175" s="54"/>
      <c r="I175" s="54"/>
      <c r="J175" s="54"/>
      <c r="K175" s="19">
        <f>ROUND(1,2)</f>
        <v>1</v>
      </c>
      <c r="L175" s="20">
        <f>ROUND(0*(1+M2/100),2)</f>
        <v>0</v>
      </c>
      <c r="M175" s="20">
        <f>ROUND(K175*L175,2)</f>
        <v>0</v>
      </c>
    </row>
    <row r="176" spans="1:13" ht="95.25" customHeight="1" thickBot="1" x14ac:dyDescent="0.25">
      <c r="A176" s="21"/>
      <c r="B176" s="21"/>
      <c r="C176" s="21"/>
      <c r="D176" s="54" t="s">
        <v>433</v>
      </c>
      <c r="E176" s="54"/>
      <c r="F176" s="54"/>
      <c r="G176" s="54"/>
      <c r="H176" s="54"/>
      <c r="I176" s="54"/>
      <c r="J176" s="54"/>
      <c r="K176" s="54"/>
      <c r="L176" s="54"/>
      <c r="M176" s="54"/>
    </row>
    <row r="177" spans="1:13" ht="15.4" customHeight="1" thickBot="1" x14ac:dyDescent="0.25">
      <c r="A177" s="9" t="s">
        <v>434</v>
      </c>
      <c r="B177" s="4" t="s">
        <v>435</v>
      </c>
      <c r="C177" s="4" t="s">
        <v>436</v>
      </c>
      <c r="D177" s="54" t="s">
        <v>437</v>
      </c>
      <c r="E177" s="54"/>
      <c r="F177" s="54"/>
      <c r="G177" s="54"/>
      <c r="H177" s="54"/>
      <c r="I177" s="54"/>
      <c r="J177" s="54"/>
      <c r="K177" s="19">
        <f>ROUND(2,2)</f>
        <v>2</v>
      </c>
      <c r="L177" s="20">
        <f>ROUND(0*(1+M2/100),2)</f>
        <v>0</v>
      </c>
      <c r="M177" s="20">
        <f>ROUND(K177*L177,2)</f>
        <v>0</v>
      </c>
    </row>
    <row r="178" spans="1:13" ht="30.6" customHeight="1" thickBot="1" x14ac:dyDescent="0.25">
      <c r="A178" s="21"/>
      <c r="B178" s="21"/>
      <c r="C178" s="21"/>
      <c r="D178" s="54" t="s">
        <v>438</v>
      </c>
      <c r="E178" s="54"/>
      <c r="F178" s="54"/>
      <c r="G178" s="54"/>
      <c r="H178" s="54"/>
      <c r="I178" s="54"/>
      <c r="J178" s="54"/>
      <c r="K178" s="54"/>
      <c r="L178" s="54"/>
      <c r="M178" s="54"/>
    </row>
    <row r="179" spans="1:13" ht="15.4" customHeight="1" thickBot="1" x14ac:dyDescent="0.25">
      <c r="A179" s="22"/>
      <c r="B179" s="22"/>
      <c r="C179" s="22"/>
      <c r="D179" s="23" t="s">
        <v>439</v>
      </c>
      <c r="E179" s="24"/>
      <c r="F179" s="24"/>
      <c r="G179" s="24"/>
      <c r="H179" s="24"/>
      <c r="I179" s="24"/>
      <c r="J179" s="24"/>
      <c r="K179" s="24"/>
      <c r="L179" s="25">
        <f>M165+M167+M169+M171+M173+M175+M177</f>
        <v>0</v>
      </c>
      <c r="M179" s="25">
        <f>ROUND(L179,2)</f>
        <v>0</v>
      </c>
    </row>
    <row r="180" spans="1:13" ht="15.4" customHeight="1" thickBot="1" x14ac:dyDescent="0.25">
      <c r="A180" s="33" t="s">
        <v>440</v>
      </c>
      <c r="B180" s="33" t="s">
        <v>441</v>
      </c>
      <c r="C180" s="34"/>
      <c r="D180" s="57" t="s">
        <v>442</v>
      </c>
      <c r="E180" s="57"/>
      <c r="F180" s="57"/>
      <c r="G180" s="57"/>
      <c r="H180" s="57"/>
      <c r="I180" s="57"/>
      <c r="J180" s="57"/>
      <c r="K180" s="34"/>
      <c r="L180" s="35">
        <f>L199</f>
        <v>0</v>
      </c>
      <c r="M180" s="35">
        <f>ROUND(L180,2)</f>
        <v>0</v>
      </c>
    </row>
    <row r="181" spans="1:13" ht="15.4" customHeight="1" thickBot="1" x14ac:dyDescent="0.25">
      <c r="A181" s="9" t="s">
        <v>443</v>
      </c>
      <c r="B181" s="4" t="s">
        <v>444</v>
      </c>
      <c r="C181" s="4" t="s">
        <v>445</v>
      </c>
      <c r="D181" s="54" t="s">
        <v>446</v>
      </c>
      <c r="E181" s="54"/>
      <c r="F181" s="54"/>
      <c r="G181" s="54"/>
      <c r="H181" s="54"/>
      <c r="I181" s="54"/>
      <c r="J181" s="54"/>
      <c r="K181" s="19">
        <f>ROUND(14,2)</f>
        <v>14</v>
      </c>
      <c r="L181" s="20">
        <f>ROUND(0*(1+M2/100),2)</f>
        <v>0</v>
      </c>
      <c r="M181" s="20">
        <f>ROUND(K181*L181,2)</f>
        <v>0</v>
      </c>
    </row>
    <row r="182" spans="1:13" ht="21.4" customHeight="1" thickBot="1" x14ac:dyDescent="0.25">
      <c r="A182" s="21"/>
      <c r="B182" s="21"/>
      <c r="C182" s="21"/>
      <c r="D182" s="54" t="s">
        <v>447</v>
      </c>
      <c r="E182" s="54"/>
      <c r="F182" s="54"/>
      <c r="G182" s="54"/>
      <c r="H182" s="54"/>
      <c r="I182" s="54"/>
      <c r="J182" s="54"/>
      <c r="K182" s="54"/>
      <c r="L182" s="54"/>
      <c r="M182" s="54"/>
    </row>
    <row r="183" spans="1:13" ht="15.4" customHeight="1" thickBot="1" x14ac:dyDescent="0.25">
      <c r="A183" s="9" t="s">
        <v>448</v>
      </c>
      <c r="B183" s="4" t="s">
        <v>449</v>
      </c>
      <c r="C183" s="4" t="s">
        <v>450</v>
      </c>
      <c r="D183" s="54" t="s">
        <v>451</v>
      </c>
      <c r="E183" s="54"/>
      <c r="F183" s="54"/>
      <c r="G183" s="54"/>
      <c r="H183" s="54"/>
      <c r="I183" s="54"/>
      <c r="J183" s="54"/>
      <c r="K183" s="19">
        <f>ROUND(2,2)</f>
        <v>2</v>
      </c>
      <c r="L183" s="20">
        <f>ROUND(0*(1+M2/100),2)</f>
        <v>0</v>
      </c>
      <c r="M183" s="20">
        <f>ROUND(K183*L183,2)</f>
        <v>0</v>
      </c>
    </row>
    <row r="184" spans="1:13" ht="21.4" customHeight="1" thickBot="1" x14ac:dyDescent="0.25">
      <c r="A184" s="21"/>
      <c r="B184" s="21"/>
      <c r="C184" s="21"/>
      <c r="D184" s="54" t="s">
        <v>452</v>
      </c>
      <c r="E184" s="54"/>
      <c r="F184" s="54"/>
      <c r="G184" s="54"/>
      <c r="H184" s="54"/>
      <c r="I184" s="54"/>
      <c r="J184" s="54"/>
      <c r="K184" s="54"/>
      <c r="L184" s="54"/>
      <c r="M184" s="54"/>
    </row>
    <row r="185" spans="1:13" ht="15.4" customHeight="1" thickBot="1" x14ac:dyDescent="0.25">
      <c r="A185" s="9" t="s">
        <v>453</v>
      </c>
      <c r="B185" s="4" t="s">
        <v>454</v>
      </c>
      <c r="C185" s="4" t="s">
        <v>455</v>
      </c>
      <c r="D185" s="54" t="s">
        <v>456</v>
      </c>
      <c r="E185" s="54"/>
      <c r="F185" s="54"/>
      <c r="G185" s="54"/>
      <c r="H185" s="54"/>
      <c r="I185" s="54"/>
      <c r="J185" s="54"/>
      <c r="K185" s="19">
        <f>ROUND(2,2)</f>
        <v>2</v>
      </c>
      <c r="L185" s="20">
        <f>ROUND(0*(1+M2/100),2)</f>
        <v>0</v>
      </c>
      <c r="M185" s="20">
        <f>ROUND(K185*L185,2)</f>
        <v>0</v>
      </c>
    </row>
    <row r="186" spans="1:13" ht="21.4" customHeight="1" thickBot="1" x14ac:dyDescent="0.25">
      <c r="A186" s="21"/>
      <c r="B186" s="21"/>
      <c r="C186" s="21"/>
      <c r="D186" s="54" t="s">
        <v>457</v>
      </c>
      <c r="E186" s="54"/>
      <c r="F186" s="54"/>
      <c r="G186" s="54"/>
      <c r="H186" s="54"/>
      <c r="I186" s="54"/>
      <c r="J186" s="54"/>
      <c r="K186" s="54"/>
      <c r="L186" s="54"/>
      <c r="M186" s="54"/>
    </row>
    <row r="187" spans="1:13" ht="15.4" customHeight="1" thickBot="1" x14ac:dyDescent="0.25">
      <c r="A187" s="9" t="s">
        <v>458</v>
      </c>
      <c r="B187" s="4" t="s">
        <v>459</v>
      </c>
      <c r="C187" s="4" t="s">
        <v>460</v>
      </c>
      <c r="D187" s="54" t="s">
        <v>461</v>
      </c>
      <c r="E187" s="54"/>
      <c r="F187" s="54"/>
      <c r="G187" s="54"/>
      <c r="H187" s="54"/>
      <c r="I187" s="54"/>
      <c r="J187" s="54"/>
      <c r="K187" s="19">
        <f>ROUND(3,2)</f>
        <v>3</v>
      </c>
      <c r="L187" s="20">
        <f>ROUND(0*(1+M2/100),2)</f>
        <v>0</v>
      </c>
      <c r="M187" s="20">
        <f>ROUND(K187*L187,2)</f>
        <v>0</v>
      </c>
    </row>
    <row r="188" spans="1:13" ht="21.4" customHeight="1" thickBot="1" x14ac:dyDescent="0.25">
      <c r="A188" s="21"/>
      <c r="B188" s="21"/>
      <c r="C188" s="21"/>
      <c r="D188" s="54" t="s">
        <v>462</v>
      </c>
      <c r="E188" s="54"/>
      <c r="F188" s="54"/>
      <c r="G188" s="54"/>
      <c r="H188" s="54"/>
      <c r="I188" s="54"/>
      <c r="J188" s="54"/>
      <c r="K188" s="54"/>
      <c r="L188" s="54"/>
      <c r="M188" s="54"/>
    </row>
    <row r="189" spans="1:13" ht="15.4" customHeight="1" thickBot="1" x14ac:dyDescent="0.25">
      <c r="A189" s="9" t="s">
        <v>463</v>
      </c>
      <c r="B189" s="4" t="s">
        <v>464</v>
      </c>
      <c r="C189" s="4" t="s">
        <v>465</v>
      </c>
      <c r="D189" s="54" t="s">
        <v>466</v>
      </c>
      <c r="E189" s="54"/>
      <c r="F189" s="54"/>
      <c r="G189" s="54"/>
      <c r="H189" s="54"/>
      <c r="I189" s="54"/>
      <c r="J189" s="54"/>
      <c r="K189" s="19">
        <f>ROUND(12,2)</f>
        <v>12</v>
      </c>
      <c r="L189" s="20">
        <f>ROUND(0*(1+M2/100),2)</f>
        <v>0</v>
      </c>
      <c r="M189" s="20">
        <f>ROUND(K189*L189,2)</f>
        <v>0</v>
      </c>
    </row>
    <row r="190" spans="1:13" ht="21.4" customHeight="1" thickBot="1" x14ac:dyDescent="0.25">
      <c r="A190" s="21"/>
      <c r="B190" s="21"/>
      <c r="C190" s="21"/>
      <c r="D190" s="54" t="s">
        <v>467</v>
      </c>
      <c r="E190" s="54"/>
      <c r="F190" s="54"/>
      <c r="G190" s="54"/>
      <c r="H190" s="54"/>
      <c r="I190" s="54"/>
      <c r="J190" s="54"/>
      <c r="K190" s="54"/>
      <c r="L190" s="54"/>
      <c r="M190" s="54"/>
    </row>
    <row r="191" spans="1:13" ht="15.4" customHeight="1" thickBot="1" x14ac:dyDescent="0.25">
      <c r="A191" s="9" t="s">
        <v>468</v>
      </c>
      <c r="B191" s="4" t="s">
        <v>469</v>
      </c>
      <c r="C191" s="4" t="s">
        <v>470</v>
      </c>
      <c r="D191" s="54" t="s">
        <v>471</v>
      </c>
      <c r="E191" s="54"/>
      <c r="F191" s="54"/>
      <c r="G191" s="54"/>
      <c r="H191" s="54"/>
      <c r="I191" s="54"/>
      <c r="J191" s="54"/>
      <c r="K191" s="19">
        <f>ROUND(1,2)</f>
        <v>1</v>
      </c>
      <c r="L191" s="20">
        <f>ROUND(0*(1+M2/100),2)</f>
        <v>0</v>
      </c>
      <c r="M191" s="20">
        <f>ROUND(K191*L191,2)</f>
        <v>0</v>
      </c>
    </row>
    <row r="192" spans="1:13" ht="39.75" customHeight="1" thickBot="1" x14ac:dyDescent="0.25">
      <c r="A192" s="21"/>
      <c r="B192" s="21"/>
      <c r="C192" s="21"/>
      <c r="D192" s="54" t="s">
        <v>472</v>
      </c>
      <c r="E192" s="54"/>
      <c r="F192" s="54"/>
      <c r="G192" s="54"/>
      <c r="H192" s="54"/>
      <c r="I192" s="54"/>
      <c r="J192" s="54"/>
      <c r="K192" s="54"/>
      <c r="L192" s="54"/>
      <c r="M192" s="54"/>
    </row>
    <row r="193" spans="1:13" ht="15.4" customHeight="1" thickBot="1" x14ac:dyDescent="0.25">
      <c r="A193" s="9" t="s">
        <v>473</v>
      </c>
      <c r="B193" s="4" t="s">
        <v>474</v>
      </c>
      <c r="C193" s="4" t="s">
        <v>475</v>
      </c>
      <c r="D193" s="54" t="s">
        <v>476</v>
      </c>
      <c r="E193" s="54"/>
      <c r="F193" s="54"/>
      <c r="G193" s="54"/>
      <c r="H193" s="54"/>
      <c r="I193" s="54"/>
      <c r="J193" s="54"/>
      <c r="K193" s="19">
        <f>ROUND(24,2)</f>
        <v>24</v>
      </c>
      <c r="L193" s="20">
        <f>ROUND(0*(1+M2/100),2)</f>
        <v>0</v>
      </c>
      <c r="M193" s="20">
        <f>ROUND(K193*L193,2)</f>
        <v>0</v>
      </c>
    </row>
    <row r="194" spans="1:13" ht="12.2" customHeight="1" thickBot="1" x14ac:dyDescent="0.25">
      <c r="A194" s="21"/>
      <c r="B194" s="21"/>
      <c r="C194" s="21"/>
      <c r="D194" s="54" t="s">
        <v>477</v>
      </c>
      <c r="E194" s="54"/>
      <c r="F194" s="54"/>
      <c r="G194" s="54"/>
      <c r="H194" s="54"/>
      <c r="I194" s="54"/>
      <c r="J194" s="54"/>
      <c r="K194" s="54"/>
      <c r="L194" s="54"/>
      <c r="M194" s="54"/>
    </row>
    <row r="195" spans="1:13" ht="15.4" customHeight="1" thickBot="1" x14ac:dyDescent="0.25">
      <c r="A195" s="9" t="s">
        <v>478</v>
      </c>
      <c r="B195" s="4" t="s">
        <v>479</v>
      </c>
      <c r="C195" s="4" t="s">
        <v>480</v>
      </c>
      <c r="D195" s="54" t="s">
        <v>481</v>
      </c>
      <c r="E195" s="54"/>
      <c r="F195" s="54"/>
      <c r="G195" s="54"/>
      <c r="H195" s="54"/>
      <c r="I195" s="54"/>
      <c r="J195" s="54"/>
      <c r="K195" s="19">
        <f>ROUND(1384.5,2)</f>
        <v>1384.5</v>
      </c>
      <c r="L195" s="20">
        <f>ROUND(0*(1+M2/100),2)</f>
        <v>0</v>
      </c>
      <c r="M195" s="20">
        <f>ROUND(K195*L195,2)</f>
        <v>0</v>
      </c>
    </row>
    <row r="196" spans="1:13" ht="21.4" customHeight="1" thickBot="1" x14ac:dyDescent="0.25">
      <c r="A196" s="21"/>
      <c r="B196" s="21"/>
      <c r="C196" s="21"/>
      <c r="D196" s="54" t="s">
        <v>482</v>
      </c>
      <c r="E196" s="54"/>
      <c r="F196" s="54"/>
      <c r="G196" s="54"/>
      <c r="H196" s="54"/>
      <c r="I196" s="54"/>
      <c r="J196" s="54"/>
      <c r="K196" s="54"/>
      <c r="L196" s="54"/>
      <c r="M196" s="54"/>
    </row>
    <row r="197" spans="1:13" ht="15.4" customHeight="1" thickBot="1" x14ac:dyDescent="0.25">
      <c r="A197" s="9" t="s">
        <v>483</v>
      </c>
      <c r="B197" s="4" t="s">
        <v>484</v>
      </c>
      <c r="C197" s="4" t="s">
        <v>485</v>
      </c>
      <c r="D197" s="54" t="s">
        <v>486</v>
      </c>
      <c r="E197" s="54"/>
      <c r="F197" s="54"/>
      <c r="G197" s="54"/>
      <c r="H197" s="54"/>
      <c r="I197" s="54"/>
      <c r="J197" s="54"/>
      <c r="K197" s="19">
        <f>ROUND(1,2)</f>
        <v>1</v>
      </c>
      <c r="L197" s="20">
        <f>ROUND(0*(1+M2/100),2)</f>
        <v>0</v>
      </c>
      <c r="M197" s="20">
        <f>ROUND(K197*L197,2)</f>
        <v>0</v>
      </c>
    </row>
    <row r="198" spans="1:13" ht="21.4" customHeight="1" thickBot="1" x14ac:dyDescent="0.25">
      <c r="A198" s="21"/>
      <c r="B198" s="21"/>
      <c r="C198" s="21"/>
      <c r="D198" s="54" t="s">
        <v>487</v>
      </c>
      <c r="E198" s="54"/>
      <c r="F198" s="54"/>
      <c r="G198" s="54"/>
      <c r="H198" s="54"/>
      <c r="I198" s="54"/>
      <c r="J198" s="54"/>
      <c r="K198" s="54"/>
      <c r="L198" s="54"/>
      <c r="M198" s="54"/>
    </row>
    <row r="199" spans="1:13" ht="15.4" customHeight="1" thickBot="1" x14ac:dyDescent="0.25">
      <c r="A199" s="22"/>
      <c r="B199" s="22"/>
      <c r="C199" s="22"/>
      <c r="D199" s="23" t="s">
        <v>488</v>
      </c>
      <c r="E199" s="24"/>
      <c r="F199" s="24"/>
      <c r="G199" s="24"/>
      <c r="H199" s="24"/>
      <c r="I199" s="24"/>
      <c r="J199" s="24"/>
      <c r="K199" s="24"/>
      <c r="L199" s="25">
        <f>M181+M183+M185+M187+M189+M191+M193+M195+M197</f>
        <v>0</v>
      </c>
      <c r="M199" s="25">
        <f>ROUND(L199,2)</f>
        <v>0</v>
      </c>
    </row>
    <row r="200" spans="1:13" ht="15.4" customHeight="1" thickBot="1" x14ac:dyDescent="0.25">
      <c r="A200" s="33" t="s">
        <v>489</v>
      </c>
      <c r="B200" s="33" t="s">
        <v>490</v>
      </c>
      <c r="C200" s="34"/>
      <c r="D200" s="57" t="s">
        <v>491</v>
      </c>
      <c r="E200" s="57"/>
      <c r="F200" s="57"/>
      <c r="G200" s="57"/>
      <c r="H200" s="57"/>
      <c r="I200" s="57"/>
      <c r="J200" s="57"/>
      <c r="K200" s="34"/>
      <c r="L200" s="35">
        <f>L211</f>
        <v>0</v>
      </c>
      <c r="M200" s="35">
        <f>ROUND(L200,2)</f>
        <v>0</v>
      </c>
    </row>
    <row r="201" spans="1:13" ht="15.4" customHeight="1" thickBot="1" x14ac:dyDescent="0.25">
      <c r="A201" s="9" t="s">
        <v>492</v>
      </c>
      <c r="B201" s="4" t="s">
        <v>493</v>
      </c>
      <c r="C201" s="4" t="s">
        <v>494</v>
      </c>
      <c r="D201" s="54" t="s">
        <v>495</v>
      </c>
      <c r="E201" s="54"/>
      <c r="F201" s="54"/>
      <c r="G201" s="54"/>
      <c r="H201" s="54"/>
      <c r="I201" s="54"/>
      <c r="J201" s="54"/>
      <c r="K201" s="19">
        <f>ROUND(1,2)</f>
        <v>1</v>
      </c>
      <c r="L201" s="20">
        <f>ROUND(0*(1+M2/100),2)</f>
        <v>0</v>
      </c>
      <c r="M201" s="20">
        <f>ROUND(K201*L201,2)</f>
        <v>0</v>
      </c>
    </row>
    <row r="202" spans="1:13" ht="58.35" customHeight="1" thickBot="1" x14ac:dyDescent="0.25">
      <c r="A202" s="21"/>
      <c r="B202" s="21"/>
      <c r="C202" s="21"/>
      <c r="D202" s="54" t="s">
        <v>496</v>
      </c>
      <c r="E202" s="54"/>
      <c r="F202" s="54"/>
      <c r="G202" s="54"/>
      <c r="H202" s="54"/>
      <c r="I202" s="54"/>
      <c r="J202" s="54"/>
      <c r="K202" s="54"/>
      <c r="L202" s="54"/>
      <c r="M202" s="54"/>
    </row>
    <row r="203" spans="1:13" ht="15.4" customHeight="1" thickBot="1" x14ac:dyDescent="0.25">
      <c r="A203" s="9" t="s">
        <v>497</v>
      </c>
      <c r="B203" s="4" t="s">
        <v>498</v>
      </c>
      <c r="C203" s="4" t="s">
        <v>499</v>
      </c>
      <c r="D203" s="54" t="s">
        <v>500</v>
      </c>
      <c r="E203" s="54"/>
      <c r="F203" s="54"/>
      <c r="G203" s="54"/>
      <c r="H203" s="54"/>
      <c r="I203" s="54"/>
      <c r="J203" s="54"/>
      <c r="K203" s="19">
        <f>ROUND(1,2)</f>
        <v>1</v>
      </c>
      <c r="L203" s="20">
        <f>ROUND(0*(1+M2/100),2)</f>
        <v>0</v>
      </c>
      <c r="M203" s="20">
        <f>ROUND(K203*L203,2)</f>
        <v>0</v>
      </c>
    </row>
    <row r="204" spans="1:13" ht="12.2" customHeight="1" thickBot="1" x14ac:dyDescent="0.25">
      <c r="A204" s="21"/>
      <c r="B204" s="21"/>
      <c r="C204" s="21"/>
      <c r="D204" s="54" t="s">
        <v>501</v>
      </c>
      <c r="E204" s="54"/>
      <c r="F204" s="54"/>
      <c r="G204" s="54"/>
      <c r="H204" s="54"/>
      <c r="I204" s="54"/>
      <c r="J204" s="54"/>
      <c r="K204" s="54"/>
      <c r="L204" s="54"/>
      <c r="M204" s="54"/>
    </row>
    <row r="205" spans="1:13" ht="15.4" customHeight="1" thickBot="1" x14ac:dyDescent="0.25">
      <c r="A205" s="9" t="s">
        <v>502</v>
      </c>
      <c r="B205" s="4" t="s">
        <v>503</v>
      </c>
      <c r="C205" s="4" t="s">
        <v>504</v>
      </c>
      <c r="D205" s="54" t="s">
        <v>505</v>
      </c>
      <c r="E205" s="54"/>
      <c r="F205" s="54"/>
      <c r="G205" s="54"/>
      <c r="H205" s="54"/>
      <c r="I205" s="54"/>
      <c r="J205" s="54"/>
      <c r="K205" s="19">
        <f>ROUND(10,2)</f>
        <v>10</v>
      </c>
      <c r="L205" s="20">
        <f>ROUND(0*(1+M2/100),2)</f>
        <v>0</v>
      </c>
      <c r="M205" s="20">
        <f>ROUND(K205*L205,2)</f>
        <v>0</v>
      </c>
    </row>
    <row r="206" spans="1:13" ht="39.75" customHeight="1" thickBot="1" x14ac:dyDescent="0.25">
      <c r="A206" s="21"/>
      <c r="B206" s="21"/>
      <c r="C206" s="21"/>
      <c r="D206" s="54" t="s">
        <v>506</v>
      </c>
      <c r="E206" s="54"/>
      <c r="F206" s="54"/>
      <c r="G206" s="54"/>
      <c r="H206" s="54"/>
      <c r="I206" s="54"/>
      <c r="J206" s="54"/>
      <c r="K206" s="54"/>
      <c r="L206" s="54"/>
      <c r="M206" s="54"/>
    </row>
    <row r="207" spans="1:13" ht="15.4" customHeight="1" thickBot="1" x14ac:dyDescent="0.25">
      <c r="A207" s="9" t="s">
        <v>507</v>
      </c>
      <c r="B207" s="4" t="s">
        <v>508</v>
      </c>
      <c r="C207" s="4" t="s">
        <v>509</v>
      </c>
      <c r="D207" s="54" t="s">
        <v>510</v>
      </c>
      <c r="E207" s="54"/>
      <c r="F207" s="54"/>
      <c r="G207" s="54"/>
      <c r="H207" s="54"/>
      <c r="I207" s="54"/>
      <c r="J207" s="54"/>
      <c r="K207" s="19">
        <f>ROUND(14,2)</f>
        <v>14</v>
      </c>
      <c r="L207" s="20">
        <f>ROUND(0*(1+M2/100),2)</f>
        <v>0</v>
      </c>
      <c r="M207" s="20">
        <f>ROUND(K207*L207,2)</f>
        <v>0</v>
      </c>
    </row>
    <row r="208" spans="1:13" ht="21.4" customHeight="1" thickBot="1" x14ac:dyDescent="0.25">
      <c r="A208" s="21"/>
      <c r="B208" s="21"/>
      <c r="C208" s="21"/>
      <c r="D208" s="54" t="s">
        <v>511</v>
      </c>
      <c r="E208" s="54"/>
      <c r="F208" s="54"/>
      <c r="G208" s="54"/>
      <c r="H208" s="54"/>
      <c r="I208" s="54"/>
      <c r="J208" s="54"/>
      <c r="K208" s="54"/>
      <c r="L208" s="54"/>
      <c r="M208" s="54"/>
    </row>
    <row r="209" spans="1:13" ht="15.4" customHeight="1" thickBot="1" x14ac:dyDescent="0.25">
      <c r="A209" s="9" t="s">
        <v>512</v>
      </c>
      <c r="B209" s="4" t="s">
        <v>513</v>
      </c>
      <c r="C209" s="4" t="s">
        <v>514</v>
      </c>
      <c r="D209" s="54" t="s">
        <v>515</v>
      </c>
      <c r="E209" s="54"/>
      <c r="F209" s="54"/>
      <c r="G209" s="54"/>
      <c r="H209" s="54"/>
      <c r="I209" s="54"/>
      <c r="J209" s="54"/>
      <c r="K209" s="19">
        <f>ROUND(14,2)</f>
        <v>14</v>
      </c>
      <c r="L209" s="20">
        <f>ROUND(0*(1+M2/100),2)</f>
        <v>0</v>
      </c>
      <c r="M209" s="20">
        <f>ROUND(K209*L209,2)</f>
        <v>0</v>
      </c>
    </row>
    <row r="210" spans="1:13" ht="12.2" customHeight="1" thickBot="1" x14ac:dyDescent="0.25">
      <c r="A210" s="21"/>
      <c r="B210" s="21"/>
      <c r="C210" s="21"/>
      <c r="D210" s="54" t="s">
        <v>516</v>
      </c>
      <c r="E210" s="54"/>
      <c r="F210" s="54"/>
      <c r="G210" s="54"/>
      <c r="H210" s="54"/>
      <c r="I210" s="54"/>
      <c r="J210" s="54"/>
      <c r="K210" s="54"/>
      <c r="L210" s="54"/>
      <c r="M210" s="54"/>
    </row>
    <row r="211" spans="1:13" ht="15.4" customHeight="1" thickBot="1" x14ac:dyDescent="0.25">
      <c r="A211" s="22"/>
      <c r="B211" s="22"/>
      <c r="C211" s="22"/>
      <c r="D211" s="23" t="s">
        <v>517</v>
      </c>
      <c r="E211" s="24"/>
      <c r="F211" s="24"/>
      <c r="G211" s="24"/>
      <c r="H211" s="24"/>
      <c r="I211" s="24"/>
      <c r="J211" s="24"/>
      <c r="K211" s="24"/>
      <c r="L211" s="25">
        <f>M201+M203+M205+M207+M209</f>
        <v>0</v>
      </c>
      <c r="M211" s="25">
        <f>ROUND(L211,2)</f>
        <v>0</v>
      </c>
    </row>
    <row r="212" spans="1:13" ht="15.4" customHeight="1" thickBot="1" x14ac:dyDescent="0.25">
      <c r="A212" s="26"/>
      <c r="B212" s="26"/>
      <c r="C212" s="26"/>
      <c r="D212" s="27" t="s">
        <v>518</v>
      </c>
      <c r="E212" s="28"/>
      <c r="F212" s="28"/>
      <c r="G212" s="28"/>
      <c r="H212" s="28"/>
      <c r="I212" s="28"/>
      <c r="J212" s="28"/>
      <c r="K212" s="28"/>
      <c r="L212" s="29">
        <f>M97+M109+M139+M155+M163+M179+M199+M211</f>
        <v>0</v>
      </c>
      <c r="M212" s="29">
        <f>ROUND(L212,2)</f>
        <v>0</v>
      </c>
    </row>
    <row r="213" spans="1:13" ht="15.4" customHeight="1" thickBot="1" x14ac:dyDescent="0.25">
      <c r="A213" s="30" t="s">
        <v>519</v>
      </c>
      <c r="B213" s="30" t="s">
        <v>520</v>
      </c>
      <c r="C213" s="31"/>
      <c r="D213" s="55" t="s">
        <v>521</v>
      </c>
      <c r="E213" s="55"/>
      <c r="F213" s="55"/>
      <c r="G213" s="55"/>
      <c r="H213" s="55"/>
      <c r="I213" s="55"/>
      <c r="J213" s="55"/>
      <c r="K213" s="31"/>
      <c r="L213" s="32">
        <f>L338</f>
        <v>0</v>
      </c>
      <c r="M213" s="32">
        <f>ROUND(L213,2)</f>
        <v>0</v>
      </c>
    </row>
    <row r="214" spans="1:13" ht="15.4" customHeight="1" thickBot="1" x14ac:dyDescent="0.25">
      <c r="A214" s="16" t="s">
        <v>522</v>
      </c>
      <c r="B214" s="16" t="s">
        <v>523</v>
      </c>
      <c r="C214" s="17"/>
      <c r="D214" s="59" t="s">
        <v>524</v>
      </c>
      <c r="E214" s="59"/>
      <c r="F214" s="59"/>
      <c r="G214" s="59"/>
      <c r="H214" s="59"/>
      <c r="I214" s="59"/>
      <c r="J214" s="59"/>
      <c r="K214" s="17"/>
      <c r="L214" s="18">
        <f>L231</f>
        <v>0</v>
      </c>
      <c r="M214" s="18">
        <f>ROUND(L214,2)</f>
        <v>0</v>
      </c>
    </row>
    <row r="215" spans="1:13" ht="15.4" customHeight="1" thickBot="1" x14ac:dyDescent="0.25">
      <c r="A215" s="9" t="s">
        <v>525</v>
      </c>
      <c r="B215" s="4" t="s">
        <v>526</v>
      </c>
      <c r="C215" s="4" t="s">
        <v>527</v>
      </c>
      <c r="D215" s="54" t="s">
        <v>528</v>
      </c>
      <c r="E215" s="54"/>
      <c r="F215" s="54"/>
      <c r="G215" s="54"/>
      <c r="H215" s="54"/>
      <c r="I215" s="54"/>
      <c r="J215" s="54"/>
      <c r="K215" s="19">
        <f>ROUND(1,2)</f>
        <v>1</v>
      </c>
      <c r="L215" s="20">
        <f>ROUND(0*(1+M2/100),2)</f>
        <v>0</v>
      </c>
      <c r="M215" s="20">
        <f>ROUND(K215*L215,2)</f>
        <v>0</v>
      </c>
    </row>
    <row r="216" spans="1:13" ht="95.25" customHeight="1" thickBot="1" x14ac:dyDescent="0.25">
      <c r="A216" s="21"/>
      <c r="B216" s="21"/>
      <c r="C216" s="21"/>
      <c r="D216" s="54" t="s">
        <v>529</v>
      </c>
      <c r="E216" s="54"/>
      <c r="F216" s="54"/>
      <c r="G216" s="54"/>
      <c r="H216" s="54"/>
      <c r="I216" s="54"/>
      <c r="J216" s="54"/>
      <c r="K216" s="54"/>
      <c r="L216" s="54"/>
      <c r="M216" s="54"/>
    </row>
    <row r="217" spans="1:13" ht="15.4" customHeight="1" thickBot="1" x14ac:dyDescent="0.25">
      <c r="A217" s="9" t="s">
        <v>530</v>
      </c>
      <c r="B217" s="4" t="s">
        <v>531</v>
      </c>
      <c r="C217" s="4" t="s">
        <v>532</v>
      </c>
      <c r="D217" s="54" t="s">
        <v>533</v>
      </c>
      <c r="E217" s="54"/>
      <c r="F217" s="54"/>
      <c r="G217" s="54"/>
      <c r="H217" s="54"/>
      <c r="I217" s="54"/>
      <c r="J217" s="54"/>
      <c r="K217" s="19">
        <f>ROUND(3,2)</f>
        <v>3</v>
      </c>
      <c r="L217" s="20">
        <f>ROUND(0*(1+M2/100),2)</f>
        <v>0</v>
      </c>
      <c r="M217" s="20">
        <f>ROUND(K217*L217,2)</f>
        <v>0</v>
      </c>
    </row>
    <row r="218" spans="1:13" ht="113.85" customHeight="1" thickBot="1" x14ac:dyDescent="0.25">
      <c r="A218" s="21"/>
      <c r="B218" s="21"/>
      <c r="C218" s="21"/>
      <c r="D218" s="54" t="s">
        <v>534</v>
      </c>
      <c r="E218" s="54"/>
      <c r="F218" s="54"/>
      <c r="G218" s="54"/>
      <c r="H218" s="54"/>
      <c r="I218" s="54"/>
      <c r="J218" s="54"/>
      <c r="K218" s="54"/>
      <c r="L218" s="54"/>
      <c r="M218" s="54"/>
    </row>
    <row r="219" spans="1:13" ht="15.4" customHeight="1" thickBot="1" x14ac:dyDescent="0.25">
      <c r="A219" s="9" t="s">
        <v>535</v>
      </c>
      <c r="B219" s="4" t="s">
        <v>536</v>
      </c>
      <c r="C219" s="4" t="s">
        <v>537</v>
      </c>
      <c r="D219" s="54" t="s">
        <v>538</v>
      </c>
      <c r="E219" s="54"/>
      <c r="F219" s="54"/>
      <c r="G219" s="54"/>
      <c r="H219" s="54"/>
      <c r="I219" s="54"/>
      <c r="J219" s="54"/>
      <c r="K219" s="19">
        <f>ROUND(1,2)</f>
        <v>1</v>
      </c>
      <c r="L219" s="20">
        <f>ROUND(0*(1+M2/100),2)</f>
        <v>0</v>
      </c>
      <c r="M219" s="20">
        <f>ROUND(K219*L219,2)</f>
        <v>0</v>
      </c>
    </row>
    <row r="220" spans="1:13" ht="298.5" customHeight="1" thickBot="1" x14ac:dyDescent="0.25">
      <c r="A220" s="21"/>
      <c r="B220" s="21"/>
      <c r="C220" s="21"/>
      <c r="D220" s="54" t="s">
        <v>539</v>
      </c>
      <c r="E220" s="54"/>
      <c r="F220" s="54"/>
      <c r="G220" s="54"/>
      <c r="H220" s="54"/>
      <c r="I220" s="54"/>
      <c r="J220" s="54"/>
      <c r="K220" s="54"/>
      <c r="L220" s="54"/>
      <c r="M220" s="54"/>
    </row>
    <row r="221" spans="1:13" ht="15.4" customHeight="1" thickBot="1" x14ac:dyDescent="0.25">
      <c r="A221" s="9" t="s">
        <v>540</v>
      </c>
      <c r="B221" s="4" t="s">
        <v>541</v>
      </c>
      <c r="C221" s="4" t="s">
        <v>542</v>
      </c>
      <c r="D221" s="54" t="s">
        <v>543</v>
      </c>
      <c r="E221" s="54"/>
      <c r="F221" s="54"/>
      <c r="G221" s="54"/>
      <c r="H221" s="54"/>
      <c r="I221" s="54"/>
      <c r="J221" s="54"/>
      <c r="K221" s="19">
        <f>ROUND(1,2)</f>
        <v>1</v>
      </c>
      <c r="L221" s="20">
        <f>ROUND(0*(1+M2/100),2)</f>
        <v>0</v>
      </c>
      <c r="M221" s="20">
        <f>ROUND(K221*L221,2)</f>
        <v>0</v>
      </c>
    </row>
    <row r="222" spans="1:13" ht="298.5" customHeight="1" thickBot="1" x14ac:dyDescent="0.25">
      <c r="A222" s="21"/>
      <c r="B222" s="21"/>
      <c r="C222" s="21"/>
      <c r="D222" s="54" t="s">
        <v>544</v>
      </c>
      <c r="E222" s="54"/>
      <c r="F222" s="54"/>
      <c r="G222" s="54"/>
      <c r="H222" s="54"/>
      <c r="I222" s="54"/>
      <c r="J222" s="54"/>
      <c r="K222" s="54"/>
      <c r="L222" s="54"/>
      <c r="M222" s="54"/>
    </row>
    <row r="223" spans="1:13" ht="15.4" customHeight="1" thickBot="1" x14ac:dyDescent="0.25">
      <c r="A223" s="9" t="s">
        <v>545</v>
      </c>
      <c r="B223" s="4" t="s">
        <v>546</v>
      </c>
      <c r="C223" s="4" t="s">
        <v>547</v>
      </c>
      <c r="D223" s="54" t="s">
        <v>548</v>
      </c>
      <c r="E223" s="54"/>
      <c r="F223" s="54"/>
      <c r="G223" s="54"/>
      <c r="H223" s="54"/>
      <c r="I223" s="54"/>
      <c r="J223" s="54"/>
      <c r="K223" s="19">
        <f>ROUND(2,2)</f>
        <v>2</v>
      </c>
      <c r="L223" s="20">
        <f>ROUND(0*(1+M2/100),2)</f>
        <v>0</v>
      </c>
      <c r="M223" s="20">
        <f>ROUND(K223*L223,2)</f>
        <v>0</v>
      </c>
    </row>
    <row r="224" spans="1:13" ht="243.2" customHeight="1" thickBot="1" x14ac:dyDescent="0.25">
      <c r="A224" s="21"/>
      <c r="B224" s="21"/>
      <c r="C224" s="21"/>
      <c r="D224" s="54" t="s">
        <v>549</v>
      </c>
      <c r="E224" s="54"/>
      <c r="F224" s="54"/>
      <c r="G224" s="54"/>
      <c r="H224" s="54"/>
      <c r="I224" s="54"/>
      <c r="J224" s="54"/>
      <c r="K224" s="54"/>
      <c r="L224" s="54"/>
      <c r="M224" s="54"/>
    </row>
    <row r="225" spans="1:13" ht="15.4" customHeight="1" thickBot="1" x14ac:dyDescent="0.25">
      <c r="A225" s="9" t="s">
        <v>550</v>
      </c>
      <c r="B225" s="4" t="s">
        <v>551</v>
      </c>
      <c r="C225" s="4" t="s">
        <v>552</v>
      </c>
      <c r="D225" s="54" t="s">
        <v>553</v>
      </c>
      <c r="E225" s="54"/>
      <c r="F225" s="54"/>
      <c r="G225" s="54"/>
      <c r="H225" s="54"/>
      <c r="I225" s="54"/>
      <c r="J225" s="54"/>
      <c r="K225" s="19">
        <f>ROUND(2,2)</f>
        <v>2</v>
      </c>
      <c r="L225" s="20">
        <f>ROUND(0*(1+M2/100),2)</f>
        <v>0</v>
      </c>
      <c r="M225" s="20">
        <f>ROUND(K225*L225,2)</f>
        <v>0</v>
      </c>
    </row>
    <row r="226" spans="1:13" ht="289.35000000000002" customHeight="1" thickBot="1" x14ac:dyDescent="0.25">
      <c r="A226" s="21"/>
      <c r="B226" s="21"/>
      <c r="C226" s="21"/>
      <c r="D226" s="54" t="s">
        <v>554</v>
      </c>
      <c r="E226" s="54"/>
      <c r="F226" s="54"/>
      <c r="G226" s="54"/>
      <c r="H226" s="54"/>
      <c r="I226" s="54"/>
      <c r="J226" s="54"/>
      <c r="K226" s="54"/>
      <c r="L226" s="54"/>
      <c r="M226" s="54"/>
    </row>
    <row r="227" spans="1:13" ht="15.4" customHeight="1" thickBot="1" x14ac:dyDescent="0.25">
      <c r="A227" s="9" t="s">
        <v>555</v>
      </c>
      <c r="B227" s="4" t="s">
        <v>556</v>
      </c>
      <c r="C227" s="4" t="s">
        <v>557</v>
      </c>
      <c r="D227" s="54" t="s">
        <v>558</v>
      </c>
      <c r="E227" s="54"/>
      <c r="F227" s="54"/>
      <c r="G227" s="54"/>
      <c r="H227" s="54"/>
      <c r="I227" s="54"/>
      <c r="J227" s="54"/>
      <c r="K227" s="19">
        <f>ROUND(1,2)</f>
        <v>1</v>
      </c>
      <c r="L227" s="20">
        <f>ROUND(0*(1+M2/100),2)</f>
        <v>0</v>
      </c>
      <c r="M227" s="20">
        <f>ROUND(K227*L227,2)</f>
        <v>0</v>
      </c>
    </row>
    <row r="228" spans="1:13" ht="123" customHeight="1" thickBot="1" x14ac:dyDescent="0.25">
      <c r="A228" s="21"/>
      <c r="B228" s="21"/>
      <c r="C228" s="21"/>
      <c r="D228" s="54" t="s">
        <v>559</v>
      </c>
      <c r="E228" s="54"/>
      <c r="F228" s="54"/>
      <c r="G228" s="54"/>
      <c r="H228" s="54"/>
      <c r="I228" s="54"/>
      <c r="J228" s="54"/>
      <c r="K228" s="54"/>
      <c r="L228" s="54"/>
      <c r="M228" s="54"/>
    </row>
    <row r="229" spans="1:13" ht="15.4" customHeight="1" thickBot="1" x14ac:dyDescent="0.25">
      <c r="A229" s="9" t="s">
        <v>560</v>
      </c>
      <c r="B229" s="4" t="s">
        <v>561</v>
      </c>
      <c r="C229" s="4" t="s">
        <v>562</v>
      </c>
      <c r="D229" s="54" t="s">
        <v>563</v>
      </c>
      <c r="E229" s="54"/>
      <c r="F229" s="54"/>
      <c r="G229" s="54"/>
      <c r="H229" s="54"/>
      <c r="I229" s="54"/>
      <c r="J229" s="54"/>
      <c r="K229" s="19">
        <f>ROUND(1,2)</f>
        <v>1</v>
      </c>
      <c r="L229" s="20">
        <f>ROUND(0*(1+M2/100),2)</f>
        <v>0</v>
      </c>
      <c r="M229" s="20">
        <f>ROUND(K229*L229,2)</f>
        <v>0</v>
      </c>
    </row>
    <row r="230" spans="1:13" ht="123" customHeight="1" thickBot="1" x14ac:dyDescent="0.25">
      <c r="A230" s="21"/>
      <c r="B230" s="21"/>
      <c r="C230" s="21"/>
      <c r="D230" s="54" t="s">
        <v>564</v>
      </c>
      <c r="E230" s="54"/>
      <c r="F230" s="54"/>
      <c r="G230" s="54"/>
      <c r="H230" s="54"/>
      <c r="I230" s="54"/>
      <c r="J230" s="54"/>
      <c r="K230" s="54"/>
      <c r="L230" s="54"/>
      <c r="M230" s="54"/>
    </row>
    <row r="231" spans="1:13" ht="15.4" customHeight="1" thickBot="1" x14ac:dyDescent="0.25">
      <c r="A231" s="22"/>
      <c r="B231" s="22"/>
      <c r="C231" s="22"/>
      <c r="D231" s="23" t="s">
        <v>565</v>
      </c>
      <c r="E231" s="24"/>
      <c r="F231" s="24"/>
      <c r="G231" s="24"/>
      <c r="H231" s="24"/>
      <c r="I231" s="24"/>
      <c r="J231" s="24"/>
      <c r="K231" s="24"/>
      <c r="L231" s="25">
        <f>M215+M217+M219+M221+M223+M225+M227+M229</f>
        <v>0</v>
      </c>
      <c r="M231" s="25">
        <f>ROUND(L231,2)</f>
        <v>0</v>
      </c>
    </row>
    <row r="232" spans="1:13" ht="15.4" customHeight="1" thickBot="1" x14ac:dyDescent="0.25">
      <c r="A232" s="33" t="s">
        <v>566</v>
      </c>
      <c r="B232" s="33" t="s">
        <v>567</v>
      </c>
      <c r="C232" s="34"/>
      <c r="D232" s="57" t="s">
        <v>568</v>
      </c>
      <c r="E232" s="57"/>
      <c r="F232" s="57"/>
      <c r="G232" s="57"/>
      <c r="H232" s="57"/>
      <c r="I232" s="57"/>
      <c r="J232" s="57"/>
      <c r="K232" s="34"/>
      <c r="L232" s="35">
        <f>L255</f>
        <v>0</v>
      </c>
      <c r="M232" s="35">
        <f>ROUND(L232,2)</f>
        <v>0</v>
      </c>
    </row>
    <row r="233" spans="1:13" ht="15.4" customHeight="1" thickBot="1" x14ac:dyDescent="0.25">
      <c r="A233" s="9" t="s">
        <v>569</v>
      </c>
      <c r="B233" s="4" t="s">
        <v>570</v>
      </c>
      <c r="C233" s="4" t="s">
        <v>571</v>
      </c>
      <c r="D233" s="54" t="s">
        <v>572</v>
      </c>
      <c r="E233" s="54"/>
      <c r="F233" s="54"/>
      <c r="G233" s="54"/>
      <c r="H233" s="54"/>
      <c r="I233" s="54"/>
      <c r="J233" s="54"/>
      <c r="K233" s="19">
        <f>ROUND(13,2)</f>
        <v>13</v>
      </c>
      <c r="L233" s="20">
        <f>ROUND(0*(1+M2/100),2)</f>
        <v>0</v>
      </c>
      <c r="M233" s="20">
        <f>ROUND(K233*L233,2)</f>
        <v>0</v>
      </c>
    </row>
    <row r="234" spans="1:13" ht="132.19999999999999" customHeight="1" thickBot="1" x14ac:dyDescent="0.25">
      <c r="A234" s="21"/>
      <c r="B234" s="21"/>
      <c r="C234" s="21"/>
      <c r="D234" s="54" t="s">
        <v>573</v>
      </c>
      <c r="E234" s="54"/>
      <c r="F234" s="54"/>
      <c r="G234" s="54"/>
      <c r="H234" s="54"/>
      <c r="I234" s="54"/>
      <c r="J234" s="54"/>
      <c r="K234" s="54"/>
      <c r="L234" s="54"/>
      <c r="M234" s="54"/>
    </row>
    <row r="235" spans="1:13" ht="15.4" customHeight="1" thickBot="1" x14ac:dyDescent="0.25">
      <c r="A235" s="9" t="s">
        <v>574</v>
      </c>
      <c r="B235" s="4" t="s">
        <v>575</v>
      </c>
      <c r="C235" s="4" t="s">
        <v>576</v>
      </c>
      <c r="D235" s="54" t="s">
        <v>577</v>
      </c>
      <c r="E235" s="54"/>
      <c r="F235" s="54"/>
      <c r="G235" s="54"/>
      <c r="H235" s="54"/>
      <c r="I235" s="54"/>
      <c r="J235" s="54"/>
      <c r="K235" s="19">
        <f>ROUND(4,2)</f>
        <v>4</v>
      </c>
      <c r="L235" s="20">
        <f>ROUND(0*(1+M2/100),2)</f>
        <v>0</v>
      </c>
      <c r="M235" s="20">
        <f>ROUND(K235*L235,2)</f>
        <v>0</v>
      </c>
    </row>
    <row r="236" spans="1:13" ht="123" customHeight="1" thickBot="1" x14ac:dyDescent="0.25">
      <c r="A236" s="21"/>
      <c r="B236" s="21"/>
      <c r="C236" s="21"/>
      <c r="D236" s="54" t="s">
        <v>578</v>
      </c>
      <c r="E236" s="54"/>
      <c r="F236" s="54"/>
      <c r="G236" s="54"/>
      <c r="H236" s="54"/>
      <c r="I236" s="54"/>
      <c r="J236" s="54"/>
      <c r="K236" s="54"/>
      <c r="L236" s="54"/>
      <c r="M236" s="54"/>
    </row>
    <row r="237" spans="1:13" ht="15.4" customHeight="1" thickBot="1" x14ac:dyDescent="0.25">
      <c r="A237" s="9" t="s">
        <v>579</v>
      </c>
      <c r="B237" s="4" t="s">
        <v>580</v>
      </c>
      <c r="C237" s="4" t="s">
        <v>581</v>
      </c>
      <c r="D237" s="54" t="s">
        <v>582</v>
      </c>
      <c r="E237" s="54"/>
      <c r="F237" s="54"/>
      <c r="G237" s="54"/>
      <c r="H237" s="54"/>
      <c r="I237" s="54"/>
      <c r="J237" s="54"/>
      <c r="K237" s="19">
        <f>ROUND(1,2)</f>
        <v>1</v>
      </c>
      <c r="L237" s="20">
        <f>ROUND(0*(1+M2/100),2)</f>
        <v>0</v>
      </c>
      <c r="M237" s="20">
        <f>ROUND(K237*L237,2)</f>
        <v>0</v>
      </c>
    </row>
    <row r="238" spans="1:13" ht="141.4" customHeight="1" thickBot="1" x14ac:dyDescent="0.25">
      <c r="A238" s="21"/>
      <c r="B238" s="21"/>
      <c r="C238" s="21"/>
      <c r="D238" s="54" t="s">
        <v>583</v>
      </c>
      <c r="E238" s="54"/>
      <c r="F238" s="54"/>
      <c r="G238" s="54"/>
      <c r="H238" s="54"/>
      <c r="I238" s="54"/>
      <c r="J238" s="54"/>
      <c r="K238" s="54"/>
      <c r="L238" s="54"/>
      <c r="M238" s="54"/>
    </row>
    <row r="239" spans="1:13" ht="15.4" customHeight="1" thickBot="1" x14ac:dyDescent="0.25">
      <c r="A239" s="9" t="s">
        <v>584</v>
      </c>
      <c r="B239" s="4" t="s">
        <v>585</v>
      </c>
      <c r="C239" s="4" t="s">
        <v>586</v>
      </c>
      <c r="D239" s="54" t="s">
        <v>587</v>
      </c>
      <c r="E239" s="54"/>
      <c r="F239" s="54"/>
      <c r="G239" s="54"/>
      <c r="H239" s="54"/>
      <c r="I239" s="54"/>
      <c r="J239" s="54"/>
      <c r="K239" s="19">
        <f>ROUND(13,2)</f>
        <v>13</v>
      </c>
      <c r="L239" s="20">
        <f>ROUND(0*(1+M2/100),2)</f>
        <v>0</v>
      </c>
      <c r="M239" s="20">
        <f>ROUND(K239*L239,2)</f>
        <v>0</v>
      </c>
    </row>
    <row r="240" spans="1:13" ht="21.4" customHeight="1" thickBot="1" x14ac:dyDescent="0.25">
      <c r="A240" s="21"/>
      <c r="B240" s="21"/>
      <c r="C240" s="21"/>
      <c r="D240" s="54" t="s">
        <v>588</v>
      </c>
      <c r="E240" s="54"/>
      <c r="F240" s="54"/>
      <c r="G240" s="54"/>
      <c r="H240" s="54"/>
      <c r="I240" s="54"/>
      <c r="J240" s="54"/>
      <c r="K240" s="54"/>
      <c r="L240" s="54"/>
      <c r="M240" s="54"/>
    </row>
    <row r="241" spans="1:13" ht="15.4" customHeight="1" thickBot="1" x14ac:dyDescent="0.25">
      <c r="A241" s="9" t="s">
        <v>589</v>
      </c>
      <c r="B241" s="4" t="s">
        <v>590</v>
      </c>
      <c r="C241" s="4" t="s">
        <v>591</v>
      </c>
      <c r="D241" s="54" t="s">
        <v>592</v>
      </c>
      <c r="E241" s="54"/>
      <c r="F241" s="54"/>
      <c r="G241" s="54"/>
      <c r="H241" s="54"/>
      <c r="I241" s="54"/>
      <c r="J241" s="54"/>
      <c r="K241" s="19">
        <f>ROUND(196,2)</f>
        <v>196</v>
      </c>
      <c r="L241" s="20">
        <f>ROUND(0*(1+M2/100),2)</f>
        <v>0</v>
      </c>
      <c r="M241" s="20">
        <f>ROUND(K241*L241,2)</f>
        <v>0</v>
      </c>
    </row>
    <row r="242" spans="1:13" ht="12.2" customHeight="1" thickBot="1" x14ac:dyDescent="0.25">
      <c r="A242" s="21"/>
      <c r="B242" s="21"/>
      <c r="C242" s="21"/>
      <c r="D242" s="54" t="s">
        <v>593</v>
      </c>
      <c r="E242" s="54"/>
      <c r="F242" s="54"/>
      <c r="G242" s="54"/>
      <c r="H242" s="54"/>
      <c r="I242" s="54"/>
      <c r="J242" s="54"/>
      <c r="K242" s="54"/>
      <c r="L242" s="54"/>
      <c r="M242" s="54"/>
    </row>
    <row r="243" spans="1:13" ht="15.4" customHeight="1" thickBot="1" x14ac:dyDescent="0.25">
      <c r="A243" s="9" t="s">
        <v>594</v>
      </c>
      <c r="B243" s="4" t="s">
        <v>595</v>
      </c>
      <c r="C243" s="4" t="s">
        <v>596</v>
      </c>
      <c r="D243" s="54" t="s">
        <v>597</v>
      </c>
      <c r="E243" s="54"/>
      <c r="F243" s="54"/>
      <c r="G243" s="54"/>
      <c r="H243" s="54"/>
      <c r="I243" s="54"/>
      <c r="J243" s="54"/>
      <c r="K243" s="19">
        <f>ROUND(4,2)</f>
        <v>4</v>
      </c>
      <c r="L243" s="20">
        <f>ROUND(0*(1+M2/100),2)</f>
        <v>0</v>
      </c>
      <c r="M243" s="20">
        <f>ROUND(K243*L243,2)</f>
        <v>0</v>
      </c>
    </row>
    <row r="244" spans="1:13" ht="12.2" customHeight="1" thickBot="1" x14ac:dyDescent="0.25">
      <c r="A244" s="21"/>
      <c r="B244" s="21"/>
      <c r="C244" s="21"/>
      <c r="D244" s="54" t="s">
        <v>598</v>
      </c>
      <c r="E244" s="54"/>
      <c r="F244" s="54"/>
      <c r="G244" s="54"/>
      <c r="H244" s="54"/>
      <c r="I244" s="54"/>
      <c r="J244" s="54"/>
      <c r="K244" s="54"/>
      <c r="L244" s="54"/>
      <c r="M244" s="54"/>
    </row>
    <row r="245" spans="1:13" ht="15.4" customHeight="1" thickBot="1" x14ac:dyDescent="0.25">
      <c r="A245" s="9" t="s">
        <v>599</v>
      </c>
      <c r="B245" s="4" t="s">
        <v>600</v>
      </c>
      <c r="C245" s="4" t="s">
        <v>601</v>
      </c>
      <c r="D245" s="54" t="s">
        <v>602</v>
      </c>
      <c r="E245" s="54"/>
      <c r="F245" s="54"/>
      <c r="G245" s="54"/>
      <c r="H245" s="54"/>
      <c r="I245" s="54"/>
      <c r="J245" s="54"/>
      <c r="K245" s="19">
        <f>ROUND(13,2)</f>
        <v>13</v>
      </c>
      <c r="L245" s="20">
        <f>ROUND(0*(1+M2/100),2)</f>
        <v>0</v>
      </c>
      <c r="M245" s="20">
        <f>ROUND(K245*L245,2)</f>
        <v>0</v>
      </c>
    </row>
    <row r="246" spans="1:13" ht="104.45" customHeight="1" thickBot="1" x14ac:dyDescent="0.25">
      <c r="A246" s="21"/>
      <c r="B246" s="21"/>
      <c r="C246" s="21"/>
      <c r="D246" s="54" t="s">
        <v>603</v>
      </c>
      <c r="E246" s="54"/>
      <c r="F246" s="54"/>
      <c r="G246" s="54"/>
      <c r="H246" s="54"/>
      <c r="I246" s="54"/>
      <c r="J246" s="54"/>
      <c r="K246" s="54"/>
      <c r="L246" s="54"/>
      <c r="M246" s="54"/>
    </row>
    <row r="247" spans="1:13" ht="15.4" customHeight="1" thickBot="1" x14ac:dyDescent="0.25">
      <c r="A247" s="9" t="s">
        <v>604</v>
      </c>
      <c r="B247" s="4" t="s">
        <v>605</v>
      </c>
      <c r="C247" s="4" t="s">
        <v>606</v>
      </c>
      <c r="D247" s="54" t="s">
        <v>607</v>
      </c>
      <c r="E247" s="54"/>
      <c r="F247" s="54"/>
      <c r="G247" s="54"/>
      <c r="H247" s="54"/>
      <c r="I247" s="54"/>
      <c r="J247" s="54"/>
      <c r="K247" s="19">
        <f>ROUND(12,2)</f>
        <v>12</v>
      </c>
      <c r="L247" s="20">
        <f>ROUND(0*(1+M2/100),2)</f>
        <v>0</v>
      </c>
      <c r="M247" s="20">
        <f>ROUND(K247*L247,2)</f>
        <v>0</v>
      </c>
    </row>
    <row r="248" spans="1:13" ht="21.4" customHeight="1" thickBot="1" x14ac:dyDescent="0.25">
      <c r="A248" s="21"/>
      <c r="B248" s="21"/>
      <c r="C248" s="21"/>
      <c r="D248" s="54" t="s">
        <v>608</v>
      </c>
      <c r="E248" s="54"/>
      <c r="F248" s="54"/>
      <c r="G248" s="54"/>
      <c r="H248" s="54"/>
      <c r="I248" s="54"/>
      <c r="J248" s="54"/>
      <c r="K248" s="54"/>
      <c r="L248" s="54"/>
      <c r="M248" s="54"/>
    </row>
    <row r="249" spans="1:13" ht="15.4" customHeight="1" thickBot="1" x14ac:dyDescent="0.25">
      <c r="A249" s="9" t="s">
        <v>609</v>
      </c>
      <c r="B249" s="4" t="s">
        <v>610</v>
      </c>
      <c r="C249" s="4" t="s">
        <v>611</v>
      </c>
      <c r="D249" s="54" t="s">
        <v>612</v>
      </c>
      <c r="E249" s="54"/>
      <c r="F249" s="54"/>
      <c r="G249" s="54"/>
      <c r="H249" s="54"/>
      <c r="I249" s="54"/>
      <c r="J249" s="54"/>
      <c r="K249" s="19">
        <f>ROUND(17,2)</f>
        <v>17</v>
      </c>
      <c r="L249" s="20">
        <f>ROUND(0*(1+M2/100),2)</f>
        <v>0</v>
      </c>
      <c r="M249" s="20">
        <f>ROUND(K249*L249,2)</f>
        <v>0</v>
      </c>
    </row>
    <row r="250" spans="1:13" ht="12.2" customHeight="1" thickBot="1" x14ac:dyDescent="0.25">
      <c r="A250" s="21"/>
      <c r="B250" s="21"/>
      <c r="C250" s="21"/>
      <c r="D250" s="54" t="s">
        <v>613</v>
      </c>
      <c r="E250" s="54"/>
      <c r="F250" s="54"/>
      <c r="G250" s="54"/>
      <c r="H250" s="54"/>
      <c r="I250" s="54"/>
      <c r="J250" s="54"/>
      <c r="K250" s="54"/>
      <c r="L250" s="54"/>
      <c r="M250" s="54"/>
    </row>
    <row r="251" spans="1:13" ht="15.4" customHeight="1" thickBot="1" x14ac:dyDescent="0.25">
      <c r="A251" s="9" t="s">
        <v>614</v>
      </c>
      <c r="B251" s="4" t="s">
        <v>615</v>
      </c>
      <c r="C251" s="4" t="s">
        <v>616</v>
      </c>
      <c r="D251" s="54" t="s">
        <v>617</v>
      </c>
      <c r="E251" s="54"/>
      <c r="F251" s="54"/>
      <c r="G251" s="54"/>
      <c r="H251" s="54"/>
      <c r="I251" s="54"/>
      <c r="J251" s="54"/>
      <c r="K251" s="19">
        <f>ROUND(88,2)</f>
        <v>88</v>
      </c>
      <c r="L251" s="20">
        <f>ROUND(0*(1+M2/100),2)</f>
        <v>0</v>
      </c>
      <c r="M251" s="20">
        <f>ROUND(K251*L251,2)</f>
        <v>0</v>
      </c>
    </row>
    <row r="252" spans="1:13" ht="86.1" customHeight="1" thickBot="1" x14ac:dyDescent="0.25">
      <c r="A252" s="21"/>
      <c r="B252" s="21"/>
      <c r="C252" s="21"/>
      <c r="D252" s="54" t="s">
        <v>618</v>
      </c>
      <c r="E252" s="54"/>
      <c r="F252" s="54"/>
      <c r="G252" s="54"/>
      <c r="H252" s="54"/>
      <c r="I252" s="54"/>
      <c r="J252" s="54"/>
      <c r="K252" s="54"/>
      <c r="L252" s="54"/>
      <c r="M252" s="54"/>
    </row>
    <row r="253" spans="1:13" ht="15.4" customHeight="1" thickBot="1" x14ac:dyDescent="0.25">
      <c r="A253" s="9" t="s">
        <v>619</v>
      </c>
      <c r="B253" s="4" t="s">
        <v>620</v>
      </c>
      <c r="C253" s="4" t="s">
        <v>621</v>
      </c>
      <c r="D253" s="54" t="s">
        <v>622</v>
      </c>
      <c r="E253" s="54"/>
      <c r="F253" s="54"/>
      <c r="G253" s="54"/>
      <c r="H253" s="54"/>
      <c r="I253" s="54"/>
      <c r="J253" s="54"/>
      <c r="K253" s="19">
        <f>ROUND(8,2)</f>
        <v>8</v>
      </c>
      <c r="L253" s="20">
        <f>ROUND(0*(1+M2/100),2)</f>
        <v>0</v>
      </c>
      <c r="M253" s="20">
        <f>ROUND(K253*L253,2)</f>
        <v>0</v>
      </c>
    </row>
    <row r="254" spans="1:13" ht="12.2" customHeight="1" thickBot="1" x14ac:dyDescent="0.25">
      <c r="A254" s="21"/>
      <c r="B254" s="21"/>
      <c r="C254" s="21"/>
      <c r="D254" s="54" t="s">
        <v>623</v>
      </c>
      <c r="E254" s="54"/>
      <c r="F254" s="54"/>
      <c r="G254" s="54"/>
      <c r="H254" s="54"/>
      <c r="I254" s="54"/>
      <c r="J254" s="54"/>
      <c r="K254" s="54"/>
      <c r="L254" s="54"/>
      <c r="M254" s="54"/>
    </row>
    <row r="255" spans="1:13" ht="15.4" customHeight="1" thickBot="1" x14ac:dyDescent="0.25">
      <c r="A255" s="22"/>
      <c r="B255" s="22"/>
      <c r="C255" s="22"/>
      <c r="D255" s="23" t="s">
        <v>624</v>
      </c>
      <c r="E255" s="24"/>
      <c r="F255" s="24"/>
      <c r="G255" s="24"/>
      <c r="H255" s="24"/>
      <c r="I255" s="24"/>
      <c r="J255" s="24"/>
      <c r="K255" s="24"/>
      <c r="L255" s="25">
        <f>M233+M235+M237+M239+M241+M243+M245+M247+M249+M251+M253</f>
        <v>0</v>
      </c>
      <c r="M255" s="25">
        <f>ROUND(L255,2)</f>
        <v>0</v>
      </c>
    </row>
    <row r="256" spans="1:13" ht="15.4" customHeight="1" thickBot="1" x14ac:dyDescent="0.25">
      <c r="A256" s="33" t="s">
        <v>625</v>
      </c>
      <c r="B256" s="33" t="s">
        <v>626</v>
      </c>
      <c r="C256" s="34"/>
      <c r="D256" s="57" t="s">
        <v>627</v>
      </c>
      <c r="E256" s="57"/>
      <c r="F256" s="57"/>
      <c r="G256" s="57"/>
      <c r="H256" s="57"/>
      <c r="I256" s="57"/>
      <c r="J256" s="57"/>
      <c r="K256" s="34"/>
      <c r="L256" s="35">
        <f>L275</f>
        <v>0</v>
      </c>
      <c r="M256" s="35">
        <f>ROUND(L256,2)</f>
        <v>0</v>
      </c>
    </row>
    <row r="257" spans="1:13" ht="15.4" customHeight="1" thickBot="1" x14ac:dyDescent="0.25">
      <c r="A257" s="9" t="s">
        <v>628</v>
      </c>
      <c r="B257" s="4" t="s">
        <v>629</v>
      </c>
      <c r="C257" s="4" t="s">
        <v>630</v>
      </c>
      <c r="D257" s="54" t="s">
        <v>631</v>
      </c>
      <c r="E257" s="54"/>
      <c r="F257" s="54"/>
      <c r="G257" s="54"/>
      <c r="H257" s="54"/>
      <c r="I257" s="54"/>
      <c r="J257" s="54"/>
      <c r="K257" s="19">
        <f>ROUND(1,2)</f>
        <v>1</v>
      </c>
      <c r="L257" s="20">
        <f>ROUND(0*(1+M2/100),2)</f>
        <v>0</v>
      </c>
      <c r="M257" s="20">
        <f>ROUND(K257*L257,2)</f>
        <v>0</v>
      </c>
    </row>
    <row r="258" spans="1:13" ht="196.9" customHeight="1" thickBot="1" x14ac:dyDescent="0.25">
      <c r="A258" s="21"/>
      <c r="B258" s="21"/>
      <c r="C258" s="21"/>
      <c r="D258" s="54" t="s">
        <v>632</v>
      </c>
      <c r="E258" s="54"/>
      <c r="F258" s="54"/>
      <c r="G258" s="54"/>
      <c r="H258" s="54"/>
      <c r="I258" s="54"/>
      <c r="J258" s="54"/>
      <c r="K258" s="54"/>
      <c r="L258" s="54"/>
      <c r="M258" s="54"/>
    </row>
    <row r="259" spans="1:13" ht="15.4" customHeight="1" thickBot="1" x14ac:dyDescent="0.25">
      <c r="A259" s="9" t="s">
        <v>633</v>
      </c>
      <c r="B259" s="4" t="s">
        <v>634</v>
      </c>
      <c r="C259" s="4" t="s">
        <v>635</v>
      </c>
      <c r="D259" s="54" t="s">
        <v>636</v>
      </c>
      <c r="E259" s="54"/>
      <c r="F259" s="54"/>
      <c r="G259" s="54"/>
      <c r="H259" s="54"/>
      <c r="I259" s="54"/>
      <c r="J259" s="54"/>
      <c r="K259" s="19">
        <f>ROUND(1,2)</f>
        <v>1</v>
      </c>
      <c r="L259" s="20">
        <f>ROUND(0*(1+M2/100),2)</f>
        <v>0</v>
      </c>
      <c r="M259" s="20">
        <f>ROUND(K259*L259,2)</f>
        <v>0</v>
      </c>
    </row>
    <row r="260" spans="1:13" ht="215.45" customHeight="1" thickBot="1" x14ac:dyDescent="0.25">
      <c r="A260" s="21"/>
      <c r="B260" s="21"/>
      <c r="C260" s="21"/>
      <c r="D260" s="54" t="s">
        <v>637</v>
      </c>
      <c r="E260" s="54"/>
      <c r="F260" s="54"/>
      <c r="G260" s="54"/>
      <c r="H260" s="54"/>
      <c r="I260" s="54"/>
      <c r="J260" s="54"/>
      <c r="K260" s="54"/>
      <c r="L260" s="54"/>
      <c r="M260" s="54"/>
    </row>
    <row r="261" spans="1:13" ht="15.4" customHeight="1" thickBot="1" x14ac:dyDescent="0.25">
      <c r="A261" s="9" t="s">
        <v>638</v>
      </c>
      <c r="B261" s="4" t="s">
        <v>639</v>
      </c>
      <c r="C261" s="4" t="s">
        <v>640</v>
      </c>
      <c r="D261" s="54" t="s">
        <v>641</v>
      </c>
      <c r="E261" s="54"/>
      <c r="F261" s="54"/>
      <c r="G261" s="54"/>
      <c r="H261" s="54"/>
      <c r="I261" s="54"/>
      <c r="J261" s="54"/>
      <c r="K261" s="19">
        <f>ROUND(29,2)</f>
        <v>29</v>
      </c>
      <c r="L261" s="20">
        <f>ROUND(0*(1+M2/100),2)</f>
        <v>0</v>
      </c>
      <c r="M261" s="20">
        <f>ROUND(K261*L261,2)</f>
        <v>0</v>
      </c>
    </row>
    <row r="262" spans="1:13" ht="215.45" customHeight="1" thickBot="1" x14ac:dyDescent="0.25">
      <c r="A262" s="21"/>
      <c r="B262" s="21"/>
      <c r="C262" s="21"/>
      <c r="D262" s="54" t="s">
        <v>642</v>
      </c>
      <c r="E262" s="54"/>
      <c r="F262" s="54"/>
      <c r="G262" s="54"/>
      <c r="H262" s="54"/>
      <c r="I262" s="54"/>
      <c r="J262" s="54"/>
      <c r="K262" s="54"/>
      <c r="L262" s="54"/>
      <c r="M262" s="54"/>
    </row>
    <row r="263" spans="1:13" ht="15.4" customHeight="1" thickBot="1" x14ac:dyDescent="0.25">
      <c r="A263" s="9" t="s">
        <v>643</v>
      </c>
      <c r="B263" s="4" t="s">
        <v>644</v>
      </c>
      <c r="C263" s="4" t="s">
        <v>645</v>
      </c>
      <c r="D263" s="54" t="s">
        <v>646</v>
      </c>
      <c r="E263" s="54"/>
      <c r="F263" s="54"/>
      <c r="G263" s="54"/>
      <c r="H263" s="54"/>
      <c r="I263" s="54"/>
      <c r="J263" s="54"/>
      <c r="K263" s="19">
        <f>ROUND(2,2)</f>
        <v>2</v>
      </c>
      <c r="L263" s="20">
        <f>ROUND(0*(1+M2/100),2)</f>
        <v>0</v>
      </c>
      <c r="M263" s="20">
        <f>ROUND(K263*L263,2)</f>
        <v>0</v>
      </c>
    </row>
    <row r="264" spans="1:13" ht="215.45" customHeight="1" thickBot="1" x14ac:dyDescent="0.25">
      <c r="A264" s="21"/>
      <c r="B264" s="21"/>
      <c r="C264" s="21"/>
      <c r="D264" s="54" t="s">
        <v>647</v>
      </c>
      <c r="E264" s="54"/>
      <c r="F264" s="54"/>
      <c r="G264" s="54"/>
      <c r="H264" s="54"/>
      <c r="I264" s="54"/>
      <c r="J264" s="54"/>
      <c r="K264" s="54"/>
      <c r="L264" s="54"/>
      <c r="M264" s="54"/>
    </row>
    <row r="265" spans="1:13" ht="15.4" customHeight="1" thickBot="1" x14ac:dyDescent="0.25">
      <c r="A265" s="9" t="s">
        <v>648</v>
      </c>
      <c r="B265" s="4" t="s">
        <v>649</v>
      </c>
      <c r="C265" s="4" t="s">
        <v>650</v>
      </c>
      <c r="D265" s="54" t="s">
        <v>651</v>
      </c>
      <c r="E265" s="54"/>
      <c r="F265" s="54"/>
      <c r="G265" s="54"/>
      <c r="H265" s="54"/>
      <c r="I265" s="54"/>
      <c r="J265" s="54"/>
      <c r="K265" s="19">
        <f>ROUND(14,2)</f>
        <v>14</v>
      </c>
      <c r="L265" s="20">
        <f>ROUND(0*(1+M2/100),2)</f>
        <v>0</v>
      </c>
      <c r="M265" s="20">
        <f>ROUND(K265*L265,2)</f>
        <v>0</v>
      </c>
    </row>
    <row r="266" spans="1:13" ht="196.9" customHeight="1" thickBot="1" x14ac:dyDescent="0.25">
      <c r="A266" s="21"/>
      <c r="B266" s="21"/>
      <c r="C266" s="21"/>
      <c r="D266" s="54" t="s">
        <v>652</v>
      </c>
      <c r="E266" s="54"/>
      <c r="F266" s="54"/>
      <c r="G266" s="54"/>
      <c r="H266" s="54"/>
      <c r="I266" s="54"/>
      <c r="J266" s="54"/>
      <c r="K266" s="54"/>
      <c r="L266" s="54"/>
      <c r="M266" s="54"/>
    </row>
    <row r="267" spans="1:13" ht="15.4" customHeight="1" thickBot="1" x14ac:dyDescent="0.25">
      <c r="A267" s="9" t="s">
        <v>653</v>
      </c>
      <c r="B267" s="4" t="s">
        <v>654</v>
      </c>
      <c r="C267" s="4" t="s">
        <v>655</v>
      </c>
      <c r="D267" s="54" t="s">
        <v>656</v>
      </c>
      <c r="E267" s="54"/>
      <c r="F267" s="54"/>
      <c r="G267" s="54"/>
      <c r="H267" s="54"/>
      <c r="I267" s="54"/>
      <c r="J267" s="54"/>
      <c r="K267" s="19">
        <f>ROUND(7,2)</f>
        <v>7</v>
      </c>
      <c r="L267" s="20">
        <f>ROUND(0*(1+M2/100),2)</f>
        <v>0</v>
      </c>
      <c r="M267" s="20">
        <f>ROUND(K267*L267,2)</f>
        <v>0</v>
      </c>
    </row>
    <row r="268" spans="1:13" ht="196.9" customHeight="1" thickBot="1" x14ac:dyDescent="0.25">
      <c r="A268" s="21"/>
      <c r="B268" s="21"/>
      <c r="C268" s="21"/>
      <c r="D268" s="54" t="s">
        <v>657</v>
      </c>
      <c r="E268" s="54"/>
      <c r="F268" s="54"/>
      <c r="G268" s="54"/>
      <c r="H268" s="54"/>
      <c r="I268" s="54"/>
      <c r="J268" s="54"/>
      <c r="K268" s="54"/>
      <c r="L268" s="54"/>
      <c r="M268" s="54"/>
    </row>
    <row r="269" spans="1:13" ht="15.4" customHeight="1" thickBot="1" x14ac:dyDescent="0.25">
      <c r="A269" s="9" t="s">
        <v>658</v>
      </c>
      <c r="B269" s="4" t="s">
        <v>659</v>
      </c>
      <c r="C269" s="4" t="s">
        <v>660</v>
      </c>
      <c r="D269" s="54" t="s">
        <v>661</v>
      </c>
      <c r="E269" s="54"/>
      <c r="F269" s="54"/>
      <c r="G269" s="54"/>
      <c r="H269" s="54"/>
      <c r="I269" s="54"/>
      <c r="J269" s="54"/>
      <c r="K269" s="19">
        <f>ROUND(8,2)</f>
        <v>8</v>
      </c>
      <c r="L269" s="20">
        <f>ROUND(0*(1+M2/100),2)</f>
        <v>0</v>
      </c>
      <c r="M269" s="20">
        <f>ROUND(K269*L269,2)</f>
        <v>0</v>
      </c>
    </row>
    <row r="270" spans="1:13" ht="215.45" customHeight="1" thickBot="1" x14ac:dyDescent="0.25">
      <c r="A270" s="21"/>
      <c r="B270" s="21"/>
      <c r="C270" s="21"/>
      <c r="D270" s="54" t="s">
        <v>662</v>
      </c>
      <c r="E270" s="54"/>
      <c r="F270" s="54"/>
      <c r="G270" s="54"/>
      <c r="H270" s="54"/>
      <c r="I270" s="54"/>
      <c r="J270" s="54"/>
      <c r="K270" s="54"/>
      <c r="L270" s="54"/>
      <c r="M270" s="54"/>
    </row>
    <row r="271" spans="1:13" ht="15.4" customHeight="1" thickBot="1" x14ac:dyDescent="0.25">
      <c r="A271" s="9" t="s">
        <v>663</v>
      </c>
      <c r="B271" s="4" t="s">
        <v>664</v>
      </c>
      <c r="C271" s="4" t="s">
        <v>665</v>
      </c>
      <c r="D271" s="54" t="s">
        <v>666</v>
      </c>
      <c r="E271" s="54"/>
      <c r="F271" s="54"/>
      <c r="G271" s="54"/>
      <c r="H271" s="54"/>
      <c r="I271" s="54"/>
      <c r="J271" s="54"/>
      <c r="K271" s="19">
        <f>ROUND(85,2)</f>
        <v>85</v>
      </c>
      <c r="L271" s="20">
        <f>ROUND(0*(1+M2/100),2)</f>
        <v>0</v>
      </c>
      <c r="M271" s="20">
        <f>ROUND(K271*L271,2)</f>
        <v>0</v>
      </c>
    </row>
    <row r="272" spans="1:13" ht="196.9" customHeight="1" thickBot="1" x14ac:dyDescent="0.25">
      <c r="A272" s="21"/>
      <c r="B272" s="21"/>
      <c r="C272" s="21"/>
      <c r="D272" s="54" t="s">
        <v>667</v>
      </c>
      <c r="E272" s="54"/>
      <c r="F272" s="54"/>
      <c r="G272" s="54"/>
      <c r="H272" s="54"/>
      <c r="I272" s="54"/>
      <c r="J272" s="54"/>
      <c r="K272" s="54"/>
      <c r="L272" s="54"/>
      <c r="M272" s="54"/>
    </row>
    <row r="273" spans="1:13" ht="15.4" customHeight="1" thickBot="1" x14ac:dyDescent="0.25">
      <c r="A273" s="9" t="s">
        <v>668</v>
      </c>
      <c r="B273" s="4" t="s">
        <v>669</v>
      </c>
      <c r="C273" s="4" t="s">
        <v>670</v>
      </c>
      <c r="D273" s="54" t="s">
        <v>671</v>
      </c>
      <c r="E273" s="54"/>
      <c r="F273" s="54"/>
      <c r="G273" s="54"/>
      <c r="H273" s="54"/>
      <c r="I273" s="54"/>
      <c r="J273" s="54"/>
      <c r="K273" s="19">
        <f>ROUND(72,2)</f>
        <v>72</v>
      </c>
      <c r="L273" s="20">
        <f>ROUND(0*(1+M2/100),2)</f>
        <v>0</v>
      </c>
      <c r="M273" s="20">
        <f>ROUND(K273*L273,2)</f>
        <v>0</v>
      </c>
    </row>
    <row r="274" spans="1:13" ht="196.9" customHeight="1" thickBot="1" x14ac:dyDescent="0.25">
      <c r="A274" s="21"/>
      <c r="B274" s="21"/>
      <c r="C274" s="21"/>
      <c r="D274" s="54" t="s">
        <v>672</v>
      </c>
      <c r="E274" s="54"/>
      <c r="F274" s="54"/>
      <c r="G274" s="54"/>
      <c r="H274" s="54"/>
      <c r="I274" s="54"/>
      <c r="J274" s="54"/>
      <c r="K274" s="54"/>
      <c r="L274" s="54"/>
      <c r="M274" s="54"/>
    </row>
    <row r="275" spans="1:13" ht="15.4" customHeight="1" thickBot="1" x14ac:dyDescent="0.25">
      <c r="A275" s="22"/>
      <c r="B275" s="22"/>
      <c r="C275" s="22"/>
      <c r="D275" s="23" t="s">
        <v>673</v>
      </c>
      <c r="E275" s="24"/>
      <c r="F275" s="24"/>
      <c r="G275" s="24"/>
      <c r="H275" s="24"/>
      <c r="I275" s="24"/>
      <c r="J275" s="24"/>
      <c r="K275" s="24"/>
      <c r="L275" s="25">
        <f>M257+M259+M261+M263+M265+M267+M269+M271+M273</f>
        <v>0</v>
      </c>
      <c r="M275" s="25">
        <f>ROUND(L275,2)</f>
        <v>0</v>
      </c>
    </row>
    <row r="276" spans="1:13" ht="15.4" customHeight="1" thickBot="1" x14ac:dyDescent="0.25">
      <c r="A276" s="33" t="s">
        <v>674</v>
      </c>
      <c r="B276" s="33" t="s">
        <v>675</v>
      </c>
      <c r="C276" s="34"/>
      <c r="D276" s="57" t="s">
        <v>676</v>
      </c>
      <c r="E276" s="57"/>
      <c r="F276" s="57"/>
      <c r="G276" s="57"/>
      <c r="H276" s="57"/>
      <c r="I276" s="57"/>
      <c r="J276" s="57"/>
      <c r="K276" s="34"/>
      <c r="L276" s="35">
        <f>L327</f>
        <v>0</v>
      </c>
      <c r="M276" s="35">
        <f>ROUND(L276,2)</f>
        <v>0</v>
      </c>
    </row>
    <row r="277" spans="1:13" ht="15.4" customHeight="1" thickBot="1" x14ac:dyDescent="0.25">
      <c r="A277" s="9" t="s">
        <v>677</v>
      </c>
      <c r="B277" s="4" t="s">
        <v>678</v>
      </c>
      <c r="C277" s="4" t="s">
        <v>679</v>
      </c>
      <c r="D277" s="54" t="s">
        <v>680</v>
      </c>
      <c r="E277" s="54"/>
      <c r="F277" s="54"/>
      <c r="G277" s="54"/>
      <c r="H277" s="54"/>
      <c r="I277" s="54"/>
      <c r="J277" s="54"/>
      <c r="K277" s="19">
        <f>ROUND(33,2)</f>
        <v>33</v>
      </c>
      <c r="L277" s="20">
        <f>ROUND(0*(1+M2/100),2)</f>
        <v>0</v>
      </c>
      <c r="M277" s="20">
        <f>ROUND(K277*L277,2)</f>
        <v>0</v>
      </c>
    </row>
    <row r="278" spans="1:13" ht="123" customHeight="1" thickBot="1" x14ac:dyDescent="0.25">
      <c r="A278" s="21"/>
      <c r="B278" s="21"/>
      <c r="C278" s="21"/>
      <c r="D278" s="54" t="s">
        <v>681</v>
      </c>
      <c r="E278" s="54"/>
      <c r="F278" s="54"/>
      <c r="G278" s="54"/>
      <c r="H278" s="54"/>
      <c r="I278" s="54"/>
      <c r="J278" s="54"/>
      <c r="K278" s="54"/>
      <c r="L278" s="54"/>
      <c r="M278" s="54"/>
    </row>
    <row r="279" spans="1:13" ht="15.4" customHeight="1" thickBot="1" x14ac:dyDescent="0.25">
      <c r="A279" s="9" t="s">
        <v>682</v>
      </c>
      <c r="B279" s="4" t="s">
        <v>683</v>
      </c>
      <c r="C279" s="4" t="s">
        <v>684</v>
      </c>
      <c r="D279" s="54" t="s">
        <v>685</v>
      </c>
      <c r="E279" s="54"/>
      <c r="F279" s="54"/>
      <c r="G279" s="54"/>
      <c r="H279" s="54"/>
      <c r="I279" s="54"/>
      <c r="J279" s="54"/>
      <c r="K279" s="19">
        <f>ROUND(114,2)</f>
        <v>114</v>
      </c>
      <c r="L279" s="20">
        <f>ROUND(0*(1+M2/100),2)</f>
        <v>0</v>
      </c>
      <c r="M279" s="20">
        <f>ROUND(K279*L279,2)</f>
        <v>0</v>
      </c>
    </row>
    <row r="280" spans="1:13" ht="123" customHeight="1" thickBot="1" x14ac:dyDescent="0.25">
      <c r="A280" s="21"/>
      <c r="B280" s="21"/>
      <c r="C280" s="21"/>
      <c r="D280" s="54" t="s">
        <v>686</v>
      </c>
      <c r="E280" s="54"/>
      <c r="F280" s="54"/>
      <c r="G280" s="54"/>
      <c r="H280" s="54"/>
      <c r="I280" s="54"/>
      <c r="J280" s="54"/>
      <c r="K280" s="54"/>
      <c r="L280" s="54"/>
      <c r="M280" s="54"/>
    </row>
    <row r="281" spans="1:13" ht="15.4" customHeight="1" thickBot="1" x14ac:dyDescent="0.25">
      <c r="A281" s="9" t="s">
        <v>687</v>
      </c>
      <c r="B281" s="4" t="s">
        <v>688</v>
      </c>
      <c r="C281" s="4" t="s">
        <v>689</v>
      </c>
      <c r="D281" s="54" t="s">
        <v>690</v>
      </c>
      <c r="E281" s="54"/>
      <c r="F281" s="54"/>
      <c r="G281" s="54"/>
      <c r="H281" s="54"/>
      <c r="I281" s="54"/>
      <c r="J281" s="54"/>
      <c r="K281" s="19">
        <f>ROUND(54,2)</f>
        <v>54</v>
      </c>
      <c r="L281" s="20">
        <f>ROUND(0*(1+M2/100),2)</f>
        <v>0</v>
      </c>
      <c r="M281" s="20">
        <f>ROUND(K281*L281,2)</f>
        <v>0</v>
      </c>
    </row>
    <row r="282" spans="1:13" ht="132.19999999999999" customHeight="1" thickBot="1" x14ac:dyDescent="0.25">
      <c r="A282" s="21"/>
      <c r="B282" s="21"/>
      <c r="C282" s="21"/>
      <c r="D282" s="54" t="s">
        <v>691</v>
      </c>
      <c r="E282" s="54"/>
      <c r="F282" s="54"/>
      <c r="G282" s="54"/>
      <c r="H282" s="54"/>
      <c r="I282" s="54"/>
      <c r="J282" s="54"/>
      <c r="K282" s="54"/>
      <c r="L282" s="54"/>
      <c r="M282" s="54"/>
    </row>
    <row r="283" spans="1:13" ht="15.4" customHeight="1" thickBot="1" x14ac:dyDescent="0.25">
      <c r="A283" s="9" t="s">
        <v>692</v>
      </c>
      <c r="B283" s="4" t="s">
        <v>693</v>
      </c>
      <c r="C283" s="4" t="s">
        <v>694</v>
      </c>
      <c r="D283" s="54" t="s">
        <v>695</v>
      </c>
      <c r="E283" s="54"/>
      <c r="F283" s="54"/>
      <c r="G283" s="54"/>
      <c r="H283" s="54"/>
      <c r="I283" s="54"/>
      <c r="J283" s="54"/>
      <c r="K283" s="19">
        <f>ROUND(211,2)</f>
        <v>211</v>
      </c>
      <c r="L283" s="20">
        <f>ROUND(0*(1+M2/100),2)</f>
        <v>0</v>
      </c>
      <c r="M283" s="20">
        <f>ROUND(K283*L283,2)</f>
        <v>0</v>
      </c>
    </row>
    <row r="284" spans="1:13" ht="132.19999999999999" customHeight="1" thickBot="1" x14ac:dyDescent="0.25">
      <c r="A284" s="21"/>
      <c r="B284" s="21"/>
      <c r="C284" s="21"/>
      <c r="D284" s="54" t="s">
        <v>696</v>
      </c>
      <c r="E284" s="54"/>
      <c r="F284" s="54"/>
      <c r="G284" s="54"/>
      <c r="H284" s="54"/>
      <c r="I284" s="54"/>
      <c r="J284" s="54"/>
      <c r="K284" s="54"/>
      <c r="L284" s="54"/>
      <c r="M284" s="54"/>
    </row>
    <row r="285" spans="1:13" ht="15.4" customHeight="1" thickBot="1" x14ac:dyDescent="0.25">
      <c r="A285" s="9" t="s">
        <v>697</v>
      </c>
      <c r="B285" s="4" t="s">
        <v>698</v>
      </c>
      <c r="C285" s="4" t="s">
        <v>699</v>
      </c>
      <c r="D285" s="54" t="s">
        <v>700</v>
      </c>
      <c r="E285" s="54"/>
      <c r="F285" s="54"/>
      <c r="G285" s="54"/>
      <c r="H285" s="54"/>
      <c r="I285" s="54"/>
      <c r="J285" s="54"/>
      <c r="K285" s="19">
        <f>ROUND(37,2)</f>
        <v>37</v>
      </c>
      <c r="L285" s="20">
        <f>ROUND(0*(1+M2/100),2)</f>
        <v>0</v>
      </c>
      <c r="M285" s="20">
        <f>ROUND(K285*L285,2)</f>
        <v>0</v>
      </c>
    </row>
    <row r="286" spans="1:13" ht="132.19999999999999" customHeight="1" thickBot="1" x14ac:dyDescent="0.25">
      <c r="A286" s="21"/>
      <c r="B286" s="21"/>
      <c r="C286" s="21"/>
      <c r="D286" s="54" t="s">
        <v>701</v>
      </c>
      <c r="E286" s="54"/>
      <c r="F286" s="54"/>
      <c r="G286" s="54"/>
      <c r="H286" s="54"/>
      <c r="I286" s="54"/>
      <c r="J286" s="54"/>
      <c r="K286" s="54"/>
      <c r="L286" s="54"/>
      <c r="M286" s="54"/>
    </row>
    <row r="287" spans="1:13" ht="15.4" customHeight="1" thickBot="1" x14ac:dyDescent="0.25">
      <c r="A287" s="9" t="s">
        <v>702</v>
      </c>
      <c r="B287" s="4" t="s">
        <v>703</v>
      </c>
      <c r="C287" s="4" t="s">
        <v>704</v>
      </c>
      <c r="D287" s="54" t="s">
        <v>705</v>
      </c>
      <c r="E287" s="54"/>
      <c r="F287" s="54"/>
      <c r="G287" s="54"/>
      <c r="H287" s="54"/>
      <c r="I287" s="54"/>
      <c r="J287" s="54"/>
      <c r="K287" s="19">
        <f>ROUND(15,2)</f>
        <v>15</v>
      </c>
      <c r="L287" s="20">
        <f>ROUND(0*(1+M2/100),2)</f>
        <v>0</v>
      </c>
      <c r="M287" s="20">
        <f>ROUND(K287*L287,2)</f>
        <v>0</v>
      </c>
    </row>
    <row r="288" spans="1:13" ht="132.19999999999999" customHeight="1" thickBot="1" x14ac:dyDescent="0.25">
      <c r="A288" s="21"/>
      <c r="B288" s="21"/>
      <c r="C288" s="21"/>
      <c r="D288" s="54" t="s">
        <v>706</v>
      </c>
      <c r="E288" s="54"/>
      <c r="F288" s="54"/>
      <c r="G288" s="54"/>
      <c r="H288" s="54"/>
      <c r="I288" s="54"/>
      <c r="J288" s="54"/>
      <c r="K288" s="54"/>
      <c r="L288" s="54"/>
      <c r="M288" s="54"/>
    </row>
    <row r="289" spans="1:13" ht="15.4" customHeight="1" thickBot="1" x14ac:dyDescent="0.25">
      <c r="A289" s="9" t="s">
        <v>707</v>
      </c>
      <c r="B289" s="4" t="s">
        <v>708</v>
      </c>
      <c r="C289" s="4" t="s">
        <v>709</v>
      </c>
      <c r="D289" s="54" t="s">
        <v>710</v>
      </c>
      <c r="E289" s="54"/>
      <c r="F289" s="54"/>
      <c r="G289" s="54"/>
      <c r="H289" s="54"/>
      <c r="I289" s="54"/>
      <c r="J289" s="54"/>
      <c r="K289" s="19">
        <f>ROUND(5,2)</f>
        <v>5</v>
      </c>
      <c r="L289" s="20">
        <f>ROUND(0*(1+M2/100),2)</f>
        <v>0</v>
      </c>
      <c r="M289" s="20">
        <f>ROUND(K289*L289,2)</f>
        <v>0</v>
      </c>
    </row>
    <row r="290" spans="1:13" ht="123" customHeight="1" thickBot="1" x14ac:dyDescent="0.25">
      <c r="A290" s="21"/>
      <c r="B290" s="21"/>
      <c r="C290" s="21"/>
      <c r="D290" s="54" t="s">
        <v>711</v>
      </c>
      <c r="E290" s="54"/>
      <c r="F290" s="54"/>
      <c r="G290" s="54"/>
      <c r="H290" s="54"/>
      <c r="I290" s="54"/>
      <c r="J290" s="54"/>
      <c r="K290" s="54"/>
      <c r="L290" s="54"/>
      <c r="M290" s="54"/>
    </row>
    <row r="291" spans="1:13" ht="15.4" customHeight="1" thickBot="1" x14ac:dyDescent="0.25">
      <c r="A291" s="9" t="s">
        <v>712</v>
      </c>
      <c r="B291" s="4" t="s">
        <v>713</v>
      </c>
      <c r="C291" s="4" t="s">
        <v>714</v>
      </c>
      <c r="D291" s="54" t="s">
        <v>715</v>
      </c>
      <c r="E291" s="54"/>
      <c r="F291" s="54"/>
      <c r="G291" s="54"/>
      <c r="H291" s="54"/>
      <c r="I291" s="54"/>
      <c r="J291" s="54"/>
      <c r="K291" s="19">
        <f>ROUND(5,2)</f>
        <v>5</v>
      </c>
      <c r="L291" s="20">
        <f>ROUND(0*(1+M2/100),2)</f>
        <v>0</v>
      </c>
      <c r="M291" s="20">
        <f>ROUND(K291*L291,2)</f>
        <v>0</v>
      </c>
    </row>
    <row r="292" spans="1:13" ht="123" customHeight="1" thickBot="1" x14ac:dyDescent="0.25">
      <c r="A292" s="21"/>
      <c r="B292" s="21"/>
      <c r="C292" s="21"/>
      <c r="D292" s="54" t="s">
        <v>716</v>
      </c>
      <c r="E292" s="54"/>
      <c r="F292" s="54"/>
      <c r="G292" s="54"/>
      <c r="H292" s="54"/>
      <c r="I292" s="54"/>
      <c r="J292" s="54"/>
      <c r="K292" s="54"/>
      <c r="L292" s="54"/>
      <c r="M292" s="54"/>
    </row>
    <row r="293" spans="1:13" ht="15.4" customHeight="1" thickBot="1" x14ac:dyDescent="0.25">
      <c r="A293" s="9" t="s">
        <v>717</v>
      </c>
      <c r="B293" s="4" t="s">
        <v>718</v>
      </c>
      <c r="C293" s="4" t="s">
        <v>719</v>
      </c>
      <c r="D293" s="54" t="s">
        <v>720</v>
      </c>
      <c r="E293" s="54"/>
      <c r="F293" s="54"/>
      <c r="G293" s="54"/>
      <c r="H293" s="54"/>
      <c r="I293" s="54"/>
      <c r="J293" s="54"/>
      <c r="K293" s="19">
        <f>ROUND(28,2)</f>
        <v>28</v>
      </c>
      <c r="L293" s="20">
        <f>ROUND(0*(1+M2/100),2)</f>
        <v>0</v>
      </c>
      <c r="M293" s="20">
        <f>ROUND(K293*L293,2)</f>
        <v>0</v>
      </c>
    </row>
    <row r="294" spans="1:13" ht="12.2" customHeight="1" thickBot="1" x14ac:dyDescent="0.25">
      <c r="A294" s="21"/>
      <c r="B294" s="21"/>
      <c r="C294" s="21"/>
      <c r="D294" s="54" t="s">
        <v>721</v>
      </c>
      <c r="E294" s="54"/>
      <c r="F294" s="54"/>
      <c r="G294" s="54"/>
      <c r="H294" s="54"/>
      <c r="I294" s="54"/>
      <c r="J294" s="54"/>
      <c r="K294" s="54"/>
      <c r="L294" s="54"/>
      <c r="M294" s="54"/>
    </row>
    <row r="295" spans="1:13" ht="15.4" customHeight="1" thickBot="1" x14ac:dyDescent="0.25">
      <c r="A295" s="9" t="s">
        <v>722</v>
      </c>
      <c r="B295" s="4" t="s">
        <v>723</v>
      </c>
      <c r="C295" s="4" t="s">
        <v>724</v>
      </c>
      <c r="D295" s="54" t="s">
        <v>725</v>
      </c>
      <c r="E295" s="54"/>
      <c r="F295" s="54"/>
      <c r="G295" s="54"/>
      <c r="H295" s="54"/>
      <c r="I295" s="54"/>
      <c r="J295" s="54"/>
      <c r="K295" s="19">
        <f>ROUND(17,2)</f>
        <v>17</v>
      </c>
      <c r="L295" s="20">
        <f>ROUND(0*(1+M2/100),2)</f>
        <v>0</v>
      </c>
      <c r="M295" s="20">
        <f>ROUND(K295*L295,2)</f>
        <v>0</v>
      </c>
    </row>
    <row r="296" spans="1:13" ht="12.2" customHeight="1" thickBot="1" x14ac:dyDescent="0.25">
      <c r="A296" s="21"/>
      <c r="B296" s="21"/>
      <c r="C296" s="21"/>
      <c r="D296" s="54" t="s">
        <v>726</v>
      </c>
      <c r="E296" s="54"/>
      <c r="F296" s="54"/>
      <c r="G296" s="54"/>
      <c r="H296" s="54"/>
      <c r="I296" s="54"/>
      <c r="J296" s="54"/>
      <c r="K296" s="54"/>
      <c r="L296" s="54"/>
      <c r="M296" s="54"/>
    </row>
    <row r="297" spans="1:13" ht="15.4" customHeight="1" thickBot="1" x14ac:dyDescent="0.25">
      <c r="A297" s="9" t="s">
        <v>727</v>
      </c>
      <c r="B297" s="4" t="s">
        <v>728</v>
      </c>
      <c r="C297" s="4" t="s">
        <v>729</v>
      </c>
      <c r="D297" s="54" t="s">
        <v>730</v>
      </c>
      <c r="E297" s="54"/>
      <c r="F297" s="54"/>
      <c r="G297" s="54"/>
      <c r="H297" s="54"/>
      <c r="I297" s="54"/>
      <c r="J297" s="54"/>
      <c r="K297" s="19">
        <f>ROUND(709.8,2)</f>
        <v>709.8</v>
      </c>
      <c r="L297" s="20">
        <f>ROUND(0*(1+M2/100),2)</f>
        <v>0</v>
      </c>
      <c r="M297" s="20">
        <f>ROUND(K297*L297,2)</f>
        <v>0</v>
      </c>
    </row>
    <row r="298" spans="1:13" ht="21.4" customHeight="1" thickBot="1" x14ac:dyDescent="0.25">
      <c r="A298" s="21"/>
      <c r="B298" s="21"/>
      <c r="C298" s="21"/>
      <c r="D298" s="54" t="s">
        <v>731</v>
      </c>
      <c r="E298" s="54"/>
      <c r="F298" s="54"/>
      <c r="G298" s="54"/>
      <c r="H298" s="54"/>
      <c r="I298" s="54"/>
      <c r="J298" s="54"/>
      <c r="K298" s="54"/>
      <c r="L298" s="54"/>
      <c r="M298" s="54"/>
    </row>
    <row r="299" spans="1:13" ht="15.4" customHeight="1" thickBot="1" x14ac:dyDescent="0.25">
      <c r="A299" s="9" t="s">
        <v>732</v>
      </c>
      <c r="B299" s="4" t="s">
        <v>733</v>
      </c>
      <c r="C299" s="4" t="s">
        <v>734</v>
      </c>
      <c r="D299" s="54" t="s">
        <v>735</v>
      </c>
      <c r="E299" s="54"/>
      <c r="F299" s="54"/>
      <c r="G299" s="54"/>
      <c r="H299" s="54"/>
      <c r="I299" s="54"/>
      <c r="J299" s="54"/>
      <c r="K299" s="19">
        <f>ROUND(417.3,2)</f>
        <v>417.3</v>
      </c>
      <c r="L299" s="20">
        <f>ROUND(0*(1+M2/100),2)</f>
        <v>0</v>
      </c>
      <c r="M299" s="20">
        <f>ROUND(K299*L299,2)</f>
        <v>0</v>
      </c>
    </row>
    <row r="300" spans="1:13" ht="21.4" customHeight="1" thickBot="1" x14ac:dyDescent="0.25">
      <c r="A300" s="21"/>
      <c r="B300" s="21"/>
      <c r="C300" s="21"/>
      <c r="D300" s="54" t="s">
        <v>736</v>
      </c>
      <c r="E300" s="54"/>
      <c r="F300" s="54"/>
      <c r="G300" s="54"/>
      <c r="H300" s="54"/>
      <c r="I300" s="54"/>
      <c r="J300" s="54"/>
      <c r="K300" s="54"/>
      <c r="L300" s="54"/>
      <c r="M300" s="54"/>
    </row>
    <row r="301" spans="1:13" ht="15.4" customHeight="1" thickBot="1" x14ac:dyDescent="0.25">
      <c r="A301" s="9" t="s">
        <v>737</v>
      </c>
      <c r="B301" s="4" t="s">
        <v>738</v>
      </c>
      <c r="C301" s="4" t="s">
        <v>739</v>
      </c>
      <c r="D301" s="54" t="s">
        <v>740</v>
      </c>
      <c r="E301" s="54"/>
      <c r="F301" s="54"/>
      <c r="G301" s="54"/>
      <c r="H301" s="54"/>
      <c r="I301" s="54"/>
      <c r="J301" s="54"/>
      <c r="K301" s="19">
        <f>ROUND(2620.8,2)</f>
        <v>2620.8000000000002</v>
      </c>
      <c r="L301" s="20">
        <f>ROUND(0*(1+M2/100),2)</f>
        <v>0</v>
      </c>
      <c r="M301" s="20">
        <f>ROUND(K301*L301,2)</f>
        <v>0</v>
      </c>
    </row>
    <row r="302" spans="1:13" ht="30.6" customHeight="1" thickBot="1" x14ac:dyDescent="0.25">
      <c r="A302" s="21"/>
      <c r="B302" s="21"/>
      <c r="C302" s="21"/>
      <c r="D302" s="54" t="s">
        <v>741</v>
      </c>
      <c r="E302" s="54"/>
      <c r="F302" s="54"/>
      <c r="G302" s="54"/>
      <c r="H302" s="54"/>
      <c r="I302" s="54"/>
      <c r="J302" s="54"/>
      <c r="K302" s="54"/>
      <c r="L302" s="54"/>
      <c r="M302" s="54"/>
    </row>
    <row r="303" spans="1:13" ht="15.4" customHeight="1" thickBot="1" x14ac:dyDescent="0.25">
      <c r="A303" s="9" t="s">
        <v>742</v>
      </c>
      <c r="B303" s="4" t="s">
        <v>743</v>
      </c>
      <c r="C303" s="4" t="s">
        <v>744</v>
      </c>
      <c r="D303" s="54" t="s">
        <v>745</v>
      </c>
      <c r="E303" s="54"/>
      <c r="F303" s="54"/>
      <c r="G303" s="54"/>
      <c r="H303" s="54"/>
      <c r="I303" s="54"/>
      <c r="J303" s="54"/>
      <c r="K303" s="19">
        <f>ROUND(5208.9,2)</f>
        <v>5208.8999999999996</v>
      </c>
      <c r="L303" s="20">
        <f>ROUND(0*(1+M2/100),2)</f>
        <v>0</v>
      </c>
      <c r="M303" s="20">
        <f>ROUND(K303*L303,2)</f>
        <v>0</v>
      </c>
    </row>
    <row r="304" spans="1:13" ht="30.6" customHeight="1" thickBot="1" x14ac:dyDescent="0.25">
      <c r="A304" s="21"/>
      <c r="B304" s="21"/>
      <c r="C304" s="21"/>
      <c r="D304" s="54" t="s">
        <v>746</v>
      </c>
      <c r="E304" s="54"/>
      <c r="F304" s="54"/>
      <c r="G304" s="54"/>
      <c r="H304" s="54"/>
      <c r="I304" s="54"/>
      <c r="J304" s="54"/>
      <c r="K304" s="54"/>
      <c r="L304" s="54"/>
      <c r="M304" s="54"/>
    </row>
    <row r="305" spans="1:13" ht="15.4" customHeight="1" thickBot="1" x14ac:dyDescent="0.25">
      <c r="A305" s="9" t="s">
        <v>747</v>
      </c>
      <c r="B305" s="4" t="s">
        <v>748</v>
      </c>
      <c r="C305" s="4" t="s">
        <v>749</v>
      </c>
      <c r="D305" s="54" t="s">
        <v>750</v>
      </c>
      <c r="E305" s="54"/>
      <c r="F305" s="54"/>
      <c r="G305" s="54"/>
      <c r="H305" s="54"/>
      <c r="I305" s="54"/>
      <c r="J305" s="54"/>
      <c r="K305" s="19">
        <f>ROUND(846.3,2)</f>
        <v>846.3</v>
      </c>
      <c r="L305" s="20">
        <f>ROUND(0*(1+M2/100),2)</f>
        <v>0</v>
      </c>
      <c r="M305" s="20">
        <f>ROUND(K305*L305,2)</f>
        <v>0</v>
      </c>
    </row>
    <row r="306" spans="1:13" ht="30.6" customHeight="1" thickBot="1" x14ac:dyDescent="0.25">
      <c r="A306" s="21"/>
      <c r="B306" s="21"/>
      <c r="C306" s="21"/>
      <c r="D306" s="54" t="s">
        <v>751</v>
      </c>
      <c r="E306" s="54"/>
      <c r="F306" s="54"/>
      <c r="G306" s="54"/>
      <c r="H306" s="54"/>
      <c r="I306" s="54"/>
      <c r="J306" s="54"/>
      <c r="K306" s="54"/>
      <c r="L306" s="54"/>
      <c r="M306" s="54"/>
    </row>
    <row r="307" spans="1:13" ht="15.4" customHeight="1" thickBot="1" x14ac:dyDescent="0.25">
      <c r="A307" s="9" t="s">
        <v>752</v>
      </c>
      <c r="B307" s="4" t="s">
        <v>753</v>
      </c>
      <c r="C307" s="4" t="s">
        <v>754</v>
      </c>
      <c r="D307" s="54" t="s">
        <v>755</v>
      </c>
      <c r="E307" s="54"/>
      <c r="F307" s="54"/>
      <c r="G307" s="54"/>
      <c r="H307" s="54"/>
      <c r="I307" s="54"/>
      <c r="J307" s="54"/>
      <c r="K307" s="19">
        <f>ROUND(221,2)</f>
        <v>221</v>
      </c>
      <c r="L307" s="20">
        <f>ROUND(0*(1+M2/100),2)</f>
        <v>0</v>
      </c>
      <c r="M307" s="20">
        <f>ROUND(K307*L307,2)</f>
        <v>0</v>
      </c>
    </row>
    <row r="308" spans="1:13" ht="21.4" customHeight="1" thickBot="1" x14ac:dyDescent="0.25">
      <c r="A308" s="21"/>
      <c r="B308" s="21"/>
      <c r="C308" s="21"/>
      <c r="D308" s="54" t="s">
        <v>756</v>
      </c>
      <c r="E308" s="54"/>
      <c r="F308" s="54"/>
      <c r="G308" s="54"/>
      <c r="H308" s="54"/>
      <c r="I308" s="54"/>
      <c r="J308" s="54"/>
      <c r="K308" s="54"/>
      <c r="L308" s="54"/>
      <c r="M308" s="54"/>
    </row>
    <row r="309" spans="1:13" ht="15.4" customHeight="1" thickBot="1" x14ac:dyDescent="0.25">
      <c r="A309" s="9" t="s">
        <v>757</v>
      </c>
      <c r="B309" s="4" t="s">
        <v>758</v>
      </c>
      <c r="C309" s="4" t="s">
        <v>759</v>
      </c>
      <c r="D309" s="54" t="s">
        <v>760</v>
      </c>
      <c r="E309" s="54"/>
      <c r="F309" s="54"/>
      <c r="G309" s="54"/>
      <c r="H309" s="54"/>
      <c r="I309" s="54"/>
      <c r="J309" s="54"/>
      <c r="K309" s="19">
        <f>ROUND(786.5,2)</f>
        <v>786.5</v>
      </c>
      <c r="L309" s="20">
        <f>ROUND(0*(1+M2/100),2)</f>
        <v>0</v>
      </c>
      <c r="M309" s="20">
        <f>ROUND(K309*L309,2)</f>
        <v>0</v>
      </c>
    </row>
    <row r="310" spans="1:13" ht="21.4" customHeight="1" thickBot="1" x14ac:dyDescent="0.25">
      <c r="A310" s="21"/>
      <c r="B310" s="21"/>
      <c r="C310" s="21"/>
      <c r="D310" s="54" t="s">
        <v>761</v>
      </c>
      <c r="E310" s="54"/>
      <c r="F310" s="54"/>
      <c r="G310" s="54"/>
      <c r="H310" s="54"/>
      <c r="I310" s="54"/>
      <c r="J310" s="54"/>
      <c r="K310" s="54"/>
      <c r="L310" s="54"/>
      <c r="M310" s="54"/>
    </row>
    <row r="311" spans="1:13" ht="15.4" customHeight="1" thickBot="1" x14ac:dyDescent="0.25">
      <c r="A311" s="9" t="s">
        <v>762</v>
      </c>
      <c r="B311" s="4" t="s">
        <v>763</v>
      </c>
      <c r="C311" s="4" t="s">
        <v>764</v>
      </c>
      <c r="D311" s="54" t="s">
        <v>765</v>
      </c>
      <c r="E311" s="54"/>
      <c r="F311" s="54"/>
      <c r="G311" s="54"/>
      <c r="H311" s="54"/>
      <c r="I311" s="54"/>
      <c r="J311" s="54"/>
      <c r="K311" s="19">
        <f>ROUND(234,2)</f>
        <v>234</v>
      </c>
      <c r="L311" s="20">
        <f>ROUND(0*(1+M2/100),2)</f>
        <v>0</v>
      </c>
      <c r="M311" s="20">
        <f>ROUND(K311*L311,2)</f>
        <v>0</v>
      </c>
    </row>
    <row r="312" spans="1:13" ht="21.4" customHeight="1" thickBot="1" x14ac:dyDescent="0.25">
      <c r="A312" s="21"/>
      <c r="B312" s="21"/>
      <c r="C312" s="21"/>
      <c r="D312" s="54" t="s">
        <v>766</v>
      </c>
      <c r="E312" s="54"/>
      <c r="F312" s="54"/>
      <c r="G312" s="54"/>
      <c r="H312" s="54"/>
      <c r="I312" s="54"/>
      <c r="J312" s="54"/>
      <c r="K312" s="54"/>
      <c r="L312" s="54"/>
      <c r="M312" s="54"/>
    </row>
    <row r="313" spans="1:13" ht="15.4" customHeight="1" thickBot="1" x14ac:dyDescent="0.25">
      <c r="A313" s="9" t="s">
        <v>767</v>
      </c>
      <c r="B313" s="4" t="s">
        <v>768</v>
      </c>
      <c r="C313" s="4" t="s">
        <v>769</v>
      </c>
      <c r="D313" s="54" t="s">
        <v>770</v>
      </c>
      <c r="E313" s="54"/>
      <c r="F313" s="54"/>
      <c r="G313" s="54"/>
      <c r="H313" s="54"/>
      <c r="I313" s="54"/>
      <c r="J313" s="54"/>
      <c r="K313" s="19">
        <f>ROUND(903.5,2)</f>
        <v>903.5</v>
      </c>
      <c r="L313" s="20">
        <f>ROUND(0*(1+M2/100),2)</f>
        <v>0</v>
      </c>
      <c r="M313" s="20">
        <f>ROUND(K313*L313,2)</f>
        <v>0</v>
      </c>
    </row>
    <row r="314" spans="1:13" ht="30.6" customHeight="1" thickBot="1" x14ac:dyDescent="0.25">
      <c r="A314" s="21"/>
      <c r="B314" s="21"/>
      <c r="C314" s="21"/>
      <c r="D314" s="54" t="s">
        <v>771</v>
      </c>
      <c r="E314" s="54"/>
      <c r="F314" s="54"/>
      <c r="G314" s="54"/>
      <c r="H314" s="54"/>
      <c r="I314" s="54"/>
      <c r="J314" s="54"/>
      <c r="K314" s="54"/>
      <c r="L314" s="54"/>
      <c r="M314" s="54"/>
    </row>
    <row r="315" spans="1:13" ht="15.4" customHeight="1" thickBot="1" x14ac:dyDescent="0.25">
      <c r="A315" s="9" t="s">
        <v>772</v>
      </c>
      <c r="B315" s="4" t="s">
        <v>773</v>
      </c>
      <c r="C315" s="4" t="s">
        <v>774</v>
      </c>
      <c r="D315" s="54" t="s">
        <v>775</v>
      </c>
      <c r="E315" s="54"/>
      <c r="F315" s="54"/>
      <c r="G315" s="54"/>
      <c r="H315" s="54"/>
      <c r="I315" s="54"/>
      <c r="J315" s="54"/>
      <c r="K315" s="19">
        <f>ROUND(96.2,2)</f>
        <v>96.2</v>
      </c>
      <c r="L315" s="20">
        <f>ROUND(0*(1+M2/100),2)</f>
        <v>0</v>
      </c>
      <c r="M315" s="20">
        <f>ROUND(K315*L315,2)</f>
        <v>0</v>
      </c>
    </row>
    <row r="316" spans="1:13" ht="30.6" customHeight="1" thickBot="1" x14ac:dyDescent="0.25">
      <c r="A316" s="21"/>
      <c r="B316" s="21"/>
      <c r="C316" s="21"/>
      <c r="D316" s="54" t="s">
        <v>776</v>
      </c>
      <c r="E316" s="54"/>
      <c r="F316" s="54"/>
      <c r="G316" s="54"/>
      <c r="H316" s="54"/>
      <c r="I316" s="54"/>
      <c r="J316" s="54"/>
      <c r="K316" s="54"/>
      <c r="L316" s="54"/>
      <c r="M316" s="54"/>
    </row>
    <row r="317" spans="1:13" ht="15.4" customHeight="1" thickBot="1" x14ac:dyDescent="0.25">
      <c r="A317" s="9" t="s">
        <v>777</v>
      </c>
      <c r="B317" s="4" t="s">
        <v>778</v>
      </c>
      <c r="C317" s="4" t="s">
        <v>779</v>
      </c>
      <c r="D317" s="54" t="s">
        <v>780</v>
      </c>
      <c r="E317" s="54"/>
      <c r="F317" s="54"/>
      <c r="G317" s="54"/>
      <c r="H317" s="54"/>
      <c r="I317" s="54"/>
      <c r="J317" s="54"/>
      <c r="K317" s="19">
        <f>ROUND(48,2)</f>
        <v>48</v>
      </c>
      <c r="L317" s="20">
        <f>ROUND(0*(1+M2/100),2)</f>
        <v>0</v>
      </c>
      <c r="M317" s="20">
        <f>ROUND(K317*L317,2)</f>
        <v>0</v>
      </c>
    </row>
    <row r="318" spans="1:13" ht="39.75" customHeight="1" thickBot="1" x14ac:dyDescent="0.25">
      <c r="A318" s="21"/>
      <c r="B318" s="21"/>
      <c r="C318" s="21"/>
      <c r="D318" s="54" t="s">
        <v>781</v>
      </c>
      <c r="E318" s="54"/>
      <c r="F318" s="54"/>
      <c r="G318" s="54"/>
      <c r="H318" s="54"/>
      <c r="I318" s="54"/>
      <c r="J318" s="54"/>
      <c r="K318" s="54"/>
      <c r="L318" s="54"/>
      <c r="M318" s="54"/>
    </row>
    <row r="319" spans="1:13" ht="15.4" customHeight="1" thickBot="1" x14ac:dyDescent="0.25">
      <c r="A319" s="9" t="s">
        <v>782</v>
      </c>
      <c r="B319" s="4" t="s">
        <v>783</v>
      </c>
      <c r="C319" s="4" t="s">
        <v>784</v>
      </c>
      <c r="D319" s="54" t="s">
        <v>785</v>
      </c>
      <c r="E319" s="54"/>
      <c r="F319" s="54"/>
      <c r="G319" s="54"/>
      <c r="H319" s="54"/>
      <c r="I319" s="54"/>
      <c r="J319" s="54"/>
      <c r="K319" s="19">
        <f>ROUND(27,2)</f>
        <v>27</v>
      </c>
      <c r="L319" s="20">
        <f>ROUND(0*(1+M2/100),2)</f>
        <v>0</v>
      </c>
      <c r="M319" s="20">
        <f>ROUND(K319*L319,2)</f>
        <v>0</v>
      </c>
    </row>
    <row r="320" spans="1:13" ht="12.2" customHeight="1" thickBot="1" x14ac:dyDescent="0.25">
      <c r="A320" s="21"/>
      <c r="B320" s="21"/>
      <c r="C320" s="21"/>
      <c r="D320" s="54" t="s">
        <v>786</v>
      </c>
      <c r="E320" s="54"/>
      <c r="F320" s="54"/>
      <c r="G320" s="54"/>
      <c r="H320" s="54"/>
      <c r="I320" s="54"/>
      <c r="J320" s="54"/>
      <c r="K320" s="54"/>
      <c r="L320" s="54"/>
      <c r="M320" s="54"/>
    </row>
    <row r="321" spans="1:13" ht="15.4" customHeight="1" thickBot="1" x14ac:dyDescent="0.25">
      <c r="A321" s="9" t="s">
        <v>787</v>
      </c>
      <c r="B321" s="4" t="s">
        <v>788</v>
      </c>
      <c r="C321" s="4" t="s">
        <v>789</v>
      </c>
      <c r="D321" s="54" t="s">
        <v>790</v>
      </c>
      <c r="E321" s="54"/>
      <c r="F321" s="54"/>
      <c r="G321" s="54"/>
      <c r="H321" s="54"/>
      <c r="I321" s="54"/>
      <c r="J321" s="54"/>
      <c r="K321" s="19">
        <f>ROUND(19,2)</f>
        <v>19</v>
      </c>
      <c r="L321" s="20">
        <f>ROUND(0*(1+M2/100),2)</f>
        <v>0</v>
      </c>
      <c r="M321" s="20">
        <f>ROUND(K321*L321,2)</f>
        <v>0</v>
      </c>
    </row>
    <row r="322" spans="1:13" ht="21.4" customHeight="1" thickBot="1" x14ac:dyDescent="0.25">
      <c r="A322" s="21"/>
      <c r="B322" s="21"/>
      <c r="C322" s="21"/>
      <c r="D322" s="54" t="s">
        <v>791</v>
      </c>
      <c r="E322" s="54"/>
      <c r="F322" s="54"/>
      <c r="G322" s="54"/>
      <c r="H322" s="54"/>
      <c r="I322" s="54"/>
      <c r="J322" s="54"/>
      <c r="K322" s="54"/>
      <c r="L322" s="54"/>
      <c r="M322" s="54"/>
    </row>
    <row r="323" spans="1:13" ht="15.4" customHeight="1" thickBot="1" x14ac:dyDescent="0.25">
      <c r="A323" s="9" t="s">
        <v>792</v>
      </c>
      <c r="B323" s="4" t="s">
        <v>793</v>
      </c>
      <c r="C323" s="4" t="s">
        <v>794</v>
      </c>
      <c r="D323" s="54" t="s">
        <v>795</v>
      </c>
      <c r="E323" s="54"/>
      <c r="F323" s="54"/>
      <c r="G323" s="54"/>
      <c r="H323" s="54"/>
      <c r="I323" s="54"/>
      <c r="J323" s="54"/>
      <c r="K323" s="19">
        <f>ROUND(33,2)</f>
        <v>33</v>
      </c>
      <c r="L323" s="20">
        <f>ROUND(0*(1+M2/100),2)</f>
        <v>0</v>
      </c>
      <c r="M323" s="20">
        <f>ROUND(K323*L323,2)</f>
        <v>0</v>
      </c>
    </row>
    <row r="324" spans="1:13" ht="21.4" customHeight="1" thickBot="1" x14ac:dyDescent="0.25">
      <c r="A324" s="21"/>
      <c r="B324" s="21"/>
      <c r="C324" s="21"/>
      <c r="D324" s="54" t="s">
        <v>796</v>
      </c>
      <c r="E324" s="54"/>
      <c r="F324" s="54"/>
      <c r="G324" s="54"/>
      <c r="H324" s="54"/>
      <c r="I324" s="54"/>
      <c r="J324" s="54"/>
      <c r="K324" s="54"/>
      <c r="L324" s="54"/>
      <c r="M324" s="54"/>
    </row>
    <row r="325" spans="1:13" ht="15.4" customHeight="1" thickBot="1" x14ac:dyDescent="0.25">
      <c r="A325" s="9" t="s">
        <v>797</v>
      </c>
      <c r="B325" s="4" t="s">
        <v>798</v>
      </c>
      <c r="C325" s="4" t="s">
        <v>799</v>
      </c>
      <c r="D325" s="54" t="s">
        <v>800</v>
      </c>
      <c r="E325" s="54"/>
      <c r="F325" s="54"/>
      <c r="G325" s="54"/>
      <c r="H325" s="54"/>
      <c r="I325" s="54"/>
      <c r="J325" s="54"/>
      <c r="K325" s="19">
        <f>ROUND(24,2)</f>
        <v>24</v>
      </c>
      <c r="L325" s="20">
        <f>ROUND(0*(1+M2/100),2)</f>
        <v>0</v>
      </c>
      <c r="M325" s="20">
        <f>ROUND(K325*L325,2)</f>
        <v>0</v>
      </c>
    </row>
    <row r="326" spans="1:13" ht="21.4" customHeight="1" thickBot="1" x14ac:dyDescent="0.25">
      <c r="A326" s="21"/>
      <c r="B326" s="21"/>
      <c r="C326" s="21"/>
      <c r="D326" s="54" t="s">
        <v>801</v>
      </c>
      <c r="E326" s="54"/>
      <c r="F326" s="54"/>
      <c r="G326" s="54"/>
      <c r="H326" s="54"/>
      <c r="I326" s="54"/>
      <c r="J326" s="54"/>
      <c r="K326" s="54"/>
      <c r="L326" s="54"/>
      <c r="M326" s="54"/>
    </row>
    <row r="327" spans="1:13" ht="15.4" customHeight="1" thickBot="1" x14ac:dyDescent="0.25">
      <c r="A327" s="22"/>
      <c r="B327" s="22"/>
      <c r="C327" s="22"/>
      <c r="D327" s="23" t="s">
        <v>802</v>
      </c>
      <c r="E327" s="24"/>
      <c r="F327" s="24"/>
      <c r="G327" s="24"/>
      <c r="H327" s="24"/>
      <c r="I327" s="24"/>
      <c r="J327" s="24"/>
      <c r="K327" s="24"/>
      <c r="L327" s="25">
        <f>M277+M279+M281+M283+M285+M287+M289+M291+M293+M295+M297+M299+M301+M303+M305+M307+M309+M311+M313+M315+M317+M319+M321+M323+M325</f>
        <v>0</v>
      </c>
      <c r="M327" s="25">
        <f>ROUND(L327,2)</f>
        <v>0</v>
      </c>
    </row>
    <row r="328" spans="1:13" ht="15.4" customHeight="1" thickBot="1" x14ac:dyDescent="0.25">
      <c r="A328" s="33" t="s">
        <v>803</v>
      </c>
      <c r="B328" s="33" t="s">
        <v>804</v>
      </c>
      <c r="C328" s="34"/>
      <c r="D328" s="57" t="s">
        <v>805</v>
      </c>
      <c r="E328" s="57"/>
      <c r="F328" s="57"/>
      <c r="G328" s="57"/>
      <c r="H328" s="57"/>
      <c r="I328" s="57"/>
      <c r="J328" s="57"/>
      <c r="K328" s="34"/>
      <c r="L328" s="35">
        <f>L337</f>
        <v>0</v>
      </c>
      <c r="M328" s="35">
        <f>ROUND(L328,2)</f>
        <v>0</v>
      </c>
    </row>
    <row r="329" spans="1:13" ht="15.4" customHeight="1" thickBot="1" x14ac:dyDescent="0.25">
      <c r="A329" s="9" t="s">
        <v>806</v>
      </c>
      <c r="B329" s="4" t="s">
        <v>807</v>
      </c>
      <c r="C329" s="4" t="s">
        <v>808</v>
      </c>
      <c r="D329" s="54" t="s">
        <v>809</v>
      </c>
      <c r="E329" s="54"/>
      <c r="F329" s="54"/>
      <c r="G329" s="54"/>
      <c r="H329" s="54"/>
      <c r="I329" s="54"/>
      <c r="J329" s="54"/>
      <c r="K329" s="19">
        <f>ROUND(213.34,2)</f>
        <v>213.34</v>
      </c>
      <c r="L329" s="20">
        <f>ROUND(0*(1+M2/100),2)</f>
        <v>0</v>
      </c>
      <c r="M329" s="20">
        <f>ROUND(K329*L329,2)</f>
        <v>0</v>
      </c>
    </row>
    <row r="330" spans="1:13" ht="58.35" customHeight="1" thickBot="1" x14ac:dyDescent="0.25">
      <c r="A330" s="21"/>
      <c r="B330" s="21"/>
      <c r="C330" s="21"/>
      <c r="D330" s="54" t="s">
        <v>810</v>
      </c>
      <c r="E330" s="54"/>
      <c r="F330" s="54"/>
      <c r="G330" s="54"/>
      <c r="H330" s="54"/>
      <c r="I330" s="54"/>
      <c r="J330" s="54"/>
      <c r="K330" s="54"/>
      <c r="L330" s="54"/>
      <c r="M330" s="54"/>
    </row>
    <row r="331" spans="1:13" ht="15.4" customHeight="1" thickBot="1" x14ac:dyDescent="0.25">
      <c r="A331" s="9" t="s">
        <v>811</v>
      </c>
      <c r="B331" s="4" t="s">
        <v>812</v>
      </c>
      <c r="C331" s="4" t="s">
        <v>813</v>
      </c>
      <c r="D331" s="54" t="s">
        <v>814</v>
      </c>
      <c r="E331" s="54"/>
      <c r="F331" s="54"/>
      <c r="G331" s="54"/>
      <c r="H331" s="54"/>
      <c r="I331" s="54"/>
      <c r="J331" s="54"/>
      <c r="K331" s="19">
        <f>ROUND(234.67,2)</f>
        <v>234.67</v>
      </c>
      <c r="L331" s="20">
        <f>ROUND(0*(1+M2/100),2)</f>
        <v>0</v>
      </c>
      <c r="M331" s="20">
        <f>ROUND(K331*L331,2)</f>
        <v>0</v>
      </c>
    </row>
    <row r="332" spans="1:13" ht="12.2" customHeight="1" thickBot="1" x14ac:dyDescent="0.25">
      <c r="A332" s="21"/>
      <c r="B332" s="21"/>
      <c r="C332" s="21"/>
      <c r="D332" s="54" t="s">
        <v>815</v>
      </c>
      <c r="E332" s="54"/>
      <c r="F332" s="54"/>
      <c r="G332" s="54"/>
      <c r="H332" s="54"/>
      <c r="I332" s="54"/>
      <c r="J332" s="54"/>
      <c r="K332" s="54"/>
      <c r="L332" s="54"/>
      <c r="M332" s="54"/>
    </row>
    <row r="333" spans="1:13" ht="15.4" customHeight="1" thickBot="1" x14ac:dyDescent="0.25">
      <c r="A333" s="9" t="s">
        <v>816</v>
      </c>
      <c r="B333" s="4" t="s">
        <v>817</v>
      </c>
      <c r="C333" s="4" t="s">
        <v>818</v>
      </c>
      <c r="D333" s="54" t="s">
        <v>819</v>
      </c>
      <c r="E333" s="54"/>
      <c r="F333" s="54"/>
      <c r="G333" s="54"/>
      <c r="H333" s="54"/>
      <c r="I333" s="54"/>
      <c r="J333" s="54"/>
      <c r="K333" s="19">
        <f>ROUND(53.34,2)</f>
        <v>53.34</v>
      </c>
      <c r="L333" s="20">
        <f>ROUND(0*(1+M2/100),2)</f>
        <v>0</v>
      </c>
      <c r="M333" s="20">
        <f>ROUND(K333*L333,2)</f>
        <v>0</v>
      </c>
    </row>
    <row r="334" spans="1:13" ht="21.4" customHeight="1" thickBot="1" x14ac:dyDescent="0.25">
      <c r="A334" s="21"/>
      <c r="B334" s="21"/>
      <c r="C334" s="21"/>
      <c r="D334" s="54" t="s">
        <v>820</v>
      </c>
      <c r="E334" s="54"/>
      <c r="F334" s="54"/>
      <c r="G334" s="54"/>
      <c r="H334" s="54"/>
      <c r="I334" s="54"/>
      <c r="J334" s="54"/>
      <c r="K334" s="54"/>
      <c r="L334" s="54"/>
      <c r="M334" s="54"/>
    </row>
    <row r="335" spans="1:13" ht="15.4" customHeight="1" thickBot="1" x14ac:dyDescent="0.25">
      <c r="A335" s="9" t="s">
        <v>821</v>
      </c>
      <c r="B335" s="4" t="s">
        <v>822</v>
      </c>
      <c r="C335" s="4" t="s">
        <v>823</v>
      </c>
      <c r="D335" s="54" t="s">
        <v>824</v>
      </c>
      <c r="E335" s="54"/>
      <c r="F335" s="54"/>
      <c r="G335" s="54"/>
      <c r="H335" s="54"/>
      <c r="I335" s="54"/>
      <c r="J335" s="54"/>
      <c r="K335" s="19">
        <f>ROUND(22.97,2)</f>
        <v>22.97</v>
      </c>
      <c r="L335" s="20">
        <f>ROUND(0*(1+M2/100),2)</f>
        <v>0</v>
      </c>
      <c r="M335" s="20">
        <f>ROUND(K335*L335,2)</f>
        <v>0</v>
      </c>
    </row>
    <row r="336" spans="1:13" ht="39.75" customHeight="1" thickBot="1" x14ac:dyDescent="0.25">
      <c r="A336" s="21"/>
      <c r="B336" s="21"/>
      <c r="C336" s="21"/>
      <c r="D336" s="54" t="s">
        <v>825</v>
      </c>
      <c r="E336" s="54"/>
      <c r="F336" s="54"/>
      <c r="G336" s="54"/>
      <c r="H336" s="54"/>
      <c r="I336" s="54"/>
      <c r="J336" s="54"/>
      <c r="K336" s="54"/>
      <c r="L336" s="54"/>
      <c r="M336" s="54"/>
    </row>
    <row r="337" spans="1:13" ht="15.4" customHeight="1" thickBot="1" x14ac:dyDescent="0.25">
      <c r="A337" s="22"/>
      <c r="B337" s="22"/>
      <c r="C337" s="22"/>
      <c r="D337" s="23" t="s">
        <v>826</v>
      </c>
      <c r="E337" s="24"/>
      <c r="F337" s="24"/>
      <c r="G337" s="24"/>
      <c r="H337" s="24"/>
      <c r="I337" s="24"/>
      <c r="J337" s="24"/>
      <c r="K337" s="24"/>
      <c r="L337" s="25">
        <f>M329+M331+M333+M335</f>
        <v>0</v>
      </c>
      <c r="M337" s="25">
        <f>ROUND(L337,2)</f>
        <v>0</v>
      </c>
    </row>
    <row r="338" spans="1:13" ht="15.4" customHeight="1" thickBot="1" x14ac:dyDescent="0.25">
      <c r="A338" s="26"/>
      <c r="B338" s="26"/>
      <c r="C338" s="26"/>
      <c r="D338" s="27" t="s">
        <v>827</v>
      </c>
      <c r="E338" s="28"/>
      <c r="F338" s="28"/>
      <c r="G338" s="28"/>
      <c r="H338" s="28"/>
      <c r="I338" s="28"/>
      <c r="J338" s="28"/>
      <c r="K338" s="28"/>
      <c r="L338" s="29">
        <f>M231+M255+M275+M327+M337</f>
        <v>0</v>
      </c>
      <c r="M338" s="29">
        <f>ROUND(L338,2)</f>
        <v>0</v>
      </c>
    </row>
    <row r="339" spans="1:13" ht="15.4" customHeight="1" thickBot="1" x14ac:dyDescent="0.25">
      <c r="A339" s="30" t="s">
        <v>828</v>
      </c>
      <c r="B339" s="30" t="s">
        <v>829</v>
      </c>
      <c r="C339" s="31"/>
      <c r="D339" s="55" t="s">
        <v>830</v>
      </c>
      <c r="E339" s="55"/>
      <c r="F339" s="55"/>
      <c r="G339" s="55"/>
      <c r="H339" s="55"/>
      <c r="I339" s="55"/>
      <c r="J339" s="55"/>
      <c r="K339" s="31"/>
      <c r="L339" s="32">
        <f>L358</f>
        <v>0</v>
      </c>
      <c r="M339" s="32">
        <f>ROUND(L339,2)</f>
        <v>0</v>
      </c>
    </row>
    <row r="340" spans="1:13" ht="15.4" customHeight="1" thickBot="1" x14ac:dyDescent="0.25">
      <c r="A340" s="9" t="s">
        <v>831</v>
      </c>
      <c r="B340" s="4" t="s">
        <v>832</v>
      </c>
      <c r="C340" s="4" t="s">
        <v>833</v>
      </c>
      <c r="D340" s="54" t="s">
        <v>834</v>
      </c>
      <c r="E340" s="54"/>
      <c r="F340" s="54"/>
      <c r="G340" s="54"/>
      <c r="H340" s="54"/>
      <c r="I340" s="54"/>
      <c r="J340" s="54"/>
      <c r="K340" s="19">
        <f>ROUND(227.5,2)</f>
        <v>227.5</v>
      </c>
      <c r="L340" s="20">
        <f>ROUND(0*(1+M2/100),2)</f>
        <v>0</v>
      </c>
      <c r="M340" s="20">
        <f>ROUND(K340*L340,2)</f>
        <v>0</v>
      </c>
    </row>
    <row r="341" spans="1:13" ht="21.4" customHeight="1" thickBot="1" x14ac:dyDescent="0.25">
      <c r="A341" s="21"/>
      <c r="B341" s="21"/>
      <c r="C341" s="21"/>
      <c r="D341" s="54" t="s">
        <v>835</v>
      </c>
      <c r="E341" s="54"/>
      <c r="F341" s="54"/>
      <c r="G341" s="54"/>
      <c r="H341" s="54"/>
      <c r="I341" s="54"/>
      <c r="J341" s="54"/>
      <c r="K341" s="54"/>
      <c r="L341" s="54"/>
      <c r="M341" s="54"/>
    </row>
    <row r="342" spans="1:13" ht="15.4" customHeight="1" thickBot="1" x14ac:dyDescent="0.25">
      <c r="A342" s="9" t="s">
        <v>836</v>
      </c>
      <c r="B342" s="4" t="s">
        <v>837</v>
      </c>
      <c r="C342" s="4" t="s">
        <v>838</v>
      </c>
      <c r="D342" s="54" t="s">
        <v>839</v>
      </c>
      <c r="E342" s="54"/>
      <c r="F342" s="54"/>
      <c r="G342" s="54"/>
      <c r="H342" s="54"/>
      <c r="I342" s="54"/>
      <c r="J342" s="54"/>
      <c r="K342" s="19">
        <f>ROUND(3101.8,2)</f>
        <v>3101.8</v>
      </c>
      <c r="L342" s="20">
        <f>ROUND(0*(1+M2/100),2)</f>
        <v>0</v>
      </c>
      <c r="M342" s="20">
        <f>ROUND(K342*L342,2)</f>
        <v>0</v>
      </c>
    </row>
    <row r="343" spans="1:13" ht="21.4" customHeight="1" thickBot="1" x14ac:dyDescent="0.25">
      <c r="A343" s="21"/>
      <c r="B343" s="21"/>
      <c r="C343" s="21"/>
      <c r="D343" s="54" t="s">
        <v>840</v>
      </c>
      <c r="E343" s="54"/>
      <c r="F343" s="54"/>
      <c r="G343" s="54"/>
      <c r="H343" s="54"/>
      <c r="I343" s="54"/>
      <c r="J343" s="54"/>
      <c r="K343" s="54"/>
      <c r="L343" s="54"/>
      <c r="M343" s="54"/>
    </row>
    <row r="344" spans="1:13" ht="15.4" customHeight="1" thickBot="1" x14ac:dyDescent="0.25">
      <c r="A344" s="9" t="s">
        <v>841</v>
      </c>
      <c r="B344" s="4" t="s">
        <v>842</v>
      </c>
      <c r="C344" s="4" t="s">
        <v>843</v>
      </c>
      <c r="D344" s="54" t="s">
        <v>844</v>
      </c>
      <c r="E344" s="54"/>
      <c r="F344" s="54"/>
      <c r="G344" s="54"/>
      <c r="H344" s="54"/>
      <c r="I344" s="54"/>
      <c r="J344" s="54"/>
      <c r="K344" s="19">
        <f>ROUND(28,2)</f>
        <v>28</v>
      </c>
      <c r="L344" s="20">
        <f>ROUND(0*(1+M2/100),2)</f>
        <v>0</v>
      </c>
      <c r="M344" s="20">
        <f>ROUND(K344*L344,2)</f>
        <v>0</v>
      </c>
    </row>
    <row r="345" spans="1:13" ht="21.4" customHeight="1" thickBot="1" x14ac:dyDescent="0.25">
      <c r="A345" s="21"/>
      <c r="B345" s="21"/>
      <c r="C345" s="21"/>
      <c r="D345" s="54" t="s">
        <v>845</v>
      </c>
      <c r="E345" s="54"/>
      <c r="F345" s="54"/>
      <c r="G345" s="54"/>
      <c r="H345" s="54"/>
      <c r="I345" s="54"/>
      <c r="J345" s="54"/>
      <c r="K345" s="54"/>
      <c r="L345" s="54"/>
      <c r="M345" s="54"/>
    </row>
    <row r="346" spans="1:13" ht="15.4" customHeight="1" thickBot="1" x14ac:dyDescent="0.25">
      <c r="A346" s="9" t="s">
        <v>846</v>
      </c>
      <c r="B346" s="4" t="s">
        <v>847</v>
      </c>
      <c r="C346" s="4" t="s">
        <v>848</v>
      </c>
      <c r="D346" s="54" t="s">
        <v>849</v>
      </c>
      <c r="E346" s="54"/>
      <c r="F346" s="54"/>
      <c r="G346" s="54"/>
      <c r="H346" s="54"/>
      <c r="I346" s="54"/>
      <c r="J346" s="54"/>
      <c r="K346" s="19">
        <f>ROUND(28,2)</f>
        <v>28</v>
      </c>
      <c r="L346" s="20">
        <f>ROUND(0*(1+M2/100),2)</f>
        <v>0</v>
      </c>
      <c r="M346" s="20">
        <f>ROUND(K346*L346,2)</f>
        <v>0</v>
      </c>
    </row>
    <row r="347" spans="1:13" ht="12.2" customHeight="1" thickBot="1" x14ac:dyDescent="0.25">
      <c r="A347" s="21"/>
      <c r="B347" s="21"/>
      <c r="C347" s="21"/>
      <c r="D347" s="54" t="s">
        <v>850</v>
      </c>
      <c r="E347" s="54"/>
      <c r="F347" s="54"/>
      <c r="G347" s="54"/>
      <c r="H347" s="54"/>
      <c r="I347" s="54"/>
      <c r="J347" s="54"/>
      <c r="K347" s="54"/>
      <c r="L347" s="54"/>
      <c r="M347" s="54"/>
    </row>
    <row r="348" spans="1:13" ht="15.4" customHeight="1" thickBot="1" x14ac:dyDescent="0.25">
      <c r="A348" s="9" t="s">
        <v>851</v>
      </c>
      <c r="B348" s="4" t="s">
        <v>852</v>
      </c>
      <c r="C348" s="4" t="s">
        <v>853</v>
      </c>
      <c r="D348" s="54" t="s">
        <v>854</v>
      </c>
      <c r="E348" s="54"/>
      <c r="F348" s="54"/>
      <c r="G348" s="54"/>
      <c r="H348" s="54"/>
      <c r="I348" s="54"/>
      <c r="J348" s="54"/>
      <c r="K348" s="19">
        <f>ROUND(1,2)</f>
        <v>1</v>
      </c>
      <c r="L348" s="20">
        <f>ROUND(0*(1+M2/100),2)</f>
        <v>0</v>
      </c>
      <c r="M348" s="20">
        <f>ROUND(K348*L348,2)</f>
        <v>0</v>
      </c>
    </row>
    <row r="349" spans="1:13" ht="21.4" customHeight="1" thickBot="1" x14ac:dyDescent="0.25">
      <c r="A349" s="21"/>
      <c r="B349" s="21"/>
      <c r="C349" s="21"/>
      <c r="D349" s="54" t="s">
        <v>855</v>
      </c>
      <c r="E349" s="54"/>
      <c r="F349" s="54"/>
      <c r="G349" s="54"/>
      <c r="H349" s="54"/>
      <c r="I349" s="54"/>
      <c r="J349" s="54"/>
      <c r="K349" s="54"/>
      <c r="L349" s="54"/>
      <c r="M349" s="54"/>
    </row>
    <row r="350" spans="1:13" ht="15.4" customHeight="1" thickBot="1" x14ac:dyDescent="0.25">
      <c r="A350" s="9" t="s">
        <v>856</v>
      </c>
      <c r="B350" s="4" t="s">
        <v>857</v>
      </c>
      <c r="C350" s="4" t="s">
        <v>858</v>
      </c>
      <c r="D350" s="54" t="s">
        <v>859</v>
      </c>
      <c r="E350" s="54"/>
      <c r="F350" s="54"/>
      <c r="G350" s="54"/>
      <c r="H350" s="54"/>
      <c r="I350" s="54"/>
      <c r="J350" s="54"/>
      <c r="K350" s="19">
        <f>ROUND(28,2)</f>
        <v>28</v>
      </c>
      <c r="L350" s="20">
        <f>ROUND(0*(1+M2/100),2)</f>
        <v>0</v>
      </c>
      <c r="M350" s="20">
        <f>ROUND(K350*L350,2)</f>
        <v>0</v>
      </c>
    </row>
    <row r="351" spans="1:13" ht="21.4" customHeight="1" thickBot="1" x14ac:dyDescent="0.25">
      <c r="A351" s="21"/>
      <c r="B351" s="21"/>
      <c r="C351" s="21"/>
      <c r="D351" s="54" t="s">
        <v>860</v>
      </c>
      <c r="E351" s="54"/>
      <c r="F351" s="54"/>
      <c r="G351" s="54"/>
      <c r="H351" s="54"/>
      <c r="I351" s="54"/>
      <c r="J351" s="54"/>
      <c r="K351" s="54"/>
      <c r="L351" s="54"/>
      <c r="M351" s="54"/>
    </row>
    <row r="352" spans="1:13" ht="15.4" customHeight="1" thickBot="1" x14ac:dyDescent="0.25">
      <c r="A352" s="9" t="s">
        <v>861</v>
      </c>
      <c r="B352" s="4" t="s">
        <v>862</v>
      </c>
      <c r="C352" s="4" t="s">
        <v>863</v>
      </c>
      <c r="D352" s="54" t="s">
        <v>864</v>
      </c>
      <c r="E352" s="54"/>
      <c r="F352" s="54"/>
      <c r="G352" s="54"/>
      <c r="H352" s="54"/>
      <c r="I352" s="54"/>
      <c r="J352" s="54"/>
      <c r="K352" s="19">
        <f>ROUND(28,2)</f>
        <v>28</v>
      </c>
      <c r="L352" s="20">
        <f>ROUND(0*(1+M2/100),2)</f>
        <v>0</v>
      </c>
      <c r="M352" s="20">
        <f>ROUND(K352*L352,2)</f>
        <v>0</v>
      </c>
    </row>
    <row r="353" spans="1:13" ht="12.2" customHeight="1" thickBot="1" x14ac:dyDescent="0.25">
      <c r="A353" s="21"/>
      <c r="B353" s="21"/>
      <c r="C353" s="21"/>
      <c r="D353" s="54" t="s">
        <v>865</v>
      </c>
      <c r="E353" s="54"/>
      <c r="F353" s="54"/>
      <c r="G353" s="54"/>
      <c r="H353" s="54"/>
      <c r="I353" s="54"/>
      <c r="J353" s="54"/>
      <c r="K353" s="54"/>
      <c r="L353" s="54"/>
      <c r="M353" s="54"/>
    </row>
    <row r="354" spans="1:13" ht="15.4" customHeight="1" thickBot="1" x14ac:dyDescent="0.25">
      <c r="A354" s="9" t="s">
        <v>866</v>
      </c>
      <c r="B354" s="4" t="s">
        <v>867</v>
      </c>
      <c r="C354" s="4" t="s">
        <v>868</v>
      </c>
      <c r="D354" s="54" t="s">
        <v>869</v>
      </c>
      <c r="E354" s="54"/>
      <c r="F354" s="54"/>
      <c r="G354" s="54"/>
      <c r="H354" s="54"/>
      <c r="I354" s="54"/>
      <c r="J354" s="54"/>
      <c r="K354" s="19">
        <f>ROUND(2,2)</f>
        <v>2</v>
      </c>
      <c r="L354" s="20">
        <f>ROUND(0*(1+M2/100),2)</f>
        <v>0</v>
      </c>
      <c r="M354" s="20">
        <f>ROUND(K354*L354,2)</f>
        <v>0</v>
      </c>
    </row>
    <row r="355" spans="1:13" ht="21.4" customHeight="1" thickBot="1" x14ac:dyDescent="0.25">
      <c r="A355" s="21"/>
      <c r="B355" s="21"/>
      <c r="C355" s="21"/>
      <c r="D355" s="54" t="s">
        <v>870</v>
      </c>
      <c r="E355" s="54"/>
      <c r="F355" s="54"/>
      <c r="G355" s="54"/>
      <c r="H355" s="54"/>
      <c r="I355" s="54"/>
      <c r="J355" s="54"/>
      <c r="K355" s="54"/>
      <c r="L355" s="54"/>
      <c r="M355" s="54"/>
    </row>
    <row r="356" spans="1:13" ht="15.4" customHeight="1" thickBot="1" x14ac:dyDescent="0.25">
      <c r="A356" s="9" t="s">
        <v>871</v>
      </c>
      <c r="B356" s="4" t="s">
        <v>872</v>
      </c>
      <c r="C356" s="4" t="s">
        <v>873</v>
      </c>
      <c r="D356" s="54" t="s">
        <v>874</v>
      </c>
      <c r="E356" s="54"/>
      <c r="F356" s="54"/>
      <c r="G356" s="54"/>
      <c r="H356" s="54"/>
      <c r="I356" s="54"/>
      <c r="J356" s="54"/>
      <c r="K356" s="19">
        <f>ROUND(769.6,2)</f>
        <v>769.6</v>
      </c>
      <c r="L356" s="20">
        <f>ROUND(0*(1+M2/100),2)</f>
        <v>0</v>
      </c>
      <c r="M356" s="20">
        <f>ROUND(K356*L356,2)</f>
        <v>0</v>
      </c>
    </row>
    <row r="357" spans="1:13" ht="21.4" customHeight="1" thickBot="1" x14ac:dyDescent="0.25">
      <c r="A357" s="21"/>
      <c r="B357" s="21"/>
      <c r="C357" s="21"/>
      <c r="D357" s="54" t="s">
        <v>875</v>
      </c>
      <c r="E357" s="54"/>
      <c r="F357" s="54"/>
      <c r="G357" s="54"/>
      <c r="H357" s="54"/>
      <c r="I357" s="54"/>
      <c r="J357" s="54"/>
      <c r="K357" s="54"/>
      <c r="L357" s="54"/>
      <c r="M357" s="54"/>
    </row>
    <row r="358" spans="1:13" ht="15.4" customHeight="1" thickBot="1" x14ac:dyDescent="0.25">
      <c r="A358" s="22"/>
      <c r="B358" s="22"/>
      <c r="C358" s="22"/>
      <c r="D358" s="36" t="s">
        <v>876</v>
      </c>
      <c r="E358" s="37"/>
      <c r="F358" s="37"/>
      <c r="G358" s="37"/>
      <c r="H358" s="37"/>
      <c r="I358" s="37"/>
      <c r="J358" s="37"/>
      <c r="K358" s="37"/>
      <c r="L358" s="38">
        <f>M340+M342+M344+M346+M348+M350+M352+M354+M356</f>
        <v>0</v>
      </c>
      <c r="M358" s="38">
        <f>ROUND(L358,2)</f>
        <v>0</v>
      </c>
    </row>
    <row r="359" spans="1:13" ht="15.4" customHeight="1" thickBot="1" x14ac:dyDescent="0.25">
      <c r="A359" s="30" t="s">
        <v>877</v>
      </c>
      <c r="B359" s="30" t="s">
        <v>878</v>
      </c>
      <c r="C359" s="31"/>
      <c r="D359" s="55" t="s">
        <v>879</v>
      </c>
      <c r="E359" s="55"/>
      <c r="F359" s="55"/>
      <c r="G359" s="55"/>
      <c r="H359" s="55"/>
      <c r="I359" s="55"/>
      <c r="J359" s="55"/>
      <c r="K359" s="31"/>
      <c r="L359" s="32">
        <f>L414</f>
        <v>0</v>
      </c>
      <c r="M359" s="32">
        <f>ROUND(L359,2)</f>
        <v>0</v>
      </c>
    </row>
    <row r="360" spans="1:13" ht="15.4" customHeight="1" thickBot="1" x14ac:dyDescent="0.25">
      <c r="A360" s="16" t="s">
        <v>880</v>
      </c>
      <c r="B360" s="16" t="s">
        <v>881</v>
      </c>
      <c r="C360" s="17"/>
      <c r="D360" s="59" t="s">
        <v>882</v>
      </c>
      <c r="E360" s="59"/>
      <c r="F360" s="59"/>
      <c r="G360" s="59"/>
      <c r="H360" s="59"/>
      <c r="I360" s="59"/>
      <c r="J360" s="59"/>
      <c r="K360" s="17"/>
      <c r="L360" s="18">
        <f>L365</f>
        <v>0</v>
      </c>
      <c r="M360" s="18">
        <f>ROUND(L360,2)</f>
        <v>0</v>
      </c>
    </row>
    <row r="361" spans="1:13" ht="15.4" customHeight="1" thickBot="1" x14ac:dyDescent="0.25">
      <c r="A361" s="39" t="s">
        <v>883</v>
      </c>
      <c r="B361" s="39" t="s">
        <v>884</v>
      </c>
      <c r="C361" s="40"/>
      <c r="D361" s="58" t="s">
        <v>885</v>
      </c>
      <c r="E361" s="58"/>
      <c r="F361" s="58"/>
      <c r="G361" s="58"/>
      <c r="H361" s="58"/>
      <c r="I361" s="58"/>
      <c r="J361" s="58"/>
      <c r="K361" s="40"/>
      <c r="L361" s="41">
        <f>L364</f>
        <v>0</v>
      </c>
      <c r="M361" s="41">
        <f>ROUND(L361,2)</f>
        <v>0</v>
      </c>
    </row>
    <row r="362" spans="1:13" ht="15.4" customHeight="1" thickBot="1" x14ac:dyDescent="0.25">
      <c r="A362" s="9" t="s">
        <v>886</v>
      </c>
      <c r="B362" s="4" t="s">
        <v>887</v>
      </c>
      <c r="C362" s="4" t="s">
        <v>888</v>
      </c>
      <c r="D362" s="54" t="s">
        <v>889</v>
      </c>
      <c r="E362" s="54"/>
      <c r="F362" s="54"/>
      <c r="G362" s="54"/>
      <c r="H362" s="54"/>
      <c r="I362" s="54"/>
      <c r="J362" s="54"/>
      <c r="K362" s="19">
        <f>ROUND(2,2)</f>
        <v>2</v>
      </c>
      <c r="L362" s="20">
        <f>ROUND(0*(1+M2/100),2)</f>
        <v>0</v>
      </c>
      <c r="M362" s="20">
        <f>ROUND(K362*L362,2)</f>
        <v>0</v>
      </c>
    </row>
    <row r="363" spans="1:13" ht="12.2" customHeight="1" thickBot="1" x14ac:dyDescent="0.25">
      <c r="A363" s="21"/>
      <c r="B363" s="21"/>
      <c r="C363" s="21"/>
      <c r="D363" s="54" t="s">
        <v>890</v>
      </c>
      <c r="E363" s="54"/>
      <c r="F363" s="54"/>
      <c r="G363" s="54"/>
      <c r="H363" s="54"/>
      <c r="I363" s="54"/>
      <c r="J363" s="54"/>
      <c r="K363" s="54"/>
      <c r="L363" s="54"/>
      <c r="M363" s="54"/>
    </row>
    <row r="364" spans="1:13" ht="15.4" customHeight="1" thickBot="1" x14ac:dyDescent="0.25">
      <c r="A364" s="22"/>
      <c r="B364" s="22"/>
      <c r="C364" s="22"/>
      <c r="D364" s="42" t="s">
        <v>891</v>
      </c>
      <c r="E364" s="43"/>
      <c r="F364" s="43"/>
      <c r="G364" s="43"/>
      <c r="H364" s="43"/>
      <c r="I364" s="43"/>
      <c r="J364" s="43"/>
      <c r="K364" s="43"/>
      <c r="L364" s="44">
        <f>M362</f>
        <v>0</v>
      </c>
      <c r="M364" s="44">
        <f>ROUND(L364,2)</f>
        <v>0</v>
      </c>
    </row>
    <row r="365" spans="1:13" ht="15.4" customHeight="1" thickBot="1" x14ac:dyDescent="0.25">
      <c r="A365" s="26"/>
      <c r="B365" s="26"/>
      <c r="C365" s="26"/>
      <c r="D365" s="45" t="s">
        <v>892</v>
      </c>
      <c r="E365" s="46"/>
      <c r="F365" s="46"/>
      <c r="G365" s="46"/>
      <c r="H365" s="46"/>
      <c r="I365" s="46"/>
      <c r="J365" s="46"/>
      <c r="K365" s="46"/>
      <c r="L365" s="47">
        <f>M364</f>
        <v>0</v>
      </c>
      <c r="M365" s="47">
        <f>ROUND(L365,2)</f>
        <v>0</v>
      </c>
    </row>
    <row r="366" spans="1:13" ht="15.4" customHeight="1" thickBot="1" x14ac:dyDescent="0.25">
      <c r="A366" s="33" t="s">
        <v>893</v>
      </c>
      <c r="B366" s="33" t="s">
        <v>894</v>
      </c>
      <c r="C366" s="34"/>
      <c r="D366" s="57" t="s">
        <v>895</v>
      </c>
      <c r="E366" s="57"/>
      <c r="F366" s="57"/>
      <c r="G366" s="57"/>
      <c r="H366" s="57"/>
      <c r="I366" s="57"/>
      <c r="J366" s="57"/>
      <c r="K366" s="34"/>
      <c r="L366" s="35">
        <f>L395</f>
        <v>0</v>
      </c>
      <c r="M366" s="35">
        <f>ROUND(L366,2)</f>
        <v>0</v>
      </c>
    </row>
    <row r="367" spans="1:13" ht="15.4" customHeight="1" thickBot="1" x14ac:dyDescent="0.25">
      <c r="A367" s="39" t="s">
        <v>896</v>
      </c>
      <c r="B367" s="39" t="s">
        <v>897</v>
      </c>
      <c r="C367" s="40"/>
      <c r="D367" s="58" t="s">
        <v>898</v>
      </c>
      <c r="E367" s="58"/>
      <c r="F367" s="58"/>
      <c r="G367" s="58"/>
      <c r="H367" s="58"/>
      <c r="I367" s="58"/>
      <c r="J367" s="58"/>
      <c r="K367" s="40"/>
      <c r="L367" s="41">
        <f>L372</f>
        <v>0</v>
      </c>
      <c r="M367" s="41">
        <f>ROUND(L367,2)</f>
        <v>0</v>
      </c>
    </row>
    <row r="368" spans="1:13" ht="15.4" customHeight="1" thickBot="1" x14ac:dyDescent="0.25">
      <c r="A368" s="9" t="s">
        <v>899</v>
      </c>
      <c r="B368" s="4" t="s">
        <v>900</v>
      </c>
      <c r="C368" s="4" t="s">
        <v>901</v>
      </c>
      <c r="D368" s="54" t="s">
        <v>902</v>
      </c>
      <c r="E368" s="54"/>
      <c r="F368" s="54"/>
      <c r="G368" s="54"/>
      <c r="H368" s="54"/>
      <c r="I368" s="54"/>
      <c r="J368" s="54"/>
      <c r="K368" s="19">
        <f>ROUND(2,2)</f>
        <v>2</v>
      </c>
      <c r="L368" s="20">
        <f>ROUND(0*(1+M2/100),2)</f>
        <v>0</v>
      </c>
      <c r="M368" s="20">
        <f>ROUND(K368*L368,2)</f>
        <v>0</v>
      </c>
    </row>
    <row r="369" spans="1:13" ht="30.6" customHeight="1" thickBot="1" x14ac:dyDescent="0.25">
      <c r="A369" s="21"/>
      <c r="B369" s="21"/>
      <c r="C369" s="21"/>
      <c r="D369" s="54" t="s">
        <v>903</v>
      </c>
      <c r="E369" s="54"/>
      <c r="F369" s="54"/>
      <c r="G369" s="54"/>
      <c r="H369" s="54"/>
      <c r="I369" s="54"/>
      <c r="J369" s="54"/>
      <c r="K369" s="54"/>
      <c r="L369" s="54"/>
      <c r="M369" s="54"/>
    </row>
    <row r="370" spans="1:13" ht="15.4" customHeight="1" thickBot="1" x14ac:dyDescent="0.25">
      <c r="A370" s="9" t="s">
        <v>904</v>
      </c>
      <c r="B370" s="4" t="s">
        <v>905</v>
      </c>
      <c r="C370" s="4" t="s">
        <v>906</v>
      </c>
      <c r="D370" s="54" t="s">
        <v>907</v>
      </c>
      <c r="E370" s="54"/>
      <c r="F370" s="54"/>
      <c r="G370" s="54"/>
      <c r="H370" s="54"/>
      <c r="I370" s="54"/>
      <c r="J370" s="54"/>
      <c r="K370" s="19">
        <f>ROUND(1,2)</f>
        <v>1</v>
      </c>
      <c r="L370" s="20">
        <f>ROUND(0*(1+M2/100),2)</f>
        <v>0</v>
      </c>
      <c r="M370" s="20">
        <f>ROUND(K370*L370,2)</f>
        <v>0</v>
      </c>
    </row>
    <row r="371" spans="1:13" ht="86.1" customHeight="1" thickBot="1" x14ac:dyDescent="0.25">
      <c r="A371" s="21"/>
      <c r="B371" s="21"/>
      <c r="C371" s="21"/>
      <c r="D371" s="54" t="s">
        <v>908</v>
      </c>
      <c r="E371" s="54"/>
      <c r="F371" s="54"/>
      <c r="G371" s="54"/>
      <c r="H371" s="54"/>
      <c r="I371" s="54"/>
      <c r="J371" s="54"/>
      <c r="K371" s="54"/>
      <c r="L371" s="54"/>
      <c r="M371" s="54"/>
    </row>
    <row r="372" spans="1:13" ht="15.4" customHeight="1" thickBot="1" x14ac:dyDescent="0.25">
      <c r="A372" s="22"/>
      <c r="B372" s="22"/>
      <c r="C372" s="22"/>
      <c r="D372" s="42" t="s">
        <v>909</v>
      </c>
      <c r="E372" s="43"/>
      <c r="F372" s="43"/>
      <c r="G372" s="43"/>
      <c r="H372" s="43"/>
      <c r="I372" s="43"/>
      <c r="J372" s="43"/>
      <c r="K372" s="43"/>
      <c r="L372" s="44">
        <f>M368+M370</f>
        <v>0</v>
      </c>
      <c r="M372" s="44">
        <f>ROUND(L372,2)</f>
        <v>0</v>
      </c>
    </row>
    <row r="373" spans="1:13" ht="15.4" customHeight="1" thickBot="1" x14ac:dyDescent="0.25">
      <c r="A373" s="48" t="s">
        <v>910</v>
      </c>
      <c r="B373" s="48" t="s">
        <v>911</v>
      </c>
      <c r="C373" s="49"/>
      <c r="D373" s="56" t="s">
        <v>912</v>
      </c>
      <c r="E373" s="56"/>
      <c r="F373" s="56"/>
      <c r="G373" s="56"/>
      <c r="H373" s="56"/>
      <c r="I373" s="56"/>
      <c r="J373" s="56"/>
      <c r="K373" s="49"/>
      <c r="L373" s="50">
        <f>L388</f>
        <v>0</v>
      </c>
      <c r="M373" s="50">
        <f>ROUND(L373,2)</f>
        <v>0</v>
      </c>
    </row>
    <row r="374" spans="1:13" ht="15.4" customHeight="1" thickBot="1" x14ac:dyDescent="0.25">
      <c r="A374" s="9" t="s">
        <v>913</v>
      </c>
      <c r="B374" s="4" t="s">
        <v>914</v>
      </c>
      <c r="C374" s="4" t="s">
        <v>915</v>
      </c>
      <c r="D374" s="54" t="s">
        <v>916</v>
      </c>
      <c r="E374" s="54"/>
      <c r="F374" s="54"/>
      <c r="G374" s="54"/>
      <c r="H374" s="54"/>
      <c r="I374" s="54"/>
      <c r="J374" s="54"/>
      <c r="K374" s="19">
        <f>ROUND(2,2)</f>
        <v>2</v>
      </c>
      <c r="L374" s="20">
        <f>ROUND(0*(1+M2/100),2)</f>
        <v>0</v>
      </c>
      <c r="M374" s="20">
        <f>ROUND(K374*L374,2)</f>
        <v>0</v>
      </c>
    </row>
    <row r="375" spans="1:13" ht="123" customHeight="1" thickBot="1" x14ac:dyDescent="0.25">
      <c r="A375" s="21"/>
      <c r="B375" s="21"/>
      <c r="C375" s="21"/>
      <c r="D375" s="54" t="s">
        <v>917</v>
      </c>
      <c r="E375" s="54"/>
      <c r="F375" s="54"/>
      <c r="G375" s="54"/>
      <c r="H375" s="54"/>
      <c r="I375" s="54"/>
      <c r="J375" s="54"/>
      <c r="K375" s="54"/>
      <c r="L375" s="54"/>
      <c r="M375" s="54"/>
    </row>
    <row r="376" spans="1:13" ht="15.4" customHeight="1" thickBot="1" x14ac:dyDescent="0.25">
      <c r="A376" s="9" t="s">
        <v>918</v>
      </c>
      <c r="B376" s="4" t="s">
        <v>919</v>
      </c>
      <c r="C376" s="4" t="s">
        <v>920</v>
      </c>
      <c r="D376" s="54" t="s">
        <v>921</v>
      </c>
      <c r="E376" s="54"/>
      <c r="F376" s="54"/>
      <c r="G376" s="54"/>
      <c r="H376" s="54"/>
      <c r="I376" s="54"/>
      <c r="J376" s="54"/>
      <c r="K376" s="19">
        <f>ROUND(1,2)</f>
        <v>1</v>
      </c>
      <c r="L376" s="20">
        <f>ROUND(0*(1+M2/100),2)</f>
        <v>0</v>
      </c>
      <c r="M376" s="20">
        <f>ROUND(K376*L376,2)</f>
        <v>0</v>
      </c>
    </row>
    <row r="377" spans="1:13" ht="30.6" customHeight="1" thickBot="1" x14ac:dyDescent="0.25">
      <c r="A377" s="21"/>
      <c r="B377" s="21"/>
      <c r="C377" s="21"/>
      <c r="D377" s="54" t="s">
        <v>922</v>
      </c>
      <c r="E377" s="54"/>
      <c r="F377" s="54"/>
      <c r="G377" s="54"/>
      <c r="H377" s="54"/>
      <c r="I377" s="54"/>
      <c r="J377" s="54"/>
      <c r="K377" s="54"/>
      <c r="L377" s="54"/>
      <c r="M377" s="54"/>
    </row>
    <row r="378" spans="1:13" ht="15.4" customHeight="1" thickBot="1" x14ac:dyDescent="0.25">
      <c r="A378" s="9" t="s">
        <v>923</v>
      </c>
      <c r="B378" s="4" t="s">
        <v>924</v>
      </c>
      <c r="C378" s="4" t="s">
        <v>925</v>
      </c>
      <c r="D378" s="54" t="s">
        <v>926</v>
      </c>
      <c r="E378" s="54"/>
      <c r="F378" s="54"/>
      <c r="G378" s="54"/>
      <c r="H378" s="54"/>
      <c r="I378" s="54"/>
      <c r="J378" s="54"/>
      <c r="K378" s="19">
        <f>ROUND(2,2)</f>
        <v>2</v>
      </c>
      <c r="L378" s="20">
        <f>ROUND(0*(1+M2/100),2)</f>
        <v>0</v>
      </c>
      <c r="M378" s="20">
        <f>ROUND(K378*L378,2)</f>
        <v>0</v>
      </c>
    </row>
    <row r="379" spans="1:13" ht="113.85" customHeight="1" thickBot="1" x14ac:dyDescent="0.25">
      <c r="A379" s="21"/>
      <c r="B379" s="21"/>
      <c r="C379" s="21"/>
      <c r="D379" s="54" t="s">
        <v>927</v>
      </c>
      <c r="E379" s="54"/>
      <c r="F379" s="54"/>
      <c r="G379" s="54"/>
      <c r="H379" s="54"/>
      <c r="I379" s="54"/>
      <c r="J379" s="54"/>
      <c r="K379" s="54"/>
      <c r="L379" s="54"/>
      <c r="M379" s="54"/>
    </row>
    <row r="380" spans="1:13" ht="15.4" customHeight="1" thickBot="1" x14ac:dyDescent="0.25">
      <c r="A380" s="9" t="s">
        <v>928</v>
      </c>
      <c r="B380" s="4" t="s">
        <v>929</v>
      </c>
      <c r="C380" s="4" t="s">
        <v>930</v>
      </c>
      <c r="D380" s="54" t="s">
        <v>931</v>
      </c>
      <c r="E380" s="54"/>
      <c r="F380" s="54"/>
      <c r="G380" s="54"/>
      <c r="H380" s="54"/>
      <c r="I380" s="54"/>
      <c r="J380" s="54"/>
      <c r="K380" s="19">
        <f>ROUND(18,2)</f>
        <v>18</v>
      </c>
      <c r="L380" s="20">
        <f>ROUND(0*(1+M2/100),2)</f>
        <v>0</v>
      </c>
      <c r="M380" s="20">
        <f>ROUND(K380*L380,2)</f>
        <v>0</v>
      </c>
    </row>
    <row r="381" spans="1:13" ht="21.4" customHeight="1" thickBot="1" x14ac:dyDescent="0.25">
      <c r="A381" s="21"/>
      <c r="B381" s="21"/>
      <c r="C381" s="21"/>
      <c r="D381" s="54" t="s">
        <v>932</v>
      </c>
      <c r="E381" s="54"/>
      <c r="F381" s="54"/>
      <c r="G381" s="54"/>
      <c r="H381" s="54"/>
      <c r="I381" s="54"/>
      <c r="J381" s="54"/>
      <c r="K381" s="54"/>
      <c r="L381" s="54"/>
      <c r="M381" s="54"/>
    </row>
    <row r="382" spans="1:13" ht="15.4" customHeight="1" thickBot="1" x14ac:dyDescent="0.25">
      <c r="A382" s="9" t="s">
        <v>933</v>
      </c>
      <c r="B382" s="4" t="s">
        <v>934</v>
      </c>
      <c r="C382" s="4" t="s">
        <v>935</v>
      </c>
      <c r="D382" s="54" t="s">
        <v>936</v>
      </c>
      <c r="E382" s="54"/>
      <c r="F382" s="54"/>
      <c r="G382" s="54"/>
      <c r="H382" s="54"/>
      <c r="I382" s="54"/>
      <c r="J382" s="54"/>
      <c r="K382" s="19">
        <f>ROUND(3,2)</f>
        <v>3</v>
      </c>
      <c r="L382" s="20">
        <f>ROUND(0*(1+M2/100),2)</f>
        <v>0</v>
      </c>
      <c r="M382" s="20">
        <f>ROUND(K382*L382,2)</f>
        <v>0</v>
      </c>
    </row>
    <row r="383" spans="1:13" ht="12.2" customHeight="1" thickBot="1" x14ac:dyDescent="0.25">
      <c r="A383" s="21"/>
      <c r="B383" s="21"/>
      <c r="C383" s="21"/>
      <c r="D383" s="54" t="s">
        <v>937</v>
      </c>
      <c r="E383" s="54"/>
      <c r="F383" s="54"/>
      <c r="G383" s="54"/>
      <c r="H383" s="54"/>
      <c r="I383" s="54"/>
      <c r="J383" s="54"/>
      <c r="K383" s="54"/>
      <c r="L383" s="54"/>
      <c r="M383" s="54"/>
    </row>
    <row r="384" spans="1:13" ht="15.4" customHeight="1" thickBot="1" x14ac:dyDescent="0.25">
      <c r="A384" s="9" t="s">
        <v>938</v>
      </c>
      <c r="B384" s="4" t="s">
        <v>939</v>
      </c>
      <c r="C384" s="4" t="s">
        <v>940</v>
      </c>
      <c r="D384" s="54" t="s">
        <v>941</v>
      </c>
      <c r="E384" s="54"/>
      <c r="F384" s="54"/>
      <c r="G384" s="54"/>
      <c r="H384" s="54"/>
      <c r="I384" s="54"/>
      <c r="J384" s="54"/>
      <c r="K384" s="19">
        <f>ROUND(2,2)</f>
        <v>2</v>
      </c>
      <c r="L384" s="20">
        <f>ROUND(0*(1+M2/100),2)</f>
        <v>0</v>
      </c>
      <c r="M384" s="20">
        <f>ROUND(K384*L384,2)</f>
        <v>0</v>
      </c>
    </row>
    <row r="385" spans="1:13" ht="21.4" customHeight="1" thickBot="1" x14ac:dyDescent="0.25">
      <c r="A385" s="21"/>
      <c r="B385" s="21"/>
      <c r="C385" s="21"/>
      <c r="D385" s="54" t="s">
        <v>942</v>
      </c>
      <c r="E385" s="54"/>
      <c r="F385" s="54"/>
      <c r="G385" s="54"/>
      <c r="H385" s="54"/>
      <c r="I385" s="54"/>
      <c r="J385" s="54"/>
      <c r="K385" s="54"/>
      <c r="L385" s="54"/>
      <c r="M385" s="54"/>
    </row>
    <row r="386" spans="1:13" ht="15.4" customHeight="1" thickBot="1" x14ac:dyDescent="0.25">
      <c r="A386" s="9" t="s">
        <v>943</v>
      </c>
      <c r="B386" s="4" t="s">
        <v>944</v>
      </c>
      <c r="C386" s="4" t="s">
        <v>945</v>
      </c>
      <c r="D386" s="54" t="s">
        <v>946</v>
      </c>
      <c r="E386" s="54"/>
      <c r="F386" s="54"/>
      <c r="G386" s="54"/>
      <c r="H386" s="54"/>
      <c r="I386" s="54"/>
      <c r="J386" s="54"/>
      <c r="K386" s="19">
        <f>ROUND(1,2)</f>
        <v>1</v>
      </c>
      <c r="L386" s="20">
        <f>ROUND(0*(1+M2/100),2)</f>
        <v>0</v>
      </c>
      <c r="M386" s="20">
        <f>ROUND(K386*L386,2)</f>
        <v>0</v>
      </c>
    </row>
    <row r="387" spans="1:13" ht="21.4" customHeight="1" thickBot="1" x14ac:dyDescent="0.25">
      <c r="A387" s="21"/>
      <c r="B387" s="21"/>
      <c r="C387" s="21"/>
      <c r="D387" s="54" t="s">
        <v>947</v>
      </c>
      <c r="E387" s="54"/>
      <c r="F387" s="54"/>
      <c r="G387" s="54"/>
      <c r="H387" s="54"/>
      <c r="I387" s="54"/>
      <c r="J387" s="54"/>
      <c r="K387" s="54"/>
      <c r="L387" s="54"/>
      <c r="M387" s="54"/>
    </row>
    <row r="388" spans="1:13" ht="15.4" customHeight="1" thickBot="1" x14ac:dyDescent="0.25">
      <c r="A388" s="22"/>
      <c r="B388" s="22"/>
      <c r="C388" s="22"/>
      <c r="D388" s="42" t="s">
        <v>948</v>
      </c>
      <c r="E388" s="43"/>
      <c r="F388" s="43"/>
      <c r="G388" s="43"/>
      <c r="H388" s="43"/>
      <c r="I388" s="43"/>
      <c r="J388" s="43"/>
      <c r="K388" s="43"/>
      <c r="L388" s="44">
        <f>M374+M376+M378+M380+M382+M384+M386</f>
        <v>0</v>
      </c>
      <c r="M388" s="44">
        <f>ROUND(L388,2)</f>
        <v>0</v>
      </c>
    </row>
    <row r="389" spans="1:13" ht="15.4" customHeight="1" thickBot="1" x14ac:dyDescent="0.25">
      <c r="A389" s="48" t="s">
        <v>949</v>
      </c>
      <c r="B389" s="48" t="s">
        <v>950</v>
      </c>
      <c r="C389" s="49"/>
      <c r="D389" s="56" t="s">
        <v>951</v>
      </c>
      <c r="E389" s="56"/>
      <c r="F389" s="56"/>
      <c r="G389" s="56"/>
      <c r="H389" s="56"/>
      <c r="I389" s="56"/>
      <c r="J389" s="56"/>
      <c r="K389" s="49"/>
      <c r="L389" s="50">
        <f>L394</f>
        <v>0</v>
      </c>
      <c r="M389" s="50">
        <f>ROUND(L389,2)</f>
        <v>0</v>
      </c>
    </row>
    <row r="390" spans="1:13" ht="15.4" customHeight="1" thickBot="1" x14ac:dyDescent="0.25">
      <c r="A390" s="9" t="s">
        <v>952</v>
      </c>
      <c r="B390" s="4" t="s">
        <v>953</v>
      </c>
      <c r="C390" s="4" t="s">
        <v>954</v>
      </c>
      <c r="D390" s="54" t="s">
        <v>955</v>
      </c>
      <c r="E390" s="54"/>
      <c r="F390" s="54"/>
      <c r="G390" s="54"/>
      <c r="H390" s="54"/>
      <c r="I390" s="54"/>
      <c r="J390" s="54"/>
      <c r="K390" s="19">
        <f>ROUND(323,2)</f>
        <v>323</v>
      </c>
      <c r="L390" s="20">
        <f>ROUND(0*(1+M2/100),2)</f>
        <v>0</v>
      </c>
      <c r="M390" s="20">
        <f>ROUND(K390*L390,2)</f>
        <v>0</v>
      </c>
    </row>
    <row r="391" spans="1:13" ht="150.75" customHeight="1" thickBot="1" x14ac:dyDescent="0.25">
      <c r="A391" s="21"/>
      <c r="B391" s="21"/>
      <c r="C391" s="21"/>
      <c r="D391" s="54" t="s">
        <v>956</v>
      </c>
      <c r="E391" s="54"/>
      <c r="F391" s="54"/>
      <c r="G391" s="54"/>
      <c r="H391" s="54"/>
      <c r="I391" s="54"/>
      <c r="J391" s="54"/>
      <c r="K391" s="54"/>
      <c r="L391" s="54"/>
      <c r="M391" s="54"/>
    </row>
    <row r="392" spans="1:13" ht="15.4" customHeight="1" thickBot="1" x14ac:dyDescent="0.25">
      <c r="A392" s="9" t="s">
        <v>957</v>
      </c>
      <c r="B392" s="4" t="s">
        <v>958</v>
      </c>
      <c r="C392" s="4" t="s">
        <v>959</v>
      </c>
      <c r="D392" s="54" t="s">
        <v>960</v>
      </c>
      <c r="E392" s="54"/>
      <c r="F392" s="54"/>
      <c r="G392" s="54"/>
      <c r="H392" s="54"/>
      <c r="I392" s="54"/>
      <c r="J392" s="54"/>
      <c r="K392" s="19">
        <f>ROUND(387.6,2)</f>
        <v>387.6</v>
      </c>
      <c r="L392" s="20">
        <f>ROUND(0*(1+M2/100),2)</f>
        <v>0</v>
      </c>
      <c r="M392" s="20">
        <f>ROUND(K392*L392,2)</f>
        <v>0</v>
      </c>
    </row>
    <row r="393" spans="1:13" ht="21.4" customHeight="1" thickBot="1" x14ac:dyDescent="0.25">
      <c r="A393" s="21"/>
      <c r="B393" s="21"/>
      <c r="C393" s="21"/>
      <c r="D393" s="54" t="s">
        <v>961</v>
      </c>
      <c r="E393" s="54"/>
      <c r="F393" s="54"/>
      <c r="G393" s="54"/>
      <c r="H393" s="54"/>
      <c r="I393" s="54"/>
      <c r="J393" s="54"/>
      <c r="K393" s="54"/>
      <c r="L393" s="54"/>
      <c r="M393" s="54"/>
    </row>
    <row r="394" spans="1:13" ht="15.4" customHeight="1" thickBot="1" x14ac:dyDescent="0.25">
      <c r="A394" s="22"/>
      <c r="B394" s="22"/>
      <c r="C394" s="22"/>
      <c r="D394" s="42" t="s">
        <v>962</v>
      </c>
      <c r="E394" s="43"/>
      <c r="F394" s="43"/>
      <c r="G394" s="43"/>
      <c r="H394" s="43"/>
      <c r="I394" s="43"/>
      <c r="J394" s="43"/>
      <c r="K394" s="43"/>
      <c r="L394" s="44">
        <f>M390+M392</f>
        <v>0</v>
      </c>
      <c r="M394" s="44">
        <f>ROUND(L394,2)</f>
        <v>0</v>
      </c>
    </row>
    <row r="395" spans="1:13" ht="15.4" customHeight="1" thickBot="1" x14ac:dyDescent="0.25">
      <c r="A395" s="26"/>
      <c r="B395" s="26"/>
      <c r="C395" s="26"/>
      <c r="D395" s="45" t="s">
        <v>963</v>
      </c>
      <c r="E395" s="46"/>
      <c r="F395" s="46"/>
      <c r="G395" s="46"/>
      <c r="H395" s="46"/>
      <c r="I395" s="46"/>
      <c r="J395" s="46"/>
      <c r="K395" s="46"/>
      <c r="L395" s="47">
        <f>M372+M388+M394</f>
        <v>0</v>
      </c>
      <c r="M395" s="47">
        <f>ROUND(L395,2)</f>
        <v>0</v>
      </c>
    </row>
    <row r="396" spans="1:13" ht="15.4" customHeight="1" thickBot="1" x14ac:dyDescent="0.25">
      <c r="A396" s="33" t="s">
        <v>964</v>
      </c>
      <c r="B396" s="33" t="s">
        <v>965</v>
      </c>
      <c r="C396" s="34"/>
      <c r="D396" s="57" t="s">
        <v>966</v>
      </c>
      <c r="E396" s="57"/>
      <c r="F396" s="57"/>
      <c r="G396" s="57"/>
      <c r="H396" s="57"/>
      <c r="I396" s="57"/>
      <c r="J396" s="57"/>
      <c r="K396" s="34"/>
      <c r="L396" s="35">
        <f>L413</f>
        <v>0</v>
      </c>
      <c r="M396" s="35">
        <f>ROUND(L396,2)</f>
        <v>0</v>
      </c>
    </row>
    <row r="397" spans="1:13" ht="15.4" customHeight="1" thickBot="1" x14ac:dyDescent="0.25">
      <c r="A397" s="39" t="s">
        <v>967</v>
      </c>
      <c r="B397" s="39" t="s">
        <v>968</v>
      </c>
      <c r="C397" s="40"/>
      <c r="D397" s="58" t="s">
        <v>969</v>
      </c>
      <c r="E397" s="58"/>
      <c r="F397" s="58"/>
      <c r="G397" s="58"/>
      <c r="H397" s="58"/>
      <c r="I397" s="58"/>
      <c r="J397" s="58"/>
      <c r="K397" s="40"/>
      <c r="L397" s="41">
        <f>L402</f>
        <v>0</v>
      </c>
      <c r="M397" s="41">
        <f>ROUND(L397,2)</f>
        <v>0</v>
      </c>
    </row>
    <row r="398" spans="1:13" ht="15.4" customHeight="1" thickBot="1" x14ac:dyDescent="0.25">
      <c r="A398" s="9" t="s">
        <v>970</v>
      </c>
      <c r="B398" s="4" t="s">
        <v>971</v>
      </c>
      <c r="C398" s="4" t="s">
        <v>972</v>
      </c>
      <c r="D398" s="54" t="s">
        <v>973</v>
      </c>
      <c r="E398" s="54"/>
      <c r="F398" s="54"/>
      <c r="G398" s="54"/>
      <c r="H398" s="54"/>
      <c r="I398" s="54"/>
      <c r="J398" s="54"/>
      <c r="K398" s="19">
        <f>ROUND(12,2)</f>
        <v>12</v>
      </c>
      <c r="L398" s="20">
        <f>ROUND(0*(1+M2/100),2)</f>
        <v>0</v>
      </c>
      <c r="M398" s="20">
        <f>ROUND(K398*L398,2)</f>
        <v>0</v>
      </c>
    </row>
    <row r="399" spans="1:13" ht="21.4" customHeight="1" thickBot="1" x14ac:dyDescent="0.25">
      <c r="A399" s="21"/>
      <c r="B399" s="21"/>
      <c r="C399" s="21"/>
      <c r="D399" s="54" t="s">
        <v>974</v>
      </c>
      <c r="E399" s="54"/>
      <c r="F399" s="54"/>
      <c r="G399" s="54"/>
      <c r="H399" s="54"/>
      <c r="I399" s="54"/>
      <c r="J399" s="54"/>
      <c r="K399" s="54"/>
      <c r="L399" s="54"/>
      <c r="M399" s="54"/>
    </row>
    <row r="400" spans="1:13" ht="15.4" customHeight="1" thickBot="1" x14ac:dyDescent="0.25">
      <c r="A400" s="9" t="s">
        <v>975</v>
      </c>
      <c r="B400" s="4" t="s">
        <v>976</v>
      </c>
      <c r="C400" s="4" t="s">
        <v>977</v>
      </c>
      <c r="D400" s="54" t="s">
        <v>978</v>
      </c>
      <c r="E400" s="54"/>
      <c r="F400" s="54"/>
      <c r="G400" s="54"/>
      <c r="H400" s="54"/>
      <c r="I400" s="54"/>
      <c r="J400" s="54"/>
      <c r="K400" s="19">
        <f>ROUND(2,2)</f>
        <v>2</v>
      </c>
      <c r="L400" s="20">
        <f>ROUND(0*(1+M2/100),2)</f>
        <v>0</v>
      </c>
      <c r="M400" s="20">
        <f>ROUND(K400*L400,2)</f>
        <v>0</v>
      </c>
    </row>
    <row r="401" spans="1:13" ht="21.4" customHeight="1" thickBot="1" x14ac:dyDescent="0.25">
      <c r="A401" s="21"/>
      <c r="B401" s="21"/>
      <c r="C401" s="21"/>
      <c r="D401" s="54" t="s">
        <v>979</v>
      </c>
      <c r="E401" s="54"/>
      <c r="F401" s="54"/>
      <c r="G401" s="54"/>
      <c r="H401" s="54"/>
      <c r="I401" s="54"/>
      <c r="J401" s="54"/>
      <c r="K401" s="54"/>
      <c r="L401" s="54"/>
      <c r="M401" s="54"/>
    </row>
    <row r="402" spans="1:13" ht="15.4" customHeight="1" thickBot="1" x14ac:dyDescent="0.25">
      <c r="A402" s="22"/>
      <c r="B402" s="22"/>
      <c r="C402" s="22"/>
      <c r="D402" s="42" t="s">
        <v>980</v>
      </c>
      <c r="E402" s="43"/>
      <c r="F402" s="43"/>
      <c r="G402" s="43"/>
      <c r="H402" s="43"/>
      <c r="I402" s="43"/>
      <c r="J402" s="43"/>
      <c r="K402" s="43"/>
      <c r="L402" s="44">
        <f>M398+M400</f>
        <v>0</v>
      </c>
      <c r="M402" s="44">
        <f>ROUND(L402,2)</f>
        <v>0</v>
      </c>
    </row>
    <row r="403" spans="1:13" ht="15.4" customHeight="1" thickBot="1" x14ac:dyDescent="0.25">
      <c r="A403" s="48" t="s">
        <v>981</v>
      </c>
      <c r="B403" s="48" t="s">
        <v>982</v>
      </c>
      <c r="C403" s="49"/>
      <c r="D403" s="56" t="s">
        <v>983</v>
      </c>
      <c r="E403" s="56"/>
      <c r="F403" s="56"/>
      <c r="G403" s="56"/>
      <c r="H403" s="56"/>
      <c r="I403" s="56"/>
      <c r="J403" s="56"/>
      <c r="K403" s="49"/>
      <c r="L403" s="50">
        <f>L406</f>
        <v>0</v>
      </c>
      <c r="M403" s="50">
        <f>ROUND(L403,2)</f>
        <v>0</v>
      </c>
    </row>
    <row r="404" spans="1:13" ht="15.4" customHeight="1" thickBot="1" x14ac:dyDescent="0.25">
      <c r="A404" s="9" t="s">
        <v>984</v>
      </c>
      <c r="B404" s="4" t="s">
        <v>985</v>
      </c>
      <c r="C404" s="4" t="s">
        <v>986</v>
      </c>
      <c r="D404" s="54" t="s">
        <v>987</v>
      </c>
      <c r="E404" s="54"/>
      <c r="F404" s="54"/>
      <c r="G404" s="54"/>
      <c r="H404" s="54"/>
      <c r="I404" s="54"/>
      <c r="J404" s="54"/>
      <c r="K404" s="19">
        <f>ROUND(11,2)</f>
        <v>11</v>
      </c>
      <c r="L404" s="20">
        <f>ROUND(0*(1+M2/100),2)</f>
        <v>0</v>
      </c>
      <c r="M404" s="20">
        <f>ROUND(K404*L404,2)</f>
        <v>0</v>
      </c>
    </row>
    <row r="405" spans="1:13" ht="67.5" customHeight="1" thickBot="1" x14ac:dyDescent="0.25">
      <c r="A405" s="21"/>
      <c r="B405" s="21"/>
      <c r="C405" s="21"/>
      <c r="D405" s="54" t="s">
        <v>988</v>
      </c>
      <c r="E405" s="54"/>
      <c r="F405" s="54"/>
      <c r="G405" s="54"/>
      <c r="H405" s="54"/>
      <c r="I405" s="54"/>
      <c r="J405" s="54"/>
      <c r="K405" s="54"/>
      <c r="L405" s="54"/>
      <c r="M405" s="54"/>
    </row>
    <row r="406" spans="1:13" ht="15.4" customHeight="1" thickBot="1" x14ac:dyDescent="0.25">
      <c r="A406" s="22"/>
      <c r="B406" s="22"/>
      <c r="C406" s="22"/>
      <c r="D406" s="42" t="s">
        <v>989</v>
      </c>
      <c r="E406" s="43"/>
      <c r="F406" s="43"/>
      <c r="G406" s="43"/>
      <c r="H406" s="43"/>
      <c r="I406" s="43"/>
      <c r="J406" s="43"/>
      <c r="K406" s="43"/>
      <c r="L406" s="44">
        <f>M404</f>
        <v>0</v>
      </c>
      <c r="M406" s="44">
        <f>ROUND(L406,2)</f>
        <v>0</v>
      </c>
    </row>
    <row r="407" spans="1:13" ht="15.4" customHeight="1" thickBot="1" x14ac:dyDescent="0.25">
      <c r="A407" s="48" t="s">
        <v>990</v>
      </c>
      <c r="B407" s="48" t="s">
        <v>991</v>
      </c>
      <c r="C407" s="49"/>
      <c r="D407" s="56" t="s">
        <v>992</v>
      </c>
      <c r="E407" s="56"/>
      <c r="F407" s="56"/>
      <c r="G407" s="56"/>
      <c r="H407" s="56"/>
      <c r="I407" s="56"/>
      <c r="J407" s="56"/>
      <c r="K407" s="49"/>
      <c r="L407" s="50">
        <f>L412</f>
        <v>0</v>
      </c>
      <c r="M407" s="50">
        <f>ROUND(L407,2)</f>
        <v>0</v>
      </c>
    </row>
    <row r="408" spans="1:13" ht="15.4" customHeight="1" thickBot="1" x14ac:dyDescent="0.25">
      <c r="A408" s="9" t="s">
        <v>993</v>
      </c>
      <c r="B408" s="4" t="s">
        <v>994</v>
      </c>
      <c r="C408" s="4" t="s">
        <v>995</v>
      </c>
      <c r="D408" s="54" t="s">
        <v>996</v>
      </c>
      <c r="E408" s="54"/>
      <c r="F408" s="54"/>
      <c r="G408" s="54"/>
      <c r="H408" s="54"/>
      <c r="I408" s="54"/>
      <c r="J408" s="54"/>
      <c r="K408" s="19">
        <f>ROUND(1,2)</f>
        <v>1</v>
      </c>
      <c r="L408" s="20">
        <f>ROUND(0*(1+M2/100),2)</f>
        <v>0</v>
      </c>
      <c r="M408" s="20">
        <f>ROUND(K408*L408,2)</f>
        <v>0</v>
      </c>
    </row>
    <row r="409" spans="1:13" ht="12.2" customHeight="1" thickBot="1" x14ac:dyDescent="0.25">
      <c r="A409" s="21"/>
      <c r="B409" s="21"/>
      <c r="C409" s="21"/>
      <c r="D409" s="54" t="s">
        <v>997</v>
      </c>
      <c r="E409" s="54"/>
      <c r="F409" s="54"/>
      <c r="G409" s="54"/>
      <c r="H409" s="54"/>
      <c r="I409" s="54"/>
      <c r="J409" s="54"/>
      <c r="K409" s="54"/>
      <c r="L409" s="54"/>
      <c r="M409" s="54"/>
    </row>
    <row r="410" spans="1:13" ht="15.4" customHeight="1" thickBot="1" x14ac:dyDescent="0.25">
      <c r="A410" s="9" t="s">
        <v>998</v>
      </c>
      <c r="B410" s="4" t="s">
        <v>999</v>
      </c>
      <c r="C410" s="4" t="s">
        <v>1000</v>
      </c>
      <c r="D410" s="54" t="s">
        <v>1001</v>
      </c>
      <c r="E410" s="54"/>
      <c r="F410" s="54"/>
      <c r="G410" s="54"/>
      <c r="H410" s="54"/>
      <c r="I410" s="54"/>
      <c r="J410" s="54"/>
      <c r="K410" s="19">
        <f>ROUND(8,2)</f>
        <v>8</v>
      </c>
      <c r="L410" s="20">
        <f>ROUND(0*(1+M2/100),2)</f>
        <v>0</v>
      </c>
      <c r="M410" s="20">
        <f>ROUND(K410*L410,2)</f>
        <v>0</v>
      </c>
    </row>
    <row r="411" spans="1:13" ht="30.6" customHeight="1" thickBot="1" x14ac:dyDescent="0.25">
      <c r="A411" s="21"/>
      <c r="B411" s="21"/>
      <c r="C411" s="21"/>
      <c r="D411" s="54" t="s">
        <v>1002</v>
      </c>
      <c r="E411" s="54"/>
      <c r="F411" s="54"/>
      <c r="G411" s="54"/>
      <c r="H411" s="54"/>
      <c r="I411" s="54"/>
      <c r="J411" s="54"/>
      <c r="K411" s="54"/>
      <c r="L411" s="54"/>
      <c r="M411" s="54"/>
    </row>
    <row r="412" spans="1:13" ht="15.4" customHeight="1" thickBot="1" x14ac:dyDescent="0.25">
      <c r="A412" s="22"/>
      <c r="B412" s="22"/>
      <c r="C412" s="22"/>
      <c r="D412" s="42" t="s">
        <v>1003</v>
      </c>
      <c r="E412" s="43"/>
      <c r="F412" s="43"/>
      <c r="G412" s="43"/>
      <c r="H412" s="43"/>
      <c r="I412" s="43"/>
      <c r="J412" s="43"/>
      <c r="K412" s="43"/>
      <c r="L412" s="44">
        <f>M408+M410</f>
        <v>0</v>
      </c>
      <c r="M412" s="44">
        <f>ROUND(L412,2)</f>
        <v>0</v>
      </c>
    </row>
    <row r="413" spans="1:13" ht="15.4" customHeight="1" thickBot="1" x14ac:dyDescent="0.25">
      <c r="A413" s="26"/>
      <c r="B413" s="26"/>
      <c r="C413" s="26"/>
      <c r="D413" s="45" t="s">
        <v>1004</v>
      </c>
      <c r="E413" s="46"/>
      <c r="F413" s="46"/>
      <c r="G413" s="46"/>
      <c r="H413" s="46"/>
      <c r="I413" s="46"/>
      <c r="J413" s="46"/>
      <c r="K413" s="46"/>
      <c r="L413" s="47">
        <f>M402+M406+M412</f>
        <v>0</v>
      </c>
      <c r="M413" s="47">
        <f>ROUND(L413,2)</f>
        <v>0</v>
      </c>
    </row>
    <row r="414" spans="1:13" ht="15.4" customHeight="1" thickBot="1" x14ac:dyDescent="0.25">
      <c r="A414" s="26"/>
      <c r="B414" s="26"/>
      <c r="C414" s="26"/>
      <c r="D414" s="27" t="s">
        <v>1005</v>
      </c>
      <c r="E414" s="28"/>
      <c r="F414" s="28"/>
      <c r="G414" s="28"/>
      <c r="H414" s="28"/>
      <c r="I414" s="28"/>
      <c r="J414" s="28"/>
      <c r="K414" s="28"/>
      <c r="L414" s="29">
        <f>M365+M395+M413</f>
        <v>0</v>
      </c>
      <c r="M414" s="29">
        <f>ROUND(L414,2)</f>
        <v>0</v>
      </c>
    </row>
    <row r="415" spans="1:13" ht="15.4" customHeight="1" thickBot="1" x14ac:dyDescent="0.25">
      <c r="A415" s="30" t="s">
        <v>1006</v>
      </c>
      <c r="B415" s="30" t="s">
        <v>1007</v>
      </c>
      <c r="C415" s="31"/>
      <c r="D415" s="55" t="s">
        <v>1008</v>
      </c>
      <c r="E415" s="55"/>
      <c r="F415" s="55"/>
      <c r="G415" s="55"/>
      <c r="H415" s="55"/>
      <c r="I415" s="55"/>
      <c r="J415" s="55"/>
      <c r="K415" s="31"/>
      <c r="L415" s="32">
        <f>L420</f>
        <v>0</v>
      </c>
      <c r="M415" s="32">
        <f>ROUND(L415,2)</f>
        <v>0</v>
      </c>
    </row>
    <row r="416" spans="1:13" ht="15.4" customHeight="1" thickBot="1" x14ac:dyDescent="0.25">
      <c r="A416" s="9" t="s">
        <v>1009</v>
      </c>
      <c r="B416" s="4" t="s">
        <v>1010</v>
      </c>
      <c r="C416" s="4" t="s">
        <v>1011</v>
      </c>
      <c r="D416" s="54" t="s">
        <v>1012</v>
      </c>
      <c r="E416" s="54"/>
      <c r="F416" s="54"/>
      <c r="G416" s="54"/>
      <c r="H416" s="54"/>
      <c r="I416" s="54"/>
      <c r="J416" s="54"/>
      <c r="K416" s="19">
        <f>ROUND(1,2)</f>
        <v>1</v>
      </c>
      <c r="L416" s="20">
        <f>ROUND(0*(1+M2/100),2)</f>
        <v>0</v>
      </c>
      <c r="M416" s="20">
        <f>ROUND(K416*L416,2)</f>
        <v>0</v>
      </c>
    </row>
    <row r="417" spans="1:13" ht="39.75" customHeight="1" thickBot="1" x14ac:dyDescent="0.25">
      <c r="A417" s="21"/>
      <c r="B417" s="21"/>
      <c r="C417" s="21"/>
      <c r="D417" s="54" t="s">
        <v>1013</v>
      </c>
      <c r="E417" s="54"/>
      <c r="F417" s="54"/>
      <c r="G417" s="54"/>
      <c r="H417" s="54"/>
      <c r="I417" s="54"/>
      <c r="J417" s="54"/>
      <c r="K417" s="54"/>
      <c r="L417" s="54"/>
      <c r="M417" s="54"/>
    </row>
    <row r="418" spans="1:13" ht="15.4" customHeight="1" thickBot="1" x14ac:dyDescent="0.25">
      <c r="A418" s="9" t="s">
        <v>1014</v>
      </c>
      <c r="B418" s="4" t="s">
        <v>1015</v>
      </c>
      <c r="C418" s="4" t="s">
        <v>1016</v>
      </c>
      <c r="D418" s="54" t="s">
        <v>1017</v>
      </c>
      <c r="E418" s="54"/>
      <c r="F418" s="54"/>
      <c r="G418" s="54"/>
      <c r="H418" s="54"/>
      <c r="I418" s="54"/>
      <c r="J418" s="54"/>
      <c r="K418" s="19">
        <f>ROUND(1,2)</f>
        <v>1</v>
      </c>
      <c r="L418" s="20">
        <f>ROUND(0*(1+M2/100),2)</f>
        <v>0</v>
      </c>
      <c r="M418" s="20">
        <f>ROUND(K418*L418,2)</f>
        <v>0</v>
      </c>
    </row>
    <row r="419" spans="1:13" ht="104.45" customHeight="1" thickBot="1" x14ac:dyDescent="0.25">
      <c r="A419" s="21"/>
      <c r="B419" s="21"/>
      <c r="C419" s="21"/>
      <c r="D419" s="54" t="s">
        <v>1018</v>
      </c>
      <c r="E419" s="54"/>
      <c r="F419" s="54"/>
      <c r="G419" s="54"/>
      <c r="H419" s="54"/>
      <c r="I419" s="54"/>
      <c r="J419" s="54"/>
      <c r="K419" s="54"/>
      <c r="L419" s="54"/>
      <c r="M419" s="54"/>
    </row>
    <row r="420" spans="1:13" ht="15.4" customHeight="1" thickBot="1" x14ac:dyDescent="0.25">
      <c r="A420" s="22"/>
      <c r="B420" s="22"/>
      <c r="C420" s="22"/>
      <c r="D420" s="36" t="s">
        <v>1019</v>
      </c>
      <c r="E420" s="37"/>
      <c r="F420" s="37"/>
      <c r="G420" s="37"/>
      <c r="H420" s="37"/>
      <c r="I420" s="37"/>
      <c r="J420" s="37"/>
      <c r="K420" s="37"/>
      <c r="L420" s="38">
        <f>M416+M418</f>
        <v>0</v>
      </c>
      <c r="M420" s="38">
        <f>ROUND(L420,2)</f>
        <v>0</v>
      </c>
    </row>
    <row r="421" spans="1:13" ht="25.15" customHeight="1" thickBot="1" x14ac:dyDescent="0.25">
      <c r="A421" s="26"/>
      <c r="B421" s="26"/>
      <c r="C421" s="26"/>
      <c r="D421" s="51" t="s">
        <v>1020</v>
      </c>
      <c r="E421" s="52"/>
      <c r="F421" s="52"/>
      <c r="G421" s="52"/>
      <c r="H421" s="52"/>
      <c r="I421" s="52"/>
      <c r="J421" s="52"/>
      <c r="K421" s="52"/>
      <c r="L421" s="53">
        <f>M42+M88+M212+M338+M358+M414+M420</f>
        <v>0</v>
      </c>
      <c r="M421" s="53">
        <f>ROUND(L421,2)</f>
        <v>0</v>
      </c>
    </row>
  </sheetData>
  <mergeCells count="386">
    <mergeCell ref="B1:M1"/>
    <mergeCell ref="A2:C2"/>
    <mergeCell ref="D4:J4"/>
    <mergeCell ref="D5:J5"/>
    <mergeCell ref="D6:J6"/>
    <mergeCell ref="D7:J7"/>
    <mergeCell ref="D8:M8"/>
    <mergeCell ref="D9:J9"/>
    <mergeCell ref="D10:M10"/>
    <mergeCell ref="D11:J11"/>
    <mergeCell ref="D12:M12"/>
    <mergeCell ref="D13:J13"/>
    <mergeCell ref="D14:M14"/>
    <mergeCell ref="D15:J15"/>
    <mergeCell ref="D16:M16"/>
    <mergeCell ref="D17:J17"/>
    <mergeCell ref="D18:M18"/>
    <mergeCell ref="D19:J19"/>
    <mergeCell ref="D20:M20"/>
    <mergeCell ref="D21:J21"/>
    <mergeCell ref="D22:M22"/>
    <mergeCell ref="D23:J23"/>
    <mergeCell ref="D24:M24"/>
    <mergeCell ref="D25:J25"/>
    <mergeCell ref="D26:M26"/>
    <mergeCell ref="D27:J27"/>
    <mergeCell ref="D28:M28"/>
    <mergeCell ref="D29:J29"/>
    <mergeCell ref="D30:M30"/>
    <mergeCell ref="D31:J31"/>
    <mergeCell ref="D32:M32"/>
    <mergeCell ref="D33:J33"/>
    <mergeCell ref="D34:M34"/>
    <mergeCell ref="D35:J35"/>
    <mergeCell ref="D36:M36"/>
    <mergeCell ref="D37:J37"/>
    <mergeCell ref="D38:M38"/>
    <mergeCell ref="D39:J39"/>
    <mergeCell ref="D40:M40"/>
    <mergeCell ref="D43:J43"/>
    <mergeCell ref="D44:J44"/>
    <mergeCell ref="D45:J45"/>
    <mergeCell ref="D46:M46"/>
    <mergeCell ref="D47:J47"/>
    <mergeCell ref="D48:M48"/>
    <mergeCell ref="D49:J49"/>
    <mergeCell ref="D50:M50"/>
    <mergeCell ref="D51:J51"/>
    <mergeCell ref="D52:M52"/>
    <mergeCell ref="D53:J53"/>
    <mergeCell ref="D54:M54"/>
    <mergeCell ref="D55:J55"/>
    <mergeCell ref="D56:M56"/>
    <mergeCell ref="D57:J57"/>
    <mergeCell ref="D58:M58"/>
    <mergeCell ref="D59:J59"/>
    <mergeCell ref="D60:M60"/>
    <mergeCell ref="D61:J61"/>
    <mergeCell ref="D62:M62"/>
    <mergeCell ref="D63:J63"/>
    <mergeCell ref="D64:M64"/>
    <mergeCell ref="D65:J65"/>
    <mergeCell ref="D66:M66"/>
    <mergeCell ref="D67:J67"/>
    <mergeCell ref="D68:M68"/>
    <mergeCell ref="D69:J69"/>
    <mergeCell ref="D70:M70"/>
    <mergeCell ref="D71:J71"/>
    <mergeCell ref="D72:M72"/>
    <mergeCell ref="D73:J73"/>
    <mergeCell ref="D74:M74"/>
    <mergeCell ref="D76:J76"/>
    <mergeCell ref="D77:J77"/>
    <mergeCell ref="D78:M78"/>
    <mergeCell ref="D79:J79"/>
    <mergeCell ref="D80:M80"/>
    <mergeCell ref="D81:J81"/>
    <mergeCell ref="D82:M82"/>
    <mergeCell ref="D83:J83"/>
    <mergeCell ref="D84:M84"/>
    <mergeCell ref="D85:J85"/>
    <mergeCell ref="D86:M86"/>
    <mergeCell ref="D89:J89"/>
    <mergeCell ref="D90:J90"/>
    <mergeCell ref="D91:J91"/>
    <mergeCell ref="D92:M92"/>
    <mergeCell ref="D93:J93"/>
    <mergeCell ref="D94:M94"/>
    <mergeCell ref="D95:J95"/>
    <mergeCell ref="D96:M96"/>
    <mergeCell ref="D98:J98"/>
    <mergeCell ref="D99:J99"/>
    <mergeCell ref="D100:M100"/>
    <mergeCell ref="D101:J101"/>
    <mergeCell ref="D102:M102"/>
    <mergeCell ref="D103:J103"/>
    <mergeCell ref="D104:M104"/>
    <mergeCell ref="D105:J105"/>
    <mergeCell ref="D106:M106"/>
    <mergeCell ref="D107:J107"/>
    <mergeCell ref="D108:M108"/>
    <mergeCell ref="D110:J110"/>
    <mergeCell ref="D111:J111"/>
    <mergeCell ref="D112:M112"/>
    <mergeCell ref="D113:J113"/>
    <mergeCell ref="D114:M114"/>
    <mergeCell ref="D115:J115"/>
    <mergeCell ref="D116:M116"/>
    <mergeCell ref="D117:J117"/>
    <mergeCell ref="D118:M118"/>
    <mergeCell ref="D119:J119"/>
    <mergeCell ref="D120:M120"/>
    <mergeCell ref="D121:J121"/>
    <mergeCell ref="D122:M122"/>
    <mergeCell ref="D123:J123"/>
    <mergeCell ref="D124:M124"/>
    <mergeCell ref="D125:J125"/>
    <mergeCell ref="D126:M126"/>
    <mergeCell ref="D127:J127"/>
    <mergeCell ref="D128:M128"/>
    <mergeCell ref="D129:J129"/>
    <mergeCell ref="D130:M130"/>
    <mergeCell ref="D131:J131"/>
    <mergeCell ref="D132:M132"/>
    <mergeCell ref="D133:J133"/>
    <mergeCell ref="D134:M134"/>
    <mergeCell ref="D135:J135"/>
    <mergeCell ref="D136:M136"/>
    <mergeCell ref="D137:J137"/>
    <mergeCell ref="D138:M138"/>
    <mergeCell ref="D140:J140"/>
    <mergeCell ref="D141:J141"/>
    <mergeCell ref="D142:M142"/>
    <mergeCell ref="D143:J143"/>
    <mergeCell ref="D144:M144"/>
    <mergeCell ref="D145:J145"/>
    <mergeCell ref="D146:M146"/>
    <mergeCell ref="D147:J147"/>
    <mergeCell ref="D148:M148"/>
    <mergeCell ref="D149:J149"/>
    <mergeCell ref="D150:M150"/>
    <mergeCell ref="D151:J151"/>
    <mergeCell ref="D152:M152"/>
    <mergeCell ref="D153:J153"/>
    <mergeCell ref="D154:M154"/>
    <mergeCell ref="D156:J156"/>
    <mergeCell ref="D157:J157"/>
    <mergeCell ref="D158:M158"/>
    <mergeCell ref="D159:J159"/>
    <mergeCell ref="D160:M160"/>
    <mergeCell ref="D161:J161"/>
    <mergeCell ref="D162:M162"/>
    <mergeCell ref="D164:J164"/>
    <mergeCell ref="D165:J165"/>
    <mergeCell ref="D166:M166"/>
    <mergeCell ref="D167:J167"/>
    <mergeCell ref="D168:M168"/>
    <mergeCell ref="D169:J169"/>
    <mergeCell ref="D170:M170"/>
    <mergeCell ref="D171:J171"/>
    <mergeCell ref="D172:M172"/>
    <mergeCell ref="D173:J173"/>
    <mergeCell ref="D174:M174"/>
    <mergeCell ref="D175:J175"/>
    <mergeCell ref="D176:M176"/>
    <mergeCell ref="D177:J177"/>
    <mergeCell ref="D178:M178"/>
    <mergeCell ref="D180:J180"/>
    <mergeCell ref="D181:J181"/>
    <mergeCell ref="D182:M182"/>
    <mergeCell ref="D183:J183"/>
    <mergeCell ref="D184:M184"/>
    <mergeCell ref="D185:J185"/>
    <mergeCell ref="D186:M186"/>
    <mergeCell ref="D187:J187"/>
    <mergeCell ref="D188:M188"/>
    <mergeCell ref="D189:J189"/>
    <mergeCell ref="D190:M190"/>
    <mergeCell ref="D191:J191"/>
    <mergeCell ref="D192:M192"/>
    <mergeCell ref="D193:J193"/>
    <mergeCell ref="D194:M194"/>
    <mergeCell ref="D195:J195"/>
    <mergeCell ref="D196:M196"/>
    <mergeCell ref="D197:J197"/>
    <mergeCell ref="D198:M198"/>
    <mergeCell ref="D200:J200"/>
    <mergeCell ref="D201:J201"/>
    <mergeCell ref="D202:M202"/>
    <mergeCell ref="D203:J203"/>
    <mergeCell ref="D204:M204"/>
    <mergeCell ref="D205:J205"/>
    <mergeCell ref="D206:M206"/>
    <mergeCell ref="D207:J207"/>
    <mergeCell ref="D208:M208"/>
    <mergeCell ref="D209:J209"/>
    <mergeCell ref="D210:M210"/>
    <mergeCell ref="D213:J213"/>
    <mergeCell ref="D214:J214"/>
    <mergeCell ref="D215:J215"/>
    <mergeCell ref="D216:M216"/>
    <mergeCell ref="D217:J217"/>
    <mergeCell ref="D218:M218"/>
    <mergeCell ref="D219:J219"/>
    <mergeCell ref="D220:M220"/>
    <mergeCell ref="D221:J221"/>
    <mergeCell ref="D222:M222"/>
    <mergeCell ref="D223:J223"/>
    <mergeCell ref="D224:M224"/>
    <mergeCell ref="D225:J225"/>
    <mergeCell ref="D226:M226"/>
    <mergeCell ref="D227:J227"/>
    <mergeCell ref="D228:M228"/>
    <mergeCell ref="D229:J229"/>
    <mergeCell ref="D230:M230"/>
    <mergeCell ref="D232:J232"/>
    <mergeCell ref="D233:J233"/>
    <mergeCell ref="D234:M234"/>
    <mergeCell ref="D235:J235"/>
    <mergeCell ref="D236:M236"/>
    <mergeCell ref="D237:J237"/>
    <mergeCell ref="D238:M238"/>
    <mergeCell ref="D239:J239"/>
    <mergeCell ref="D240:M240"/>
    <mergeCell ref="D241:J241"/>
    <mergeCell ref="D242:M242"/>
    <mergeCell ref="D243:J243"/>
    <mergeCell ref="D244:M244"/>
    <mergeCell ref="D245:J245"/>
    <mergeCell ref="D246:M246"/>
    <mergeCell ref="D247:J247"/>
    <mergeCell ref="D248:M248"/>
    <mergeCell ref="D249:J249"/>
    <mergeCell ref="D250:M250"/>
    <mergeCell ref="D251:J251"/>
    <mergeCell ref="D252:M252"/>
    <mergeCell ref="D253:J253"/>
    <mergeCell ref="D254:M254"/>
    <mergeCell ref="D256:J256"/>
    <mergeCell ref="D257:J257"/>
    <mergeCell ref="D258:M258"/>
    <mergeCell ref="D259:J259"/>
    <mergeCell ref="D260:M260"/>
    <mergeCell ref="D261:J261"/>
    <mergeCell ref="D262:M262"/>
    <mergeCell ref="D263:J263"/>
    <mergeCell ref="D264:M264"/>
    <mergeCell ref="D265:J265"/>
    <mergeCell ref="D266:M266"/>
    <mergeCell ref="D267:J267"/>
    <mergeCell ref="D268:M268"/>
    <mergeCell ref="D269:J269"/>
    <mergeCell ref="D270:M270"/>
    <mergeCell ref="D271:J271"/>
    <mergeCell ref="D272:M272"/>
    <mergeCell ref="D273:J273"/>
    <mergeCell ref="D274:M274"/>
    <mergeCell ref="D276:J276"/>
    <mergeCell ref="D277:J277"/>
    <mergeCell ref="D278:M278"/>
    <mergeCell ref="D279:J279"/>
    <mergeCell ref="D280:M280"/>
    <mergeCell ref="D281:J281"/>
    <mergeCell ref="D282:M282"/>
    <mergeCell ref="D283:J283"/>
    <mergeCell ref="D284:M284"/>
    <mergeCell ref="D285:J285"/>
    <mergeCell ref="D286:M286"/>
    <mergeCell ref="D287:J287"/>
    <mergeCell ref="D288:M288"/>
    <mergeCell ref="D289:J289"/>
    <mergeCell ref="D290:M290"/>
    <mergeCell ref="D291:J291"/>
    <mergeCell ref="D292:M292"/>
    <mergeCell ref="D293:J293"/>
    <mergeCell ref="D294:M294"/>
    <mergeCell ref="D295:J295"/>
    <mergeCell ref="D296:M296"/>
    <mergeCell ref="D297:J297"/>
    <mergeCell ref="D298:M298"/>
    <mergeCell ref="D299:J299"/>
    <mergeCell ref="D300:M300"/>
    <mergeCell ref="D301:J301"/>
    <mergeCell ref="D302:M302"/>
    <mergeCell ref="D303:J303"/>
    <mergeCell ref="D304:M304"/>
    <mergeCell ref="D305:J305"/>
    <mergeCell ref="D306:M306"/>
    <mergeCell ref="D307:J307"/>
    <mergeCell ref="D308:M308"/>
    <mergeCell ref="D309:J309"/>
    <mergeCell ref="D310:M310"/>
    <mergeCell ref="D311:J311"/>
    <mergeCell ref="D312:M312"/>
    <mergeCell ref="D313:J313"/>
    <mergeCell ref="D314:M314"/>
    <mergeCell ref="D315:J315"/>
    <mergeCell ref="D316:M316"/>
    <mergeCell ref="D317:J317"/>
    <mergeCell ref="D318:M318"/>
    <mergeCell ref="D319:J319"/>
    <mergeCell ref="D320:M320"/>
    <mergeCell ref="D321:J321"/>
    <mergeCell ref="D322:M322"/>
    <mergeCell ref="D323:J323"/>
    <mergeCell ref="D324:M324"/>
    <mergeCell ref="D325:J325"/>
    <mergeCell ref="D326:M326"/>
    <mergeCell ref="D328:J328"/>
    <mergeCell ref="D329:J329"/>
    <mergeCell ref="D330:M330"/>
    <mergeCell ref="D331:J331"/>
    <mergeCell ref="D332:M332"/>
    <mergeCell ref="D333:J333"/>
    <mergeCell ref="D334:M334"/>
    <mergeCell ref="D335:J335"/>
    <mergeCell ref="D336:M336"/>
    <mergeCell ref="D339:J339"/>
    <mergeCell ref="D340:J340"/>
    <mergeCell ref="D341:M341"/>
    <mergeCell ref="D342:J342"/>
    <mergeCell ref="D343:M343"/>
    <mergeCell ref="D344:J344"/>
    <mergeCell ref="D345:M345"/>
    <mergeCell ref="D346:J346"/>
    <mergeCell ref="D347:M347"/>
    <mergeCell ref="D348:J348"/>
    <mergeCell ref="D349:M349"/>
    <mergeCell ref="D350:J350"/>
    <mergeCell ref="D351:M351"/>
    <mergeCell ref="D352:J352"/>
    <mergeCell ref="D353:M353"/>
    <mergeCell ref="D354:J354"/>
    <mergeCell ref="D355:M355"/>
    <mergeCell ref="D356:J356"/>
    <mergeCell ref="D357:M357"/>
    <mergeCell ref="D359:J359"/>
    <mergeCell ref="D360:J360"/>
    <mergeCell ref="D361:J361"/>
    <mergeCell ref="D362:J362"/>
    <mergeCell ref="D363:M363"/>
    <mergeCell ref="D366:J366"/>
    <mergeCell ref="D367:J367"/>
    <mergeCell ref="D368:J368"/>
    <mergeCell ref="D369:M369"/>
    <mergeCell ref="D370:J370"/>
    <mergeCell ref="D371:M371"/>
    <mergeCell ref="D373:J373"/>
    <mergeCell ref="D374:J374"/>
    <mergeCell ref="D375:M375"/>
    <mergeCell ref="D376:J376"/>
    <mergeCell ref="D377:M377"/>
    <mergeCell ref="D378:J378"/>
    <mergeCell ref="D379:M379"/>
    <mergeCell ref="D380:J380"/>
    <mergeCell ref="D381:M381"/>
    <mergeCell ref="D382:J382"/>
    <mergeCell ref="D383:M383"/>
    <mergeCell ref="D384:J384"/>
    <mergeCell ref="D385:M385"/>
    <mergeCell ref="D386:J386"/>
    <mergeCell ref="D387:M387"/>
    <mergeCell ref="D389:J389"/>
    <mergeCell ref="D390:J390"/>
    <mergeCell ref="D391:M391"/>
    <mergeCell ref="D392:J392"/>
    <mergeCell ref="D393:M393"/>
    <mergeCell ref="D396:J396"/>
    <mergeCell ref="D397:J397"/>
    <mergeCell ref="D409:M409"/>
    <mergeCell ref="D410:J410"/>
    <mergeCell ref="D411:M411"/>
    <mergeCell ref="D415:J415"/>
    <mergeCell ref="D416:J416"/>
    <mergeCell ref="D417:M417"/>
    <mergeCell ref="D418:J418"/>
    <mergeCell ref="D419:M419"/>
    <mergeCell ref="D398:J398"/>
    <mergeCell ref="D399:M399"/>
    <mergeCell ref="D400:J400"/>
    <mergeCell ref="D401:M401"/>
    <mergeCell ref="D403:J403"/>
    <mergeCell ref="D404:J404"/>
    <mergeCell ref="D405:M405"/>
    <mergeCell ref="D407:J407"/>
    <mergeCell ref="D408:J408"/>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Tecnico 08</cp:lastModifiedBy>
  <dcterms:modified xsi:type="dcterms:W3CDTF">2025-03-10T15:45:56Z</dcterms:modified>
</cp:coreProperties>
</file>