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/>
  <mc:AlternateContent xmlns:mc="http://schemas.openxmlformats.org/markup-compatibility/2006">
    <mc:Choice Requires="x15">
      <x15ac:absPath xmlns:x15ac="http://schemas.microsoft.com/office/spreadsheetml/2010/11/ac" url="I:\GENERIC\01 LICITACIONS\04 PUBLICAT\007-2024-1408 Neteja viaria - 27-03-2025 235959\"/>
    </mc:Choice>
  </mc:AlternateContent>
  <xr:revisionPtr revIDLastSave="0" documentId="8_{A9DC123D-C3EF-4AC1-BA73-AA37BBAFEFA4}" xr6:coauthVersionLast="36" xr6:coauthVersionMax="36" xr10:uidLastSave="{00000000-0000-0000-0000-000000000000}"/>
  <bookViews>
    <workbookView xWindow="0" yWindow="0" windowWidth="19200" windowHeight="11385" tabRatio="791" firstSheet="9" activeTab="19" xr2:uid="{00000000-000D-0000-FFFF-FFFF00000000}"/>
  </bookViews>
  <sheets>
    <sheet name="Criteris Automàtics" sheetId="65" r:id="rId1"/>
    <sheet name="Paràmetres" sheetId="44" r:id="rId2"/>
    <sheet name="Personal" sheetId="43" r:id="rId3"/>
    <sheet name="Seguro+combustible+reparacions" sheetId="48" r:id="rId4"/>
    <sheet name="Inversions" sheetId="62" r:id="rId5"/>
    <sheet name="Consumibles" sheetId="63" r:id="rId6"/>
    <sheet name="COST TOTAL" sheetId="38" r:id="rId7"/>
    <sheet name="EM" sheetId="37" r:id="rId8"/>
    <sheet name="EMX" sheetId="49" r:id="rId9"/>
    <sheet name="EMC" sheetId="51" r:id="rId10"/>
    <sheet name="B_HERB" sheetId="50" r:id="rId11"/>
    <sheet name="B_CAIXA" sheetId="56" r:id="rId12"/>
    <sheet name="B_MERC" sheetId="57" r:id="rId13"/>
    <sheet name="B_PAPER" sheetId="58" r:id="rId14"/>
    <sheet name="B_ACT" sheetId="60" r:id="rId15"/>
    <sheet name="Aigua_goupil" sheetId="59" r:id="rId16"/>
    <sheet name="Aigua_calent" sheetId="52" r:id="rId17"/>
    <sheet name="Aiguabat" sheetId="53" r:id="rId18"/>
    <sheet name="Baldeja" sheetId="54" r:id="rId19"/>
    <sheet name="Comuns" sheetId="55" r:id="rId20"/>
    <sheet name="Actes" sheetId="64" state="hidden" r:id="rId21"/>
    <sheet name="Dies" sheetId="45" state="hidden" r:id="rId22"/>
  </sheets>
  <externalReferences>
    <externalReference r:id="rId23"/>
  </externalReferences>
  <definedNames>
    <definedName name="_Fill" localSheetId="16" hidden="1">#REF!</definedName>
    <definedName name="_Fill" localSheetId="15" hidden="1">#REF!</definedName>
    <definedName name="_Fill" localSheetId="17" hidden="1">#REF!</definedName>
    <definedName name="_Fill" localSheetId="14" hidden="1">#REF!</definedName>
    <definedName name="_Fill" localSheetId="11" hidden="1">#REF!</definedName>
    <definedName name="_Fill" localSheetId="10" hidden="1">#REF!</definedName>
    <definedName name="_Fill" localSheetId="12" hidden="1">#REF!</definedName>
    <definedName name="_Fill" localSheetId="13" hidden="1">#REF!</definedName>
    <definedName name="_Fill" localSheetId="18" hidden="1">#REF!</definedName>
    <definedName name="_Fill" localSheetId="19" hidden="1">#REF!</definedName>
    <definedName name="_Fill" localSheetId="5" hidden="1">#REF!</definedName>
    <definedName name="_Fill" localSheetId="9" hidden="1">#REF!</definedName>
    <definedName name="_Fill" localSheetId="8" hidden="1">#REF!</definedName>
    <definedName name="_Fill" hidden="1">#REF!</definedName>
    <definedName name="_xlnm._FilterDatabase" localSheetId="5" hidden="1">Consumibles!#REF!</definedName>
    <definedName name="amr" localSheetId="16">#REF!</definedName>
    <definedName name="amr" localSheetId="15">#REF!</definedName>
    <definedName name="amr" localSheetId="17">#REF!</definedName>
    <definedName name="amr" localSheetId="14">#REF!</definedName>
    <definedName name="amr" localSheetId="11">#REF!</definedName>
    <definedName name="amr" localSheetId="10">#REF!</definedName>
    <definedName name="amr" localSheetId="12">#REF!</definedName>
    <definedName name="amr" localSheetId="13">#REF!</definedName>
    <definedName name="amr" localSheetId="18">#REF!</definedName>
    <definedName name="amr" localSheetId="19">#REF!</definedName>
    <definedName name="amr" localSheetId="5">#REF!</definedName>
    <definedName name="amr" localSheetId="9">#REF!</definedName>
    <definedName name="amr" localSheetId="8">#REF!</definedName>
    <definedName name="amr">#REF!</definedName>
    <definedName name="_xlnm.Print_Area" localSheetId="16">Aigua_calent!#REF!,Aigua_calent!#REF!,Aigua_calent!#REF!,Aigua_calent!#REF!,Aigua_calent!$A$1:$O$210,Aigua_calent!#REF!,Aigua_calent!#REF!,Aigua_calent!#REF!</definedName>
    <definedName name="_xlnm.Print_Area" localSheetId="15">Aigua_goupil!#REF!,Aigua_goupil!#REF!,Aigua_goupil!#REF!,Aigua_goupil!#REF!,Aigua_goupil!$A$1:$O$212,Aigua_goupil!#REF!,Aigua_goupil!#REF!,Aigua_goupil!#REF!</definedName>
    <definedName name="_xlnm.Print_Area" localSheetId="17">Aiguabat!#REF!,Aiguabat!#REF!,Aiguabat!#REF!,Aiguabat!#REF!,Aiguabat!#REF!,Aiguabat!$A$1:$O$208,Aiguabat!#REF!,Aiguabat!#REF!</definedName>
    <definedName name="_xlnm.Print_Area" localSheetId="14">B_ACT!#REF!,B_ACT!#REF!,B_ACT!$A$1:$O$228,B_ACT!#REF!,B_ACT!#REF!,B_ACT!#REF!,B_ACT!#REF!,B_ACT!#REF!</definedName>
    <definedName name="_xlnm.Print_Area" localSheetId="11">B_CAIXA!#REF!,B_CAIXA!#REF!,B_CAIXA!$A$1:$O$232,B_CAIXA!#REF!,B_CAIXA!#REF!,B_CAIXA!#REF!,B_CAIXA!#REF!,B_CAIXA!#REF!</definedName>
    <definedName name="_xlnm.Print_Area" localSheetId="10">B_HERB!#REF!,B_HERB!#REF!,B_HERB!$A$1:$O$266,B_HERB!#REF!,B_HERB!#REF!,B_HERB!#REF!,B_HERB!#REF!,B_HERB!#REF!</definedName>
    <definedName name="_xlnm.Print_Area" localSheetId="12">B_MERC!#REF!,B_MERC!#REF!,B_MERC!$A$1:$O$228,B_MERC!#REF!,B_MERC!#REF!,B_MERC!#REF!,B_MERC!#REF!,B_MERC!#REF!</definedName>
    <definedName name="_xlnm.Print_Area" localSheetId="13">B_PAPER!#REF!,B_PAPER!#REF!,B_PAPER!$A$1:$O$209,B_PAPER!#REF!,B_PAPER!#REF!,B_PAPER!#REF!,B_PAPER!#REF!,B_PAPER!#REF!</definedName>
    <definedName name="_xlnm.Print_Area" localSheetId="18">Baldeja!#REF!,Baldeja!#REF!,Baldeja!#REF!,Baldeja!#REF!,Baldeja!#REF!,Baldeja!#REF!,Baldeja!$A$1:$O$209,Baldeja!#REF!</definedName>
    <definedName name="_xlnm.Print_Area" localSheetId="19">Comuns!#REF!,Comuns!#REF!,Comuns!#REF!,Comuns!#REF!,Comuns!#REF!,Comuns!#REF!,Comuns!#REF!,Comuns!$A$1:$O$89</definedName>
    <definedName name="_xlnm.Print_Area" localSheetId="6">'COST TOTAL'!$B$2:$U$64</definedName>
    <definedName name="_xlnm.Print_Area" localSheetId="7">EM!$A$1:$O$212</definedName>
    <definedName name="_xlnm.Print_Area" localSheetId="9">EMC!#REF!,EMC!#REF!,EMC!#REF!,EMC!$A$1:$O$212,EMC!#REF!,EMC!#REF!,EMC!#REF!,EMC!#REF!</definedName>
    <definedName name="_xlnm.Print_Area" localSheetId="8">EMX!#REF!,EMX!$A$1:$O$277,EMX!#REF!,EMX!#REF!,EMX!#REF!,EMX!#REF!,EMX!#REF!,EMX!#REF!</definedName>
    <definedName name="BI" localSheetId="16">#REF!</definedName>
    <definedName name="BI" localSheetId="15">#REF!</definedName>
    <definedName name="BI" localSheetId="17">#REF!</definedName>
    <definedName name="BI" localSheetId="14">#REF!</definedName>
    <definedName name="BI" localSheetId="11">#REF!</definedName>
    <definedName name="BI" localSheetId="10">#REF!</definedName>
    <definedName name="BI" localSheetId="12">#REF!</definedName>
    <definedName name="BI" localSheetId="13">#REF!</definedName>
    <definedName name="BI" localSheetId="18">#REF!</definedName>
    <definedName name="BI" localSheetId="19">#REF!</definedName>
    <definedName name="BI" localSheetId="5">#REF!</definedName>
    <definedName name="BI" localSheetId="9">#REF!</definedName>
    <definedName name="BI" localSheetId="8">#REF!</definedName>
    <definedName name="BI">#REF!</definedName>
    <definedName name="CC" localSheetId="16">#REF!</definedName>
    <definedName name="CC" localSheetId="15">#REF!</definedName>
    <definedName name="CC" localSheetId="17">#REF!</definedName>
    <definedName name="CC" localSheetId="14">#REF!</definedName>
    <definedName name="CC" localSheetId="11">#REF!</definedName>
    <definedName name="CC" localSheetId="10">#REF!</definedName>
    <definedName name="CC" localSheetId="12">#REF!</definedName>
    <definedName name="CC" localSheetId="13">#REF!</definedName>
    <definedName name="CC" localSheetId="18">#REF!</definedName>
    <definedName name="CC" localSheetId="19">#REF!</definedName>
    <definedName name="CC" localSheetId="5">#REF!</definedName>
    <definedName name="CC" localSheetId="9">#REF!</definedName>
    <definedName name="CC" localSheetId="8">#REF!</definedName>
    <definedName name="CC">#REF!</definedName>
    <definedName name="CS" localSheetId="16">#REF!</definedName>
    <definedName name="CS" localSheetId="15">#REF!</definedName>
    <definedName name="CS" localSheetId="17">#REF!</definedName>
    <definedName name="CS" localSheetId="14">#REF!</definedName>
    <definedName name="CS" localSheetId="11">#REF!</definedName>
    <definedName name="CS" localSheetId="10">#REF!</definedName>
    <definedName name="CS" localSheetId="12">#REF!</definedName>
    <definedName name="CS" localSheetId="13">#REF!</definedName>
    <definedName name="CS" localSheetId="18">#REF!</definedName>
    <definedName name="CS" localSheetId="19">#REF!</definedName>
    <definedName name="CS" localSheetId="5">#REF!</definedName>
    <definedName name="CS" localSheetId="9">#REF!</definedName>
    <definedName name="CS" localSheetId="8">#REF!</definedName>
    <definedName name="CS">#REF!</definedName>
    <definedName name="DG" localSheetId="16">#REF!</definedName>
    <definedName name="DG" localSheetId="15">#REF!</definedName>
    <definedName name="DG" localSheetId="17">#REF!</definedName>
    <definedName name="DG" localSheetId="14">#REF!</definedName>
    <definedName name="DG" localSheetId="11">#REF!</definedName>
    <definedName name="DG" localSheetId="10">#REF!</definedName>
    <definedName name="DG" localSheetId="12">#REF!</definedName>
    <definedName name="DG" localSheetId="13">#REF!</definedName>
    <definedName name="DG" localSheetId="18">#REF!</definedName>
    <definedName name="DG" localSheetId="19">#REF!</definedName>
    <definedName name="DG" localSheetId="5">#REF!</definedName>
    <definedName name="DG" localSheetId="9">#REF!</definedName>
    <definedName name="DG" localSheetId="8">#REF!</definedName>
    <definedName name="DG">#REF!</definedName>
    <definedName name="dies_conveni" localSheetId="16">#REF!</definedName>
    <definedName name="dies_conveni" localSheetId="15">#REF!</definedName>
    <definedName name="dies_conveni" localSheetId="17">#REF!</definedName>
    <definedName name="dies_conveni" localSheetId="14">#REF!</definedName>
    <definedName name="dies_conveni" localSheetId="11">#REF!</definedName>
    <definedName name="dies_conveni" localSheetId="10">#REF!</definedName>
    <definedName name="dies_conveni" localSheetId="12">#REF!</definedName>
    <definedName name="dies_conveni" localSheetId="13">#REF!</definedName>
    <definedName name="dies_conveni" localSheetId="18">#REF!</definedName>
    <definedName name="dies_conveni" localSheetId="19">#REF!</definedName>
    <definedName name="dies_conveni" localSheetId="5">#REF!</definedName>
    <definedName name="dies_conveni" localSheetId="9">#REF!</definedName>
    <definedName name="dies_conveni" localSheetId="8">#REF!</definedName>
    <definedName name="dies_conveni">#REF!</definedName>
    <definedName name="GASOIL" localSheetId="16">#REF!</definedName>
    <definedName name="GASOIL" localSheetId="15">#REF!</definedName>
    <definedName name="GASOIL" localSheetId="17">#REF!</definedName>
    <definedName name="GASOIL" localSheetId="14">#REF!</definedName>
    <definedName name="GASOIL" localSheetId="11">#REF!</definedName>
    <definedName name="GASOIL" localSheetId="10">#REF!</definedName>
    <definedName name="GASOIL" localSheetId="12">#REF!</definedName>
    <definedName name="GASOIL" localSheetId="13">#REF!</definedName>
    <definedName name="GASOIL" localSheetId="18">#REF!</definedName>
    <definedName name="GASOIL" localSheetId="19">#REF!</definedName>
    <definedName name="GASOIL" localSheetId="5">#REF!</definedName>
    <definedName name="GASOIL" localSheetId="9">#REF!</definedName>
    <definedName name="GASOIL" localSheetId="8">#REF!</definedName>
    <definedName name="GASOIL">#REF!</definedName>
    <definedName name="GASOLINA" localSheetId="16">#REF!</definedName>
    <definedName name="GASOLINA" localSheetId="15">#REF!</definedName>
    <definedName name="GASOLINA" localSheetId="17">#REF!</definedName>
    <definedName name="GASOLINA" localSheetId="14">#REF!</definedName>
    <definedName name="GASOLINA" localSheetId="11">#REF!</definedName>
    <definedName name="GASOLINA" localSheetId="10">#REF!</definedName>
    <definedName name="GASOLINA" localSheetId="12">#REF!</definedName>
    <definedName name="GASOLINA" localSheetId="13">#REF!</definedName>
    <definedName name="GASOLINA" localSheetId="18">#REF!</definedName>
    <definedName name="GASOLINA" localSheetId="19">#REF!</definedName>
    <definedName name="GASOLINA" localSheetId="5">#REF!</definedName>
    <definedName name="GASOLINA" localSheetId="9">#REF!</definedName>
    <definedName name="GASOLINA" localSheetId="8">#REF!</definedName>
    <definedName name="GASOLINA">#REF!</definedName>
    <definedName name="Hab">[1]Recollida!$E$10</definedName>
    <definedName name="hores_dia" localSheetId="16">#REF!</definedName>
    <definedName name="hores_dia" localSheetId="15">#REF!</definedName>
    <definedName name="hores_dia" localSheetId="17">#REF!</definedName>
    <definedName name="hores_dia" localSheetId="14">#REF!</definedName>
    <definedName name="hores_dia" localSheetId="11">#REF!</definedName>
    <definedName name="hores_dia" localSheetId="10">#REF!</definedName>
    <definedName name="hores_dia" localSheetId="12">#REF!</definedName>
    <definedName name="hores_dia" localSheetId="13">#REF!</definedName>
    <definedName name="hores_dia" localSheetId="18">#REF!</definedName>
    <definedName name="hores_dia" localSheetId="19">#REF!</definedName>
    <definedName name="hores_dia" localSheetId="5">#REF!</definedName>
    <definedName name="hores_dia" localSheetId="9">#REF!</definedName>
    <definedName name="hores_dia" localSheetId="8">#REF!</definedName>
    <definedName name="hores_dia">#REF!</definedName>
    <definedName name="hores_dia2" localSheetId="16">#REF!</definedName>
    <definedName name="hores_dia2" localSheetId="15">#REF!</definedName>
    <definedName name="hores_dia2" localSheetId="17">#REF!</definedName>
    <definedName name="hores_dia2" localSheetId="14">#REF!</definedName>
    <definedName name="hores_dia2" localSheetId="11">#REF!</definedName>
    <definedName name="hores_dia2" localSheetId="10">#REF!</definedName>
    <definedName name="hores_dia2" localSheetId="12">#REF!</definedName>
    <definedName name="hores_dia2" localSheetId="13">#REF!</definedName>
    <definedName name="hores_dia2" localSheetId="18">#REF!</definedName>
    <definedName name="hores_dia2" localSheetId="19">#REF!</definedName>
    <definedName name="hores_dia2" localSheetId="5">#REF!</definedName>
    <definedName name="hores_dia2" localSheetId="9">#REF!</definedName>
    <definedName name="hores_dia2" localSheetId="8">#REF!</definedName>
    <definedName name="hores_dia2">#REF!</definedName>
    <definedName name="Inversions" localSheetId="16">#REF!</definedName>
    <definedName name="Inversions" localSheetId="15">#REF!</definedName>
    <definedName name="Inversions" localSheetId="17">#REF!</definedName>
    <definedName name="Inversions" localSheetId="14">#REF!</definedName>
    <definedName name="Inversions" localSheetId="11">#REF!</definedName>
    <definedName name="Inversions" localSheetId="10">#REF!</definedName>
    <definedName name="Inversions" localSheetId="12">#REF!</definedName>
    <definedName name="Inversions" localSheetId="13">#REF!</definedName>
    <definedName name="Inversions" localSheetId="18">#REF!</definedName>
    <definedName name="Inversions" localSheetId="19">#REF!</definedName>
    <definedName name="Inversions" localSheetId="5">#REF!</definedName>
    <definedName name="Inversions" localSheetId="9">#REF!</definedName>
    <definedName name="Inversions" localSheetId="8">#REF!</definedName>
    <definedName name="Inversions">#REF!</definedName>
    <definedName name="IVA" localSheetId="16">#REF!</definedName>
    <definedName name="IVA" localSheetId="15">#REF!</definedName>
    <definedName name="IVA" localSheetId="17">#REF!</definedName>
    <definedName name="IVA" localSheetId="14">#REF!</definedName>
    <definedName name="IVA" localSheetId="11">#REF!</definedName>
    <definedName name="IVA" localSheetId="10">#REF!</definedName>
    <definedName name="IVA" localSheetId="12">#REF!</definedName>
    <definedName name="IVA" localSheetId="13">#REF!</definedName>
    <definedName name="IVA" localSheetId="18">#REF!</definedName>
    <definedName name="IVA" localSheetId="19">#REF!</definedName>
    <definedName name="IVA" localSheetId="5">#REF!</definedName>
    <definedName name="IVA" localSheetId="9">#REF!</definedName>
    <definedName name="IVA" localSheetId="8">#REF!</definedName>
    <definedName name="IVA">#REF!</definedName>
    <definedName name="Maq" localSheetId="16">#REF!</definedName>
    <definedName name="Maq" localSheetId="15">#REF!</definedName>
    <definedName name="Maq" localSheetId="17">#REF!</definedName>
    <definedName name="Maq" localSheetId="14">#REF!</definedName>
    <definedName name="Maq" localSheetId="11">#REF!</definedName>
    <definedName name="Maq" localSheetId="10">#REF!</definedName>
    <definedName name="Maq" localSheetId="12">#REF!</definedName>
    <definedName name="Maq" localSheetId="13">#REF!</definedName>
    <definedName name="Maq" localSheetId="18">#REF!</definedName>
    <definedName name="Maq" localSheetId="19">#REF!</definedName>
    <definedName name="Maq" localSheetId="5">#REF!</definedName>
    <definedName name="Maq" localSheetId="9">#REF!</definedName>
    <definedName name="Maq" localSheetId="8">#REF!</definedName>
    <definedName name="Maq">#REF!</definedName>
    <definedName name="Mezcla" localSheetId="16">#REF!</definedName>
    <definedName name="Mezcla" localSheetId="15">#REF!</definedName>
    <definedName name="Mezcla" localSheetId="17">#REF!</definedName>
    <definedName name="Mezcla" localSheetId="14">#REF!</definedName>
    <definedName name="Mezcla" localSheetId="11">#REF!</definedName>
    <definedName name="Mezcla" localSheetId="10">#REF!</definedName>
    <definedName name="Mezcla" localSheetId="12">#REF!</definedName>
    <definedName name="Mezcla" localSheetId="13">#REF!</definedName>
    <definedName name="Mezcla" localSheetId="18">#REF!</definedName>
    <definedName name="Mezcla" localSheetId="19">#REF!</definedName>
    <definedName name="Mezcla" localSheetId="5">#REF!</definedName>
    <definedName name="Mezcla" localSheetId="9">#REF!</definedName>
    <definedName name="Mezcla" localSheetId="8">#REF!</definedName>
    <definedName name="Mezcla">#REF!</definedName>
    <definedName name="PT" localSheetId="16">#REF!</definedName>
    <definedName name="PT" localSheetId="15">#REF!</definedName>
    <definedName name="PT" localSheetId="17">#REF!</definedName>
    <definedName name="PT" localSheetId="14">#REF!</definedName>
    <definedName name="PT" localSheetId="11">#REF!</definedName>
    <definedName name="PT" localSheetId="10">#REF!</definedName>
    <definedName name="PT" localSheetId="12">#REF!</definedName>
    <definedName name="PT" localSheetId="13">#REF!</definedName>
    <definedName name="PT" localSheetId="18">#REF!</definedName>
    <definedName name="PT" localSheetId="19">#REF!</definedName>
    <definedName name="PT" localSheetId="5">#REF!</definedName>
    <definedName name="PT" localSheetId="9">#REF!</definedName>
    <definedName name="PT" localSheetId="8">#REF!</definedName>
    <definedName name="PT">#REF!</definedName>
    <definedName name="seguro0" localSheetId="16">#REF!</definedName>
    <definedName name="seguro0" localSheetId="15">#REF!</definedName>
    <definedName name="seguro0" localSheetId="17">#REF!</definedName>
    <definedName name="seguro0" localSheetId="14">#REF!</definedName>
    <definedName name="seguro0" localSheetId="11">#REF!</definedName>
    <definedName name="seguro0" localSheetId="10">#REF!</definedName>
    <definedName name="seguro0" localSheetId="12">#REF!</definedName>
    <definedName name="seguro0" localSheetId="13">#REF!</definedName>
    <definedName name="seguro0" localSheetId="18">#REF!</definedName>
    <definedName name="seguro0" localSheetId="19">#REF!</definedName>
    <definedName name="seguro0" localSheetId="5">#REF!</definedName>
    <definedName name="seguro0" localSheetId="9">#REF!</definedName>
    <definedName name="seguro0" localSheetId="8">#REF!</definedName>
    <definedName name="seguro0">#REF!</definedName>
    <definedName name="seguro1" localSheetId="16">#REF!</definedName>
    <definedName name="seguro1" localSheetId="15">#REF!</definedName>
    <definedName name="seguro1" localSheetId="17">#REF!</definedName>
    <definedName name="seguro1" localSheetId="14">#REF!</definedName>
    <definedName name="seguro1" localSheetId="11">#REF!</definedName>
    <definedName name="seguro1" localSheetId="10">#REF!</definedName>
    <definedName name="seguro1" localSheetId="12">#REF!</definedName>
    <definedName name="seguro1" localSheetId="13">#REF!</definedName>
    <definedName name="seguro1" localSheetId="18">#REF!</definedName>
    <definedName name="seguro1" localSheetId="19">#REF!</definedName>
    <definedName name="seguro1" localSheetId="5">#REF!</definedName>
    <definedName name="seguro1" localSheetId="9">#REF!</definedName>
    <definedName name="seguro1" localSheetId="8">#REF!</definedName>
    <definedName name="seguro1">#REF!</definedName>
    <definedName name="seguro2" localSheetId="16">#REF!</definedName>
    <definedName name="seguro2" localSheetId="15">#REF!</definedName>
    <definedName name="seguro2" localSheetId="17">#REF!</definedName>
    <definedName name="seguro2" localSheetId="14">#REF!</definedName>
    <definedName name="seguro2" localSheetId="11">#REF!</definedName>
    <definedName name="seguro2" localSheetId="10">#REF!</definedName>
    <definedName name="seguro2" localSheetId="12">#REF!</definedName>
    <definedName name="seguro2" localSheetId="13">#REF!</definedName>
    <definedName name="seguro2" localSheetId="18">#REF!</definedName>
    <definedName name="seguro2" localSheetId="19">#REF!</definedName>
    <definedName name="seguro2" localSheetId="5">#REF!</definedName>
    <definedName name="seguro2" localSheetId="9">#REF!</definedName>
    <definedName name="seguro2" localSheetId="8">#REF!</definedName>
    <definedName name="seguro2">#REF!</definedName>
    <definedName name="seguro3" localSheetId="16">#REF!</definedName>
    <definedName name="seguro3" localSheetId="15">#REF!</definedName>
    <definedName name="seguro3" localSheetId="17">#REF!</definedName>
    <definedName name="seguro3" localSheetId="14">#REF!</definedName>
    <definedName name="seguro3" localSheetId="11">#REF!</definedName>
    <definedName name="seguro3" localSheetId="10">#REF!</definedName>
    <definedName name="seguro3" localSheetId="12">#REF!</definedName>
    <definedName name="seguro3" localSheetId="13">#REF!</definedName>
    <definedName name="seguro3" localSheetId="18">#REF!</definedName>
    <definedName name="seguro3" localSheetId="19">#REF!</definedName>
    <definedName name="seguro3" localSheetId="5">#REF!</definedName>
    <definedName name="seguro3" localSheetId="9">#REF!</definedName>
    <definedName name="seguro3" localSheetId="8">#REF!</definedName>
    <definedName name="seguro3">#REF!</definedName>
    <definedName name="seguro4" localSheetId="16">#REF!</definedName>
    <definedName name="seguro4" localSheetId="15">#REF!</definedName>
    <definedName name="seguro4" localSheetId="17">#REF!</definedName>
    <definedName name="seguro4" localSheetId="14">#REF!</definedName>
    <definedName name="seguro4" localSheetId="11">#REF!</definedName>
    <definedName name="seguro4" localSheetId="10">#REF!</definedName>
    <definedName name="seguro4" localSheetId="12">#REF!</definedName>
    <definedName name="seguro4" localSheetId="13">#REF!</definedName>
    <definedName name="seguro4" localSheetId="18">#REF!</definedName>
    <definedName name="seguro4" localSheetId="19">#REF!</definedName>
    <definedName name="seguro4" localSheetId="5">#REF!</definedName>
    <definedName name="seguro4" localSheetId="9">#REF!</definedName>
    <definedName name="seguro4" localSheetId="8">#REF!</definedName>
    <definedName name="seguro4">#REF!</definedName>
    <definedName name="seguro5" localSheetId="16">#REF!</definedName>
    <definedName name="seguro5" localSheetId="15">#REF!</definedName>
    <definedName name="seguro5" localSheetId="17">#REF!</definedName>
    <definedName name="seguro5" localSheetId="14">#REF!</definedName>
    <definedName name="seguro5" localSheetId="11">#REF!</definedName>
    <definedName name="seguro5" localSheetId="10">#REF!</definedName>
    <definedName name="seguro5" localSheetId="12">#REF!</definedName>
    <definedName name="seguro5" localSheetId="13">#REF!</definedName>
    <definedName name="seguro5" localSheetId="18">#REF!</definedName>
    <definedName name="seguro5" localSheetId="19">#REF!</definedName>
    <definedName name="seguro5" localSheetId="5">#REF!</definedName>
    <definedName name="seguro5" localSheetId="9">#REF!</definedName>
    <definedName name="seguro5" localSheetId="8">#REF!</definedName>
    <definedName name="seguro5">#REF!</definedName>
    <definedName name="seguro6" localSheetId="16">#REF!</definedName>
    <definedName name="seguro6" localSheetId="15">#REF!</definedName>
    <definedName name="seguro6" localSheetId="17">#REF!</definedName>
    <definedName name="seguro6" localSheetId="14">#REF!</definedName>
    <definedName name="seguro6" localSheetId="11">#REF!</definedName>
    <definedName name="seguro6" localSheetId="10">#REF!</definedName>
    <definedName name="seguro6" localSheetId="12">#REF!</definedName>
    <definedName name="seguro6" localSheetId="13">#REF!</definedName>
    <definedName name="seguro6" localSheetId="18">#REF!</definedName>
    <definedName name="seguro6" localSheetId="19">#REF!</definedName>
    <definedName name="seguro6" localSheetId="5">#REF!</definedName>
    <definedName name="seguro6" localSheetId="9">#REF!</definedName>
    <definedName name="seguro6" localSheetId="8">#REF!</definedName>
    <definedName name="seguro6">#REF!</definedName>
    <definedName name="Serveis" localSheetId="16">#REF!</definedName>
    <definedName name="Serveis" localSheetId="15">#REF!</definedName>
    <definedName name="Serveis" localSheetId="17">#REF!</definedName>
    <definedName name="Serveis" localSheetId="14">#REF!</definedName>
    <definedName name="Serveis" localSheetId="11">#REF!</definedName>
    <definedName name="Serveis" localSheetId="10">#REF!</definedName>
    <definedName name="Serveis" localSheetId="12">#REF!</definedName>
    <definedName name="Serveis" localSheetId="13">#REF!</definedName>
    <definedName name="Serveis" localSheetId="18">#REF!</definedName>
    <definedName name="Serveis" localSheetId="19">#REF!</definedName>
    <definedName name="Serveis" localSheetId="5">#REF!</definedName>
    <definedName name="Serveis" localSheetId="9">#REF!</definedName>
    <definedName name="Serveis" localSheetId="8">#REF!</definedName>
    <definedName name="Serveis">#REF!</definedName>
    <definedName name="TA" localSheetId="16">#REF!</definedName>
    <definedName name="TA" localSheetId="15">#REF!</definedName>
    <definedName name="TA" localSheetId="17">#REF!</definedName>
    <definedName name="TA" localSheetId="14">#REF!</definedName>
    <definedName name="TA" localSheetId="11">#REF!</definedName>
    <definedName name="TA" localSheetId="10">#REF!</definedName>
    <definedName name="TA" localSheetId="12">#REF!</definedName>
    <definedName name="TA" localSheetId="13">#REF!</definedName>
    <definedName name="TA" localSheetId="18">#REF!</definedName>
    <definedName name="TA" localSheetId="19">#REF!</definedName>
    <definedName name="TA" localSheetId="5">#REF!</definedName>
    <definedName name="TA" localSheetId="9">#REF!</definedName>
    <definedName name="TA" localSheetId="8">#REF!</definedName>
    <definedName name="TA">#REF!</definedName>
    <definedName name="TB" localSheetId="16">#REF!</definedName>
    <definedName name="TB" localSheetId="15">#REF!</definedName>
    <definedName name="TB" localSheetId="17">#REF!</definedName>
    <definedName name="TB" localSheetId="14">#REF!</definedName>
    <definedName name="TB" localSheetId="11">#REF!</definedName>
    <definedName name="TB" localSheetId="10">#REF!</definedName>
    <definedName name="TB" localSheetId="12">#REF!</definedName>
    <definedName name="TB" localSheetId="13">#REF!</definedName>
    <definedName name="TB" localSheetId="18">#REF!</definedName>
    <definedName name="TB" localSheetId="19">#REF!</definedName>
    <definedName name="TB" localSheetId="5">#REF!</definedName>
    <definedName name="TB" localSheetId="9">#REF!</definedName>
    <definedName name="TB" localSheetId="8">#REF!</definedName>
    <definedName name="TB">#REF!</definedName>
    <definedName name="TH" localSheetId="16">#REF!</definedName>
    <definedName name="TH" localSheetId="15">#REF!</definedName>
    <definedName name="TH" localSheetId="17">#REF!</definedName>
    <definedName name="TH" localSheetId="14">#REF!</definedName>
    <definedName name="TH" localSheetId="11">#REF!</definedName>
    <definedName name="TH" localSheetId="10">#REF!</definedName>
    <definedName name="TH" localSheetId="12">#REF!</definedName>
    <definedName name="TH" localSheetId="13">#REF!</definedName>
    <definedName name="TH" localSheetId="18">#REF!</definedName>
    <definedName name="TH" localSheetId="19">#REF!</definedName>
    <definedName name="TH" localSheetId="5">#REF!</definedName>
    <definedName name="TH" localSheetId="9">#REF!</definedName>
    <definedName name="TH" localSheetId="8">#REF!</definedName>
    <definedName name="TH">#REF!</definedName>
    <definedName name="tipos" localSheetId="16">#REF!</definedName>
    <definedName name="tipos" localSheetId="15">#REF!</definedName>
    <definedName name="tipos" localSheetId="17">#REF!</definedName>
    <definedName name="tipos" localSheetId="14">#REF!</definedName>
    <definedName name="tipos" localSheetId="11">#REF!</definedName>
    <definedName name="tipos" localSheetId="10">#REF!</definedName>
    <definedName name="tipos" localSheetId="12">#REF!</definedName>
    <definedName name="tipos" localSheetId="13">#REF!</definedName>
    <definedName name="tipos" localSheetId="18">#REF!</definedName>
    <definedName name="tipos" localSheetId="19">#REF!</definedName>
    <definedName name="tipos" localSheetId="5">#REF!</definedName>
    <definedName name="tipos" localSheetId="9">#REF!</definedName>
    <definedName name="tipos" localSheetId="8">#REF!</definedName>
    <definedName name="tipos">#REF!</definedName>
    <definedName name="TP" localSheetId="16">#REF!</definedName>
    <definedName name="TP" localSheetId="15">#REF!</definedName>
    <definedName name="TP" localSheetId="17">#REF!</definedName>
    <definedName name="TP" localSheetId="14">#REF!</definedName>
    <definedName name="TP" localSheetId="11">#REF!</definedName>
    <definedName name="TP" localSheetId="10">#REF!</definedName>
    <definedName name="TP" localSheetId="12">#REF!</definedName>
    <definedName name="TP" localSheetId="13">#REF!</definedName>
    <definedName name="TP" localSheetId="18">#REF!</definedName>
    <definedName name="TP" localSheetId="19">#REF!</definedName>
    <definedName name="TP" localSheetId="5">#REF!</definedName>
    <definedName name="TP" localSheetId="9">#REF!</definedName>
    <definedName name="TP" localSheetId="8">#REF!</definedName>
    <definedName name="TP">#REF!</definedName>
    <definedName name="Unit_pers" localSheetId="16">#REF!</definedName>
    <definedName name="Unit_pers" localSheetId="15">#REF!</definedName>
    <definedName name="Unit_pers" localSheetId="17">#REF!</definedName>
    <definedName name="Unit_pers" localSheetId="14">#REF!</definedName>
    <definedName name="Unit_pers" localSheetId="11">#REF!</definedName>
    <definedName name="Unit_pers" localSheetId="10">#REF!</definedName>
    <definedName name="Unit_pers" localSheetId="12">#REF!</definedName>
    <definedName name="Unit_pers" localSheetId="13">#REF!</definedName>
    <definedName name="Unit_pers" localSheetId="18">#REF!</definedName>
    <definedName name="Unit_pers" localSheetId="19">#REF!</definedName>
    <definedName name="Unit_pers" localSheetId="5">#REF!</definedName>
    <definedName name="Unit_pers" localSheetId="9">#REF!</definedName>
    <definedName name="Unit_pers" localSheetId="8">#REF!</definedName>
    <definedName name="Unit_pers">#REF!</definedName>
    <definedName name="vestuari" localSheetId="16">#REF!</definedName>
    <definedName name="vestuari" localSheetId="15">#REF!</definedName>
    <definedName name="vestuari" localSheetId="17">#REF!</definedName>
    <definedName name="vestuari" localSheetId="14">#REF!</definedName>
    <definedName name="vestuari" localSheetId="11">#REF!</definedName>
    <definedName name="vestuari" localSheetId="10">#REF!</definedName>
    <definedName name="vestuari" localSheetId="12">#REF!</definedName>
    <definedName name="vestuari" localSheetId="13">#REF!</definedName>
    <definedName name="vestuari" localSheetId="18">#REF!</definedName>
    <definedName name="vestuari" localSheetId="19">#REF!</definedName>
    <definedName name="vestuari" localSheetId="5">#REF!</definedName>
    <definedName name="vestuari" localSheetId="9">#REF!</definedName>
    <definedName name="vestuari" localSheetId="8">#REF!</definedName>
    <definedName name="vestuari">#REF!</definedName>
  </definedNames>
  <calcPr calcId="191029"/>
  <fileRecoveryPr autoRecover="0"/>
</workbook>
</file>

<file path=xl/calcChain.xml><?xml version="1.0" encoding="utf-8"?>
<calcChain xmlns="http://schemas.openxmlformats.org/spreadsheetml/2006/main">
  <c r="O163" i="51" l="1"/>
  <c r="O111" i="51"/>
  <c r="O57" i="51"/>
  <c r="F71" i="60" l="1"/>
  <c r="F70" i="60"/>
  <c r="F49" i="60"/>
  <c r="F48" i="60"/>
  <c r="F27" i="60"/>
  <c r="F26" i="60"/>
  <c r="B18" i="65" l="1"/>
  <c r="B15" i="65"/>
  <c r="C5" i="65"/>
  <c r="K227" i="50" l="1"/>
  <c r="K226" i="50"/>
  <c r="H6" i="62" l="1"/>
  <c r="F225" i="49" s="1"/>
  <c r="H7" i="62"/>
  <c r="H13" i="62"/>
  <c r="H15" i="62"/>
  <c r="H17" i="62"/>
  <c r="F167" i="52" s="1"/>
  <c r="H18" i="62"/>
  <c r="H19" i="62"/>
  <c r="F42" i="55" s="1"/>
  <c r="H21" i="62"/>
  <c r="F44" i="55"/>
  <c r="F166" i="54"/>
  <c r="F185" i="60"/>
  <c r="F185" i="57"/>
  <c r="F226" i="49"/>
  <c r="F227" i="49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K154" i="50"/>
  <c r="K84" i="50"/>
  <c r="K249" i="49" l="1"/>
  <c r="K248" i="49"/>
  <c r="K247" i="49"/>
  <c r="K184" i="37"/>
  <c r="K183" i="37"/>
  <c r="K182" i="37"/>
  <c r="K238" i="50"/>
  <c r="G9" i="63" l="1"/>
  <c r="G8" i="63"/>
  <c r="G7" i="63"/>
  <c r="G6" i="63"/>
  <c r="G5" i="63"/>
  <c r="G4" i="63"/>
  <c r="G10" i="63"/>
  <c r="D46" i="63" l="1"/>
  <c r="F42" i="63"/>
  <c r="F15" i="63" s="1"/>
  <c r="F14" i="63"/>
  <c r="D42" i="63"/>
  <c r="F13" i="63" s="1"/>
  <c r="C42" i="63"/>
  <c r="F12" i="63" s="1"/>
  <c r="B42" i="63"/>
  <c r="F11" i="63" s="1"/>
  <c r="C26" i="63"/>
  <c r="D25" i="63"/>
  <c r="D24" i="63"/>
  <c r="D23" i="63"/>
  <c r="D22" i="63"/>
  <c r="D21" i="63"/>
  <c r="G11" i="63" l="1"/>
  <c r="G15" i="63"/>
  <c r="G12" i="63"/>
  <c r="K181" i="51"/>
  <c r="K178" i="58"/>
  <c r="K177" i="53"/>
  <c r="K234" i="50"/>
  <c r="K197" i="60"/>
  <c r="K178" i="54"/>
  <c r="K201" i="56"/>
  <c r="K181" i="59"/>
  <c r="K58" i="55"/>
  <c r="K243" i="49"/>
  <c r="K197" i="57"/>
  <c r="K179" i="52"/>
  <c r="K177" i="54"/>
  <c r="K196" i="60"/>
  <c r="K233" i="50"/>
  <c r="K176" i="53"/>
  <c r="K177" i="58"/>
  <c r="K180" i="51"/>
  <c r="K178" i="52"/>
  <c r="K196" i="57"/>
  <c r="K242" i="49"/>
  <c r="K57" i="55"/>
  <c r="K180" i="59"/>
  <c r="K200" i="56"/>
  <c r="K178" i="37"/>
  <c r="K181" i="37"/>
  <c r="K184" i="51"/>
  <c r="K204" i="56"/>
  <c r="K181" i="58"/>
  <c r="K184" i="59"/>
  <c r="K180" i="53"/>
  <c r="K61" i="55"/>
  <c r="K246" i="49"/>
  <c r="K237" i="50"/>
  <c r="K200" i="57"/>
  <c r="K200" i="60"/>
  <c r="K182" i="52"/>
  <c r="K181" i="54"/>
  <c r="G13" i="63"/>
  <c r="K178" i="53"/>
  <c r="K179" i="58"/>
  <c r="K182" i="51"/>
  <c r="K180" i="52"/>
  <c r="K198" i="57"/>
  <c r="K244" i="49"/>
  <c r="K59" i="55"/>
  <c r="K182" i="59"/>
  <c r="K202" i="56"/>
  <c r="K179" i="37"/>
  <c r="K179" i="54"/>
  <c r="K198" i="60"/>
  <c r="K235" i="50"/>
  <c r="G14" i="63"/>
  <c r="K180" i="37"/>
  <c r="K183" i="51"/>
  <c r="K203" i="56"/>
  <c r="K180" i="58"/>
  <c r="K183" i="59"/>
  <c r="K179" i="53"/>
  <c r="K60" i="55"/>
  <c r="K245" i="49"/>
  <c r="K236" i="50"/>
  <c r="K199" i="57"/>
  <c r="K199" i="60"/>
  <c r="K181" i="52"/>
  <c r="K180" i="54"/>
  <c r="K56" i="55"/>
  <c r="K179" i="59"/>
  <c r="K199" i="56"/>
  <c r="K177" i="37"/>
  <c r="K175" i="53"/>
  <c r="K176" i="58"/>
  <c r="K177" i="52"/>
  <c r="K241" i="49"/>
  <c r="K176" i="54"/>
  <c r="K195" i="60"/>
  <c r="K232" i="50"/>
  <c r="K179" i="51"/>
  <c r="K195" i="57"/>
  <c r="F43" i="55" l="1"/>
  <c r="M10" i="38" l="1"/>
  <c r="F45" i="55"/>
  <c r="F167" i="59"/>
  <c r="F166" i="58"/>
  <c r="F189" i="56"/>
  <c r="F221" i="50"/>
  <c r="F167" i="51"/>
  <c r="F228" i="49"/>
  <c r="K45" i="55" l="1"/>
  <c r="K44" i="55"/>
  <c r="K43" i="55"/>
  <c r="K42" i="55"/>
  <c r="K166" i="54"/>
  <c r="K167" i="52"/>
  <c r="K167" i="59"/>
  <c r="K185" i="60"/>
  <c r="K166" i="58"/>
  <c r="K185" i="57"/>
  <c r="K189" i="56"/>
  <c r="K221" i="50"/>
  <c r="K167" i="51"/>
  <c r="K228" i="49"/>
  <c r="K227" i="49"/>
  <c r="K226" i="49"/>
  <c r="K225" i="49"/>
  <c r="N10" i="38"/>
  <c r="H46" i="64" l="1"/>
  <c r="I46" i="64"/>
  <c r="J38" i="64"/>
  <c r="I38" i="64"/>
  <c r="H38" i="64"/>
  <c r="G38" i="64"/>
  <c r="F38" i="64"/>
  <c r="E38" i="64"/>
  <c r="D38" i="64"/>
  <c r="J32" i="64"/>
  <c r="I32" i="64"/>
  <c r="H32" i="64"/>
  <c r="G32" i="64"/>
  <c r="F32" i="64"/>
  <c r="E32" i="64"/>
  <c r="E44" i="64" s="1"/>
  <c r="G44" i="64" s="1"/>
  <c r="D32" i="64"/>
  <c r="D44" i="64" s="1"/>
  <c r="F44" i="64" s="1"/>
  <c r="J22" i="64"/>
  <c r="E43" i="64" s="1"/>
  <c r="I22" i="64"/>
  <c r="H22" i="64"/>
  <c r="G22" i="64"/>
  <c r="F22" i="64"/>
  <c r="E22" i="64"/>
  <c r="D22" i="64"/>
  <c r="D43" i="64" s="1"/>
  <c r="J11" i="64"/>
  <c r="I11" i="64"/>
  <c r="H11" i="64"/>
  <c r="G11" i="64"/>
  <c r="F11" i="64"/>
  <c r="E11" i="64"/>
  <c r="E45" i="64" s="1"/>
  <c r="G45" i="64" s="1"/>
  <c r="D11" i="64"/>
  <c r="D45" i="64" s="1"/>
  <c r="F45" i="64" s="1"/>
  <c r="H47" i="64" l="1"/>
  <c r="D46" i="64"/>
  <c r="D47" i="64" s="1"/>
  <c r="F43" i="64"/>
  <c r="F46" i="64" s="1"/>
  <c r="G43" i="64"/>
  <c r="G46" i="64" s="1"/>
  <c r="E46" i="64"/>
  <c r="F47" i="64" l="1"/>
  <c r="K22" i="62" l="1"/>
  <c r="L22" i="62" s="1"/>
  <c r="K21" i="62"/>
  <c r="L21" i="62" s="1"/>
  <c r="G21" i="62"/>
  <c r="K20" i="62"/>
  <c r="L20" i="62" s="1"/>
  <c r="K19" i="62"/>
  <c r="G19" i="62"/>
  <c r="K18" i="62"/>
  <c r="L18" i="62" s="1"/>
  <c r="K17" i="62"/>
  <c r="L17" i="62" s="1"/>
  <c r="K16" i="62"/>
  <c r="L16" i="62" s="1"/>
  <c r="K15" i="62"/>
  <c r="L15" i="62" s="1"/>
  <c r="K14" i="62"/>
  <c r="L14" i="62" s="1"/>
  <c r="K13" i="62"/>
  <c r="L13" i="62" s="1"/>
  <c r="K12" i="62"/>
  <c r="L12" i="62" s="1"/>
  <c r="K11" i="62"/>
  <c r="L11" i="62" s="1"/>
  <c r="K10" i="62"/>
  <c r="L10" i="62" s="1"/>
  <c r="K9" i="62"/>
  <c r="L9" i="62" s="1"/>
  <c r="K8" i="62"/>
  <c r="L8" i="62" s="1"/>
  <c r="K7" i="62"/>
  <c r="L7" i="62" s="1"/>
  <c r="K6" i="62"/>
  <c r="L6" i="62" s="1"/>
  <c r="L19" i="62" l="1"/>
  <c r="L23" i="62" s="1"/>
  <c r="J13" i="55" l="1"/>
  <c r="J15" i="55"/>
  <c r="N189" i="56"/>
  <c r="O189" i="56" s="1"/>
  <c r="E194" i="56"/>
  <c r="K194" i="56"/>
  <c r="O227" i="50"/>
  <c r="O248" i="49"/>
  <c r="J14" i="55" l="1"/>
  <c r="O194" i="56"/>
  <c r="C60" i="45"/>
  <c r="C59" i="45"/>
  <c r="C58" i="45"/>
  <c r="C50" i="45"/>
  <c r="C49" i="45"/>
  <c r="C48" i="45"/>
  <c r="K88" i="49" l="1"/>
  <c r="L88" i="49" s="1"/>
  <c r="K51" i="55" l="1"/>
  <c r="O51" i="55" s="1"/>
  <c r="N167" i="52"/>
  <c r="O167" i="52" s="1"/>
  <c r="K172" i="59"/>
  <c r="O172" i="59" s="1"/>
  <c r="K190" i="60"/>
  <c r="O190" i="60" s="1"/>
  <c r="N185" i="60"/>
  <c r="O185" i="60" s="1"/>
  <c r="N167" i="51"/>
  <c r="O167" i="51" s="1"/>
  <c r="K171" i="58"/>
  <c r="K174" i="51"/>
  <c r="O174" i="51" s="1"/>
  <c r="K173" i="51"/>
  <c r="K172" i="51"/>
  <c r="K236" i="49" l="1"/>
  <c r="K235" i="49"/>
  <c r="O235" i="49" s="1"/>
  <c r="K234" i="49"/>
  <c r="O234" i="49" s="1"/>
  <c r="K233" i="49"/>
  <c r="O233" i="49" s="1"/>
  <c r="K173" i="59"/>
  <c r="O173" i="59" s="1"/>
  <c r="N43" i="55"/>
  <c r="O43" i="55" s="1"/>
  <c r="K174" i="59"/>
  <c r="O238" i="50"/>
  <c r="N228" i="49" l="1"/>
  <c r="N227" i="49"/>
  <c r="O227" i="49" s="1"/>
  <c r="N225" i="49"/>
  <c r="N226" i="49"/>
  <c r="O226" i="49" s="1"/>
  <c r="O249" i="49"/>
  <c r="O247" i="49" l="1"/>
  <c r="O167" i="37"/>
  <c r="O183" i="37"/>
  <c r="O184" i="37"/>
  <c r="O182" i="37"/>
  <c r="C55" i="45"/>
  <c r="C54" i="45"/>
  <c r="C53" i="45"/>
  <c r="E119" i="58" l="1"/>
  <c r="E70" i="58"/>
  <c r="E67" i="58"/>
  <c r="I55" i="43" l="1"/>
  <c r="D67" i="43"/>
  <c r="D68" i="43"/>
  <c r="D69" i="43"/>
  <c r="D70" i="43" l="1"/>
  <c r="E147" i="56"/>
  <c r="E145" i="56"/>
  <c r="E142" i="56"/>
  <c r="E140" i="56"/>
  <c r="E132" i="56"/>
  <c r="E130" i="56"/>
  <c r="E127" i="56"/>
  <c r="E125" i="56"/>
  <c r="E122" i="56"/>
  <c r="E120" i="56"/>
  <c r="E116" i="56"/>
  <c r="E114" i="56"/>
  <c r="E111" i="56"/>
  <c r="E109" i="56"/>
  <c r="E106" i="56"/>
  <c r="E104" i="56"/>
  <c r="E100" i="56"/>
  <c r="E98" i="56"/>
  <c r="E95" i="56"/>
  <c r="E93" i="56"/>
  <c r="E90" i="56"/>
  <c r="K190" i="57" l="1"/>
  <c r="E190" i="57"/>
  <c r="N185" i="57"/>
  <c r="O185" i="57" s="1"/>
  <c r="O190" i="57" l="1"/>
  <c r="O186" i="57"/>
  <c r="O191" i="57" l="1"/>
  <c r="I60" i="45" l="1"/>
  <c r="I61" i="45" s="1"/>
  <c r="I57" i="45"/>
  <c r="I58" i="45" s="1"/>
  <c r="J9" i="45" l="1"/>
  <c r="K65" i="58" l="1"/>
  <c r="K117" i="58"/>
  <c r="E64" i="53" l="1"/>
  <c r="M213" i="49" l="1"/>
  <c r="M206" i="49"/>
  <c r="M191" i="49"/>
  <c r="M184" i="49"/>
  <c r="M169" i="49"/>
  <c r="M162" i="49"/>
  <c r="M143" i="49"/>
  <c r="M136" i="49"/>
  <c r="M121" i="49"/>
  <c r="M114" i="49"/>
  <c r="M99" i="49"/>
  <c r="M92" i="49"/>
  <c r="M67" i="49"/>
  <c r="M60" i="49"/>
  <c r="M45" i="49"/>
  <c r="M38" i="49"/>
  <c r="F216" i="50"/>
  <c r="F215" i="50"/>
  <c r="F213" i="50"/>
  <c r="F212" i="50"/>
  <c r="F209" i="50"/>
  <c r="F208" i="50"/>
  <c r="F206" i="50"/>
  <c r="F205" i="50"/>
  <c r="G205" i="50" s="1"/>
  <c r="F202" i="50"/>
  <c r="F201" i="50"/>
  <c r="F199" i="50"/>
  <c r="F198" i="50"/>
  <c r="F146" i="50"/>
  <c r="F143" i="50"/>
  <c r="F139" i="50"/>
  <c r="F136" i="50"/>
  <c r="G136" i="50" s="1"/>
  <c r="F132" i="50"/>
  <c r="F129" i="50"/>
  <c r="F194" i="50"/>
  <c r="F193" i="50"/>
  <c r="F191" i="50"/>
  <c r="F190" i="50"/>
  <c r="F187" i="50"/>
  <c r="F186" i="50"/>
  <c r="F184" i="50"/>
  <c r="F183" i="50"/>
  <c r="F180" i="50"/>
  <c r="F179" i="50"/>
  <c r="F177" i="50"/>
  <c r="F176" i="50"/>
  <c r="F124" i="50"/>
  <c r="F121" i="50"/>
  <c r="G121" i="50" s="1"/>
  <c r="F117" i="50"/>
  <c r="F114" i="50"/>
  <c r="F110" i="50"/>
  <c r="F107" i="50"/>
  <c r="F172" i="50"/>
  <c r="F171" i="50"/>
  <c r="F169" i="50"/>
  <c r="F168" i="50"/>
  <c r="F165" i="50"/>
  <c r="F164" i="50"/>
  <c r="F162" i="50"/>
  <c r="F161" i="50"/>
  <c r="F158" i="50"/>
  <c r="F157" i="50"/>
  <c r="F155" i="50"/>
  <c r="F154" i="50"/>
  <c r="F102" i="50"/>
  <c r="F99" i="50"/>
  <c r="E216" i="50"/>
  <c r="E215" i="50"/>
  <c r="E213" i="50"/>
  <c r="E212" i="50"/>
  <c r="E209" i="50"/>
  <c r="E208" i="50"/>
  <c r="E206" i="50"/>
  <c r="E205" i="50"/>
  <c r="E202" i="50"/>
  <c r="E201" i="50"/>
  <c r="E199" i="50"/>
  <c r="E198" i="50"/>
  <c r="E146" i="50"/>
  <c r="E145" i="50"/>
  <c r="E143" i="50"/>
  <c r="E142" i="50"/>
  <c r="E139" i="50"/>
  <c r="E138" i="50"/>
  <c r="E136" i="50"/>
  <c r="E135" i="50"/>
  <c r="E132" i="50"/>
  <c r="E131" i="50"/>
  <c r="E129" i="50"/>
  <c r="E128" i="50"/>
  <c r="E194" i="50"/>
  <c r="E193" i="50"/>
  <c r="E191" i="50"/>
  <c r="E190" i="50"/>
  <c r="E187" i="50"/>
  <c r="E186" i="50"/>
  <c r="E184" i="50"/>
  <c r="E183" i="50"/>
  <c r="E180" i="50"/>
  <c r="E179" i="50"/>
  <c r="E177" i="50"/>
  <c r="E176" i="50"/>
  <c r="G176" i="50" s="1"/>
  <c r="E124" i="50"/>
  <c r="E123" i="50"/>
  <c r="E121" i="50"/>
  <c r="E120" i="50"/>
  <c r="E117" i="50"/>
  <c r="E116" i="50"/>
  <c r="E114" i="50"/>
  <c r="E113" i="50"/>
  <c r="E110" i="50"/>
  <c r="E109" i="50"/>
  <c r="E107" i="50"/>
  <c r="E106" i="50"/>
  <c r="E172" i="50"/>
  <c r="E171" i="50"/>
  <c r="E169" i="50"/>
  <c r="E168" i="50"/>
  <c r="E165" i="50"/>
  <c r="E164" i="50"/>
  <c r="E162" i="50"/>
  <c r="E161" i="50"/>
  <c r="E158" i="50"/>
  <c r="E157" i="50"/>
  <c r="E155" i="50"/>
  <c r="E154" i="50"/>
  <c r="E102" i="50"/>
  <c r="E101" i="50"/>
  <c r="E99" i="50"/>
  <c r="E98" i="50"/>
  <c r="E95" i="50"/>
  <c r="E94" i="50"/>
  <c r="E92" i="50"/>
  <c r="E91" i="50"/>
  <c r="E88" i="50"/>
  <c r="E87" i="50"/>
  <c r="E85" i="50"/>
  <c r="K155" i="50"/>
  <c r="K216" i="50" s="1"/>
  <c r="L216" i="50" s="1"/>
  <c r="K85" i="50"/>
  <c r="K136" i="50" s="1"/>
  <c r="F95" i="50"/>
  <c r="G95" i="50" s="1"/>
  <c r="F92" i="50"/>
  <c r="G92" i="50" s="1"/>
  <c r="F88" i="50"/>
  <c r="G88" i="50" s="1"/>
  <c r="F85" i="50"/>
  <c r="G212" i="50" l="1"/>
  <c r="G99" i="50"/>
  <c r="G114" i="50"/>
  <c r="G199" i="50"/>
  <c r="G155" i="50"/>
  <c r="O155" i="50" s="1"/>
  <c r="G179" i="50"/>
  <c r="G186" i="50"/>
  <c r="G193" i="50"/>
  <c r="K162" i="50"/>
  <c r="L162" i="50" s="1"/>
  <c r="G162" i="50"/>
  <c r="G169" i="50"/>
  <c r="G110" i="50"/>
  <c r="G124" i="50"/>
  <c r="G180" i="50"/>
  <c r="G187" i="50"/>
  <c r="G194" i="50"/>
  <c r="G139" i="50"/>
  <c r="G206" i="50"/>
  <c r="G213" i="50"/>
  <c r="L155" i="50"/>
  <c r="K172" i="50"/>
  <c r="L172" i="50" s="1"/>
  <c r="G143" i="50"/>
  <c r="G201" i="50"/>
  <c r="G208" i="50"/>
  <c r="G215" i="50"/>
  <c r="K110" i="50"/>
  <c r="L110" i="50" s="1"/>
  <c r="K191" i="50"/>
  <c r="L191" i="50" s="1"/>
  <c r="G183" i="50"/>
  <c r="G190" i="50"/>
  <c r="G85" i="50"/>
  <c r="O85" i="50" s="1"/>
  <c r="G129" i="50"/>
  <c r="G102" i="50"/>
  <c r="G158" i="50"/>
  <c r="G165" i="50"/>
  <c r="G172" i="50"/>
  <c r="G117" i="50"/>
  <c r="G184" i="50"/>
  <c r="G191" i="50"/>
  <c r="G132" i="50"/>
  <c r="G146" i="50"/>
  <c r="G202" i="50"/>
  <c r="G209" i="50"/>
  <c r="G216" i="50"/>
  <c r="O216" i="50" s="1"/>
  <c r="K124" i="50"/>
  <c r="L124" i="50" s="1"/>
  <c r="K202" i="50"/>
  <c r="L202" i="50" s="1"/>
  <c r="K139" i="50"/>
  <c r="L139" i="50" s="1"/>
  <c r="K177" i="50"/>
  <c r="L177" i="50" s="1"/>
  <c r="K206" i="50"/>
  <c r="L206" i="50" s="1"/>
  <c r="K95" i="50"/>
  <c r="L95" i="50" s="1"/>
  <c r="K158" i="50"/>
  <c r="L158" i="50" s="1"/>
  <c r="K187" i="50"/>
  <c r="L187" i="50" s="1"/>
  <c r="G198" i="50"/>
  <c r="G107" i="50"/>
  <c r="G177" i="50"/>
  <c r="O136" i="50"/>
  <c r="L136" i="50"/>
  <c r="K114" i="50"/>
  <c r="K88" i="50"/>
  <c r="K102" i="50"/>
  <c r="K117" i="50"/>
  <c r="K132" i="50"/>
  <c r="K146" i="50"/>
  <c r="K165" i="50"/>
  <c r="K180" i="50"/>
  <c r="K194" i="50"/>
  <c r="K209" i="50"/>
  <c r="K99" i="50"/>
  <c r="K129" i="50"/>
  <c r="K143" i="50"/>
  <c r="L85" i="50"/>
  <c r="K92" i="50"/>
  <c r="K107" i="50"/>
  <c r="K121" i="50"/>
  <c r="K169" i="50"/>
  <c r="K184" i="50"/>
  <c r="K199" i="50"/>
  <c r="K213" i="50"/>
  <c r="O206" i="50" l="1"/>
  <c r="O124" i="50"/>
  <c r="O162" i="50"/>
  <c r="O191" i="50"/>
  <c r="O177" i="50"/>
  <c r="O187" i="50"/>
  <c r="O158" i="50"/>
  <c r="O172" i="50"/>
  <c r="O110" i="50"/>
  <c r="O139" i="50"/>
  <c r="O202" i="50"/>
  <c r="O95" i="50"/>
  <c r="O199" i="50"/>
  <c r="L199" i="50"/>
  <c r="O107" i="50"/>
  <c r="L107" i="50"/>
  <c r="O143" i="50"/>
  <c r="L143" i="50"/>
  <c r="L209" i="50"/>
  <c r="O209" i="50"/>
  <c r="L146" i="50"/>
  <c r="O146" i="50"/>
  <c r="L88" i="50"/>
  <c r="O88" i="50"/>
  <c r="O184" i="50"/>
  <c r="L184" i="50"/>
  <c r="L194" i="50"/>
  <c r="O194" i="50"/>
  <c r="L132" i="50"/>
  <c r="O132" i="50"/>
  <c r="L114" i="50"/>
  <c r="O114" i="50"/>
  <c r="O169" i="50"/>
  <c r="L169" i="50"/>
  <c r="L99" i="50"/>
  <c r="O99" i="50"/>
  <c r="L180" i="50"/>
  <c r="O180" i="50"/>
  <c r="L117" i="50"/>
  <c r="O117" i="50"/>
  <c r="O92" i="50"/>
  <c r="L92" i="50"/>
  <c r="L129" i="50"/>
  <c r="O129" i="50"/>
  <c r="O213" i="50"/>
  <c r="L213" i="50"/>
  <c r="O121" i="50"/>
  <c r="L121" i="50"/>
  <c r="O165" i="50"/>
  <c r="L165" i="50"/>
  <c r="L102" i="50"/>
  <c r="O102" i="50"/>
  <c r="O234" i="50" l="1"/>
  <c r="O235" i="50"/>
  <c r="O236" i="50"/>
  <c r="O237" i="50"/>
  <c r="N45" i="55" l="1"/>
  <c r="O45" i="55" s="1"/>
  <c r="O174" i="59" l="1"/>
  <c r="O173" i="51" l="1"/>
  <c r="O228" i="49"/>
  <c r="O61" i="55" l="1"/>
  <c r="O60" i="55"/>
  <c r="O59" i="55"/>
  <c r="O58" i="55"/>
  <c r="O57" i="55"/>
  <c r="O181" i="54"/>
  <c r="O180" i="54"/>
  <c r="O179" i="54"/>
  <c r="O178" i="54"/>
  <c r="O177" i="54"/>
  <c r="O180" i="53"/>
  <c r="O179" i="53"/>
  <c r="O178" i="53"/>
  <c r="O177" i="53"/>
  <c r="O176" i="53"/>
  <c r="O182" i="52"/>
  <c r="O181" i="52"/>
  <c r="O180" i="52"/>
  <c r="O179" i="52"/>
  <c r="O178" i="52"/>
  <c r="O184" i="59"/>
  <c r="O183" i="59"/>
  <c r="O182" i="59"/>
  <c r="O181" i="59"/>
  <c r="O180" i="59"/>
  <c r="O200" i="60"/>
  <c r="O199" i="60"/>
  <c r="O198" i="60"/>
  <c r="O197" i="60"/>
  <c r="O181" i="58"/>
  <c r="O180" i="58"/>
  <c r="O179" i="58"/>
  <c r="O178" i="58"/>
  <c r="O177" i="58"/>
  <c r="O200" i="57"/>
  <c r="O199" i="57"/>
  <c r="O198" i="57"/>
  <c r="O197" i="57"/>
  <c r="O196" i="57"/>
  <c r="O204" i="56"/>
  <c r="O203" i="56"/>
  <c r="O202" i="56"/>
  <c r="O201" i="56"/>
  <c r="O184" i="51"/>
  <c r="O183" i="51"/>
  <c r="O182" i="51"/>
  <c r="O181" i="51"/>
  <c r="O180" i="51"/>
  <c r="O246" i="49"/>
  <c r="O245" i="49"/>
  <c r="O244" i="49"/>
  <c r="O243" i="49"/>
  <c r="O181" i="37" l="1"/>
  <c r="O180" i="37"/>
  <c r="O179" i="37"/>
  <c r="M207" i="60"/>
  <c r="M205" i="60"/>
  <c r="O191" i="60"/>
  <c r="J20" i="38" s="1"/>
  <c r="E180" i="60"/>
  <c r="G180" i="60" s="1"/>
  <c r="E178" i="60"/>
  <c r="E175" i="60"/>
  <c r="G175" i="60" s="1"/>
  <c r="E173" i="60"/>
  <c r="G173" i="60" s="1"/>
  <c r="E170" i="60"/>
  <c r="E168" i="60"/>
  <c r="E164" i="60"/>
  <c r="E162" i="60"/>
  <c r="G162" i="60" s="1"/>
  <c r="E159" i="60"/>
  <c r="E157" i="60"/>
  <c r="E154" i="60"/>
  <c r="G154" i="60" s="1"/>
  <c r="E152" i="60"/>
  <c r="G152" i="60" s="1"/>
  <c r="E148" i="60"/>
  <c r="G148" i="60" s="1"/>
  <c r="E146" i="60"/>
  <c r="E143" i="60"/>
  <c r="E141" i="60"/>
  <c r="G141" i="60" s="1"/>
  <c r="E138" i="60"/>
  <c r="G138" i="60" s="1"/>
  <c r="K136" i="60"/>
  <c r="K178" i="60" s="1"/>
  <c r="E136" i="60"/>
  <c r="G136" i="60" s="1"/>
  <c r="M128" i="60"/>
  <c r="M180" i="60" s="1"/>
  <c r="E128" i="60"/>
  <c r="M126" i="60"/>
  <c r="M178" i="60" s="1"/>
  <c r="E126" i="60"/>
  <c r="M123" i="60"/>
  <c r="M175" i="60" s="1"/>
  <c r="E123" i="60"/>
  <c r="G123" i="60" s="1"/>
  <c r="M121" i="60"/>
  <c r="M173" i="60" s="1"/>
  <c r="E121" i="60"/>
  <c r="G121" i="60" s="1"/>
  <c r="M118" i="60"/>
  <c r="M170" i="60" s="1"/>
  <c r="E118" i="60"/>
  <c r="G118" i="60" s="1"/>
  <c r="M116" i="60"/>
  <c r="M168" i="60" s="1"/>
  <c r="E116" i="60"/>
  <c r="M112" i="60"/>
  <c r="M164" i="60" s="1"/>
  <c r="E112" i="60"/>
  <c r="G112" i="60" s="1"/>
  <c r="M110" i="60"/>
  <c r="M162" i="60" s="1"/>
  <c r="E110" i="60"/>
  <c r="M107" i="60"/>
  <c r="M159" i="60" s="1"/>
  <c r="E107" i="60"/>
  <c r="M105" i="60"/>
  <c r="M157" i="60" s="1"/>
  <c r="E105" i="60"/>
  <c r="M102" i="60"/>
  <c r="M154" i="60" s="1"/>
  <c r="E102" i="60"/>
  <c r="M100" i="60"/>
  <c r="M152" i="60" s="1"/>
  <c r="E100" i="60"/>
  <c r="M96" i="60"/>
  <c r="M148" i="60" s="1"/>
  <c r="E96" i="60"/>
  <c r="G96" i="60" s="1"/>
  <c r="M94" i="60"/>
  <c r="M146" i="60" s="1"/>
  <c r="E94" i="60"/>
  <c r="M91" i="60"/>
  <c r="M143" i="60" s="1"/>
  <c r="E91" i="60"/>
  <c r="M89" i="60"/>
  <c r="M141" i="60" s="1"/>
  <c r="E89" i="60"/>
  <c r="G89" i="60" s="1"/>
  <c r="M86" i="60"/>
  <c r="M138" i="60" s="1"/>
  <c r="E86" i="60"/>
  <c r="M84" i="60"/>
  <c r="M136" i="60" s="1"/>
  <c r="K84" i="60"/>
  <c r="K123" i="60" s="1"/>
  <c r="E84" i="60"/>
  <c r="G74" i="60"/>
  <c r="J74" i="60" s="1"/>
  <c r="G73" i="60"/>
  <c r="J73" i="60" s="1"/>
  <c r="G71" i="60"/>
  <c r="J71" i="60" s="1"/>
  <c r="G70" i="60"/>
  <c r="J70" i="60" s="1"/>
  <c r="G67" i="60"/>
  <c r="J67" i="60" s="1"/>
  <c r="G66" i="60"/>
  <c r="J66" i="60" s="1"/>
  <c r="G64" i="60"/>
  <c r="J64" i="60" s="1"/>
  <c r="G63" i="60"/>
  <c r="J63" i="60" s="1"/>
  <c r="G60" i="60"/>
  <c r="J60" i="60" s="1"/>
  <c r="G59" i="60"/>
  <c r="J59" i="60" s="1"/>
  <c r="G57" i="60"/>
  <c r="J57" i="60" s="1"/>
  <c r="G56" i="60"/>
  <c r="J56" i="60" s="1"/>
  <c r="G52" i="60"/>
  <c r="J52" i="60" s="1"/>
  <c r="G51" i="60"/>
  <c r="J51" i="60" s="1"/>
  <c r="G49" i="60"/>
  <c r="J49" i="60" s="1"/>
  <c r="G48" i="60"/>
  <c r="J48" i="60" s="1"/>
  <c r="G45" i="60"/>
  <c r="J45" i="60" s="1"/>
  <c r="G44" i="60"/>
  <c r="G42" i="60"/>
  <c r="J42" i="60" s="1"/>
  <c r="G41" i="60"/>
  <c r="G38" i="60"/>
  <c r="J38" i="60" s="1"/>
  <c r="G37" i="60"/>
  <c r="J37" i="60" s="1"/>
  <c r="G35" i="60"/>
  <c r="J35" i="60" s="1"/>
  <c r="G34" i="60"/>
  <c r="J34" i="60" s="1"/>
  <c r="G30" i="60"/>
  <c r="J30" i="60" s="1"/>
  <c r="G29" i="60"/>
  <c r="J29" i="60" s="1"/>
  <c r="G27" i="60"/>
  <c r="J27" i="60" s="1"/>
  <c r="G26" i="60"/>
  <c r="J26" i="60" s="1"/>
  <c r="G23" i="60"/>
  <c r="J23" i="60" s="1"/>
  <c r="G22" i="60"/>
  <c r="J22" i="60" s="1"/>
  <c r="G20" i="60"/>
  <c r="J20" i="60" s="1"/>
  <c r="G19" i="60"/>
  <c r="J19" i="60" s="1"/>
  <c r="G16" i="60"/>
  <c r="J16" i="60" s="1"/>
  <c r="G15" i="60"/>
  <c r="J15" i="60" s="1"/>
  <c r="G13" i="60"/>
  <c r="G12" i="60"/>
  <c r="G77" i="60" l="1"/>
  <c r="J13" i="60"/>
  <c r="J76" i="60" s="1"/>
  <c r="N50" i="43" s="1"/>
  <c r="G76" i="60"/>
  <c r="G110" i="60"/>
  <c r="G84" i="60"/>
  <c r="O84" i="60" s="1"/>
  <c r="G91" i="60"/>
  <c r="G102" i="60"/>
  <c r="G116" i="60"/>
  <c r="G164" i="60"/>
  <c r="G100" i="60"/>
  <c r="G143" i="60"/>
  <c r="O143" i="60" s="1"/>
  <c r="G94" i="60"/>
  <c r="G105" i="60"/>
  <c r="G126" i="60"/>
  <c r="G146" i="60"/>
  <c r="G178" i="60"/>
  <c r="O178" i="60" s="1"/>
  <c r="G86" i="60"/>
  <c r="L136" i="60"/>
  <c r="G159" i="60"/>
  <c r="G170" i="60"/>
  <c r="K175" i="60"/>
  <c r="L175" i="60" s="1"/>
  <c r="K154" i="60"/>
  <c r="O154" i="60" s="1"/>
  <c r="K164" i="60"/>
  <c r="L164" i="60" s="1"/>
  <c r="L84" i="60"/>
  <c r="K91" i="60"/>
  <c r="G107" i="60"/>
  <c r="G128" i="60"/>
  <c r="K143" i="60"/>
  <c r="L143" i="60" s="1"/>
  <c r="G157" i="60"/>
  <c r="G168" i="60"/>
  <c r="L123" i="60"/>
  <c r="O123" i="60"/>
  <c r="J41" i="60"/>
  <c r="G75" i="60"/>
  <c r="O225" i="60" s="1"/>
  <c r="J44" i="60"/>
  <c r="L178" i="60"/>
  <c r="J12" i="60"/>
  <c r="K102" i="60"/>
  <c r="K112" i="60"/>
  <c r="K128" i="60"/>
  <c r="K118" i="60"/>
  <c r="K107" i="60"/>
  <c r="K96" i="60"/>
  <c r="K86" i="60"/>
  <c r="K121" i="60"/>
  <c r="K110" i="60"/>
  <c r="K100" i="60"/>
  <c r="K89" i="60"/>
  <c r="K94" i="60"/>
  <c r="K105" i="60"/>
  <c r="K116" i="60"/>
  <c r="K126" i="60"/>
  <c r="O186" i="60"/>
  <c r="K141" i="60"/>
  <c r="K152" i="60"/>
  <c r="K162" i="60"/>
  <c r="K173" i="60"/>
  <c r="O136" i="60"/>
  <c r="K138" i="60"/>
  <c r="K148" i="60"/>
  <c r="K159" i="60"/>
  <c r="K170" i="60"/>
  <c r="K180" i="60"/>
  <c r="K146" i="60"/>
  <c r="K157" i="60"/>
  <c r="K168" i="60"/>
  <c r="C50" i="43" l="1"/>
  <c r="G50" i="43"/>
  <c r="K50" i="43"/>
  <c r="M50" i="43"/>
  <c r="O175" i="60"/>
  <c r="J77" i="60"/>
  <c r="O50" i="43" s="1"/>
  <c r="O164" i="60"/>
  <c r="O20" i="38"/>
  <c r="L154" i="60"/>
  <c r="O226" i="60"/>
  <c r="C20" i="38" s="1"/>
  <c r="D20" i="38"/>
  <c r="L91" i="60"/>
  <c r="O91" i="60"/>
  <c r="O146" i="60"/>
  <c r="L146" i="60"/>
  <c r="L148" i="60"/>
  <c r="O148" i="60"/>
  <c r="L162" i="60"/>
  <c r="O162" i="60"/>
  <c r="O126" i="60"/>
  <c r="L126" i="60"/>
  <c r="O118" i="60"/>
  <c r="L118" i="60"/>
  <c r="L180" i="60"/>
  <c r="O180" i="60"/>
  <c r="L138" i="60"/>
  <c r="O138" i="60"/>
  <c r="L152" i="60"/>
  <c r="O152" i="60"/>
  <c r="O116" i="60"/>
  <c r="L116" i="60"/>
  <c r="L100" i="60"/>
  <c r="O100" i="60"/>
  <c r="O86" i="60"/>
  <c r="L86" i="60"/>
  <c r="O128" i="60"/>
  <c r="L128" i="60"/>
  <c r="L102" i="60"/>
  <c r="O102" i="60"/>
  <c r="L112" i="60"/>
  <c r="O112" i="60"/>
  <c r="O168" i="60"/>
  <c r="L168" i="60"/>
  <c r="L170" i="60"/>
  <c r="O170" i="60"/>
  <c r="L141" i="60"/>
  <c r="O141" i="60"/>
  <c r="O105" i="60"/>
  <c r="L105" i="60"/>
  <c r="L110" i="60"/>
  <c r="O110" i="60"/>
  <c r="O96" i="60"/>
  <c r="L96" i="60"/>
  <c r="L89" i="60"/>
  <c r="O89" i="60"/>
  <c r="O157" i="60"/>
  <c r="L157" i="60"/>
  <c r="L159" i="60"/>
  <c r="O159" i="60"/>
  <c r="L173" i="60"/>
  <c r="O173" i="60"/>
  <c r="O94" i="60"/>
  <c r="L94" i="60"/>
  <c r="L121" i="60"/>
  <c r="O121" i="60"/>
  <c r="O107" i="60"/>
  <c r="L107" i="60"/>
  <c r="J75" i="60"/>
  <c r="F20" i="38" s="1"/>
  <c r="O129" i="60" l="1"/>
  <c r="H20" i="38" s="1"/>
  <c r="O181" i="60"/>
  <c r="I20" i="38" s="1"/>
  <c r="E99" i="54"/>
  <c r="E97" i="54"/>
  <c r="E83" i="54"/>
  <c r="E81" i="54"/>
  <c r="E67" i="54"/>
  <c r="E65" i="54"/>
  <c r="E108" i="53"/>
  <c r="E106" i="53"/>
  <c r="E103" i="53"/>
  <c r="E101" i="53"/>
  <c r="E98" i="53"/>
  <c r="E96" i="53"/>
  <c r="E92" i="53"/>
  <c r="E90" i="53"/>
  <c r="E87" i="53"/>
  <c r="E85" i="53"/>
  <c r="E82" i="53"/>
  <c r="E80" i="53"/>
  <c r="E76" i="53"/>
  <c r="E74" i="53"/>
  <c r="E71" i="53"/>
  <c r="E69" i="53"/>
  <c r="E66" i="53"/>
  <c r="E110" i="52"/>
  <c r="E108" i="52"/>
  <c r="E105" i="52"/>
  <c r="E103" i="52"/>
  <c r="E100" i="52"/>
  <c r="E98" i="52"/>
  <c r="E94" i="52"/>
  <c r="E92" i="52"/>
  <c r="E89" i="52"/>
  <c r="E87" i="52"/>
  <c r="E84" i="52"/>
  <c r="E82" i="52"/>
  <c r="E78" i="52"/>
  <c r="E76" i="52"/>
  <c r="E73" i="52"/>
  <c r="E71" i="52"/>
  <c r="E68" i="52"/>
  <c r="E66" i="52"/>
  <c r="E151" i="54"/>
  <c r="E149" i="54"/>
  <c r="E135" i="54"/>
  <c r="E133" i="54"/>
  <c r="E119" i="54"/>
  <c r="E117" i="54"/>
  <c r="E160" i="53"/>
  <c r="E158" i="53"/>
  <c r="E155" i="53"/>
  <c r="E153" i="53"/>
  <c r="E150" i="53"/>
  <c r="E148" i="53"/>
  <c r="E144" i="53"/>
  <c r="E142" i="53"/>
  <c r="E139" i="53"/>
  <c r="E137" i="53"/>
  <c r="E134" i="53"/>
  <c r="E132" i="53"/>
  <c r="E128" i="53"/>
  <c r="E126" i="53"/>
  <c r="E123" i="53"/>
  <c r="E121" i="53"/>
  <c r="E118" i="53"/>
  <c r="E116" i="53"/>
  <c r="E162" i="52"/>
  <c r="E160" i="52"/>
  <c r="E157" i="52"/>
  <c r="E155" i="52"/>
  <c r="E152" i="52"/>
  <c r="E150" i="52"/>
  <c r="E146" i="52"/>
  <c r="E144" i="52"/>
  <c r="E141" i="52"/>
  <c r="E139" i="52"/>
  <c r="E136" i="52"/>
  <c r="E134" i="52"/>
  <c r="E130" i="52"/>
  <c r="E128" i="52"/>
  <c r="E125" i="52"/>
  <c r="E123" i="52"/>
  <c r="E120" i="52"/>
  <c r="E118" i="52"/>
  <c r="E162" i="59"/>
  <c r="E160" i="59"/>
  <c r="E157" i="59"/>
  <c r="E155" i="59"/>
  <c r="E152" i="59"/>
  <c r="E150" i="59"/>
  <c r="E146" i="59"/>
  <c r="E144" i="59"/>
  <c r="E141" i="59"/>
  <c r="E139" i="59"/>
  <c r="E136" i="59"/>
  <c r="E134" i="59"/>
  <c r="E130" i="59"/>
  <c r="E128" i="59"/>
  <c r="E125" i="59"/>
  <c r="E123" i="59"/>
  <c r="E120" i="59"/>
  <c r="E118" i="59"/>
  <c r="E110" i="59"/>
  <c r="E108" i="59"/>
  <c r="E105" i="59"/>
  <c r="E103" i="59"/>
  <c r="E100" i="59"/>
  <c r="E98" i="59"/>
  <c r="E94" i="59"/>
  <c r="E92" i="59"/>
  <c r="E89" i="59"/>
  <c r="E87" i="59"/>
  <c r="E84" i="59"/>
  <c r="E82" i="59"/>
  <c r="E78" i="59"/>
  <c r="E76" i="59"/>
  <c r="E73" i="59"/>
  <c r="E71" i="59"/>
  <c r="E68" i="59"/>
  <c r="E109" i="58"/>
  <c r="E107" i="58"/>
  <c r="E66" i="59"/>
  <c r="E161" i="58"/>
  <c r="E159" i="58"/>
  <c r="E156" i="58"/>
  <c r="E154" i="58"/>
  <c r="E151" i="58"/>
  <c r="E149" i="58"/>
  <c r="E180" i="57"/>
  <c r="E178" i="57"/>
  <c r="E175" i="57"/>
  <c r="E173" i="57"/>
  <c r="E170" i="57"/>
  <c r="E168" i="57"/>
  <c r="E184" i="56"/>
  <c r="E182" i="56"/>
  <c r="E179" i="56"/>
  <c r="E177" i="56"/>
  <c r="E174" i="56"/>
  <c r="E172" i="56"/>
  <c r="E145" i="58"/>
  <c r="E140" i="58"/>
  <c r="E135" i="58"/>
  <c r="E164" i="57"/>
  <c r="E168" i="56"/>
  <c r="E166" i="56"/>
  <c r="E163" i="56"/>
  <c r="E161" i="56"/>
  <c r="E158" i="56"/>
  <c r="E156" i="56"/>
  <c r="E129" i="58"/>
  <c r="E127" i="58"/>
  <c r="E124" i="58"/>
  <c r="E122" i="58"/>
  <c r="E117" i="58"/>
  <c r="E148" i="57"/>
  <c r="E146" i="57"/>
  <c r="E143" i="57"/>
  <c r="E141" i="57"/>
  <c r="E138" i="57"/>
  <c r="E136" i="57"/>
  <c r="E152" i="56"/>
  <c r="E150" i="56"/>
  <c r="E116" i="57"/>
  <c r="E104" i="58"/>
  <c r="E102" i="58"/>
  <c r="E99" i="58"/>
  <c r="E97" i="58"/>
  <c r="E128" i="57"/>
  <c r="E126" i="57"/>
  <c r="E123" i="57"/>
  <c r="E121" i="57"/>
  <c r="E118" i="57"/>
  <c r="E93" i="58"/>
  <c r="E88" i="58"/>
  <c r="E83" i="58"/>
  <c r="E112" i="57"/>
  <c r="E77" i="58"/>
  <c r="E75" i="58"/>
  <c r="E72" i="58"/>
  <c r="E65" i="58"/>
  <c r="E96" i="57"/>
  <c r="E94" i="57"/>
  <c r="E91" i="57"/>
  <c r="E89" i="57"/>
  <c r="E86" i="57"/>
  <c r="E84" i="57"/>
  <c r="E88" i="56"/>
  <c r="E84" i="50"/>
  <c r="E162" i="51"/>
  <c r="E160" i="51"/>
  <c r="E157" i="51"/>
  <c r="E155" i="51"/>
  <c r="E152" i="51"/>
  <c r="E150" i="51"/>
  <c r="E146" i="51"/>
  <c r="E144" i="51"/>
  <c r="E141" i="51"/>
  <c r="E139" i="51"/>
  <c r="E136" i="51"/>
  <c r="E134" i="51"/>
  <c r="E130" i="51"/>
  <c r="E128" i="51"/>
  <c r="E125" i="51"/>
  <c r="E123" i="51"/>
  <c r="E120" i="51"/>
  <c r="E118" i="51"/>
  <c r="E110" i="51"/>
  <c r="E108" i="51"/>
  <c r="E105" i="51"/>
  <c r="E103" i="51"/>
  <c r="E100" i="51"/>
  <c r="E98" i="51"/>
  <c r="E94" i="51"/>
  <c r="E92" i="51"/>
  <c r="E89" i="51"/>
  <c r="E87" i="51"/>
  <c r="E84" i="51"/>
  <c r="E82" i="51"/>
  <c r="E78" i="51"/>
  <c r="E76" i="51"/>
  <c r="E73" i="51"/>
  <c r="E71" i="51"/>
  <c r="E68" i="51"/>
  <c r="E66" i="51"/>
  <c r="E220" i="49"/>
  <c r="E219" i="49"/>
  <c r="E217" i="49"/>
  <c r="E216" i="49"/>
  <c r="E213" i="49"/>
  <c r="E212" i="49"/>
  <c r="E210" i="49"/>
  <c r="E209" i="49"/>
  <c r="E206" i="49"/>
  <c r="E205" i="49"/>
  <c r="E203" i="49"/>
  <c r="E202" i="49"/>
  <c r="E198" i="49"/>
  <c r="E197" i="49"/>
  <c r="E195" i="49"/>
  <c r="E194" i="49"/>
  <c r="E191" i="49"/>
  <c r="E190" i="49"/>
  <c r="E188" i="49"/>
  <c r="E187" i="49"/>
  <c r="E184" i="49"/>
  <c r="E183" i="49"/>
  <c r="E181" i="49"/>
  <c r="E180" i="49"/>
  <c r="E176" i="49"/>
  <c r="E175" i="49"/>
  <c r="E173" i="49"/>
  <c r="E172" i="49"/>
  <c r="E169" i="49"/>
  <c r="E168" i="49"/>
  <c r="E166" i="49"/>
  <c r="E165" i="49"/>
  <c r="E162" i="49"/>
  <c r="E161" i="49"/>
  <c r="E159" i="49"/>
  <c r="E158" i="49"/>
  <c r="E150" i="49"/>
  <c r="E149" i="49"/>
  <c r="E147" i="49"/>
  <c r="E146" i="49"/>
  <c r="E143" i="49"/>
  <c r="E142" i="49"/>
  <c r="E140" i="49"/>
  <c r="E139" i="49"/>
  <c r="E136" i="49"/>
  <c r="E135" i="49"/>
  <c r="E133" i="49"/>
  <c r="E132" i="49"/>
  <c r="E128" i="49"/>
  <c r="E127" i="49"/>
  <c r="E125" i="49"/>
  <c r="E124" i="49"/>
  <c r="E121" i="49"/>
  <c r="E118" i="49"/>
  <c r="E120" i="49"/>
  <c r="E117" i="49"/>
  <c r="E114" i="49"/>
  <c r="E113" i="49"/>
  <c r="E111" i="49"/>
  <c r="E110" i="49"/>
  <c r="E106" i="49"/>
  <c r="E105" i="49"/>
  <c r="E103" i="49"/>
  <c r="E102" i="49"/>
  <c r="E99" i="49"/>
  <c r="E98" i="49"/>
  <c r="E96" i="49"/>
  <c r="E95" i="49"/>
  <c r="E92" i="49"/>
  <c r="E91" i="49"/>
  <c r="E89" i="49"/>
  <c r="E88" i="49"/>
  <c r="F220" i="49"/>
  <c r="F219" i="49"/>
  <c r="F217" i="49"/>
  <c r="F216" i="49"/>
  <c r="F213" i="49"/>
  <c r="F212" i="49"/>
  <c r="F210" i="49"/>
  <c r="F209" i="49"/>
  <c r="F206" i="49"/>
  <c r="F205" i="49"/>
  <c r="F203" i="49"/>
  <c r="F202" i="49"/>
  <c r="F150" i="49"/>
  <c r="F149" i="49"/>
  <c r="F147" i="49"/>
  <c r="F146" i="49"/>
  <c r="F143" i="49"/>
  <c r="F142" i="49"/>
  <c r="F140" i="49"/>
  <c r="F139" i="49"/>
  <c r="F136" i="49"/>
  <c r="F135" i="49"/>
  <c r="F133" i="49"/>
  <c r="F132" i="49"/>
  <c r="E162" i="37"/>
  <c r="E160" i="37"/>
  <c r="E157" i="37"/>
  <c r="E155" i="37"/>
  <c r="E152" i="37"/>
  <c r="E150" i="37"/>
  <c r="E110" i="37"/>
  <c r="E108" i="37"/>
  <c r="E105" i="37"/>
  <c r="E103" i="37"/>
  <c r="E100" i="37"/>
  <c r="E98" i="37"/>
  <c r="E146" i="37"/>
  <c r="E144" i="37"/>
  <c r="E141" i="37"/>
  <c r="E139" i="37"/>
  <c r="E136" i="37"/>
  <c r="E134" i="37"/>
  <c r="E94" i="37"/>
  <c r="E92" i="37"/>
  <c r="E89" i="37"/>
  <c r="E87" i="37"/>
  <c r="E84" i="37"/>
  <c r="E82" i="37"/>
  <c r="E130" i="37"/>
  <c r="E128" i="37"/>
  <c r="E125" i="37"/>
  <c r="E123" i="37"/>
  <c r="E120" i="37"/>
  <c r="E118" i="37"/>
  <c r="E78" i="37"/>
  <c r="E76" i="37"/>
  <c r="E73" i="37"/>
  <c r="E71" i="37"/>
  <c r="E68" i="37"/>
  <c r="E66" i="37"/>
  <c r="K116" i="53"/>
  <c r="K160" i="53" s="1"/>
  <c r="K64" i="53"/>
  <c r="K106" i="53" s="1"/>
  <c r="K118" i="52"/>
  <c r="K160" i="52" s="1"/>
  <c r="K66" i="52"/>
  <c r="K103" i="52" s="1"/>
  <c r="K118" i="59"/>
  <c r="K155" i="59" s="1"/>
  <c r="K66" i="59"/>
  <c r="K108" i="59" s="1"/>
  <c r="L108" i="59" s="1"/>
  <c r="M191" i="59"/>
  <c r="M189" i="59"/>
  <c r="D172" i="59"/>
  <c r="F162" i="59"/>
  <c r="F160" i="59"/>
  <c r="F157" i="59"/>
  <c r="F155" i="59"/>
  <c r="F152" i="59"/>
  <c r="F150" i="59"/>
  <c r="G150" i="59" s="1"/>
  <c r="F146" i="59"/>
  <c r="F144" i="59"/>
  <c r="F141" i="59"/>
  <c r="F139" i="59"/>
  <c r="F136" i="59"/>
  <c r="F134" i="59"/>
  <c r="F130" i="59"/>
  <c r="F128" i="59"/>
  <c r="F125" i="59"/>
  <c r="F123" i="59"/>
  <c r="G123" i="59" s="1"/>
  <c r="F120" i="59"/>
  <c r="F118" i="59"/>
  <c r="F110" i="59"/>
  <c r="F108" i="59"/>
  <c r="F105" i="59"/>
  <c r="F103" i="59"/>
  <c r="F100" i="59"/>
  <c r="F98" i="59"/>
  <c r="F94" i="59"/>
  <c r="F92" i="59"/>
  <c r="F89" i="59"/>
  <c r="F87" i="59"/>
  <c r="F84" i="59"/>
  <c r="F82" i="59"/>
  <c r="F78" i="59"/>
  <c r="F76" i="59"/>
  <c r="F73" i="59"/>
  <c r="F71" i="59"/>
  <c r="F68" i="59"/>
  <c r="F66" i="59"/>
  <c r="F56" i="59"/>
  <c r="G56" i="59" s="1"/>
  <c r="J56" i="59" s="1"/>
  <c r="F54" i="59"/>
  <c r="G54" i="59" s="1"/>
  <c r="J54" i="59" s="1"/>
  <c r="F51" i="59"/>
  <c r="G51" i="59" s="1"/>
  <c r="J51" i="59" s="1"/>
  <c r="F49" i="59"/>
  <c r="G49" i="59" s="1"/>
  <c r="J49" i="59" s="1"/>
  <c r="F46" i="59"/>
  <c r="G46" i="59" s="1"/>
  <c r="J46" i="59" s="1"/>
  <c r="F44" i="59"/>
  <c r="G44" i="59" s="1"/>
  <c r="J44" i="59" s="1"/>
  <c r="F40" i="59"/>
  <c r="G40" i="59" s="1"/>
  <c r="J40" i="59" s="1"/>
  <c r="F38" i="59"/>
  <c r="G38" i="59" s="1"/>
  <c r="J38" i="59" s="1"/>
  <c r="F35" i="59"/>
  <c r="G35" i="59" s="1"/>
  <c r="J35" i="59" s="1"/>
  <c r="F33" i="59"/>
  <c r="G33" i="59" s="1"/>
  <c r="J33" i="59" s="1"/>
  <c r="F30" i="59"/>
  <c r="G30" i="59" s="1"/>
  <c r="J30" i="59" s="1"/>
  <c r="F28" i="59"/>
  <c r="G28" i="59" s="1"/>
  <c r="J28" i="59" s="1"/>
  <c r="F24" i="59"/>
  <c r="G24" i="59" s="1"/>
  <c r="J24" i="59" s="1"/>
  <c r="F22" i="59"/>
  <c r="G22" i="59" s="1"/>
  <c r="F19" i="59"/>
  <c r="G19" i="59" s="1"/>
  <c r="J19" i="59" s="1"/>
  <c r="F17" i="59"/>
  <c r="G17" i="59" s="1"/>
  <c r="J17" i="59" s="1"/>
  <c r="F14" i="59"/>
  <c r="G14" i="59" s="1"/>
  <c r="J14" i="59" s="1"/>
  <c r="F12" i="59"/>
  <c r="G12" i="59" s="1"/>
  <c r="G100" i="59" l="1"/>
  <c r="G110" i="59"/>
  <c r="G146" i="59"/>
  <c r="L66" i="59"/>
  <c r="K121" i="53"/>
  <c r="K142" i="53"/>
  <c r="G128" i="59"/>
  <c r="J22" i="59"/>
  <c r="G59" i="59"/>
  <c r="M51" i="43" s="1"/>
  <c r="J12" i="59"/>
  <c r="G58" i="59"/>
  <c r="L51" i="43" s="1"/>
  <c r="K110" i="59"/>
  <c r="L110" i="59" s="1"/>
  <c r="K123" i="52"/>
  <c r="K136" i="52"/>
  <c r="K155" i="52"/>
  <c r="O223" i="60"/>
  <c r="O196" i="60"/>
  <c r="G89" i="59"/>
  <c r="G92" i="59"/>
  <c r="G118" i="59"/>
  <c r="O118" i="59" s="1"/>
  <c r="G136" i="59"/>
  <c r="G157" i="59"/>
  <c r="G68" i="59"/>
  <c r="G78" i="59"/>
  <c r="G125" i="59"/>
  <c r="G139" i="59"/>
  <c r="G160" i="59"/>
  <c r="G120" i="59"/>
  <c r="G130" i="59"/>
  <c r="K78" i="59"/>
  <c r="L78" i="59" s="1"/>
  <c r="K123" i="53"/>
  <c r="K144" i="53"/>
  <c r="K132" i="53"/>
  <c r="K153" i="53"/>
  <c r="K134" i="53"/>
  <c r="K155" i="53"/>
  <c r="K66" i="53"/>
  <c r="K76" i="53"/>
  <c r="K87" i="53"/>
  <c r="K98" i="53"/>
  <c r="K108" i="53"/>
  <c r="K69" i="53"/>
  <c r="K80" i="53"/>
  <c r="K90" i="53"/>
  <c r="K101" i="53"/>
  <c r="K126" i="53"/>
  <c r="K137" i="53"/>
  <c r="K148" i="53"/>
  <c r="K158" i="53"/>
  <c r="K71" i="53"/>
  <c r="K82" i="53"/>
  <c r="K92" i="53"/>
  <c r="K103" i="53"/>
  <c r="K118" i="53"/>
  <c r="K128" i="53"/>
  <c r="K139" i="53"/>
  <c r="K150" i="53"/>
  <c r="K74" i="53"/>
  <c r="K85" i="53"/>
  <c r="K96" i="53"/>
  <c r="K120" i="52"/>
  <c r="K134" i="52"/>
  <c r="K152" i="52"/>
  <c r="K125" i="52"/>
  <c r="K141" i="52"/>
  <c r="K162" i="52"/>
  <c r="K130" i="52"/>
  <c r="K144" i="52"/>
  <c r="K73" i="52"/>
  <c r="K84" i="52"/>
  <c r="K94" i="52"/>
  <c r="K105" i="52"/>
  <c r="K87" i="52"/>
  <c r="K98" i="52"/>
  <c r="K108" i="52"/>
  <c r="K68" i="52"/>
  <c r="K78" i="52"/>
  <c r="K89" i="52"/>
  <c r="K100" i="52"/>
  <c r="K110" i="52"/>
  <c r="K146" i="52"/>
  <c r="K157" i="52"/>
  <c r="K76" i="52"/>
  <c r="K71" i="52"/>
  <c r="K82" i="52"/>
  <c r="K92" i="52"/>
  <c r="K128" i="52"/>
  <c r="K139" i="52"/>
  <c r="K150" i="52"/>
  <c r="G141" i="59"/>
  <c r="N167" i="59"/>
  <c r="O167" i="59" s="1"/>
  <c r="O168" i="59" s="1"/>
  <c r="O21" i="38" s="1"/>
  <c r="K68" i="59"/>
  <c r="L68" i="59" s="1"/>
  <c r="K92" i="59"/>
  <c r="L92" i="59" s="1"/>
  <c r="K146" i="59"/>
  <c r="L146" i="59" s="1"/>
  <c r="G94" i="59"/>
  <c r="K71" i="59"/>
  <c r="L71" i="59" s="1"/>
  <c r="K100" i="59"/>
  <c r="L100" i="59" s="1"/>
  <c r="G152" i="59"/>
  <c r="K89" i="59"/>
  <c r="L89" i="59" s="1"/>
  <c r="K157" i="59"/>
  <c r="L157" i="59" s="1"/>
  <c r="K125" i="59"/>
  <c r="L125" i="59" s="1"/>
  <c r="K82" i="59"/>
  <c r="L82" i="59" s="1"/>
  <c r="K103" i="59"/>
  <c r="L103" i="59" s="1"/>
  <c r="K136" i="59"/>
  <c r="L136" i="59" s="1"/>
  <c r="K128" i="59"/>
  <c r="L128" i="59" s="1"/>
  <c r="K139" i="59"/>
  <c r="L139" i="59" s="1"/>
  <c r="K150" i="59"/>
  <c r="L150" i="59" s="1"/>
  <c r="K160" i="59"/>
  <c r="L160" i="59" s="1"/>
  <c r="L118" i="59"/>
  <c r="K73" i="59"/>
  <c r="L73" i="59" s="1"/>
  <c r="K84" i="59"/>
  <c r="L84" i="59" s="1"/>
  <c r="K94" i="59"/>
  <c r="L94" i="59" s="1"/>
  <c r="K105" i="59"/>
  <c r="L105" i="59" s="1"/>
  <c r="K120" i="59"/>
  <c r="L120" i="59" s="1"/>
  <c r="K130" i="59"/>
  <c r="L130" i="59" s="1"/>
  <c r="K141" i="59"/>
  <c r="L141" i="59" s="1"/>
  <c r="K152" i="59"/>
  <c r="L152" i="59" s="1"/>
  <c r="K162" i="59"/>
  <c r="L162" i="59" s="1"/>
  <c r="K76" i="59"/>
  <c r="L76" i="59" s="1"/>
  <c r="K87" i="59"/>
  <c r="L87" i="59" s="1"/>
  <c r="K98" i="59"/>
  <c r="L98" i="59" s="1"/>
  <c r="K123" i="59"/>
  <c r="L123" i="59" s="1"/>
  <c r="K134" i="59"/>
  <c r="L134" i="59" s="1"/>
  <c r="K144" i="59"/>
  <c r="L144" i="59" s="1"/>
  <c r="G162" i="59"/>
  <c r="G134" i="59"/>
  <c r="G144" i="59"/>
  <c r="G155" i="59"/>
  <c r="O155" i="59" s="1"/>
  <c r="G82" i="59"/>
  <c r="G103" i="59"/>
  <c r="G71" i="59"/>
  <c r="G105" i="59"/>
  <c r="G84" i="59"/>
  <c r="G73" i="59"/>
  <c r="G57" i="59"/>
  <c r="L155" i="59"/>
  <c r="G66" i="59"/>
  <c r="O66" i="59" s="1"/>
  <c r="G76" i="59"/>
  <c r="G87" i="59"/>
  <c r="G98" i="59"/>
  <c r="G108" i="59"/>
  <c r="O108" i="59" s="1"/>
  <c r="K136" i="57"/>
  <c r="K180" i="57" s="1"/>
  <c r="K140" i="56"/>
  <c r="K179" i="56" s="1"/>
  <c r="K118" i="51"/>
  <c r="K160" i="51" s="1"/>
  <c r="K66" i="51"/>
  <c r="K110" i="51" s="1"/>
  <c r="K159" i="49"/>
  <c r="K217" i="49" s="1"/>
  <c r="K158" i="49"/>
  <c r="K205" i="49" s="1"/>
  <c r="J8" i="45"/>
  <c r="F161" i="54"/>
  <c r="F159" i="54"/>
  <c r="F156" i="54"/>
  <c r="F154" i="54"/>
  <c r="F151" i="54"/>
  <c r="F149" i="54"/>
  <c r="F145" i="54"/>
  <c r="F143" i="54"/>
  <c r="F140" i="54"/>
  <c r="F138" i="54"/>
  <c r="F135" i="54"/>
  <c r="F133" i="54"/>
  <c r="F129" i="54"/>
  <c r="F127" i="54"/>
  <c r="F124" i="54"/>
  <c r="F122" i="54"/>
  <c r="F119" i="54"/>
  <c r="F117" i="54"/>
  <c r="F109" i="54"/>
  <c r="F107" i="54"/>
  <c r="F104" i="54"/>
  <c r="F102" i="54"/>
  <c r="F99" i="54"/>
  <c r="F97" i="54"/>
  <c r="F93" i="54"/>
  <c r="F91" i="54"/>
  <c r="F88" i="54"/>
  <c r="F86" i="54"/>
  <c r="F83" i="54"/>
  <c r="F81" i="54"/>
  <c r="F77" i="54"/>
  <c r="F75" i="54"/>
  <c r="F72" i="54"/>
  <c r="F70" i="54"/>
  <c r="F67" i="54"/>
  <c r="F65" i="54"/>
  <c r="F160" i="53"/>
  <c r="F158" i="53"/>
  <c r="F155" i="53"/>
  <c r="F153" i="53"/>
  <c r="F150" i="53"/>
  <c r="F148" i="53"/>
  <c r="F144" i="53"/>
  <c r="F142" i="53"/>
  <c r="F139" i="53"/>
  <c r="F137" i="53"/>
  <c r="F134" i="53"/>
  <c r="F132" i="53"/>
  <c r="F128" i="53"/>
  <c r="F126" i="53"/>
  <c r="F123" i="53"/>
  <c r="F121" i="53"/>
  <c r="F118" i="53"/>
  <c r="F116" i="53"/>
  <c r="F108" i="53"/>
  <c r="F106" i="53"/>
  <c r="F103" i="53"/>
  <c r="F101" i="53"/>
  <c r="F98" i="53"/>
  <c r="F96" i="53"/>
  <c r="F92" i="53"/>
  <c r="F90" i="53"/>
  <c r="F87" i="53"/>
  <c r="F85" i="53"/>
  <c r="F82" i="53"/>
  <c r="F80" i="53"/>
  <c r="F76" i="53"/>
  <c r="F74" i="53"/>
  <c r="F71" i="53"/>
  <c r="F69" i="53"/>
  <c r="F66" i="53"/>
  <c r="F64" i="53"/>
  <c r="F162" i="52"/>
  <c r="F160" i="52"/>
  <c r="F157" i="52"/>
  <c r="F155" i="52"/>
  <c r="F152" i="52"/>
  <c r="F150" i="52"/>
  <c r="F146" i="52"/>
  <c r="F144" i="52"/>
  <c r="F141" i="52"/>
  <c r="F139" i="52"/>
  <c r="F136" i="52"/>
  <c r="F134" i="52"/>
  <c r="F130" i="52"/>
  <c r="F128" i="52"/>
  <c r="F125" i="52"/>
  <c r="F123" i="52"/>
  <c r="F120" i="52"/>
  <c r="F118" i="52"/>
  <c r="F110" i="52"/>
  <c r="F108" i="52"/>
  <c r="F105" i="52"/>
  <c r="F103" i="52"/>
  <c r="F100" i="52"/>
  <c r="F98" i="52"/>
  <c r="F94" i="52"/>
  <c r="F92" i="52"/>
  <c r="F89" i="52"/>
  <c r="F87" i="52"/>
  <c r="F84" i="52"/>
  <c r="F82" i="52"/>
  <c r="F78" i="52"/>
  <c r="F76" i="52"/>
  <c r="F73" i="52"/>
  <c r="F71" i="52"/>
  <c r="F68" i="52"/>
  <c r="F66" i="52"/>
  <c r="F161" i="58"/>
  <c r="F159" i="58"/>
  <c r="F156" i="58"/>
  <c r="F154" i="58"/>
  <c r="F151" i="58"/>
  <c r="F149" i="58"/>
  <c r="F145" i="58"/>
  <c r="F143" i="58"/>
  <c r="F140" i="58"/>
  <c r="F138" i="58"/>
  <c r="F135" i="58"/>
  <c r="F133" i="58"/>
  <c r="F129" i="58"/>
  <c r="F127" i="58"/>
  <c r="F124" i="58"/>
  <c r="F122" i="58"/>
  <c r="F119" i="58"/>
  <c r="F117" i="58"/>
  <c r="F109" i="58"/>
  <c r="F107" i="58"/>
  <c r="F104" i="58"/>
  <c r="F102" i="58"/>
  <c r="F99" i="58"/>
  <c r="F97" i="58"/>
  <c r="F93" i="58"/>
  <c r="F91" i="58"/>
  <c r="F88" i="58"/>
  <c r="F86" i="58"/>
  <c r="F83" i="58"/>
  <c r="F81" i="58"/>
  <c r="F77" i="58"/>
  <c r="F75" i="58"/>
  <c r="F72" i="58"/>
  <c r="F70" i="58"/>
  <c r="F67" i="58"/>
  <c r="F65" i="58"/>
  <c r="F180" i="57"/>
  <c r="F178" i="57"/>
  <c r="F175" i="57"/>
  <c r="F173" i="57"/>
  <c r="F170" i="57"/>
  <c r="F168" i="57"/>
  <c r="F164" i="57"/>
  <c r="F162" i="57"/>
  <c r="F159" i="57"/>
  <c r="F157" i="57"/>
  <c r="F154" i="57"/>
  <c r="F152" i="57"/>
  <c r="F148" i="57"/>
  <c r="F146" i="57"/>
  <c r="F143" i="57"/>
  <c r="F141" i="57"/>
  <c r="F138" i="57"/>
  <c r="F136" i="57"/>
  <c r="F128" i="57"/>
  <c r="F126" i="57"/>
  <c r="F123" i="57"/>
  <c r="F121" i="57"/>
  <c r="F118" i="57"/>
  <c r="F116" i="57"/>
  <c r="F112" i="57"/>
  <c r="F110" i="57"/>
  <c r="F107" i="57"/>
  <c r="F105" i="57"/>
  <c r="F102" i="57"/>
  <c r="F100" i="57"/>
  <c r="F96" i="57"/>
  <c r="F94" i="57"/>
  <c r="F91" i="57"/>
  <c r="F89" i="57"/>
  <c r="F86" i="57"/>
  <c r="F84" i="57"/>
  <c r="F132" i="56"/>
  <c r="F130" i="56"/>
  <c r="F127" i="56"/>
  <c r="F125" i="56"/>
  <c r="F122" i="56"/>
  <c r="F120" i="56"/>
  <c r="F116" i="56"/>
  <c r="F114" i="56"/>
  <c r="F111" i="56"/>
  <c r="F109" i="56"/>
  <c r="F106" i="56"/>
  <c r="F104" i="56"/>
  <c r="F100" i="56"/>
  <c r="F98" i="56"/>
  <c r="F95" i="56"/>
  <c r="F93" i="56"/>
  <c r="F90" i="56"/>
  <c r="F88" i="56"/>
  <c r="F184" i="56"/>
  <c r="F182" i="56"/>
  <c r="F179" i="56"/>
  <c r="F177" i="56"/>
  <c r="F174" i="56"/>
  <c r="F172" i="56"/>
  <c r="F168" i="56"/>
  <c r="F166" i="56"/>
  <c r="F163" i="56"/>
  <c r="F161" i="56"/>
  <c r="F158" i="56"/>
  <c r="F156" i="56"/>
  <c r="F152" i="56"/>
  <c r="F150" i="56"/>
  <c r="F147" i="56"/>
  <c r="F145" i="56"/>
  <c r="F142" i="56"/>
  <c r="F140" i="56"/>
  <c r="F145" i="50"/>
  <c r="F142" i="50"/>
  <c r="F138" i="50"/>
  <c r="F135" i="50"/>
  <c r="F131" i="50"/>
  <c r="F128" i="50"/>
  <c r="F123" i="50"/>
  <c r="F120" i="50"/>
  <c r="F116" i="50"/>
  <c r="F113" i="50"/>
  <c r="F109" i="50"/>
  <c r="F106" i="50"/>
  <c r="F101" i="50"/>
  <c r="G101" i="50" s="1"/>
  <c r="F98" i="50"/>
  <c r="G98" i="50" s="1"/>
  <c r="F94" i="50"/>
  <c r="G94" i="50" s="1"/>
  <c r="F91" i="50"/>
  <c r="G91" i="50" s="1"/>
  <c r="F87" i="50"/>
  <c r="G87" i="50" s="1"/>
  <c r="F84" i="50"/>
  <c r="G84" i="50" s="1"/>
  <c r="F56" i="54"/>
  <c r="F54" i="54"/>
  <c r="F51" i="54"/>
  <c r="F49" i="54"/>
  <c r="F46" i="54"/>
  <c r="F44" i="54"/>
  <c r="F40" i="54"/>
  <c r="F38" i="54"/>
  <c r="F35" i="54"/>
  <c r="F33" i="54"/>
  <c r="F30" i="54"/>
  <c r="F28" i="54"/>
  <c r="F24" i="54"/>
  <c r="F22" i="54"/>
  <c r="F19" i="54"/>
  <c r="F17" i="54"/>
  <c r="F14" i="54"/>
  <c r="F12" i="54"/>
  <c r="F56" i="53"/>
  <c r="F54" i="53"/>
  <c r="F51" i="53"/>
  <c r="F49" i="53"/>
  <c r="F46" i="53"/>
  <c r="F44" i="53"/>
  <c r="F40" i="53"/>
  <c r="F38" i="53"/>
  <c r="F35" i="53"/>
  <c r="F33" i="53"/>
  <c r="F30" i="53"/>
  <c r="F28" i="53"/>
  <c r="F24" i="53"/>
  <c r="F22" i="53"/>
  <c r="F19" i="53"/>
  <c r="F17" i="53"/>
  <c r="F14" i="53"/>
  <c r="F12" i="53"/>
  <c r="F56" i="52"/>
  <c r="F54" i="52"/>
  <c r="F51" i="52"/>
  <c r="F49" i="52"/>
  <c r="F46" i="52"/>
  <c r="F44" i="52"/>
  <c r="F40" i="52"/>
  <c r="F38" i="52"/>
  <c r="F35" i="52"/>
  <c r="F33" i="52"/>
  <c r="F30" i="52"/>
  <c r="F28" i="52"/>
  <c r="F24" i="52"/>
  <c r="F22" i="52"/>
  <c r="F19" i="52"/>
  <c r="F17" i="52"/>
  <c r="F14" i="52"/>
  <c r="F12" i="52"/>
  <c r="F56" i="58"/>
  <c r="F54" i="58"/>
  <c r="F51" i="58"/>
  <c r="F49" i="58"/>
  <c r="F46" i="58"/>
  <c r="F44" i="58"/>
  <c r="F40" i="58"/>
  <c r="F38" i="58"/>
  <c r="F35" i="58"/>
  <c r="F33" i="58"/>
  <c r="F30" i="58"/>
  <c r="F28" i="58"/>
  <c r="F24" i="58"/>
  <c r="F22" i="58"/>
  <c r="F19" i="58"/>
  <c r="F17" i="58"/>
  <c r="F14" i="58"/>
  <c r="F12" i="58"/>
  <c r="F74" i="57"/>
  <c r="F73" i="57"/>
  <c r="F71" i="57"/>
  <c r="F70" i="57"/>
  <c r="F67" i="57"/>
  <c r="F66" i="57"/>
  <c r="F64" i="57"/>
  <c r="F63" i="57"/>
  <c r="F60" i="57"/>
  <c r="F59" i="57"/>
  <c r="F57" i="57"/>
  <c r="F56" i="57"/>
  <c r="F52" i="57"/>
  <c r="F51" i="57"/>
  <c r="F49" i="57"/>
  <c r="F48" i="57"/>
  <c r="F45" i="57"/>
  <c r="F44" i="57"/>
  <c r="F42" i="57"/>
  <c r="F41" i="57"/>
  <c r="F38" i="57"/>
  <c r="F37" i="57"/>
  <c r="F35" i="57"/>
  <c r="F34" i="57"/>
  <c r="F30" i="57"/>
  <c r="F29" i="57"/>
  <c r="F27" i="57"/>
  <c r="F26" i="57"/>
  <c r="F23" i="57"/>
  <c r="F22" i="57"/>
  <c r="F20" i="57"/>
  <c r="F19" i="57"/>
  <c r="F16" i="57"/>
  <c r="F15" i="57"/>
  <c r="F13" i="57"/>
  <c r="F12" i="57"/>
  <c r="F74" i="56"/>
  <c r="F73" i="56"/>
  <c r="F71" i="56"/>
  <c r="F70" i="56"/>
  <c r="F67" i="56"/>
  <c r="F66" i="56"/>
  <c r="F64" i="56"/>
  <c r="F63" i="56"/>
  <c r="F60" i="56"/>
  <c r="F59" i="56"/>
  <c r="F57" i="56"/>
  <c r="F56" i="56"/>
  <c r="F52" i="56"/>
  <c r="F51" i="56"/>
  <c r="F49" i="56"/>
  <c r="F48" i="56"/>
  <c r="F45" i="56"/>
  <c r="F44" i="56"/>
  <c r="F42" i="56"/>
  <c r="F41" i="56"/>
  <c r="F38" i="56"/>
  <c r="F37" i="56"/>
  <c r="F35" i="56"/>
  <c r="F34" i="56"/>
  <c r="F30" i="56"/>
  <c r="F29" i="56"/>
  <c r="F27" i="56"/>
  <c r="F26" i="56"/>
  <c r="F23" i="56"/>
  <c r="F22" i="56"/>
  <c r="F20" i="56"/>
  <c r="F19" i="56"/>
  <c r="F16" i="56"/>
  <c r="F15" i="56"/>
  <c r="F13" i="56"/>
  <c r="F12" i="56"/>
  <c r="F74" i="50"/>
  <c r="F73" i="50"/>
  <c r="F71" i="50"/>
  <c r="F70" i="50"/>
  <c r="F67" i="50"/>
  <c r="F66" i="50"/>
  <c r="F64" i="50"/>
  <c r="F63" i="50"/>
  <c r="F60" i="50"/>
  <c r="F59" i="50"/>
  <c r="F57" i="50"/>
  <c r="F56" i="50"/>
  <c r="F52" i="50"/>
  <c r="F51" i="50"/>
  <c r="F49" i="50"/>
  <c r="F48" i="50"/>
  <c r="F45" i="50"/>
  <c r="F44" i="50"/>
  <c r="F42" i="50"/>
  <c r="F41" i="50"/>
  <c r="F38" i="50"/>
  <c r="F37" i="50"/>
  <c r="F35" i="50"/>
  <c r="F34" i="50"/>
  <c r="F30" i="50"/>
  <c r="F29" i="50"/>
  <c r="F27" i="50"/>
  <c r="F26" i="50"/>
  <c r="F23" i="50"/>
  <c r="F22" i="50"/>
  <c r="F20" i="50"/>
  <c r="F19" i="50"/>
  <c r="F16" i="50"/>
  <c r="F15" i="50"/>
  <c r="F13" i="50"/>
  <c r="F12" i="50"/>
  <c r="F162" i="51"/>
  <c r="F160" i="51"/>
  <c r="F157" i="51"/>
  <c r="F155" i="51"/>
  <c r="F152" i="51"/>
  <c r="F150" i="51"/>
  <c r="F146" i="51"/>
  <c r="F144" i="51"/>
  <c r="F141" i="51"/>
  <c r="F139" i="51"/>
  <c r="F136" i="51"/>
  <c r="F134" i="51"/>
  <c r="F130" i="51"/>
  <c r="F128" i="51"/>
  <c r="F125" i="51"/>
  <c r="F123" i="51"/>
  <c r="F120" i="51"/>
  <c r="F118" i="51"/>
  <c r="F110" i="51"/>
  <c r="F108" i="51"/>
  <c r="F105" i="51"/>
  <c r="F103" i="51"/>
  <c r="F100" i="51"/>
  <c r="F98" i="51"/>
  <c r="F94" i="51"/>
  <c r="F92" i="51"/>
  <c r="F89" i="51"/>
  <c r="F87" i="51"/>
  <c r="F84" i="51"/>
  <c r="F82" i="51"/>
  <c r="F78" i="51"/>
  <c r="F76" i="51"/>
  <c r="F73" i="51"/>
  <c r="F71" i="51"/>
  <c r="F68" i="51"/>
  <c r="F66" i="51"/>
  <c r="F56" i="51"/>
  <c r="F54" i="51"/>
  <c r="F51" i="51"/>
  <c r="F49" i="51"/>
  <c r="F46" i="51"/>
  <c r="F44" i="51"/>
  <c r="F40" i="51"/>
  <c r="F38" i="51"/>
  <c r="F35" i="51"/>
  <c r="F33" i="51"/>
  <c r="F30" i="51"/>
  <c r="F28" i="51"/>
  <c r="F24" i="51"/>
  <c r="F22" i="51"/>
  <c r="F19" i="51"/>
  <c r="F17" i="51"/>
  <c r="F14" i="51"/>
  <c r="F12" i="51"/>
  <c r="F162" i="37"/>
  <c r="F160" i="37"/>
  <c r="F157" i="37"/>
  <c r="F155" i="37"/>
  <c r="F152" i="37"/>
  <c r="F150" i="37"/>
  <c r="F146" i="37"/>
  <c r="F144" i="37"/>
  <c r="F141" i="37"/>
  <c r="F139" i="37"/>
  <c r="F136" i="37"/>
  <c r="F134" i="37"/>
  <c r="F130" i="37"/>
  <c r="F128" i="37"/>
  <c r="F125" i="37"/>
  <c r="F123" i="37"/>
  <c r="F120" i="37"/>
  <c r="F118" i="37"/>
  <c r="F110" i="37"/>
  <c r="F108" i="37"/>
  <c r="F105" i="37"/>
  <c r="F103" i="37"/>
  <c r="F100" i="37"/>
  <c r="F98" i="37"/>
  <c r="F94" i="37"/>
  <c r="F92" i="37"/>
  <c r="F89" i="37"/>
  <c r="F87" i="37"/>
  <c r="F84" i="37"/>
  <c r="F82" i="37"/>
  <c r="F78" i="37"/>
  <c r="F76" i="37"/>
  <c r="F73" i="37"/>
  <c r="F71" i="37"/>
  <c r="F68" i="37"/>
  <c r="F66" i="37"/>
  <c r="F56" i="37"/>
  <c r="F54" i="37"/>
  <c r="F51" i="37"/>
  <c r="F49" i="37"/>
  <c r="F46" i="37"/>
  <c r="F44" i="37"/>
  <c r="F40" i="37"/>
  <c r="F38" i="37"/>
  <c r="F35" i="37"/>
  <c r="F33" i="37"/>
  <c r="F30" i="37"/>
  <c r="F28" i="37"/>
  <c r="F24" i="37"/>
  <c r="F22" i="37"/>
  <c r="F19" i="37"/>
  <c r="F17" i="37"/>
  <c r="F14" i="37"/>
  <c r="F12" i="37"/>
  <c r="F60" i="49"/>
  <c r="F59" i="49"/>
  <c r="F57" i="49"/>
  <c r="F56" i="49"/>
  <c r="F74" i="49"/>
  <c r="F73" i="49"/>
  <c r="F71" i="49"/>
  <c r="F70" i="49"/>
  <c r="F67" i="49"/>
  <c r="F66" i="49"/>
  <c r="F64" i="49"/>
  <c r="F63" i="49"/>
  <c r="F198" i="49"/>
  <c r="F197" i="49"/>
  <c r="F195" i="49"/>
  <c r="F194" i="49"/>
  <c r="F128" i="49"/>
  <c r="F127" i="49"/>
  <c r="F125" i="49"/>
  <c r="F124" i="49"/>
  <c r="F52" i="49"/>
  <c r="F51" i="49"/>
  <c r="F49" i="49"/>
  <c r="F191" i="49"/>
  <c r="F190" i="49"/>
  <c r="F188" i="49"/>
  <c r="F187" i="49"/>
  <c r="F121" i="49"/>
  <c r="F120" i="49"/>
  <c r="F118" i="49"/>
  <c r="F117" i="49"/>
  <c r="F45" i="49"/>
  <c r="F44" i="49"/>
  <c r="F42" i="49"/>
  <c r="F184" i="49"/>
  <c r="F183" i="49"/>
  <c r="F181" i="49"/>
  <c r="F180" i="49"/>
  <c r="F114" i="49"/>
  <c r="F113" i="49"/>
  <c r="F111" i="49"/>
  <c r="F110" i="49"/>
  <c r="F38" i="49"/>
  <c r="F37" i="49"/>
  <c r="F35" i="49"/>
  <c r="F176" i="49"/>
  <c r="F175" i="49"/>
  <c r="F173" i="49"/>
  <c r="F172" i="49"/>
  <c r="F106" i="49"/>
  <c r="F105" i="49"/>
  <c r="F103" i="49"/>
  <c r="F102" i="49"/>
  <c r="F30" i="49"/>
  <c r="F29" i="49"/>
  <c r="F27" i="49"/>
  <c r="F169" i="49"/>
  <c r="F168" i="49"/>
  <c r="F166" i="49"/>
  <c r="F165" i="49"/>
  <c r="F99" i="49"/>
  <c r="F98" i="49"/>
  <c r="F96" i="49"/>
  <c r="F95" i="49"/>
  <c r="F23" i="49"/>
  <c r="F22" i="49"/>
  <c r="F20" i="49"/>
  <c r="F16" i="49"/>
  <c r="F15" i="49"/>
  <c r="F13" i="49"/>
  <c r="F162" i="49"/>
  <c r="F161" i="49"/>
  <c r="F159" i="49"/>
  <c r="F158" i="49"/>
  <c r="F92" i="49"/>
  <c r="F91" i="49"/>
  <c r="F89" i="49"/>
  <c r="F88" i="49"/>
  <c r="F48" i="49"/>
  <c r="F41" i="49"/>
  <c r="F34" i="49"/>
  <c r="F26" i="49"/>
  <c r="F19" i="49"/>
  <c r="F12" i="49"/>
  <c r="J57" i="59" l="1"/>
  <c r="O51" i="43" s="1"/>
  <c r="O150" i="59"/>
  <c r="O110" i="59"/>
  <c r="O162" i="59"/>
  <c r="O136" i="59"/>
  <c r="K92" i="51"/>
  <c r="O160" i="59"/>
  <c r="O103" i="59"/>
  <c r="O209" i="59"/>
  <c r="O210" i="59" s="1"/>
  <c r="C21" i="38" s="1"/>
  <c r="K51" i="43"/>
  <c r="O175" i="59"/>
  <c r="J21" i="38" s="1"/>
  <c r="F21" i="38"/>
  <c r="K220" i="49"/>
  <c r="K71" i="51"/>
  <c r="K120" i="51"/>
  <c r="K73" i="51"/>
  <c r="K162" i="51"/>
  <c r="K191" i="49"/>
  <c r="O100" i="59"/>
  <c r="O68" i="59"/>
  <c r="O92" i="59"/>
  <c r="O78" i="59"/>
  <c r="O87" i="59"/>
  <c r="O105" i="59"/>
  <c r="O144" i="59"/>
  <c r="K94" i="51"/>
  <c r="K168" i="49"/>
  <c r="K183" i="49"/>
  <c r="K162" i="49"/>
  <c r="O98" i="59"/>
  <c r="O89" i="59"/>
  <c r="O139" i="59"/>
  <c r="O71" i="59"/>
  <c r="O82" i="59"/>
  <c r="O152" i="59"/>
  <c r="O146" i="59"/>
  <c r="O94" i="59"/>
  <c r="O134" i="59"/>
  <c r="O73" i="59"/>
  <c r="O157" i="59"/>
  <c r="O125" i="59"/>
  <c r="O76" i="59"/>
  <c r="O141" i="59"/>
  <c r="O128" i="59"/>
  <c r="O123" i="59"/>
  <c r="O130" i="59"/>
  <c r="O84" i="59"/>
  <c r="O120" i="59"/>
  <c r="K156" i="58"/>
  <c r="L156" i="58" s="1"/>
  <c r="K145" i="58"/>
  <c r="L145" i="58" s="1"/>
  <c r="K135" i="58"/>
  <c r="L135" i="58" s="1"/>
  <c r="K124" i="58"/>
  <c r="L124" i="58" s="1"/>
  <c r="K161" i="58"/>
  <c r="L161" i="58" s="1"/>
  <c r="K129" i="58"/>
  <c r="L129" i="58" s="1"/>
  <c r="K159" i="58"/>
  <c r="L159" i="58" s="1"/>
  <c r="K127" i="58"/>
  <c r="L127" i="58" s="1"/>
  <c r="K154" i="58"/>
  <c r="L154" i="58" s="1"/>
  <c r="K143" i="58"/>
  <c r="L143" i="58" s="1"/>
  <c r="K133" i="58"/>
  <c r="L133" i="58" s="1"/>
  <c r="K122" i="58"/>
  <c r="L122" i="58" s="1"/>
  <c r="K140" i="58"/>
  <c r="L140" i="58" s="1"/>
  <c r="K119" i="58"/>
  <c r="L119" i="58" s="1"/>
  <c r="K149" i="58"/>
  <c r="L149" i="58" s="1"/>
  <c r="K151" i="58"/>
  <c r="L151" i="58" s="1"/>
  <c r="K138" i="58"/>
  <c r="L138" i="58" s="1"/>
  <c r="K141" i="57"/>
  <c r="L141" i="57" s="1"/>
  <c r="K173" i="57"/>
  <c r="L173" i="57" s="1"/>
  <c r="K152" i="57"/>
  <c r="L152" i="57" s="1"/>
  <c r="K162" i="57"/>
  <c r="L162" i="57" s="1"/>
  <c r="K143" i="57"/>
  <c r="L143" i="57" s="1"/>
  <c r="K154" i="57"/>
  <c r="L154" i="57" s="1"/>
  <c r="K164" i="57"/>
  <c r="L164" i="57" s="1"/>
  <c r="K175" i="57"/>
  <c r="L175" i="57" s="1"/>
  <c r="K146" i="57"/>
  <c r="L146" i="57" s="1"/>
  <c r="K157" i="57"/>
  <c r="L157" i="57" s="1"/>
  <c r="K168" i="57"/>
  <c r="L168" i="57" s="1"/>
  <c r="K178" i="57"/>
  <c r="L178" i="57" s="1"/>
  <c r="K138" i="57"/>
  <c r="L138" i="57" s="1"/>
  <c r="K148" i="57"/>
  <c r="L148" i="57" s="1"/>
  <c r="K159" i="57"/>
  <c r="L159" i="57" s="1"/>
  <c r="K170" i="57"/>
  <c r="L170" i="57" s="1"/>
  <c r="K150" i="56"/>
  <c r="K161" i="56"/>
  <c r="K172" i="56"/>
  <c r="K182" i="56"/>
  <c r="K142" i="56"/>
  <c r="K152" i="56"/>
  <c r="K163" i="56"/>
  <c r="K174" i="56"/>
  <c r="K184" i="56"/>
  <c r="K145" i="56"/>
  <c r="K156" i="56"/>
  <c r="K166" i="56"/>
  <c r="K177" i="56"/>
  <c r="K147" i="56"/>
  <c r="K158" i="56"/>
  <c r="K168" i="56"/>
  <c r="K82" i="51"/>
  <c r="K103" i="51"/>
  <c r="K130" i="51"/>
  <c r="K84" i="51"/>
  <c r="K105" i="51"/>
  <c r="K141" i="51"/>
  <c r="K152" i="51"/>
  <c r="K76" i="51"/>
  <c r="K87" i="51"/>
  <c r="K98" i="51"/>
  <c r="K108" i="51"/>
  <c r="K123" i="51"/>
  <c r="K134" i="51"/>
  <c r="K144" i="51"/>
  <c r="K155" i="51"/>
  <c r="K68" i="51"/>
  <c r="K78" i="51"/>
  <c r="K89" i="51"/>
  <c r="K100" i="51"/>
  <c r="K125" i="51"/>
  <c r="K136" i="51"/>
  <c r="K146" i="51"/>
  <c r="K157" i="51"/>
  <c r="K128" i="51"/>
  <c r="K139" i="51"/>
  <c r="K150" i="51"/>
  <c r="K197" i="49"/>
  <c r="K166" i="49"/>
  <c r="K195" i="49"/>
  <c r="K212" i="49"/>
  <c r="K176" i="49"/>
  <c r="K206" i="49"/>
  <c r="K181" i="49"/>
  <c r="K210" i="49"/>
  <c r="K172" i="49"/>
  <c r="K202" i="49"/>
  <c r="K161" i="49"/>
  <c r="K175" i="49"/>
  <c r="K190" i="49"/>
  <c r="K209" i="49"/>
  <c r="K219" i="49"/>
  <c r="K169" i="49"/>
  <c r="K184" i="49"/>
  <c r="K198" i="49"/>
  <c r="K213" i="49"/>
  <c r="K187" i="49"/>
  <c r="K216" i="49"/>
  <c r="K165" i="49"/>
  <c r="K180" i="49"/>
  <c r="K194" i="49"/>
  <c r="K173" i="49"/>
  <c r="K188" i="49"/>
  <c r="K203" i="49"/>
  <c r="C62" i="45"/>
  <c r="L160" i="53"/>
  <c r="L158" i="53"/>
  <c r="L155" i="53"/>
  <c r="L150" i="53"/>
  <c r="L148" i="53"/>
  <c r="L144" i="53"/>
  <c r="L139" i="53"/>
  <c r="L137" i="53"/>
  <c r="L134" i="53"/>
  <c r="L128" i="53"/>
  <c r="L126" i="53"/>
  <c r="L123" i="53"/>
  <c r="L118" i="53"/>
  <c r="L116" i="53"/>
  <c r="L160" i="52"/>
  <c r="G160" i="52"/>
  <c r="O160" i="52" s="1"/>
  <c r="L157" i="52"/>
  <c r="L155" i="52"/>
  <c r="L150" i="52"/>
  <c r="L146" i="52"/>
  <c r="L144" i="52"/>
  <c r="G144" i="52"/>
  <c r="L139" i="52"/>
  <c r="L136" i="52"/>
  <c r="L134" i="52"/>
  <c r="L128" i="52"/>
  <c r="G128" i="52"/>
  <c r="O128" i="52" s="1"/>
  <c r="L125" i="52"/>
  <c r="L123" i="52"/>
  <c r="L118" i="52"/>
  <c r="G118" i="52"/>
  <c r="O118" i="52" s="1"/>
  <c r="L108" i="52"/>
  <c r="L105" i="52"/>
  <c r="L103" i="52"/>
  <c r="L98" i="52"/>
  <c r="L94" i="52"/>
  <c r="L92" i="52"/>
  <c r="L87" i="52"/>
  <c r="L84" i="52"/>
  <c r="L76" i="52"/>
  <c r="L73" i="52"/>
  <c r="L71" i="52"/>
  <c r="L66" i="52"/>
  <c r="G66" i="52"/>
  <c r="G56" i="52"/>
  <c r="J56" i="52" s="1"/>
  <c r="G54" i="52"/>
  <c r="J54" i="52" s="1"/>
  <c r="G51" i="52"/>
  <c r="J51" i="52" s="1"/>
  <c r="G49" i="52"/>
  <c r="J49" i="52" s="1"/>
  <c r="G46" i="52"/>
  <c r="J46" i="52" s="1"/>
  <c r="G44" i="52"/>
  <c r="J44" i="52" s="1"/>
  <c r="G40" i="52"/>
  <c r="J40" i="52" s="1"/>
  <c r="G38" i="52"/>
  <c r="J38" i="52" s="1"/>
  <c r="G35" i="52"/>
  <c r="J35" i="52" s="1"/>
  <c r="G33" i="52"/>
  <c r="J33" i="52" s="1"/>
  <c r="G30" i="52"/>
  <c r="J30" i="52" s="1"/>
  <c r="G28" i="52"/>
  <c r="J28" i="52" s="1"/>
  <c r="G24" i="52"/>
  <c r="J24" i="52" s="1"/>
  <c r="G22" i="52"/>
  <c r="G19" i="52"/>
  <c r="J19" i="52" s="1"/>
  <c r="G17" i="52"/>
  <c r="J17" i="52" s="1"/>
  <c r="G14" i="52"/>
  <c r="J14" i="52" s="1"/>
  <c r="G12" i="52"/>
  <c r="L117" i="58"/>
  <c r="M109" i="58"/>
  <c r="M161" i="58" s="1"/>
  <c r="G109" i="58"/>
  <c r="M107" i="58"/>
  <c r="M159" i="58" s="1"/>
  <c r="G107" i="58"/>
  <c r="M104" i="58"/>
  <c r="M156" i="58" s="1"/>
  <c r="G104" i="58"/>
  <c r="M102" i="58"/>
  <c r="M154" i="58" s="1"/>
  <c r="G102" i="58"/>
  <c r="M99" i="58"/>
  <c r="M151" i="58" s="1"/>
  <c r="G99" i="58"/>
  <c r="M97" i="58"/>
  <c r="M149" i="58" s="1"/>
  <c r="G97" i="58"/>
  <c r="M93" i="58"/>
  <c r="M145" i="58" s="1"/>
  <c r="G93" i="58"/>
  <c r="M91" i="58"/>
  <c r="M143" i="58" s="1"/>
  <c r="M88" i="58"/>
  <c r="M140" i="58" s="1"/>
  <c r="G88" i="58"/>
  <c r="M86" i="58"/>
  <c r="M138" i="58" s="1"/>
  <c r="M83" i="58"/>
  <c r="M135" i="58" s="1"/>
  <c r="G83" i="58"/>
  <c r="M81" i="58"/>
  <c r="M133" i="58" s="1"/>
  <c r="M77" i="58"/>
  <c r="M129" i="58" s="1"/>
  <c r="G77" i="58"/>
  <c r="M75" i="58"/>
  <c r="M127" i="58" s="1"/>
  <c r="G75" i="58"/>
  <c r="M72" i="58"/>
  <c r="M124" i="58" s="1"/>
  <c r="G72" i="58"/>
  <c r="M70" i="58"/>
  <c r="M122" i="58" s="1"/>
  <c r="G70" i="58"/>
  <c r="M67" i="58"/>
  <c r="M119" i="58" s="1"/>
  <c r="G67" i="58"/>
  <c r="M65" i="58"/>
  <c r="M117" i="58" s="1"/>
  <c r="G65" i="58"/>
  <c r="L180" i="57"/>
  <c r="M128" i="57"/>
  <c r="M180" i="57" s="1"/>
  <c r="G128" i="57"/>
  <c r="M126" i="57"/>
  <c r="M178" i="57" s="1"/>
  <c r="G126" i="57"/>
  <c r="M123" i="57"/>
  <c r="M175" i="57" s="1"/>
  <c r="G123" i="57"/>
  <c r="M121" i="57"/>
  <c r="M173" i="57" s="1"/>
  <c r="G121" i="57"/>
  <c r="M118" i="57"/>
  <c r="M170" i="57" s="1"/>
  <c r="G118" i="57"/>
  <c r="M116" i="57"/>
  <c r="M168" i="57" s="1"/>
  <c r="G116" i="57"/>
  <c r="M112" i="57"/>
  <c r="M164" i="57" s="1"/>
  <c r="G112" i="57"/>
  <c r="M110" i="57"/>
  <c r="M162" i="57" s="1"/>
  <c r="M107" i="57"/>
  <c r="M159" i="57" s="1"/>
  <c r="M105" i="57"/>
  <c r="M157" i="57" s="1"/>
  <c r="M102" i="57"/>
  <c r="M154" i="57" s="1"/>
  <c r="M100" i="57"/>
  <c r="M152" i="57" s="1"/>
  <c r="M96" i="57"/>
  <c r="M148" i="57" s="1"/>
  <c r="G96" i="57"/>
  <c r="M94" i="57"/>
  <c r="M146" i="57" s="1"/>
  <c r="G94" i="57"/>
  <c r="M91" i="57"/>
  <c r="M143" i="57" s="1"/>
  <c r="G91" i="57"/>
  <c r="M89" i="57"/>
  <c r="M141" i="57" s="1"/>
  <c r="G89" i="57"/>
  <c r="M86" i="57"/>
  <c r="M138" i="57" s="1"/>
  <c r="G86" i="57"/>
  <c r="M84" i="57"/>
  <c r="M136" i="57" s="1"/>
  <c r="K84" i="57"/>
  <c r="G84" i="57"/>
  <c r="G56" i="58"/>
  <c r="J56" i="58" s="1"/>
  <c r="G54" i="58"/>
  <c r="J54" i="58" s="1"/>
  <c r="G51" i="58"/>
  <c r="J51" i="58" s="1"/>
  <c r="G49" i="58"/>
  <c r="J49" i="58" s="1"/>
  <c r="G46" i="58"/>
  <c r="J46" i="58" s="1"/>
  <c r="G44" i="58"/>
  <c r="J44" i="58" s="1"/>
  <c r="G40" i="58"/>
  <c r="G24" i="58"/>
  <c r="J24" i="58" s="1"/>
  <c r="G22" i="58"/>
  <c r="J22" i="58" s="1"/>
  <c r="G19" i="58"/>
  <c r="G17" i="58"/>
  <c r="J17" i="58" s="1"/>
  <c r="G14" i="58"/>
  <c r="J14" i="58" s="1"/>
  <c r="G12" i="58"/>
  <c r="G74" i="57"/>
  <c r="J74" i="57" s="1"/>
  <c r="G73" i="57"/>
  <c r="J73" i="57" s="1"/>
  <c r="G71" i="57"/>
  <c r="G66" i="57"/>
  <c r="J66" i="57" s="1"/>
  <c r="G63" i="57"/>
  <c r="J63" i="57" s="1"/>
  <c r="G60" i="57"/>
  <c r="J60" i="57" s="1"/>
  <c r="G59" i="57"/>
  <c r="J59" i="57" s="1"/>
  <c r="G56" i="57"/>
  <c r="J56" i="57" s="1"/>
  <c r="G52" i="57"/>
  <c r="J52" i="57" s="1"/>
  <c r="G51" i="57"/>
  <c r="J51" i="57" s="1"/>
  <c r="G45" i="57"/>
  <c r="G42" i="57"/>
  <c r="G38" i="57"/>
  <c r="G35" i="57"/>
  <c r="G30" i="57"/>
  <c r="J30" i="57" s="1"/>
  <c r="G29" i="57"/>
  <c r="J29" i="57" s="1"/>
  <c r="G27" i="57"/>
  <c r="J27" i="57" s="1"/>
  <c r="G26" i="57"/>
  <c r="J26" i="57" s="1"/>
  <c r="G23" i="57"/>
  <c r="J23" i="57" s="1"/>
  <c r="G22" i="57"/>
  <c r="J22" i="57" s="1"/>
  <c r="G20" i="57"/>
  <c r="J20" i="57" s="1"/>
  <c r="G19" i="57"/>
  <c r="J19" i="57" s="1"/>
  <c r="G16" i="57"/>
  <c r="J16" i="57" s="1"/>
  <c r="G15" i="57"/>
  <c r="J15" i="57" s="1"/>
  <c r="G13" i="57"/>
  <c r="G12" i="57"/>
  <c r="D21" i="38" l="1"/>
  <c r="J22" i="52"/>
  <c r="G59" i="52"/>
  <c r="M52" i="43" s="1"/>
  <c r="G58" i="52"/>
  <c r="L52" i="43" s="1"/>
  <c r="J13" i="57"/>
  <c r="G57" i="52"/>
  <c r="O111" i="59"/>
  <c r="H21" i="38" s="1"/>
  <c r="O163" i="59"/>
  <c r="I21" i="38" s="1"/>
  <c r="L65" i="58"/>
  <c r="K104" i="58"/>
  <c r="L104" i="58" s="1"/>
  <c r="K93" i="58"/>
  <c r="L93" i="58" s="1"/>
  <c r="K83" i="58"/>
  <c r="L83" i="58" s="1"/>
  <c r="K72" i="58"/>
  <c r="L72" i="58" s="1"/>
  <c r="K102" i="58"/>
  <c r="L102" i="58" s="1"/>
  <c r="K91" i="58"/>
  <c r="L91" i="58" s="1"/>
  <c r="K81" i="58"/>
  <c r="L81" i="58" s="1"/>
  <c r="K70" i="58"/>
  <c r="L70" i="58" s="1"/>
  <c r="K107" i="58"/>
  <c r="L107" i="58" s="1"/>
  <c r="K75" i="58"/>
  <c r="L75" i="58" s="1"/>
  <c r="K109" i="58"/>
  <c r="L109" i="58" s="1"/>
  <c r="K99" i="58"/>
  <c r="L99" i="58" s="1"/>
  <c r="K88" i="58"/>
  <c r="L88" i="58" s="1"/>
  <c r="K77" i="58"/>
  <c r="L77" i="58" s="1"/>
  <c r="K67" i="58"/>
  <c r="L67" i="58" s="1"/>
  <c r="K97" i="58"/>
  <c r="L97" i="58" s="1"/>
  <c r="K86" i="58"/>
  <c r="L86" i="58" s="1"/>
  <c r="K126" i="57"/>
  <c r="O126" i="57" s="1"/>
  <c r="K116" i="57"/>
  <c r="L116" i="57" s="1"/>
  <c r="K105" i="57"/>
  <c r="L105" i="57" s="1"/>
  <c r="K94" i="57"/>
  <c r="O94" i="57" s="1"/>
  <c r="K118" i="57"/>
  <c r="L118" i="57" s="1"/>
  <c r="K96" i="57"/>
  <c r="L96" i="57" s="1"/>
  <c r="K123" i="57"/>
  <c r="L123" i="57" s="1"/>
  <c r="K112" i="57"/>
  <c r="O112" i="57" s="1"/>
  <c r="K102" i="57"/>
  <c r="L102" i="57" s="1"/>
  <c r="K91" i="57"/>
  <c r="L91" i="57" s="1"/>
  <c r="K128" i="57"/>
  <c r="L128" i="57" s="1"/>
  <c r="K107" i="57"/>
  <c r="K86" i="57"/>
  <c r="O86" i="57" s="1"/>
  <c r="K121" i="57"/>
  <c r="L121" i="57" s="1"/>
  <c r="K110" i="57"/>
  <c r="L110" i="57" s="1"/>
  <c r="K100" i="57"/>
  <c r="L100" i="57" s="1"/>
  <c r="K89" i="57"/>
  <c r="O89" i="57" s="1"/>
  <c r="J12" i="52"/>
  <c r="E91" i="58"/>
  <c r="G91" i="58" s="1"/>
  <c r="E143" i="58"/>
  <c r="G143" i="58" s="1"/>
  <c r="O143" i="58" s="1"/>
  <c r="G33" i="58"/>
  <c r="J33" i="58" s="1"/>
  <c r="E138" i="58"/>
  <c r="G138" i="58" s="1"/>
  <c r="O138" i="58" s="1"/>
  <c r="E86" i="58"/>
  <c r="G86" i="58" s="1"/>
  <c r="J12" i="58"/>
  <c r="G28" i="58"/>
  <c r="J28" i="58" s="1"/>
  <c r="E81" i="58"/>
  <c r="G81" i="58" s="1"/>
  <c r="O81" i="58" s="1"/>
  <c r="E133" i="58"/>
  <c r="G133" i="58" s="1"/>
  <c r="O133" i="58" s="1"/>
  <c r="G67" i="57"/>
  <c r="J67" i="57" s="1"/>
  <c r="E162" i="57"/>
  <c r="G162" i="57" s="1"/>
  <c r="O162" i="57" s="1"/>
  <c r="E110" i="57"/>
  <c r="G110" i="57" s="1"/>
  <c r="O110" i="57" s="1"/>
  <c r="G64" i="57"/>
  <c r="J64" i="57" s="1"/>
  <c r="E107" i="57"/>
  <c r="G107" i="57" s="1"/>
  <c r="E159" i="57"/>
  <c r="G159" i="57" s="1"/>
  <c r="O159" i="57" s="1"/>
  <c r="G41" i="57"/>
  <c r="J41" i="57" s="1"/>
  <c r="E157" i="57"/>
  <c r="G157" i="57" s="1"/>
  <c r="O157" i="57" s="1"/>
  <c r="E105" i="57"/>
  <c r="G105" i="57" s="1"/>
  <c r="G57" i="57"/>
  <c r="J57" i="57" s="1"/>
  <c r="E154" i="57"/>
  <c r="G154" i="57" s="1"/>
  <c r="O154" i="57" s="1"/>
  <c r="E102" i="57"/>
  <c r="G102" i="57" s="1"/>
  <c r="J12" i="57"/>
  <c r="G34" i="57"/>
  <c r="J34" i="57" s="1"/>
  <c r="E100" i="57"/>
  <c r="G100" i="57" s="1"/>
  <c r="E152" i="57"/>
  <c r="G152" i="57" s="1"/>
  <c r="O152" i="57" s="1"/>
  <c r="G139" i="52"/>
  <c r="O139" i="52" s="1"/>
  <c r="G150" i="52"/>
  <c r="O150" i="52" s="1"/>
  <c r="G123" i="52"/>
  <c r="O123" i="52" s="1"/>
  <c r="G125" i="52"/>
  <c r="O125" i="52" s="1"/>
  <c r="G73" i="52"/>
  <c r="O73" i="52" s="1"/>
  <c r="G76" i="52"/>
  <c r="O76" i="52" s="1"/>
  <c r="G78" i="52"/>
  <c r="O78" i="52" s="1"/>
  <c r="G82" i="52"/>
  <c r="O82" i="52" s="1"/>
  <c r="G89" i="52"/>
  <c r="O89" i="52" s="1"/>
  <c r="G92" i="52"/>
  <c r="O92" i="52" s="1"/>
  <c r="G98" i="52"/>
  <c r="O98" i="52" s="1"/>
  <c r="G100" i="52"/>
  <c r="O100" i="52" s="1"/>
  <c r="G103" i="52"/>
  <c r="O103" i="52" s="1"/>
  <c r="G110" i="52"/>
  <c r="O110" i="52" s="1"/>
  <c r="L121" i="53"/>
  <c r="L132" i="53"/>
  <c r="L142" i="53"/>
  <c r="L153" i="53"/>
  <c r="G162" i="52"/>
  <c r="O162" i="52" s="1"/>
  <c r="G136" i="52"/>
  <c r="O136" i="52" s="1"/>
  <c r="G120" i="52"/>
  <c r="O120" i="52" s="1"/>
  <c r="G155" i="52"/>
  <c r="O155" i="52" s="1"/>
  <c r="O144" i="52"/>
  <c r="G152" i="52"/>
  <c r="O152" i="52" s="1"/>
  <c r="G157" i="52"/>
  <c r="O157" i="52" s="1"/>
  <c r="G87" i="52"/>
  <c r="O87" i="52" s="1"/>
  <c r="G105" i="52"/>
  <c r="O105" i="52" s="1"/>
  <c r="G108" i="52"/>
  <c r="O108" i="52" s="1"/>
  <c r="G130" i="52"/>
  <c r="O130" i="52" s="1"/>
  <c r="G134" i="52"/>
  <c r="O134" i="52" s="1"/>
  <c r="G141" i="52"/>
  <c r="O141" i="52" s="1"/>
  <c r="G146" i="52"/>
  <c r="O146" i="52" s="1"/>
  <c r="L120" i="52"/>
  <c r="L130" i="52"/>
  <c r="L141" i="52"/>
  <c r="L152" i="52"/>
  <c r="L162" i="52"/>
  <c r="O66" i="52"/>
  <c r="G94" i="52"/>
  <c r="O94" i="52" s="1"/>
  <c r="L82" i="52"/>
  <c r="G68" i="52"/>
  <c r="O68" i="52" s="1"/>
  <c r="G71" i="52"/>
  <c r="O71" i="52" s="1"/>
  <c r="G84" i="52"/>
  <c r="O84" i="52" s="1"/>
  <c r="L68" i="52"/>
  <c r="L78" i="52"/>
  <c r="L89" i="52"/>
  <c r="L100" i="52"/>
  <c r="L110" i="52"/>
  <c r="G119" i="58"/>
  <c r="O119" i="58" s="1"/>
  <c r="G124" i="58"/>
  <c r="O124" i="58" s="1"/>
  <c r="G129" i="58"/>
  <c r="O129" i="58" s="1"/>
  <c r="G135" i="58"/>
  <c r="O135" i="58" s="1"/>
  <c r="G140" i="58"/>
  <c r="O140" i="58" s="1"/>
  <c r="G145" i="58"/>
  <c r="O145" i="58" s="1"/>
  <c r="G151" i="58"/>
  <c r="O151" i="58" s="1"/>
  <c r="G156" i="58"/>
  <c r="O156" i="58" s="1"/>
  <c r="G161" i="58"/>
  <c r="O161" i="58" s="1"/>
  <c r="G117" i="58"/>
  <c r="O117" i="58" s="1"/>
  <c r="G122" i="58"/>
  <c r="O122" i="58" s="1"/>
  <c r="G127" i="58"/>
  <c r="O127" i="58" s="1"/>
  <c r="G149" i="58"/>
  <c r="O149" i="58" s="1"/>
  <c r="G154" i="58"/>
  <c r="O154" i="58" s="1"/>
  <c r="G159" i="58"/>
  <c r="O159" i="58" s="1"/>
  <c r="O65" i="58"/>
  <c r="G168" i="57"/>
  <c r="O168" i="57" s="1"/>
  <c r="G173" i="57"/>
  <c r="O173" i="57" s="1"/>
  <c r="G138" i="57"/>
  <c r="O138" i="57" s="1"/>
  <c r="G143" i="57"/>
  <c r="O143" i="57" s="1"/>
  <c r="G148" i="57"/>
  <c r="O148" i="57" s="1"/>
  <c r="G164" i="57"/>
  <c r="O164" i="57" s="1"/>
  <c r="G170" i="57"/>
  <c r="O170" i="57" s="1"/>
  <c r="G175" i="57"/>
  <c r="O175" i="57" s="1"/>
  <c r="G180" i="57"/>
  <c r="O180" i="57" s="1"/>
  <c r="G136" i="57"/>
  <c r="G141" i="57"/>
  <c r="O141" i="57" s="1"/>
  <c r="G146" i="57"/>
  <c r="O146" i="57" s="1"/>
  <c r="G178" i="57"/>
  <c r="O178" i="57" s="1"/>
  <c r="G70" i="57"/>
  <c r="J70" i="57" s="1"/>
  <c r="O84" i="57"/>
  <c r="L84" i="57"/>
  <c r="J19" i="58"/>
  <c r="G35" i="58"/>
  <c r="G38" i="58"/>
  <c r="G30" i="58"/>
  <c r="J40" i="58"/>
  <c r="J71" i="57"/>
  <c r="J38" i="57"/>
  <c r="J45" i="57"/>
  <c r="J35" i="57"/>
  <c r="J42" i="57"/>
  <c r="G37" i="57"/>
  <c r="G44" i="57"/>
  <c r="G48" i="57"/>
  <c r="G49" i="57"/>
  <c r="L184" i="56"/>
  <c r="L182" i="56"/>
  <c r="L179" i="56"/>
  <c r="L177" i="56"/>
  <c r="L174" i="56"/>
  <c r="L172" i="56"/>
  <c r="L168" i="56"/>
  <c r="L166" i="56"/>
  <c r="L163" i="56"/>
  <c r="L161" i="56"/>
  <c r="L158" i="56"/>
  <c r="L156" i="56"/>
  <c r="L152" i="56"/>
  <c r="L150" i="56"/>
  <c r="L147" i="56"/>
  <c r="L145" i="56"/>
  <c r="L142" i="56"/>
  <c r="L140" i="56"/>
  <c r="M132" i="56"/>
  <c r="M184" i="56" s="1"/>
  <c r="G132" i="56"/>
  <c r="M130" i="56"/>
  <c r="M182" i="56" s="1"/>
  <c r="G130" i="56"/>
  <c r="M127" i="56"/>
  <c r="M179" i="56" s="1"/>
  <c r="G127" i="56"/>
  <c r="M125" i="56"/>
  <c r="M177" i="56" s="1"/>
  <c r="G125" i="56"/>
  <c r="M122" i="56"/>
  <c r="M174" i="56" s="1"/>
  <c r="G122" i="56"/>
  <c r="M120" i="56"/>
  <c r="M172" i="56" s="1"/>
  <c r="G120" i="56"/>
  <c r="M116" i="56"/>
  <c r="M168" i="56" s="1"/>
  <c r="G116" i="56"/>
  <c r="M114" i="56"/>
  <c r="M166" i="56" s="1"/>
  <c r="G114" i="56"/>
  <c r="M111" i="56"/>
  <c r="M163" i="56" s="1"/>
  <c r="G111" i="56"/>
  <c r="M109" i="56"/>
  <c r="M161" i="56" s="1"/>
  <c r="G109" i="56"/>
  <c r="M106" i="56"/>
  <c r="M158" i="56" s="1"/>
  <c r="G106" i="56"/>
  <c r="M104" i="56"/>
  <c r="M156" i="56" s="1"/>
  <c r="G104" i="56"/>
  <c r="M100" i="56"/>
  <c r="M152" i="56" s="1"/>
  <c r="G100" i="56"/>
  <c r="M98" i="56"/>
  <c r="M150" i="56" s="1"/>
  <c r="G98" i="56"/>
  <c r="M95" i="56"/>
  <c r="M147" i="56" s="1"/>
  <c r="G95" i="56"/>
  <c r="M93" i="56"/>
  <c r="M145" i="56" s="1"/>
  <c r="G93" i="56"/>
  <c r="M90" i="56"/>
  <c r="M142" i="56" s="1"/>
  <c r="G90" i="56"/>
  <c r="G74" i="56"/>
  <c r="J74" i="56" s="1"/>
  <c r="G73" i="56"/>
  <c r="J73" i="56" s="1"/>
  <c r="G70" i="56"/>
  <c r="G66" i="56"/>
  <c r="G63" i="56"/>
  <c r="G60" i="56"/>
  <c r="G59" i="56"/>
  <c r="G56" i="56"/>
  <c r="L155" i="51"/>
  <c r="L150" i="51"/>
  <c r="L144" i="51"/>
  <c r="L139" i="51"/>
  <c r="L136" i="51"/>
  <c r="L125" i="51"/>
  <c r="L108" i="51"/>
  <c r="G110" i="51"/>
  <c r="L103" i="51"/>
  <c r="G105" i="51"/>
  <c r="L98" i="51"/>
  <c r="G100" i="51"/>
  <c r="L87" i="51"/>
  <c r="G89" i="51"/>
  <c r="G84" i="51"/>
  <c r="L78" i="51"/>
  <c r="L71" i="51"/>
  <c r="G56" i="51"/>
  <c r="G54" i="51"/>
  <c r="G51" i="51"/>
  <c r="G49" i="51"/>
  <c r="G46" i="51"/>
  <c r="G44" i="51"/>
  <c r="G40" i="51"/>
  <c r="G38" i="51"/>
  <c r="G35" i="51"/>
  <c r="G33" i="51"/>
  <c r="G30" i="51"/>
  <c r="G28" i="51"/>
  <c r="G24" i="51"/>
  <c r="G22" i="51"/>
  <c r="G145" i="50"/>
  <c r="G142" i="50"/>
  <c r="G138" i="50"/>
  <c r="G135" i="50"/>
  <c r="G131" i="50"/>
  <c r="G128" i="50"/>
  <c r="G123" i="50"/>
  <c r="G120" i="50"/>
  <c r="G116" i="50"/>
  <c r="G113" i="50"/>
  <c r="G109" i="50"/>
  <c r="G74" i="50"/>
  <c r="J74" i="50" s="1"/>
  <c r="G73" i="50"/>
  <c r="J73" i="50" s="1"/>
  <c r="G220" i="49"/>
  <c r="G219" i="49"/>
  <c r="G217" i="49"/>
  <c r="L216" i="49"/>
  <c r="G216" i="49"/>
  <c r="G213" i="49"/>
  <c r="G212" i="49"/>
  <c r="G210" i="49"/>
  <c r="L209" i="49"/>
  <c r="G209" i="49"/>
  <c r="G206" i="49"/>
  <c r="G205" i="49"/>
  <c r="L203" i="49"/>
  <c r="G203" i="49"/>
  <c r="L202" i="49"/>
  <c r="G202" i="49"/>
  <c r="G198" i="49"/>
  <c r="G197" i="49"/>
  <c r="G195" i="49"/>
  <c r="L194" i="49"/>
  <c r="G194" i="49"/>
  <c r="G191" i="49"/>
  <c r="G190" i="49"/>
  <c r="G188" i="49"/>
  <c r="G187" i="49"/>
  <c r="G184" i="49"/>
  <c r="G183" i="49"/>
  <c r="G181" i="49"/>
  <c r="G180" i="49"/>
  <c r="G176" i="49"/>
  <c r="G175" i="49"/>
  <c r="L159" i="49"/>
  <c r="L158" i="49"/>
  <c r="G150" i="49"/>
  <c r="G149" i="49"/>
  <c r="G147" i="49"/>
  <c r="G146" i="49"/>
  <c r="G143" i="49"/>
  <c r="G142" i="49"/>
  <c r="G140" i="49"/>
  <c r="G139" i="49"/>
  <c r="G136" i="49"/>
  <c r="G135" i="49"/>
  <c r="G133" i="49"/>
  <c r="G132" i="49"/>
  <c r="G128" i="49"/>
  <c r="G127" i="49"/>
  <c r="G125" i="49"/>
  <c r="G124" i="49"/>
  <c r="G74" i="49"/>
  <c r="J74" i="49" s="1"/>
  <c r="G73" i="49"/>
  <c r="J73" i="49" s="1"/>
  <c r="G71" i="49"/>
  <c r="J71" i="49" s="1"/>
  <c r="G70" i="49"/>
  <c r="J70" i="49" s="1"/>
  <c r="G67" i="49"/>
  <c r="J67" i="49" s="1"/>
  <c r="G66" i="49"/>
  <c r="J66" i="49" s="1"/>
  <c r="G64" i="49"/>
  <c r="J64" i="49" s="1"/>
  <c r="G63" i="49"/>
  <c r="J63" i="49" s="1"/>
  <c r="G60" i="49"/>
  <c r="J60" i="49" s="1"/>
  <c r="G59" i="49"/>
  <c r="J59" i="49" s="1"/>
  <c r="G57" i="49"/>
  <c r="J57" i="49" s="1"/>
  <c r="G56" i="49"/>
  <c r="J56" i="49" s="1"/>
  <c r="G52" i="49"/>
  <c r="J52" i="49" s="1"/>
  <c r="G51" i="49"/>
  <c r="J51" i="49" s="1"/>
  <c r="G49" i="49"/>
  <c r="J49" i="49" s="1"/>
  <c r="G48" i="49"/>
  <c r="J48" i="49" s="1"/>
  <c r="G45" i="49"/>
  <c r="J45" i="49" s="1"/>
  <c r="G44" i="49"/>
  <c r="J44" i="49" s="1"/>
  <c r="G42" i="49"/>
  <c r="J42" i="49" s="1"/>
  <c r="G41" i="49"/>
  <c r="J41" i="49" s="1"/>
  <c r="G38" i="49"/>
  <c r="J38" i="49" s="1"/>
  <c r="G37" i="49"/>
  <c r="J37" i="49" s="1"/>
  <c r="G35" i="49"/>
  <c r="J35" i="49" s="1"/>
  <c r="G34" i="49"/>
  <c r="J34" i="49" s="1"/>
  <c r="G30" i="49"/>
  <c r="J30" i="49" s="1"/>
  <c r="G29" i="49"/>
  <c r="J29" i="49" s="1"/>
  <c r="O70" i="58" l="1"/>
  <c r="O102" i="58"/>
  <c r="O99" i="58"/>
  <c r="O67" i="58"/>
  <c r="G59" i="51"/>
  <c r="M45" i="43" s="1"/>
  <c r="O77" i="58"/>
  <c r="G58" i="58"/>
  <c r="L89" i="57"/>
  <c r="O207" i="52"/>
  <c r="O208" i="52" s="1"/>
  <c r="K52" i="43"/>
  <c r="G76" i="57"/>
  <c r="L86" i="57"/>
  <c r="G77" i="57"/>
  <c r="O128" i="57"/>
  <c r="O96" i="57"/>
  <c r="L126" i="57"/>
  <c r="O118" i="57"/>
  <c r="O91" i="57"/>
  <c r="O123" i="57"/>
  <c r="O121" i="57"/>
  <c r="O107" i="57"/>
  <c r="O75" i="58"/>
  <c r="O93" i="58"/>
  <c r="O88" i="58"/>
  <c r="J57" i="52"/>
  <c r="O52" i="43" s="1"/>
  <c r="O107" i="58"/>
  <c r="O97" i="58"/>
  <c r="O104" i="58"/>
  <c r="O72" i="58"/>
  <c r="L112" i="57"/>
  <c r="L94" i="57"/>
  <c r="O207" i="59"/>
  <c r="O86" i="58"/>
  <c r="O109" i="58"/>
  <c r="O83" i="58"/>
  <c r="O91" i="58"/>
  <c r="L107" i="57"/>
  <c r="O100" i="57"/>
  <c r="O116" i="57"/>
  <c r="O102" i="57"/>
  <c r="O105" i="57"/>
  <c r="J38" i="51"/>
  <c r="J40" i="51"/>
  <c r="J44" i="51"/>
  <c r="J28" i="51"/>
  <c r="J49" i="51"/>
  <c r="J30" i="51"/>
  <c r="J51" i="51"/>
  <c r="J22" i="51"/>
  <c r="J33" i="51"/>
  <c r="J54" i="51"/>
  <c r="J24" i="51"/>
  <c r="J35" i="51"/>
  <c r="J46" i="51"/>
  <c r="J56" i="51"/>
  <c r="O163" i="52"/>
  <c r="O111" i="52"/>
  <c r="G57" i="58"/>
  <c r="G75" i="57"/>
  <c r="O225" i="57" s="1"/>
  <c r="O226" i="57" s="1"/>
  <c r="C18" i="38" s="1"/>
  <c r="O162" i="58"/>
  <c r="I19" i="38" s="1"/>
  <c r="G156" i="56"/>
  <c r="O156" i="56" s="1"/>
  <c r="G177" i="56"/>
  <c r="O177" i="56" s="1"/>
  <c r="G166" i="56"/>
  <c r="O166" i="56" s="1"/>
  <c r="G145" i="56"/>
  <c r="O145" i="56" s="1"/>
  <c r="O84" i="51"/>
  <c r="G92" i="51"/>
  <c r="O92" i="51" s="1"/>
  <c r="L118" i="51"/>
  <c r="L123" i="51"/>
  <c r="L76" i="51"/>
  <c r="L160" i="51"/>
  <c r="G78" i="51"/>
  <c r="O78" i="51" s="1"/>
  <c r="O203" i="49"/>
  <c r="O89" i="51"/>
  <c r="L82" i="51"/>
  <c r="L128" i="51"/>
  <c r="L134" i="51"/>
  <c r="L141" i="51"/>
  <c r="L146" i="51"/>
  <c r="G94" i="51"/>
  <c r="O94" i="51" s="1"/>
  <c r="L92" i="51"/>
  <c r="O100" i="51"/>
  <c r="L105" i="51"/>
  <c r="O110" i="51"/>
  <c r="L152" i="51"/>
  <c r="L157" i="51"/>
  <c r="L73" i="51"/>
  <c r="G82" i="51"/>
  <c r="O82" i="51" s="1"/>
  <c r="G146" i="51"/>
  <c r="O105" i="51"/>
  <c r="G150" i="56"/>
  <c r="O150" i="56" s="1"/>
  <c r="G161" i="56"/>
  <c r="O161" i="56" s="1"/>
  <c r="G172" i="56"/>
  <c r="O172" i="56" s="1"/>
  <c r="J30" i="58"/>
  <c r="J38" i="58"/>
  <c r="J35" i="58"/>
  <c r="J44" i="57"/>
  <c r="J49" i="57"/>
  <c r="J76" i="57" s="1"/>
  <c r="N48" i="43" s="1"/>
  <c r="J48" i="57"/>
  <c r="J37" i="57"/>
  <c r="G142" i="56"/>
  <c r="O142" i="56" s="1"/>
  <c r="G147" i="56"/>
  <c r="O147" i="56" s="1"/>
  <c r="G152" i="56"/>
  <c r="O152" i="56" s="1"/>
  <c r="G158" i="56"/>
  <c r="O158" i="56" s="1"/>
  <c r="G163" i="56"/>
  <c r="O163" i="56" s="1"/>
  <c r="G168" i="56"/>
  <c r="O168" i="56" s="1"/>
  <c r="G174" i="56"/>
  <c r="O174" i="56" s="1"/>
  <c r="G179" i="56"/>
  <c r="O179" i="56" s="1"/>
  <c r="G184" i="56"/>
  <c r="O184" i="56" s="1"/>
  <c r="G182" i="56"/>
  <c r="O182" i="56" s="1"/>
  <c r="J70" i="56"/>
  <c r="J60" i="56"/>
  <c r="J56" i="56"/>
  <c r="J63" i="56"/>
  <c r="J59" i="56"/>
  <c r="J66" i="56"/>
  <c r="G71" i="56"/>
  <c r="L120" i="51"/>
  <c r="L130" i="51"/>
  <c r="L162" i="51"/>
  <c r="G108" i="51"/>
  <c r="O108" i="51" s="1"/>
  <c r="L110" i="51"/>
  <c r="G103" i="51"/>
  <c r="O103" i="51" s="1"/>
  <c r="G98" i="51"/>
  <c r="O98" i="51" s="1"/>
  <c r="L94" i="51"/>
  <c r="G87" i="51"/>
  <c r="O87" i="51" s="1"/>
  <c r="L84" i="51"/>
  <c r="G76" i="51"/>
  <c r="O76" i="51" s="1"/>
  <c r="L205" i="49"/>
  <c r="O194" i="49"/>
  <c r="O202" i="49"/>
  <c r="O205" i="49"/>
  <c r="O209" i="49"/>
  <c r="O216" i="49"/>
  <c r="G160" i="53"/>
  <c r="O160" i="53" s="1"/>
  <c r="G158" i="53"/>
  <c r="O158" i="53" s="1"/>
  <c r="G155" i="53"/>
  <c r="O155" i="53" s="1"/>
  <c r="L101" i="53"/>
  <c r="G153" i="53"/>
  <c r="O153" i="53" s="1"/>
  <c r="L98" i="53"/>
  <c r="G150" i="53"/>
  <c r="O150" i="53" s="1"/>
  <c r="G148" i="53"/>
  <c r="O148" i="53" s="1"/>
  <c r="G144" i="53"/>
  <c r="O144" i="53" s="1"/>
  <c r="G142" i="53"/>
  <c r="O142" i="53" s="1"/>
  <c r="L87" i="53"/>
  <c r="G139" i="53"/>
  <c r="O139" i="53" s="1"/>
  <c r="L85" i="53"/>
  <c r="G137" i="53"/>
  <c r="O137" i="53" s="1"/>
  <c r="L82" i="53"/>
  <c r="G134" i="53"/>
  <c r="O134" i="53" s="1"/>
  <c r="L80" i="53"/>
  <c r="G132" i="53"/>
  <c r="O132" i="53" s="1"/>
  <c r="G128" i="53"/>
  <c r="O128" i="53" s="1"/>
  <c r="G126" i="53"/>
  <c r="O126" i="53" s="1"/>
  <c r="L71" i="53"/>
  <c r="G123" i="53"/>
  <c r="O123" i="53" s="1"/>
  <c r="L69" i="53"/>
  <c r="G121" i="53"/>
  <c r="O121" i="53" s="1"/>
  <c r="G118" i="53"/>
  <c r="O118" i="53" s="1"/>
  <c r="G56" i="53"/>
  <c r="J56" i="53" s="1"/>
  <c r="G54" i="53"/>
  <c r="J54" i="53" s="1"/>
  <c r="G51" i="53"/>
  <c r="G49" i="53"/>
  <c r="J49" i="53" s="1"/>
  <c r="G46" i="53"/>
  <c r="J46" i="53" s="1"/>
  <c r="G44" i="53"/>
  <c r="J44" i="53" s="1"/>
  <c r="G40" i="53"/>
  <c r="J40" i="53" s="1"/>
  <c r="G38" i="53"/>
  <c r="J38" i="53" s="1"/>
  <c r="G35" i="53"/>
  <c r="G33" i="53"/>
  <c r="G30" i="53"/>
  <c r="J30" i="53" s="1"/>
  <c r="G28" i="53"/>
  <c r="G24" i="53"/>
  <c r="G22" i="53"/>
  <c r="G19" i="53"/>
  <c r="J19" i="53" s="1"/>
  <c r="G17" i="53"/>
  <c r="J17" i="53" s="1"/>
  <c r="G14" i="53"/>
  <c r="J14" i="53" s="1"/>
  <c r="K117" i="54"/>
  <c r="M109" i="54"/>
  <c r="M161" i="54" s="1"/>
  <c r="M107" i="54"/>
  <c r="M159" i="54" s="1"/>
  <c r="M104" i="54"/>
  <c r="M156" i="54" s="1"/>
  <c r="M102" i="54"/>
  <c r="M154" i="54" s="1"/>
  <c r="M99" i="54"/>
  <c r="M151" i="54" s="1"/>
  <c r="M97" i="54"/>
  <c r="M149" i="54" s="1"/>
  <c r="M93" i="54"/>
  <c r="M145" i="54" s="1"/>
  <c r="M91" i="54"/>
  <c r="M143" i="54" s="1"/>
  <c r="M88" i="54"/>
  <c r="M140" i="54" s="1"/>
  <c r="M86" i="54"/>
  <c r="M138" i="54" s="1"/>
  <c r="M83" i="54"/>
  <c r="M135" i="54" s="1"/>
  <c r="M81" i="54"/>
  <c r="M133" i="54" s="1"/>
  <c r="M77" i="54"/>
  <c r="M129" i="54" s="1"/>
  <c r="M75" i="54"/>
  <c r="M127" i="54" s="1"/>
  <c r="O206" i="58" l="1"/>
  <c r="D19" i="38" s="1"/>
  <c r="M49" i="43"/>
  <c r="K48" i="43"/>
  <c r="L48" i="43"/>
  <c r="C48" i="43"/>
  <c r="D48" i="43"/>
  <c r="J58" i="58"/>
  <c r="O49" i="43" s="1"/>
  <c r="J77" i="57"/>
  <c r="O48" i="43" s="1"/>
  <c r="O129" i="57"/>
  <c r="K159" i="54"/>
  <c r="L159" i="54" s="1"/>
  <c r="K149" i="54"/>
  <c r="K138" i="54"/>
  <c r="K127" i="54"/>
  <c r="K156" i="54"/>
  <c r="K135" i="54"/>
  <c r="K124" i="54"/>
  <c r="K154" i="54"/>
  <c r="K143" i="54"/>
  <c r="K122" i="54"/>
  <c r="K161" i="54"/>
  <c r="K140" i="54"/>
  <c r="K119" i="54"/>
  <c r="K145" i="54"/>
  <c r="K133" i="54"/>
  <c r="K151" i="54"/>
  <c r="K129" i="54"/>
  <c r="O110" i="58"/>
  <c r="H19" i="38" s="1"/>
  <c r="J28" i="53"/>
  <c r="J57" i="58"/>
  <c r="F19" i="38" s="1"/>
  <c r="J75" i="57"/>
  <c r="G134" i="51"/>
  <c r="O134" i="51" s="1"/>
  <c r="L100" i="51"/>
  <c r="G144" i="51"/>
  <c r="O144" i="51" s="1"/>
  <c r="L89" i="51"/>
  <c r="G155" i="51"/>
  <c r="O155" i="51" s="1"/>
  <c r="G136" i="51"/>
  <c r="O136" i="51" s="1"/>
  <c r="O146" i="51"/>
  <c r="G69" i="53"/>
  <c r="O69" i="53" s="1"/>
  <c r="G71" i="53"/>
  <c r="O71" i="53" s="1"/>
  <c r="G80" i="53"/>
  <c r="O80" i="53" s="1"/>
  <c r="G90" i="53"/>
  <c r="O90" i="53" s="1"/>
  <c r="G96" i="53"/>
  <c r="O96" i="53" s="1"/>
  <c r="G101" i="53"/>
  <c r="O101" i="53" s="1"/>
  <c r="G106" i="53"/>
  <c r="O106" i="53" s="1"/>
  <c r="G162" i="51"/>
  <c r="O162" i="51" s="1"/>
  <c r="G160" i="51"/>
  <c r="O160" i="51" s="1"/>
  <c r="G157" i="51"/>
  <c r="O157" i="51" s="1"/>
  <c r="G141" i="51"/>
  <c r="O141" i="51" s="1"/>
  <c r="G139" i="51"/>
  <c r="O139" i="51" s="1"/>
  <c r="G130" i="51"/>
  <c r="O130" i="51" s="1"/>
  <c r="G128" i="51"/>
  <c r="O128" i="51" s="1"/>
  <c r="G152" i="51"/>
  <c r="O152" i="51" s="1"/>
  <c r="G150" i="51"/>
  <c r="O150" i="51" s="1"/>
  <c r="J35" i="53"/>
  <c r="G66" i="53"/>
  <c r="O66" i="53" s="1"/>
  <c r="G74" i="53"/>
  <c r="O74" i="53" s="1"/>
  <c r="G76" i="53"/>
  <c r="O76" i="53" s="1"/>
  <c r="G92" i="53"/>
  <c r="O92" i="53" s="1"/>
  <c r="G103" i="53"/>
  <c r="O103" i="53" s="1"/>
  <c r="G108" i="53"/>
  <c r="O108" i="53" s="1"/>
  <c r="J71" i="56"/>
  <c r="O198" i="49"/>
  <c r="L198" i="49"/>
  <c r="O220" i="49"/>
  <c r="L220" i="49"/>
  <c r="L161" i="49"/>
  <c r="L162" i="49"/>
  <c r="O213" i="49"/>
  <c r="L213" i="49"/>
  <c r="O206" i="49"/>
  <c r="L206" i="49"/>
  <c r="G85" i="53"/>
  <c r="O85" i="53" s="1"/>
  <c r="G82" i="53"/>
  <c r="O82" i="53" s="1"/>
  <c r="J24" i="53"/>
  <c r="J22" i="53"/>
  <c r="J51" i="53"/>
  <c r="G98" i="53"/>
  <c r="O98" i="53" s="1"/>
  <c r="G87" i="53"/>
  <c r="O87" i="53" s="1"/>
  <c r="J33" i="53"/>
  <c r="L108" i="53"/>
  <c r="L106" i="53"/>
  <c r="L103" i="53"/>
  <c r="L96" i="53"/>
  <c r="L92" i="53"/>
  <c r="L90" i="53"/>
  <c r="L76" i="53"/>
  <c r="L74" i="53"/>
  <c r="L66" i="53"/>
  <c r="L117" i="54"/>
  <c r="M110" i="37"/>
  <c r="M162" i="37" s="1"/>
  <c r="M108" i="37"/>
  <c r="M160" i="37" s="1"/>
  <c r="M105" i="37"/>
  <c r="M157" i="37" s="1"/>
  <c r="M103" i="37"/>
  <c r="M155" i="37" s="1"/>
  <c r="M100" i="37"/>
  <c r="M152" i="37" s="1"/>
  <c r="M98" i="37"/>
  <c r="M150" i="37" s="1"/>
  <c r="O207" i="58" l="1"/>
  <c r="C19" i="38" s="1"/>
  <c r="E154" i="54"/>
  <c r="E102" i="54"/>
  <c r="O210" i="49"/>
  <c r="L210" i="49"/>
  <c r="L165" i="49"/>
  <c r="O217" i="49"/>
  <c r="L217" i="49"/>
  <c r="L166" i="49"/>
  <c r="L149" i="54"/>
  <c r="L138" i="54"/>
  <c r="L143" i="54"/>
  <c r="L151" i="54"/>
  <c r="L127" i="54"/>
  <c r="L156" i="54"/>
  <c r="L145" i="54"/>
  <c r="L135" i="54"/>
  <c r="L133" i="54"/>
  <c r="L140" i="54"/>
  <c r="G49" i="54"/>
  <c r="J49" i="54" s="1"/>
  <c r="G44" i="54"/>
  <c r="J44" i="54" s="1"/>
  <c r="G30" i="54"/>
  <c r="G28" i="54"/>
  <c r="J28" i="54" s="1"/>
  <c r="G46" i="54"/>
  <c r="J46" i="54" s="1"/>
  <c r="L119" i="54"/>
  <c r="L124" i="54"/>
  <c r="L122" i="54"/>
  <c r="M188" i="58"/>
  <c r="M186" i="58"/>
  <c r="E104" i="54" l="1"/>
  <c r="E156" i="54"/>
  <c r="E107" i="54"/>
  <c r="E159" i="54"/>
  <c r="E88" i="54"/>
  <c r="E140" i="54"/>
  <c r="G140" i="54" s="1"/>
  <c r="O140" i="54" s="1"/>
  <c r="E86" i="54"/>
  <c r="E138" i="54"/>
  <c r="J30" i="54"/>
  <c r="L219" i="49"/>
  <c r="O219" i="49"/>
  <c r="L168" i="49"/>
  <c r="L169" i="49"/>
  <c r="L212" i="49"/>
  <c r="O212" i="49"/>
  <c r="L161" i="54"/>
  <c r="L154" i="54"/>
  <c r="G88" i="54"/>
  <c r="G83" i="54"/>
  <c r="G135" i="54"/>
  <c r="O135" i="54" s="1"/>
  <c r="G38" i="54"/>
  <c r="J38" i="54" s="1"/>
  <c r="G51" i="54"/>
  <c r="G133" i="54"/>
  <c r="O133" i="54" s="1"/>
  <c r="G81" i="54"/>
  <c r="G33" i="54"/>
  <c r="G149" i="54"/>
  <c r="O149" i="54" s="1"/>
  <c r="G97" i="54"/>
  <c r="G102" i="54"/>
  <c r="G154" i="54"/>
  <c r="O154" i="54" s="1"/>
  <c r="G54" i="54"/>
  <c r="J54" i="54" s="1"/>
  <c r="G151" i="54"/>
  <c r="O151" i="54" s="1"/>
  <c r="G99" i="54"/>
  <c r="L129" i="54"/>
  <c r="G35" i="54"/>
  <c r="N166" i="58"/>
  <c r="O171" i="58"/>
  <c r="O172" i="58" s="1"/>
  <c r="J19" i="38" s="1"/>
  <c r="M207" i="57"/>
  <c r="M205" i="57"/>
  <c r="M211" i="56"/>
  <c r="M209" i="56"/>
  <c r="M88" i="56"/>
  <c r="K88" i="56"/>
  <c r="G140" i="56"/>
  <c r="O140" i="56" s="1"/>
  <c r="O185" i="56" s="1"/>
  <c r="G52" i="56"/>
  <c r="G51" i="56"/>
  <c r="J51" i="56" s="1"/>
  <c r="G45" i="56"/>
  <c r="J45" i="56" s="1"/>
  <c r="G42" i="56"/>
  <c r="J42" i="56" s="1"/>
  <c r="G38" i="56"/>
  <c r="J38" i="56" s="1"/>
  <c r="G35" i="56"/>
  <c r="J35" i="56" s="1"/>
  <c r="G34" i="56"/>
  <c r="J34" i="56" s="1"/>
  <c r="G30" i="56"/>
  <c r="J30" i="56" s="1"/>
  <c r="G29" i="56"/>
  <c r="J29" i="56" s="1"/>
  <c r="G27" i="56"/>
  <c r="G26" i="56"/>
  <c r="G23" i="56"/>
  <c r="J23" i="56" s="1"/>
  <c r="G22" i="56"/>
  <c r="J22" i="56" s="1"/>
  <c r="G20" i="56"/>
  <c r="J20" i="56" s="1"/>
  <c r="G19" i="56"/>
  <c r="J19" i="56" s="1"/>
  <c r="G16" i="56"/>
  <c r="J16" i="56" s="1"/>
  <c r="G15" i="56"/>
  <c r="J15" i="56" s="1"/>
  <c r="G13" i="56"/>
  <c r="G12" i="56"/>
  <c r="M67" i="54"/>
  <c r="G19" i="51"/>
  <c r="O166" i="58" l="1"/>
  <c r="O167" i="58" s="1"/>
  <c r="O19" i="38" s="1"/>
  <c r="J27" i="56"/>
  <c r="J26" i="56"/>
  <c r="J13" i="56"/>
  <c r="J12" i="56"/>
  <c r="K132" i="56"/>
  <c r="K122" i="56"/>
  <c r="K111" i="56"/>
  <c r="K100" i="56"/>
  <c r="K90" i="56"/>
  <c r="K114" i="56"/>
  <c r="K130" i="56"/>
  <c r="K120" i="56"/>
  <c r="K109" i="56"/>
  <c r="K98" i="56"/>
  <c r="K104" i="56"/>
  <c r="K127" i="56"/>
  <c r="K116" i="56"/>
  <c r="K106" i="56"/>
  <c r="K95" i="56"/>
  <c r="K125" i="56"/>
  <c r="K93" i="56"/>
  <c r="J19" i="51"/>
  <c r="E109" i="54"/>
  <c r="E161" i="54"/>
  <c r="E93" i="54"/>
  <c r="E145" i="54"/>
  <c r="E143" i="54"/>
  <c r="G143" i="54" s="1"/>
  <c r="O143" i="54" s="1"/>
  <c r="E91" i="54"/>
  <c r="G91" i="54" s="1"/>
  <c r="M140" i="56"/>
  <c r="G37" i="56"/>
  <c r="J37" i="56" s="1"/>
  <c r="G57" i="56"/>
  <c r="G67" i="56"/>
  <c r="G64" i="56"/>
  <c r="L173" i="49"/>
  <c r="L172" i="49"/>
  <c r="G41" i="56"/>
  <c r="J41" i="56" s="1"/>
  <c r="L88" i="56"/>
  <c r="G56" i="54"/>
  <c r="G138" i="54"/>
  <c r="O138" i="54" s="1"/>
  <c r="G86" i="54"/>
  <c r="J33" i="54"/>
  <c r="G40" i="54"/>
  <c r="J40" i="54" s="1"/>
  <c r="G159" i="54"/>
  <c r="O159" i="54" s="1"/>
  <c r="G107" i="54"/>
  <c r="M119" i="54"/>
  <c r="G104" i="54"/>
  <c r="G156" i="54"/>
  <c r="O156" i="54" s="1"/>
  <c r="G119" i="54"/>
  <c r="O119" i="54" s="1"/>
  <c r="J51" i="54"/>
  <c r="J35" i="54"/>
  <c r="G44" i="56"/>
  <c r="J44" i="56" s="1"/>
  <c r="G48" i="56"/>
  <c r="G81" i="56" s="1"/>
  <c r="M47" i="43" s="1"/>
  <c r="G88" i="56"/>
  <c r="O88" i="56" s="1"/>
  <c r="J52" i="56"/>
  <c r="G49" i="56"/>
  <c r="G78" i="56" s="1"/>
  <c r="G47" i="43" s="1"/>
  <c r="G52" i="50"/>
  <c r="J52" i="50" s="1"/>
  <c r="G51" i="50"/>
  <c r="J51" i="50" s="1"/>
  <c r="G66" i="50"/>
  <c r="J66" i="50" s="1"/>
  <c r="G63" i="50"/>
  <c r="J63" i="50" s="1"/>
  <c r="G30" i="50"/>
  <c r="J30" i="50" s="1"/>
  <c r="G29" i="50"/>
  <c r="J29" i="50" s="1"/>
  <c r="G27" i="50"/>
  <c r="J27" i="50" s="1"/>
  <c r="G23" i="50"/>
  <c r="J23" i="50" s="1"/>
  <c r="G20" i="50"/>
  <c r="J20" i="50" s="1"/>
  <c r="G16" i="50"/>
  <c r="J16" i="50" s="1"/>
  <c r="G13" i="50"/>
  <c r="G15" i="50"/>
  <c r="J15" i="50" s="1"/>
  <c r="O190" i="56" l="1"/>
  <c r="O17" i="38" s="1"/>
  <c r="O195" i="56"/>
  <c r="J17" i="38" s="1"/>
  <c r="G77" i="56"/>
  <c r="D47" i="43" s="1"/>
  <c r="G80" i="56"/>
  <c r="L47" i="43" s="1"/>
  <c r="J13" i="50"/>
  <c r="G79" i="56"/>
  <c r="K47" i="43" s="1"/>
  <c r="G76" i="56"/>
  <c r="C47" i="43" s="1"/>
  <c r="L125" i="56"/>
  <c r="O125" i="56"/>
  <c r="L127" i="56"/>
  <c r="O127" i="56"/>
  <c r="L120" i="56"/>
  <c r="O120" i="56"/>
  <c r="O100" i="56"/>
  <c r="L100" i="56"/>
  <c r="L95" i="56"/>
  <c r="O95" i="56"/>
  <c r="L104" i="56"/>
  <c r="O104" i="56"/>
  <c r="L130" i="56"/>
  <c r="O130" i="56"/>
  <c r="L111" i="56"/>
  <c r="O111" i="56"/>
  <c r="L106" i="56"/>
  <c r="O106" i="56"/>
  <c r="L98" i="56"/>
  <c r="O98" i="56"/>
  <c r="L114" i="56"/>
  <c r="O114" i="56"/>
  <c r="L122" i="56"/>
  <c r="O122" i="56"/>
  <c r="L93" i="56"/>
  <c r="O93" i="56"/>
  <c r="L116" i="56"/>
  <c r="O116" i="56"/>
  <c r="L109" i="56"/>
  <c r="O109" i="56"/>
  <c r="L90" i="56"/>
  <c r="O90" i="56"/>
  <c r="L132" i="56"/>
  <c r="O132" i="56"/>
  <c r="G75" i="56"/>
  <c r="O229" i="56" s="1"/>
  <c r="O230" i="56" s="1"/>
  <c r="J18" i="38"/>
  <c r="J67" i="56"/>
  <c r="J64" i="56"/>
  <c r="J57" i="56"/>
  <c r="G38" i="50"/>
  <c r="J38" i="50" s="1"/>
  <c r="G60" i="50"/>
  <c r="J60" i="50" s="1"/>
  <c r="G45" i="50"/>
  <c r="J45" i="50" s="1"/>
  <c r="G67" i="50"/>
  <c r="J67" i="50" s="1"/>
  <c r="G49" i="50"/>
  <c r="J49" i="50" s="1"/>
  <c r="G35" i="50"/>
  <c r="J35" i="50" s="1"/>
  <c r="G57" i="50"/>
  <c r="J57" i="50" s="1"/>
  <c r="G42" i="50"/>
  <c r="J42" i="50" s="1"/>
  <c r="G64" i="50"/>
  <c r="J64" i="50" s="1"/>
  <c r="G37" i="50"/>
  <c r="J37" i="50" s="1"/>
  <c r="G59" i="50"/>
  <c r="J59" i="50" s="1"/>
  <c r="O175" i="49"/>
  <c r="L175" i="49"/>
  <c r="L176" i="49"/>
  <c r="O176" i="49"/>
  <c r="O18" i="38"/>
  <c r="G93" i="54"/>
  <c r="G145" i="54"/>
  <c r="O145" i="54" s="1"/>
  <c r="G109" i="54"/>
  <c r="G161" i="54"/>
  <c r="O161" i="54" s="1"/>
  <c r="J56" i="54"/>
  <c r="J48" i="56"/>
  <c r="J79" i="56" s="1"/>
  <c r="O47" i="43" s="1"/>
  <c r="F18" i="38"/>
  <c r="J49" i="56"/>
  <c r="N23" i="43"/>
  <c r="L23" i="43"/>
  <c r="J23" i="43"/>
  <c r="H23" i="43"/>
  <c r="D23" i="43"/>
  <c r="F23" i="43"/>
  <c r="L78" i="56" l="1"/>
  <c r="J76" i="56"/>
  <c r="N47" i="43" s="1"/>
  <c r="O133" i="56"/>
  <c r="H17" i="38" s="1"/>
  <c r="J75" i="56"/>
  <c r="F17" i="38" s="1"/>
  <c r="G70" i="50"/>
  <c r="J70" i="50" s="1"/>
  <c r="G71" i="50"/>
  <c r="J71" i="50" s="1"/>
  <c r="J76" i="50" s="1"/>
  <c r="N46" i="43" s="1"/>
  <c r="L180" i="49"/>
  <c r="O180" i="49"/>
  <c r="O181" i="49"/>
  <c r="L181" i="49"/>
  <c r="D18" i="38"/>
  <c r="I17" i="38"/>
  <c r="C17" i="38"/>
  <c r="D17" i="38"/>
  <c r="O204" i="58"/>
  <c r="G76" i="50" l="1"/>
  <c r="F46" i="43" s="1"/>
  <c r="F55" i="43" s="1"/>
  <c r="O184" i="49"/>
  <c r="L184" i="49"/>
  <c r="L183" i="49"/>
  <c r="O183" i="49"/>
  <c r="H18" i="38"/>
  <c r="O227" i="56"/>
  <c r="C46" i="43" l="1"/>
  <c r="L187" i="49"/>
  <c r="O187" i="49"/>
  <c r="O188" i="49"/>
  <c r="L188" i="49"/>
  <c r="L190" i="49" l="1"/>
  <c r="O190" i="49"/>
  <c r="O191" i="49"/>
  <c r="L191" i="49"/>
  <c r="O195" i="49" l="1"/>
  <c r="L195" i="49"/>
  <c r="M68" i="55"/>
  <c r="M66" i="55"/>
  <c r="K50" i="55"/>
  <c r="O50" i="55" s="1"/>
  <c r="O52" i="55" s="1"/>
  <c r="K37" i="55"/>
  <c r="E37" i="55"/>
  <c r="K36" i="55"/>
  <c r="E36" i="55"/>
  <c r="K35" i="55"/>
  <c r="E35" i="55"/>
  <c r="K34" i="55"/>
  <c r="E34" i="55"/>
  <c r="K33" i="55"/>
  <c r="E33" i="55"/>
  <c r="K32" i="55"/>
  <c r="E32" i="55"/>
  <c r="K31" i="55"/>
  <c r="E31" i="55"/>
  <c r="E42" i="55" s="1"/>
  <c r="K26" i="55"/>
  <c r="L26" i="55" s="1"/>
  <c r="K25" i="55"/>
  <c r="L25" i="55" s="1"/>
  <c r="K24" i="55"/>
  <c r="L24" i="55" s="1"/>
  <c r="K23" i="55"/>
  <c r="L23" i="55" s="1"/>
  <c r="K22" i="55"/>
  <c r="L22" i="55" s="1"/>
  <c r="K21" i="55"/>
  <c r="L21" i="55" s="1"/>
  <c r="K20" i="55"/>
  <c r="G20" i="55"/>
  <c r="G12" i="55"/>
  <c r="G11" i="55"/>
  <c r="G10" i="55"/>
  <c r="G9" i="55"/>
  <c r="M188" i="54"/>
  <c r="M186" i="54"/>
  <c r="K171" i="54"/>
  <c r="M72" i="54"/>
  <c r="M70" i="54"/>
  <c r="M65" i="54"/>
  <c r="K65" i="54"/>
  <c r="G14" i="54"/>
  <c r="J14" i="54" s="1"/>
  <c r="G12" i="54"/>
  <c r="M187" i="53"/>
  <c r="M185" i="53"/>
  <c r="K170" i="53"/>
  <c r="O170" i="53" s="1"/>
  <c r="O171" i="53" s="1"/>
  <c r="L64" i="53"/>
  <c r="G116" i="53"/>
  <c r="O116" i="53" s="1"/>
  <c r="O161" i="53" s="1"/>
  <c r="G12" i="53"/>
  <c r="M189" i="52"/>
  <c r="M187" i="52"/>
  <c r="K172" i="52"/>
  <c r="D172" i="52"/>
  <c r="C172" i="52"/>
  <c r="M191" i="51"/>
  <c r="M189" i="51"/>
  <c r="G14" i="51"/>
  <c r="G12" i="51"/>
  <c r="M245" i="50"/>
  <c r="M243" i="50"/>
  <c r="E226" i="50"/>
  <c r="L154" i="50"/>
  <c r="G26" i="50"/>
  <c r="J26" i="50" s="1"/>
  <c r="G22" i="50"/>
  <c r="J22" i="50" s="1"/>
  <c r="G19" i="50"/>
  <c r="J19" i="50" s="1"/>
  <c r="G12" i="50"/>
  <c r="M256" i="49"/>
  <c r="M254" i="49"/>
  <c r="O236" i="49"/>
  <c r="O237" i="49" s="1"/>
  <c r="G162" i="49"/>
  <c r="O162" i="49" s="1"/>
  <c r="G161" i="49"/>
  <c r="O161" i="49" s="1"/>
  <c r="K89" i="49"/>
  <c r="G159" i="49"/>
  <c r="O159" i="49" s="1"/>
  <c r="G158" i="49"/>
  <c r="O158" i="49" s="1"/>
  <c r="G27" i="49"/>
  <c r="G26" i="49"/>
  <c r="M23" i="49"/>
  <c r="G23" i="49"/>
  <c r="J23" i="49" s="1"/>
  <c r="G22" i="49"/>
  <c r="J22" i="49" s="1"/>
  <c r="G20" i="49"/>
  <c r="J20" i="49" s="1"/>
  <c r="G19" i="49"/>
  <c r="J19" i="49" s="1"/>
  <c r="M16" i="49"/>
  <c r="G16" i="49"/>
  <c r="J16" i="49" s="1"/>
  <c r="G15" i="49"/>
  <c r="J15" i="49" s="1"/>
  <c r="G13" i="49"/>
  <c r="G12" i="49"/>
  <c r="J10" i="55" l="1"/>
  <c r="D61" i="43" s="1"/>
  <c r="C61" i="43"/>
  <c r="J12" i="55"/>
  <c r="D63" i="43" s="1"/>
  <c r="C63" i="43"/>
  <c r="J11" i="55"/>
  <c r="D62" i="43" s="1"/>
  <c r="C62" i="43"/>
  <c r="C60" i="43"/>
  <c r="G16" i="55"/>
  <c r="O86" i="55" s="1"/>
  <c r="O87" i="55" s="1"/>
  <c r="J27" i="49"/>
  <c r="G78" i="49"/>
  <c r="H44" i="43" s="1"/>
  <c r="H55" i="43" s="1"/>
  <c r="J26" i="49"/>
  <c r="G81" i="49"/>
  <c r="M44" i="43" s="1"/>
  <c r="M55" i="43" s="1"/>
  <c r="G80" i="49"/>
  <c r="L44" i="43" s="1"/>
  <c r="J12" i="50"/>
  <c r="G77" i="49"/>
  <c r="E44" i="43" s="1"/>
  <c r="E55" i="43" s="1"/>
  <c r="J12" i="49"/>
  <c r="G79" i="49"/>
  <c r="K44" i="43" s="1"/>
  <c r="J13" i="49"/>
  <c r="G76" i="49"/>
  <c r="C44" i="43" s="1"/>
  <c r="K138" i="50"/>
  <c r="K123" i="50"/>
  <c r="K120" i="50"/>
  <c r="K145" i="50"/>
  <c r="K131" i="50"/>
  <c r="K116" i="50"/>
  <c r="K101" i="50"/>
  <c r="K87" i="50"/>
  <c r="K94" i="50"/>
  <c r="K106" i="50"/>
  <c r="K142" i="50"/>
  <c r="K128" i="50"/>
  <c r="K113" i="50"/>
  <c r="K98" i="50"/>
  <c r="K109" i="50"/>
  <c r="K135" i="50"/>
  <c r="K91" i="50"/>
  <c r="K205" i="50"/>
  <c r="K190" i="50"/>
  <c r="K176" i="50"/>
  <c r="L176" i="50" s="1"/>
  <c r="K161" i="50"/>
  <c r="L161" i="50" s="1"/>
  <c r="K212" i="50"/>
  <c r="K198" i="50"/>
  <c r="K183" i="50"/>
  <c r="K168" i="50"/>
  <c r="L168" i="50" s="1"/>
  <c r="K215" i="50"/>
  <c r="K186" i="50"/>
  <c r="K157" i="50"/>
  <c r="L157" i="50" s="1"/>
  <c r="K208" i="50"/>
  <c r="K193" i="50"/>
  <c r="K179" i="50"/>
  <c r="K164" i="50"/>
  <c r="L164" i="50" s="1"/>
  <c r="K201" i="50"/>
  <c r="K171" i="50"/>
  <c r="L171" i="50" s="1"/>
  <c r="J12" i="51"/>
  <c r="J14" i="51"/>
  <c r="K139" i="49"/>
  <c r="K124" i="49"/>
  <c r="K110" i="49"/>
  <c r="K91" i="49"/>
  <c r="K132" i="49"/>
  <c r="K149" i="49"/>
  <c r="K135" i="49"/>
  <c r="K120" i="49"/>
  <c r="K105" i="49"/>
  <c r="K146" i="49"/>
  <c r="K117" i="49"/>
  <c r="K102" i="49"/>
  <c r="K142" i="49"/>
  <c r="K127" i="49"/>
  <c r="K113" i="49"/>
  <c r="K95" i="49"/>
  <c r="K150" i="49"/>
  <c r="K136" i="49"/>
  <c r="K121" i="49"/>
  <c r="K106" i="49"/>
  <c r="K92" i="49"/>
  <c r="K147" i="49"/>
  <c r="K133" i="49"/>
  <c r="K118" i="49"/>
  <c r="K103" i="49"/>
  <c r="K143" i="49"/>
  <c r="K128" i="49"/>
  <c r="K114" i="49"/>
  <c r="K99" i="49"/>
  <c r="K140" i="49"/>
  <c r="K125" i="49"/>
  <c r="K111" i="49"/>
  <c r="K96" i="49"/>
  <c r="G75" i="49"/>
  <c r="O274" i="49" s="1"/>
  <c r="O275" i="49" s="1"/>
  <c r="J12" i="53"/>
  <c r="G57" i="53"/>
  <c r="E72" i="54"/>
  <c r="E124" i="54"/>
  <c r="E122" i="54"/>
  <c r="E70" i="54"/>
  <c r="G168" i="49"/>
  <c r="O168" i="49" s="1"/>
  <c r="G172" i="49"/>
  <c r="O172" i="49" s="1"/>
  <c r="J14" i="38"/>
  <c r="G120" i="51"/>
  <c r="O120" i="51" s="1"/>
  <c r="G118" i="51"/>
  <c r="O118" i="51" s="1"/>
  <c r="G17" i="51"/>
  <c r="G58" i="51" s="1"/>
  <c r="L45" i="43" s="1"/>
  <c r="G34" i="50"/>
  <c r="J34" i="50" s="1"/>
  <c r="G56" i="50"/>
  <c r="J56" i="50" s="1"/>
  <c r="G96" i="49"/>
  <c r="G166" i="49"/>
  <c r="O166" i="49" s="1"/>
  <c r="G165" i="49"/>
  <c r="O165" i="49" s="1"/>
  <c r="G99" i="49"/>
  <c r="G169" i="49"/>
  <c r="O169" i="49" s="1"/>
  <c r="G103" i="49"/>
  <c r="G173" i="49"/>
  <c r="O173" i="49" s="1"/>
  <c r="L197" i="49"/>
  <c r="O197" i="49"/>
  <c r="G89" i="49"/>
  <c r="O89" i="49" s="1"/>
  <c r="K109" i="54"/>
  <c r="K99" i="54"/>
  <c r="K88" i="54"/>
  <c r="K77" i="54"/>
  <c r="L77" i="54" s="1"/>
  <c r="K67" i="54"/>
  <c r="K93" i="54"/>
  <c r="K83" i="54"/>
  <c r="K72" i="54"/>
  <c r="K91" i="54"/>
  <c r="K107" i="54"/>
  <c r="K97" i="54"/>
  <c r="K86" i="54"/>
  <c r="K75" i="54"/>
  <c r="L75" i="54" s="1"/>
  <c r="K104" i="54"/>
  <c r="K102" i="54"/>
  <c r="K81" i="54"/>
  <c r="K70" i="54"/>
  <c r="L70" i="54" s="1"/>
  <c r="M117" i="54"/>
  <c r="M124" i="54"/>
  <c r="M122" i="54"/>
  <c r="G17" i="54"/>
  <c r="J17" i="54" s="1"/>
  <c r="O165" i="53"/>
  <c r="N44" i="55"/>
  <c r="G31" i="55"/>
  <c r="O31" i="55" s="1"/>
  <c r="J12" i="54"/>
  <c r="G120" i="49"/>
  <c r="G118" i="49"/>
  <c r="G67" i="54"/>
  <c r="G164" i="50"/>
  <c r="G44" i="50"/>
  <c r="J44" i="50" s="1"/>
  <c r="G48" i="50"/>
  <c r="J48" i="50" s="1"/>
  <c r="O172" i="51"/>
  <c r="O175" i="51" s="1"/>
  <c r="N42" i="55"/>
  <c r="N166" i="54"/>
  <c r="G65" i="54"/>
  <c r="O65" i="54" s="1"/>
  <c r="J23" i="38"/>
  <c r="L66" i="51"/>
  <c r="N221" i="50"/>
  <c r="O221" i="50" s="1"/>
  <c r="O222" i="50" s="1"/>
  <c r="O84" i="50"/>
  <c r="G157" i="50"/>
  <c r="O226" i="50"/>
  <c r="O228" i="50" s="1"/>
  <c r="G98" i="49"/>
  <c r="G32" i="55"/>
  <c r="O32" i="55" s="1"/>
  <c r="G21" i="55"/>
  <c r="O21" i="55" s="1"/>
  <c r="O20" i="55"/>
  <c r="L20" i="55"/>
  <c r="J9" i="55"/>
  <c r="E44" i="55"/>
  <c r="L65" i="54"/>
  <c r="G19" i="54"/>
  <c r="G64" i="53"/>
  <c r="O64" i="53" s="1"/>
  <c r="O109" i="53" s="1"/>
  <c r="F22" i="38"/>
  <c r="L68" i="51"/>
  <c r="G66" i="51"/>
  <c r="O66" i="51" s="1"/>
  <c r="G171" i="50"/>
  <c r="G161" i="50"/>
  <c r="G154" i="50"/>
  <c r="O154" i="50" s="1"/>
  <c r="G168" i="50"/>
  <c r="G106" i="50"/>
  <c r="G41" i="50"/>
  <c r="J41" i="50" s="1"/>
  <c r="L84" i="50"/>
  <c r="G92" i="49"/>
  <c r="G110" i="49"/>
  <c r="G111" i="49"/>
  <c r="G113" i="49"/>
  <c r="G114" i="49"/>
  <c r="G121" i="49"/>
  <c r="G88" i="49"/>
  <c r="O88" i="49" s="1"/>
  <c r="G95" i="49"/>
  <c r="G102" i="49"/>
  <c r="G105" i="49"/>
  <c r="G117" i="49"/>
  <c r="G106" i="49"/>
  <c r="L89" i="49"/>
  <c r="O225" i="49"/>
  <c r="G91" i="49"/>
  <c r="J76" i="49" l="1"/>
  <c r="N44" i="43" s="1"/>
  <c r="D60" i="43"/>
  <c r="D64" i="43" s="1"/>
  <c r="J16" i="55"/>
  <c r="F26" i="38" s="1"/>
  <c r="C64" i="43"/>
  <c r="J79" i="49"/>
  <c r="O44" i="43" s="1"/>
  <c r="G77" i="50"/>
  <c r="K46" i="43" s="1"/>
  <c r="O205" i="53"/>
  <c r="O206" i="53" s="1"/>
  <c r="K53" i="43"/>
  <c r="J77" i="50"/>
  <c r="O46" i="43" s="1"/>
  <c r="O168" i="51"/>
  <c r="O15" i="38" s="1"/>
  <c r="J15" i="38"/>
  <c r="O229" i="49"/>
  <c r="O176" i="50"/>
  <c r="L186" i="50"/>
  <c r="O186" i="50"/>
  <c r="L190" i="50"/>
  <c r="O190" i="50"/>
  <c r="L193" i="50"/>
  <c r="O193" i="50"/>
  <c r="L215" i="50"/>
  <c r="O215" i="50"/>
  <c r="L212" i="50"/>
  <c r="O212" i="50"/>
  <c r="L205" i="50"/>
  <c r="O205" i="50"/>
  <c r="L201" i="50"/>
  <c r="O201" i="50"/>
  <c r="L208" i="50"/>
  <c r="O208" i="50"/>
  <c r="O179" i="50"/>
  <c r="L179" i="50"/>
  <c r="L198" i="50"/>
  <c r="O198" i="50"/>
  <c r="L183" i="50"/>
  <c r="O183" i="50"/>
  <c r="J17" i="51"/>
  <c r="L143" i="49"/>
  <c r="O143" i="49"/>
  <c r="O136" i="49"/>
  <c r="L136" i="49"/>
  <c r="L149" i="49"/>
  <c r="O149" i="49"/>
  <c r="L150" i="49"/>
  <c r="O150" i="49"/>
  <c r="O142" i="49"/>
  <c r="L142" i="49"/>
  <c r="O132" i="49"/>
  <c r="L132" i="49"/>
  <c r="L139" i="49"/>
  <c r="O139" i="49"/>
  <c r="L128" i="49"/>
  <c r="O128" i="49"/>
  <c r="L133" i="49"/>
  <c r="O133" i="49"/>
  <c r="O135" i="49"/>
  <c r="L135" i="49"/>
  <c r="L140" i="49"/>
  <c r="O140" i="49"/>
  <c r="O147" i="49"/>
  <c r="L147" i="49"/>
  <c r="O146" i="49"/>
  <c r="L146" i="49"/>
  <c r="L124" i="49"/>
  <c r="O124" i="49"/>
  <c r="O166" i="53"/>
  <c r="O23" i="38" s="1"/>
  <c r="J75" i="49"/>
  <c r="J57" i="53"/>
  <c r="O53" i="43" s="1"/>
  <c r="E77" i="54"/>
  <c r="E129" i="54"/>
  <c r="E75" i="54"/>
  <c r="E127" i="54"/>
  <c r="G75" i="50"/>
  <c r="O263" i="50" s="1"/>
  <c r="O264" i="50" s="1"/>
  <c r="C16" i="38" s="1"/>
  <c r="G57" i="51"/>
  <c r="O221" i="49"/>
  <c r="G73" i="51"/>
  <c r="O73" i="51" s="1"/>
  <c r="G71" i="51"/>
  <c r="O71" i="51" s="1"/>
  <c r="L116" i="50"/>
  <c r="O116" i="50"/>
  <c r="O123" i="50"/>
  <c r="L123" i="50"/>
  <c r="L98" i="50"/>
  <c r="L106" i="50"/>
  <c r="L87" i="50"/>
  <c r="L91" i="50"/>
  <c r="L81" i="54"/>
  <c r="O81" i="54"/>
  <c r="L97" i="54"/>
  <c r="O97" i="54"/>
  <c r="L83" i="54"/>
  <c r="O83" i="54"/>
  <c r="L104" i="54"/>
  <c r="O104" i="54"/>
  <c r="L107" i="54"/>
  <c r="O107" i="54"/>
  <c r="L93" i="54"/>
  <c r="O93" i="54"/>
  <c r="L99" i="54"/>
  <c r="O99" i="54"/>
  <c r="L86" i="54"/>
  <c r="O86" i="54"/>
  <c r="L102" i="54"/>
  <c r="O102" i="54"/>
  <c r="L88" i="54"/>
  <c r="O88" i="54"/>
  <c r="L91" i="54"/>
  <c r="O91" i="54"/>
  <c r="L109" i="54"/>
  <c r="O109" i="54"/>
  <c r="G72" i="54"/>
  <c r="O72" i="54" s="1"/>
  <c r="G124" i="54"/>
  <c r="O124" i="54" s="1"/>
  <c r="G22" i="54"/>
  <c r="J22" i="54" s="1"/>
  <c r="G117" i="54"/>
  <c r="O117" i="54" s="1"/>
  <c r="G122" i="54"/>
  <c r="O122" i="54" s="1"/>
  <c r="G24" i="54"/>
  <c r="C26" i="38"/>
  <c r="D26" i="38"/>
  <c r="O91" i="49"/>
  <c r="O157" i="50"/>
  <c r="O91" i="50"/>
  <c r="O171" i="50"/>
  <c r="O106" i="50"/>
  <c r="O168" i="50"/>
  <c r="O161" i="50"/>
  <c r="O87" i="50"/>
  <c r="O98" i="50"/>
  <c r="L91" i="49"/>
  <c r="O44" i="55"/>
  <c r="O42" i="55"/>
  <c r="G33" i="55"/>
  <c r="O33" i="55" s="1"/>
  <c r="G22" i="55"/>
  <c r="O22" i="55" s="1"/>
  <c r="L67" i="54"/>
  <c r="O67" i="54"/>
  <c r="J19" i="54"/>
  <c r="O171" i="54"/>
  <c r="O172" i="54" s="1"/>
  <c r="J24" i="38" s="1"/>
  <c r="O166" i="54"/>
  <c r="O167" i="54" s="1"/>
  <c r="O24" i="38" s="1"/>
  <c r="G70" i="54"/>
  <c r="O70" i="54" s="1"/>
  <c r="L72" i="54"/>
  <c r="H23" i="38"/>
  <c r="E172" i="52"/>
  <c r="O172" i="52" s="1"/>
  <c r="G68" i="51"/>
  <c r="O68" i="51" s="1"/>
  <c r="J16" i="38"/>
  <c r="O16" i="38"/>
  <c r="L94" i="50"/>
  <c r="O94" i="50"/>
  <c r="O164" i="50"/>
  <c r="L101" i="50"/>
  <c r="O101" i="50"/>
  <c r="L92" i="49"/>
  <c r="O92" i="49"/>
  <c r="D13" i="43"/>
  <c r="D12" i="43"/>
  <c r="D11" i="43"/>
  <c r="D10" i="43"/>
  <c r="D9" i="43"/>
  <c r="D8" i="43"/>
  <c r="L46" i="43" l="1"/>
  <c r="O209" i="51"/>
  <c r="O210" i="51" s="1"/>
  <c r="C15" i="38" s="1"/>
  <c r="K45" i="43"/>
  <c r="O14" i="38"/>
  <c r="O217" i="50"/>
  <c r="I16" i="38" s="1"/>
  <c r="F23" i="38"/>
  <c r="O46" i="55"/>
  <c r="O26" i="38" s="1"/>
  <c r="J26" i="38"/>
  <c r="O168" i="52"/>
  <c r="O173" i="52"/>
  <c r="J22" i="38" s="1"/>
  <c r="G57" i="54"/>
  <c r="G58" i="54" s="1"/>
  <c r="L54" i="43" s="1"/>
  <c r="L55" i="43" s="1"/>
  <c r="J75" i="50"/>
  <c r="F16" i="38" s="1"/>
  <c r="J57" i="51"/>
  <c r="O45" i="43" s="1"/>
  <c r="G125" i="51"/>
  <c r="O125" i="51" s="1"/>
  <c r="G123" i="51"/>
  <c r="O123" i="51" s="1"/>
  <c r="L145" i="50"/>
  <c r="O145" i="50"/>
  <c r="O109" i="50"/>
  <c r="L109" i="50"/>
  <c r="L120" i="50"/>
  <c r="O120" i="50"/>
  <c r="L113" i="50"/>
  <c r="O113" i="50"/>
  <c r="O128" i="50"/>
  <c r="L128" i="50"/>
  <c r="L138" i="50"/>
  <c r="O138" i="50"/>
  <c r="I23" i="38"/>
  <c r="J24" i="54"/>
  <c r="G129" i="54"/>
  <c r="O129" i="54" s="1"/>
  <c r="G77" i="54"/>
  <c r="O77" i="54" s="1"/>
  <c r="G127" i="54"/>
  <c r="O127" i="54" s="1"/>
  <c r="G75" i="54"/>
  <c r="O75" i="54" s="1"/>
  <c r="C23" i="38"/>
  <c r="D23" i="38"/>
  <c r="I22" i="38"/>
  <c r="C22" i="38"/>
  <c r="D22" i="38"/>
  <c r="F14" i="38"/>
  <c r="D16" i="38"/>
  <c r="C14" i="38"/>
  <c r="D14" i="38"/>
  <c r="H22" i="38"/>
  <c r="I15" i="38"/>
  <c r="O96" i="49"/>
  <c r="L96" i="49"/>
  <c r="G34" i="55"/>
  <c r="O34" i="55" s="1"/>
  <c r="G23" i="55"/>
  <c r="O23" i="55" s="1"/>
  <c r="O95" i="49"/>
  <c r="K98" i="49"/>
  <c r="L95" i="49"/>
  <c r="D15" i="38" l="1"/>
  <c r="O206" i="54"/>
  <c r="O207" i="54" s="1"/>
  <c r="C24" i="38" s="1"/>
  <c r="K54" i="43"/>
  <c r="K55" i="43" s="1"/>
  <c r="O22" i="38"/>
  <c r="F15" i="38"/>
  <c r="O110" i="54"/>
  <c r="H24" i="38" s="1"/>
  <c r="J57" i="54"/>
  <c r="O54" i="43" s="1"/>
  <c r="O55" i="43" s="1"/>
  <c r="O162" i="54"/>
  <c r="I24" i="38" s="1"/>
  <c r="L135" i="50"/>
  <c r="O135" i="50"/>
  <c r="O131" i="50"/>
  <c r="L131" i="50"/>
  <c r="L142" i="50"/>
  <c r="O142" i="50"/>
  <c r="O203" i="53"/>
  <c r="O205" i="52"/>
  <c r="O207" i="51"/>
  <c r="H15" i="38"/>
  <c r="L99" i="49"/>
  <c r="O99" i="49"/>
  <c r="G35" i="55"/>
  <c r="O35" i="55" s="1"/>
  <c r="G24" i="55"/>
  <c r="O24" i="55" s="1"/>
  <c r="L98" i="49"/>
  <c r="O98" i="49"/>
  <c r="D21" i="43"/>
  <c r="O147" i="50" l="1"/>
  <c r="O261" i="50" s="1"/>
  <c r="D24" i="38"/>
  <c r="F24" i="38"/>
  <c r="O204" i="54"/>
  <c r="L103" i="49"/>
  <c r="O103" i="49"/>
  <c r="G36" i="55"/>
  <c r="O36" i="55" s="1"/>
  <c r="G25" i="55"/>
  <c r="O25" i="55" s="1"/>
  <c r="O102" i="49"/>
  <c r="L102" i="49"/>
  <c r="H16" i="38" l="1"/>
  <c r="O105" i="49"/>
  <c r="L105" i="49"/>
  <c r="G37" i="55"/>
  <c r="O37" i="55" s="1"/>
  <c r="G26" i="55"/>
  <c r="O26" i="55" s="1"/>
  <c r="O106" i="49"/>
  <c r="L106" i="49"/>
  <c r="L110" i="49" l="1"/>
  <c r="O110" i="49"/>
  <c r="O111" i="49"/>
  <c r="L111" i="49"/>
  <c r="O114" i="49" l="1"/>
  <c r="L114" i="49"/>
  <c r="L113" i="49"/>
  <c r="O113" i="49"/>
  <c r="J11" i="45"/>
  <c r="O118" i="49" l="1"/>
  <c r="L118" i="49"/>
  <c r="O117" i="49"/>
  <c r="L117" i="49"/>
  <c r="L125" i="49" l="1"/>
  <c r="O125" i="49"/>
  <c r="I14" i="38"/>
  <c r="L120" i="49"/>
  <c r="O120" i="49"/>
  <c r="O121" i="49"/>
  <c r="L121" i="49"/>
  <c r="O127" i="49" l="1"/>
  <c r="O151" i="49" s="1"/>
  <c r="O272" i="49" s="1"/>
  <c r="L127" i="49"/>
  <c r="K118" i="37" l="1"/>
  <c r="K66" i="37"/>
  <c r="K89" i="37" s="1"/>
  <c r="K141" i="37" l="1"/>
  <c r="L118" i="37"/>
  <c r="K123" i="37"/>
  <c r="L123" i="37" s="1"/>
  <c r="K125" i="37"/>
  <c r="K146" i="37"/>
  <c r="K73" i="37"/>
  <c r="K92" i="37"/>
  <c r="K134" i="37"/>
  <c r="K94" i="37"/>
  <c r="K71" i="37"/>
  <c r="K82" i="37"/>
  <c r="K136" i="37"/>
  <c r="K84" i="37"/>
  <c r="K144" i="37"/>
  <c r="K76" i="37"/>
  <c r="K87" i="37"/>
  <c r="K128" i="37"/>
  <c r="K139" i="37"/>
  <c r="K68" i="37"/>
  <c r="K78" i="37"/>
  <c r="K120" i="37"/>
  <c r="L120" i="37" s="1"/>
  <c r="K130" i="37"/>
  <c r="K150" i="37" l="1"/>
  <c r="L150" i="37" s="1"/>
  <c r="K160" i="37"/>
  <c r="L160" i="37" s="1"/>
  <c r="K157" i="37"/>
  <c r="K155" i="37"/>
  <c r="L155" i="37" s="1"/>
  <c r="K152" i="37"/>
  <c r="L152" i="37" s="1"/>
  <c r="K162" i="37"/>
  <c r="L162" i="37" s="1"/>
  <c r="K108" i="37"/>
  <c r="L108" i="37" s="1"/>
  <c r="K105" i="37"/>
  <c r="L105" i="37" s="1"/>
  <c r="K103" i="37"/>
  <c r="K100" i="37"/>
  <c r="L100" i="37" s="1"/>
  <c r="K98" i="37"/>
  <c r="L98" i="37" s="1"/>
  <c r="K110" i="37"/>
  <c r="L110" i="37" s="1"/>
  <c r="L157" i="37" l="1"/>
  <c r="L103" i="37"/>
  <c r="M191" i="37"/>
  <c r="M189" i="37"/>
  <c r="C43" i="45" l="1"/>
  <c r="C42" i="45"/>
  <c r="C41" i="45"/>
  <c r="C40" i="45"/>
  <c r="C39" i="45"/>
  <c r="B26" i="45" l="1"/>
  <c r="E34" i="45"/>
  <c r="E18" i="45"/>
  <c r="D18" i="45"/>
  <c r="D11" i="45"/>
  <c r="E11" i="45" s="1"/>
  <c r="C11" i="45"/>
  <c r="B12" i="45"/>
  <c r="B14" i="45" s="1"/>
  <c r="G9" i="45"/>
  <c r="I8" i="43" s="1"/>
  <c r="I9" i="43" s="1"/>
  <c r="D9" i="45"/>
  <c r="C9" i="45"/>
  <c r="D8" i="45"/>
  <c r="E8" i="45" s="1"/>
  <c r="C8" i="45"/>
  <c r="B27" i="43"/>
  <c r="N21" i="43"/>
  <c r="L21" i="43"/>
  <c r="J21" i="43"/>
  <c r="H21" i="43"/>
  <c r="F21" i="43"/>
  <c r="N20" i="43"/>
  <c r="L20" i="43"/>
  <c r="J20" i="43"/>
  <c r="H20" i="43"/>
  <c r="F20" i="43"/>
  <c r="D20" i="43"/>
  <c r="N19" i="43"/>
  <c r="B13" i="43" s="1"/>
  <c r="L19" i="43"/>
  <c r="B12" i="43" s="1"/>
  <c r="J19" i="43"/>
  <c r="B11" i="43" s="1"/>
  <c r="H19" i="43"/>
  <c r="B10" i="43" s="1"/>
  <c r="F19" i="43"/>
  <c r="B9" i="43" s="1"/>
  <c r="D19" i="43"/>
  <c r="B8" i="43" s="1"/>
  <c r="D43" i="45" l="1"/>
  <c r="E43" i="45" s="1"/>
  <c r="D39" i="45"/>
  <c r="E39" i="45" s="1"/>
  <c r="D42" i="45"/>
  <c r="E42" i="45" s="1"/>
  <c r="D41" i="45"/>
  <c r="E41" i="45" s="1"/>
  <c r="D40" i="45"/>
  <c r="E40" i="45"/>
  <c r="C26" i="45"/>
  <c r="E9" i="45"/>
  <c r="C10" i="45"/>
  <c r="C12" i="45" s="1"/>
  <c r="C14" i="45" s="1"/>
  <c r="D10" i="45"/>
  <c r="E10" i="45" s="1"/>
  <c r="F22" i="43"/>
  <c r="F24" i="43" s="1"/>
  <c r="F26" i="43" s="1"/>
  <c r="J22" i="43"/>
  <c r="J24" i="43" s="1"/>
  <c r="J26" i="43" s="1"/>
  <c r="N22" i="43"/>
  <c r="N24" i="43" s="1"/>
  <c r="N26" i="43" s="1"/>
  <c r="L22" i="43"/>
  <c r="L24" i="43" s="1"/>
  <c r="L26" i="43" s="1"/>
  <c r="H22" i="43"/>
  <c r="H24" i="43" s="1"/>
  <c r="H26" i="43" s="1"/>
  <c r="I10" i="43"/>
  <c r="F10" i="43" l="1"/>
  <c r="F13" i="43"/>
  <c r="F9" i="43"/>
  <c r="H9" i="43" s="1"/>
  <c r="F12" i="43"/>
  <c r="F8" i="43"/>
  <c r="H8" i="43" s="1"/>
  <c r="F11" i="43"/>
  <c r="H10" i="43"/>
  <c r="L27" i="43"/>
  <c r="L28" i="43" s="1"/>
  <c r="D22" i="43"/>
  <c r="D24" i="43" s="1"/>
  <c r="D26" i="43" s="1"/>
  <c r="E12" i="45"/>
  <c r="E14" i="45" s="1"/>
  <c r="E20" i="45" s="1"/>
  <c r="G10" i="45"/>
  <c r="D26" i="45"/>
  <c r="D12" i="45"/>
  <c r="D14" i="45" s="1"/>
  <c r="D20" i="45" s="1"/>
  <c r="C11" i="43"/>
  <c r="I11" i="43"/>
  <c r="H11" i="43" l="1"/>
  <c r="L29" i="43"/>
  <c r="D27" i="43"/>
  <c r="D28" i="43" s="1"/>
  <c r="C8" i="43"/>
  <c r="C32" i="45"/>
  <c r="C27" i="45"/>
  <c r="C13" i="43"/>
  <c r="I12" i="43"/>
  <c r="H12" i="43" s="1"/>
  <c r="L30" i="43" l="1"/>
  <c r="E12" i="43" s="1"/>
  <c r="D29" i="43"/>
  <c r="D27" i="45"/>
  <c r="B16" i="45" s="1"/>
  <c r="D32" i="45"/>
  <c r="E32" i="45" s="1"/>
  <c r="C17" i="45" s="1"/>
  <c r="C12" i="43"/>
  <c r="J27" i="43"/>
  <c r="J28" i="43" s="1"/>
  <c r="C9" i="43"/>
  <c r="I13" i="43"/>
  <c r="H13" i="43" s="1"/>
  <c r="D30" i="43" l="1"/>
  <c r="E8" i="43" s="1"/>
  <c r="J29" i="43"/>
  <c r="C28" i="45"/>
  <c r="C30" i="45"/>
  <c r="C29" i="45"/>
  <c r="C31" i="45"/>
  <c r="B17" i="45"/>
  <c r="N27" i="43"/>
  <c r="N28" i="43" s="1"/>
  <c r="C10" i="43"/>
  <c r="J30" i="43" l="1"/>
  <c r="E11" i="43" s="1"/>
  <c r="N29" i="43"/>
  <c r="F27" i="43"/>
  <c r="F28" i="43" s="1"/>
  <c r="N30" i="43" l="1"/>
  <c r="E13" i="43" s="1"/>
  <c r="F29" i="43"/>
  <c r="H27" i="43"/>
  <c r="H28" i="43" s="1"/>
  <c r="F30" i="43" l="1"/>
  <c r="E9" i="43" s="1"/>
  <c r="H29" i="43"/>
  <c r="O168" i="37"/>
  <c r="O13" i="38" s="1"/>
  <c r="O28" i="38" s="1"/>
  <c r="H30" i="43" l="1"/>
  <c r="E10" i="43" s="1"/>
  <c r="L146" i="37"/>
  <c r="G12" i="37"/>
  <c r="J12" i="37" l="1"/>
  <c r="G51" i="37"/>
  <c r="J51" i="37" s="1"/>
  <c r="G49" i="37"/>
  <c r="J49" i="37" s="1"/>
  <c r="G56" i="37"/>
  <c r="J56" i="37" s="1"/>
  <c r="G44" i="37"/>
  <c r="J44" i="37" s="1"/>
  <c r="G46" i="37"/>
  <c r="J46" i="37" s="1"/>
  <c r="M94" i="37"/>
  <c r="M146" i="37" s="1"/>
  <c r="M92" i="37"/>
  <c r="M144" i="37" s="1"/>
  <c r="M89" i="37"/>
  <c r="M141" i="37" s="1"/>
  <c r="M87" i="37"/>
  <c r="M139" i="37" s="1"/>
  <c r="M84" i="37"/>
  <c r="M136" i="37" s="1"/>
  <c r="M82" i="37"/>
  <c r="M134" i="37" s="1"/>
  <c r="M78" i="37"/>
  <c r="M130" i="37" s="1"/>
  <c r="M76" i="37"/>
  <c r="M128" i="37" s="1"/>
  <c r="M73" i="37"/>
  <c r="M125" i="37" s="1"/>
  <c r="M71" i="37"/>
  <c r="M123" i="37" s="1"/>
  <c r="M68" i="37"/>
  <c r="M120" i="37" s="1"/>
  <c r="M66" i="37"/>
  <c r="M118" i="37" s="1"/>
  <c r="G98" i="37" l="1"/>
  <c r="O98" i="37" s="1"/>
  <c r="G150" i="37"/>
  <c r="O150" i="37" s="1"/>
  <c r="G100" i="37"/>
  <c r="O100" i="37" s="1"/>
  <c r="G152" i="37"/>
  <c r="O152" i="37" s="1"/>
  <c r="G110" i="37"/>
  <c r="O110" i="37" s="1"/>
  <c r="G162" i="37"/>
  <c r="O162" i="37" s="1"/>
  <c r="G105" i="37"/>
  <c r="O105" i="37" s="1"/>
  <c r="G157" i="37"/>
  <c r="O157" i="37" s="1"/>
  <c r="G103" i="37"/>
  <c r="O103" i="37" s="1"/>
  <c r="G155" i="37"/>
  <c r="O155" i="37" s="1"/>
  <c r="G54" i="37"/>
  <c r="J54" i="37" s="1"/>
  <c r="G125" i="37"/>
  <c r="G141" i="37"/>
  <c r="G66" i="37"/>
  <c r="G17" i="37"/>
  <c r="J17" i="37" s="1"/>
  <c r="G89" i="37"/>
  <c r="G14" i="37"/>
  <c r="G71" i="37"/>
  <c r="G123" i="37"/>
  <c r="O172" i="37" l="1"/>
  <c r="O173" i="37" s="1"/>
  <c r="G108" i="37"/>
  <c r="O108" i="37" s="1"/>
  <c r="G160" i="37"/>
  <c r="O160" i="37" s="1"/>
  <c r="J14" i="37"/>
  <c r="G38" i="37"/>
  <c r="J38" i="37" s="1"/>
  <c r="G35" i="37"/>
  <c r="J35" i="37" s="1"/>
  <c r="G144" i="37"/>
  <c r="G28" i="37"/>
  <c r="J28" i="37" s="1"/>
  <c r="G92" i="37"/>
  <c r="G22" i="37"/>
  <c r="G19" i="37"/>
  <c r="J19" i="37" s="1"/>
  <c r="G73" i="37"/>
  <c r="G30" i="37"/>
  <c r="J30" i="37" s="1"/>
  <c r="G76" i="37"/>
  <c r="G68" i="37"/>
  <c r="G33" i="37"/>
  <c r="J33" i="37" s="1"/>
  <c r="G40" i="37"/>
  <c r="J40" i="37" s="1"/>
  <c r="G118" i="37"/>
  <c r="O118" i="37" s="1"/>
  <c r="G136" i="37"/>
  <c r="G84" i="37"/>
  <c r="G24" i="37"/>
  <c r="J24" i="37" s="1"/>
  <c r="G128" i="37"/>
  <c r="J22" i="37" l="1"/>
  <c r="G59" i="37"/>
  <c r="G43" i="43" s="1"/>
  <c r="G55" i="43" s="1"/>
  <c r="G57" i="37"/>
  <c r="G58" i="37"/>
  <c r="D43" i="43" s="1"/>
  <c r="D55" i="43" s="1"/>
  <c r="J13" i="38"/>
  <c r="J28" i="38" s="1"/>
  <c r="G134" i="37"/>
  <c r="G120" i="37"/>
  <c r="O120" i="37" s="1"/>
  <c r="G130" i="37"/>
  <c r="G78" i="37"/>
  <c r="G146" i="37"/>
  <c r="G94" i="37"/>
  <c r="G87" i="37"/>
  <c r="G139" i="37"/>
  <c r="O209" i="37" l="1"/>
  <c r="O210" i="37" s="1"/>
  <c r="C13" i="38" s="1"/>
  <c r="C43" i="43"/>
  <c r="C55" i="43" s="1"/>
  <c r="J57" i="37"/>
  <c r="N43" i="43" s="1"/>
  <c r="N55" i="43" s="1"/>
  <c r="N56" i="43" s="1"/>
  <c r="D73" i="43" s="1"/>
  <c r="G82" i="37"/>
  <c r="D13" i="38" l="1"/>
  <c r="D28" i="38" s="1"/>
  <c r="F13" i="38"/>
  <c r="F28" i="38" s="1"/>
  <c r="C28" i="38"/>
  <c r="O66" i="37" l="1"/>
  <c r="L66" i="37"/>
  <c r="L71" i="37"/>
  <c r="O71" i="37"/>
  <c r="L94" i="37"/>
  <c r="O94" i="37"/>
  <c r="L139" i="37"/>
  <c r="O139" i="37"/>
  <c r="O144" i="37"/>
  <c r="L144" i="37"/>
  <c r="L82" i="37"/>
  <c r="O82" i="37"/>
  <c r="L73" i="37"/>
  <c r="O73" i="37"/>
  <c r="L84" i="37"/>
  <c r="O84" i="37"/>
  <c r="O123" i="37"/>
  <c r="L141" i="37"/>
  <c r="O141" i="37"/>
  <c r="L128" i="37"/>
  <c r="O128" i="37"/>
  <c r="L87" i="37"/>
  <c r="O87" i="37"/>
  <c r="L78" i="37"/>
  <c r="O78" i="37"/>
  <c r="L76" i="37"/>
  <c r="O76" i="37"/>
  <c r="L134" i="37"/>
  <c r="O134" i="37"/>
  <c r="O146" i="37"/>
  <c r="L92" i="37"/>
  <c r="O92" i="37"/>
  <c r="L68" i="37"/>
  <c r="O68" i="37"/>
  <c r="L89" i="37"/>
  <c r="O89" i="37"/>
  <c r="L130" i="37"/>
  <c r="O130" i="37"/>
  <c r="O125" i="37"/>
  <c r="L125" i="37"/>
  <c r="O136" i="37"/>
  <c r="L136" i="37"/>
  <c r="O163" i="37" l="1"/>
  <c r="I13" i="38" s="1"/>
  <c r="O111" i="37"/>
  <c r="H13" i="38" l="1"/>
  <c r="O207" i="37"/>
  <c r="D31" i="45" l="1"/>
  <c r="E31" i="45" s="1"/>
  <c r="D30" i="45"/>
  <c r="E30" i="45" s="1"/>
  <c r="D29" i="45"/>
  <c r="E29" i="45" s="1"/>
  <c r="D28" i="45"/>
  <c r="E28" i="45" s="1"/>
  <c r="E27" i="45" l="1"/>
  <c r="E26" i="45" s="1"/>
  <c r="B18" i="45"/>
  <c r="B20" i="45" s="1"/>
  <c r="H12" i="60" l="1"/>
  <c r="H12" i="59"/>
  <c r="H12" i="37"/>
  <c r="H12" i="58"/>
  <c r="H12" i="57"/>
  <c r="H12" i="52"/>
  <c r="H12" i="56"/>
  <c r="H12" i="54"/>
  <c r="I12" i="54" s="1"/>
  <c r="H12" i="50"/>
  <c r="H12" i="49"/>
  <c r="H12" i="51"/>
  <c r="I12" i="51" s="1"/>
  <c r="H9" i="55"/>
  <c r="H12" i="53"/>
  <c r="C16" i="45"/>
  <c r="C18" i="45" s="1"/>
  <c r="C20" i="45" s="1"/>
  <c r="H14" i="55" l="1"/>
  <c r="I14" i="55" s="1"/>
  <c r="B68" i="43" s="1"/>
  <c r="H13" i="55"/>
  <c r="I13" i="55" s="1"/>
  <c r="B67" i="43" s="1"/>
  <c r="H15" i="55"/>
  <c r="I15" i="55" s="1"/>
  <c r="B69" i="43" s="1"/>
  <c r="H12" i="55"/>
  <c r="I12" i="55" s="1"/>
  <c r="B63" i="43" s="1"/>
  <c r="C38" i="38" s="1"/>
  <c r="H11" i="55"/>
  <c r="H10" i="55"/>
  <c r="H54" i="52"/>
  <c r="H49" i="52"/>
  <c r="I49" i="52" s="1"/>
  <c r="H44" i="52"/>
  <c r="I44" i="52" s="1"/>
  <c r="H22" i="52"/>
  <c r="I22" i="52" s="1"/>
  <c r="H17" i="52"/>
  <c r="I17" i="52" s="1"/>
  <c r="H30" i="52"/>
  <c r="I30" i="52" s="1"/>
  <c r="H28" i="52"/>
  <c r="I28" i="52" s="1"/>
  <c r="H38" i="52"/>
  <c r="I38" i="52" s="1"/>
  <c r="H33" i="52"/>
  <c r="I33" i="52" s="1"/>
  <c r="H35" i="52"/>
  <c r="I35" i="52" s="1"/>
  <c r="H56" i="52"/>
  <c r="I56" i="52" s="1"/>
  <c r="H51" i="52"/>
  <c r="I51" i="52" s="1"/>
  <c r="H46" i="52"/>
  <c r="I46" i="52" s="1"/>
  <c r="H24" i="52"/>
  <c r="I24" i="52" s="1"/>
  <c r="H19" i="52"/>
  <c r="I19" i="52" s="1"/>
  <c r="H40" i="52"/>
  <c r="I40" i="52" s="1"/>
  <c r="H56" i="59"/>
  <c r="I56" i="59" s="1"/>
  <c r="H19" i="59"/>
  <c r="I19" i="59" s="1"/>
  <c r="H30" i="59"/>
  <c r="I30" i="59" s="1"/>
  <c r="H40" i="59"/>
  <c r="I40" i="59" s="1"/>
  <c r="H51" i="59"/>
  <c r="I51" i="59" s="1"/>
  <c r="I12" i="59"/>
  <c r="H22" i="59"/>
  <c r="I22" i="59" s="1"/>
  <c r="H33" i="59"/>
  <c r="I33" i="59" s="1"/>
  <c r="H44" i="59"/>
  <c r="I44" i="59" s="1"/>
  <c r="H54" i="59"/>
  <c r="I54" i="59" s="1"/>
  <c r="H17" i="59"/>
  <c r="I17" i="59" s="1"/>
  <c r="H38" i="59"/>
  <c r="I38" i="59" s="1"/>
  <c r="H14" i="59"/>
  <c r="I14" i="59" s="1"/>
  <c r="H24" i="59"/>
  <c r="I24" i="59" s="1"/>
  <c r="H35" i="59"/>
  <c r="I35" i="59" s="1"/>
  <c r="H46" i="59"/>
  <c r="I46" i="59" s="1"/>
  <c r="H28" i="59"/>
  <c r="I28" i="59" s="1"/>
  <c r="H49" i="59"/>
  <c r="I49" i="59" s="1"/>
  <c r="H37" i="60"/>
  <c r="I37" i="60" s="1"/>
  <c r="H13" i="60"/>
  <c r="I13" i="60" s="1"/>
  <c r="H30" i="60"/>
  <c r="I30" i="60" s="1"/>
  <c r="H74" i="60"/>
  <c r="I74" i="60" s="1"/>
  <c r="H67" i="60"/>
  <c r="I67" i="60" s="1"/>
  <c r="H60" i="60"/>
  <c r="I60" i="60" s="1"/>
  <c r="H52" i="60"/>
  <c r="I52" i="60" s="1"/>
  <c r="H45" i="60"/>
  <c r="I45" i="60" s="1"/>
  <c r="H38" i="60"/>
  <c r="I38" i="60" s="1"/>
  <c r="H22" i="60"/>
  <c r="I22" i="60" s="1"/>
  <c r="H35" i="60"/>
  <c r="I35" i="60" s="1"/>
  <c r="H15" i="60"/>
  <c r="I15" i="60" s="1"/>
  <c r="H34" i="60"/>
  <c r="I34" i="60" s="1"/>
  <c r="H73" i="60"/>
  <c r="I73" i="60" s="1"/>
  <c r="H66" i="60"/>
  <c r="I66" i="60" s="1"/>
  <c r="H59" i="60"/>
  <c r="I59" i="60" s="1"/>
  <c r="H51" i="60"/>
  <c r="I51" i="60" s="1"/>
  <c r="H44" i="60"/>
  <c r="I44" i="60" s="1"/>
  <c r="I12" i="60"/>
  <c r="H23" i="60"/>
  <c r="I23" i="60" s="1"/>
  <c r="H70" i="60"/>
  <c r="I70" i="60" s="1"/>
  <c r="H56" i="60"/>
  <c r="I56" i="60" s="1"/>
  <c r="H41" i="60"/>
  <c r="I41" i="60" s="1"/>
  <c r="H29" i="60"/>
  <c r="I29" i="60" s="1"/>
  <c r="H20" i="60"/>
  <c r="I20" i="60" s="1"/>
  <c r="H71" i="60"/>
  <c r="I71" i="60" s="1"/>
  <c r="H64" i="60"/>
  <c r="I64" i="60" s="1"/>
  <c r="H57" i="60"/>
  <c r="I57" i="60" s="1"/>
  <c r="H49" i="60"/>
  <c r="I49" i="60" s="1"/>
  <c r="H42" i="60"/>
  <c r="I42" i="60" s="1"/>
  <c r="H16" i="60"/>
  <c r="I16" i="60" s="1"/>
  <c r="H26" i="60"/>
  <c r="I26" i="60" s="1"/>
  <c r="H27" i="60"/>
  <c r="I27" i="60" s="1"/>
  <c r="H63" i="60"/>
  <c r="I63" i="60" s="1"/>
  <c r="H48" i="60"/>
  <c r="I48" i="60" s="1"/>
  <c r="H19" i="60"/>
  <c r="I19" i="60" s="1"/>
  <c r="H51" i="37"/>
  <c r="H40" i="37"/>
  <c r="H30" i="37"/>
  <c r="H19" i="37"/>
  <c r="H49" i="37"/>
  <c r="H38" i="37"/>
  <c r="H28" i="37"/>
  <c r="H17" i="37"/>
  <c r="H56" i="37"/>
  <c r="H46" i="37"/>
  <c r="H35" i="37"/>
  <c r="H24" i="37"/>
  <c r="H14" i="37"/>
  <c r="H54" i="37"/>
  <c r="H44" i="37"/>
  <c r="H33" i="37"/>
  <c r="H22" i="37"/>
  <c r="H40" i="53"/>
  <c r="I40" i="53" s="1"/>
  <c r="H35" i="53"/>
  <c r="I35" i="53" s="1"/>
  <c r="H22" i="53"/>
  <c r="I22" i="53" s="1"/>
  <c r="H17" i="53"/>
  <c r="I17" i="53" s="1"/>
  <c r="I12" i="53"/>
  <c r="H30" i="53"/>
  <c r="I30" i="53" s="1"/>
  <c r="H24" i="53"/>
  <c r="I24" i="53" s="1"/>
  <c r="H49" i="53"/>
  <c r="I49" i="53" s="1"/>
  <c r="H46" i="53"/>
  <c r="I46" i="53" s="1"/>
  <c r="H56" i="53"/>
  <c r="I56" i="53" s="1"/>
  <c r="H19" i="53"/>
  <c r="I19" i="53" s="1"/>
  <c r="H54" i="53"/>
  <c r="I54" i="53" s="1"/>
  <c r="H38" i="53"/>
  <c r="I38" i="53" s="1"/>
  <c r="H14" i="53"/>
  <c r="I14" i="53" s="1"/>
  <c r="H51" i="53"/>
  <c r="I51" i="53" s="1"/>
  <c r="H33" i="53"/>
  <c r="I33" i="53" s="1"/>
  <c r="H28" i="53"/>
  <c r="I28" i="53" s="1"/>
  <c r="H44" i="53"/>
  <c r="I44" i="53" s="1"/>
  <c r="H73" i="50"/>
  <c r="I73" i="50" s="1"/>
  <c r="H66" i="50"/>
  <c r="I66" i="50" s="1"/>
  <c r="H59" i="50"/>
  <c r="I59" i="50" s="1"/>
  <c r="H51" i="50"/>
  <c r="I51" i="50" s="1"/>
  <c r="H44" i="50"/>
  <c r="I44" i="50" s="1"/>
  <c r="H37" i="50"/>
  <c r="I37" i="50" s="1"/>
  <c r="H29" i="50"/>
  <c r="I29" i="50" s="1"/>
  <c r="H22" i="50"/>
  <c r="I22" i="50" s="1"/>
  <c r="H15" i="50"/>
  <c r="I15" i="50" s="1"/>
  <c r="H71" i="50"/>
  <c r="I71" i="50" s="1"/>
  <c r="H64" i="50"/>
  <c r="I64" i="50" s="1"/>
  <c r="H57" i="50"/>
  <c r="I57" i="50" s="1"/>
  <c r="H49" i="50"/>
  <c r="I49" i="50" s="1"/>
  <c r="H42" i="50"/>
  <c r="I42" i="50" s="1"/>
  <c r="H35" i="50"/>
  <c r="I35" i="50" s="1"/>
  <c r="H27" i="50"/>
  <c r="I27" i="50" s="1"/>
  <c r="H20" i="50"/>
  <c r="I20" i="50" s="1"/>
  <c r="H70" i="50"/>
  <c r="I70" i="50" s="1"/>
  <c r="H63" i="50"/>
  <c r="I63" i="50" s="1"/>
  <c r="H56" i="50"/>
  <c r="I56" i="50" s="1"/>
  <c r="H48" i="50"/>
  <c r="I48" i="50" s="1"/>
  <c r="H41" i="50"/>
  <c r="I41" i="50" s="1"/>
  <c r="H34" i="50"/>
  <c r="I34" i="50" s="1"/>
  <c r="H26" i="50"/>
  <c r="I26" i="50" s="1"/>
  <c r="H19" i="50"/>
  <c r="I19" i="50" s="1"/>
  <c r="H52" i="50"/>
  <c r="I52" i="50" s="1"/>
  <c r="H23" i="50"/>
  <c r="I23" i="50" s="1"/>
  <c r="H30" i="50"/>
  <c r="I30" i="50" s="1"/>
  <c r="H74" i="50"/>
  <c r="I74" i="50" s="1"/>
  <c r="H45" i="50"/>
  <c r="I45" i="50" s="1"/>
  <c r="H16" i="50"/>
  <c r="I16" i="50" s="1"/>
  <c r="H67" i="50"/>
  <c r="I67" i="50" s="1"/>
  <c r="H38" i="50"/>
  <c r="I38" i="50" s="1"/>
  <c r="H60" i="50"/>
  <c r="I60" i="50" s="1"/>
  <c r="I12" i="50"/>
  <c r="H13" i="50"/>
  <c r="I13" i="50" s="1"/>
  <c r="H73" i="57"/>
  <c r="I73" i="57" s="1"/>
  <c r="H66" i="57"/>
  <c r="I66" i="57" s="1"/>
  <c r="H59" i="57"/>
  <c r="I59" i="57" s="1"/>
  <c r="H51" i="57"/>
  <c r="I51" i="57" s="1"/>
  <c r="H44" i="57"/>
  <c r="I44" i="57" s="1"/>
  <c r="H37" i="57"/>
  <c r="I37" i="57" s="1"/>
  <c r="H29" i="57"/>
  <c r="I29" i="57" s="1"/>
  <c r="H22" i="57"/>
  <c r="I22" i="57" s="1"/>
  <c r="H15" i="57"/>
  <c r="I15" i="57" s="1"/>
  <c r="H71" i="57"/>
  <c r="I71" i="57" s="1"/>
  <c r="H64" i="57"/>
  <c r="I64" i="57" s="1"/>
  <c r="H57" i="57"/>
  <c r="I57" i="57" s="1"/>
  <c r="H49" i="57"/>
  <c r="I49" i="57" s="1"/>
  <c r="H42" i="57"/>
  <c r="I42" i="57" s="1"/>
  <c r="H35" i="57"/>
  <c r="I35" i="57" s="1"/>
  <c r="H27" i="57"/>
  <c r="I27" i="57" s="1"/>
  <c r="H20" i="57"/>
  <c r="I20" i="57" s="1"/>
  <c r="H13" i="57"/>
  <c r="I13" i="57" s="1"/>
  <c r="H70" i="57"/>
  <c r="I70" i="57" s="1"/>
  <c r="H63" i="57"/>
  <c r="I63" i="57" s="1"/>
  <c r="H56" i="57"/>
  <c r="I56" i="57" s="1"/>
  <c r="H48" i="57"/>
  <c r="I48" i="57" s="1"/>
  <c r="H41" i="57"/>
  <c r="I41" i="57" s="1"/>
  <c r="H34" i="57"/>
  <c r="I34" i="57" s="1"/>
  <c r="H26" i="57"/>
  <c r="I26" i="57" s="1"/>
  <c r="H19" i="57"/>
  <c r="I19" i="57" s="1"/>
  <c r="H67" i="57"/>
  <c r="I67" i="57" s="1"/>
  <c r="H38" i="57"/>
  <c r="I38" i="57" s="1"/>
  <c r="H60" i="57"/>
  <c r="I60" i="57" s="1"/>
  <c r="H30" i="57"/>
  <c r="I30" i="57" s="1"/>
  <c r="H45" i="57"/>
  <c r="I45" i="57" s="1"/>
  <c r="H52" i="57"/>
  <c r="I52" i="57" s="1"/>
  <c r="H23" i="57"/>
  <c r="I23" i="57" s="1"/>
  <c r="H74" i="57"/>
  <c r="I74" i="57" s="1"/>
  <c r="H16" i="57"/>
  <c r="I16" i="57" s="1"/>
  <c r="I12" i="57"/>
  <c r="I11" i="55"/>
  <c r="B62" i="43" s="1"/>
  <c r="C37" i="38" s="1"/>
  <c r="I9" i="55"/>
  <c r="I10" i="55"/>
  <c r="B61" i="43" s="1"/>
  <c r="C36" i="38" s="1"/>
  <c r="H56" i="54"/>
  <c r="I56" i="54" s="1"/>
  <c r="H14" i="54"/>
  <c r="I14" i="54" s="1"/>
  <c r="H30" i="54"/>
  <c r="I30" i="54" s="1"/>
  <c r="H28" i="54"/>
  <c r="I28" i="54" s="1"/>
  <c r="H22" i="54"/>
  <c r="I22" i="54" s="1"/>
  <c r="H40" i="54"/>
  <c r="I40" i="54" s="1"/>
  <c r="H46" i="54"/>
  <c r="I46" i="54" s="1"/>
  <c r="H44" i="54"/>
  <c r="I44" i="54" s="1"/>
  <c r="H19" i="54"/>
  <c r="I19" i="54" s="1"/>
  <c r="H17" i="54"/>
  <c r="I17" i="54" s="1"/>
  <c r="H33" i="54"/>
  <c r="I33" i="54" s="1"/>
  <c r="H35" i="54"/>
  <c r="I35" i="54" s="1"/>
  <c r="H51" i="54"/>
  <c r="I51" i="54" s="1"/>
  <c r="H49" i="54"/>
  <c r="I49" i="54" s="1"/>
  <c r="H54" i="54"/>
  <c r="I54" i="54" s="1"/>
  <c r="H24" i="54"/>
  <c r="I24" i="54" s="1"/>
  <c r="H38" i="54"/>
  <c r="I38" i="54" s="1"/>
  <c r="H54" i="58"/>
  <c r="I54" i="58" s="1"/>
  <c r="H49" i="58"/>
  <c r="I49" i="58" s="1"/>
  <c r="H44" i="58"/>
  <c r="I44" i="58" s="1"/>
  <c r="H38" i="58"/>
  <c r="I38" i="58" s="1"/>
  <c r="H33" i="58"/>
  <c r="I33" i="58" s="1"/>
  <c r="H28" i="58"/>
  <c r="I28" i="58" s="1"/>
  <c r="H22" i="58"/>
  <c r="I22" i="58" s="1"/>
  <c r="H17" i="58"/>
  <c r="I17" i="58" s="1"/>
  <c r="H40" i="58"/>
  <c r="I40" i="58" s="1"/>
  <c r="H19" i="58"/>
  <c r="I19" i="58" s="1"/>
  <c r="H46" i="58"/>
  <c r="I46" i="58" s="1"/>
  <c r="H56" i="58"/>
  <c r="I56" i="58" s="1"/>
  <c r="H35" i="58"/>
  <c r="I35" i="58" s="1"/>
  <c r="H14" i="58"/>
  <c r="I14" i="58" s="1"/>
  <c r="H24" i="58"/>
  <c r="I24" i="58" s="1"/>
  <c r="H51" i="58"/>
  <c r="I51" i="58" s="1"/>
  <c r="H30" i="58"/>
  <c r="I30" i="58" s="1"/>
  <c r="I12" i="58"/>
  <c r="H49" i="51"/>
  <c r="I49" i="51" s="1"/>
  <c r="H38" i="51"/>
  <c r="I38" i="51" s="1"/>
  <c r="H28" i="51"/>
  <c r="I28" i="51" s="1"/>
  <c r="H17" i="51"/>
  <c r="I17" i="51" s="1"/>
  <c r="H56" i="51"/>
  <c r="I56" i="51" s="1"/>
  <c r="H46" i="51"/>
  <c r="I46" i="51" s="1"/>
  <c r="H35" i="51"/>
  <c r="I35" i="51" s="1"/>
  <c r="H24" i="51"/>
  <c r="I24" i="51" s="1"/>
  <c r="H14" i="51"/>
  <c r="I14" i="51" s="1"/>
  <c r="H54" i="51"/>
  <c r="I54" i="51" s="1"/>
  <c r="H44" i="51"/>
  <c r="I44" i="51" s="1"/>
  <c r="H33" i="51"/>
  <c r="I33" i="51" s="1"/>
  <c r="H22" i="51"/>
  <c r="I22" i="51" s="1"/>
  <c r="H51" i="51"/>
  <c r="I51" i="51" s="1"/>
  <c r="H19" i="51"/>
  <c r="I19" i="51" s="1"/>
  <c r="H40" i="51"/>
  <c r="I40" i="51" s="1"/>
  <c r="H30" i="51"/>
  <c r="I30" i="51" s="1"/>
  <c r="H70" i="56"/>
  <c r="I70" i="56" s="1"/>
  <c r="H63" i="56"/>
  <c r="I63" i="56" s="1"/>
  <c r="H56" i="56"/>
  <c r="I56" i="56" s="1"/>
  <c r="H48" i="56"/>
  <c r="I48" i="56" s="1"/>
  <c r="H41" i="56"/>
  <c r="I41" i="56" s="1"/>
  <c r="H34" i="56"/>
  <c r="I34" i="56" s="1"/>
  <c r="H26" i="56"/>
  <c r="I26" i="56" s="1"/>
  <c r="H19" i="56"/>
  <c r="I19" i="56" s="1"/>
  <c r="H74" i="56"/>
  <c r="I74" i="56" s="1"/>
  <c r="H67" i="56"/>
  <c r="I67" i="56" s="1"/>
  <c r="H60" i="56"/>
  <c r="I60" i="56" s="1"/>
  <c r="H52" i="56"/>
  <c r="I52" i="56" s="1"/>
  <c r="H45" i="56"/>
  <c r="I45" i="56" s="1"/>
  <c r="H38" i="56"/>
  <c r="I38" i="56" s="1"/>
  <c r="H30" i="56"/>
  <c r="I30" i="56" s="1"/>
  <c r="H23" i="56"/>
  <c r="I23" i="56" s="1"/>
  <c r="H16" i="56"/>
  <c r="I16" i="56" s="1"/>
  <c r="H73" i="56"/>
  <c r="I73" i="56" s="1"/>
  <c r="H66" i="56"/>
  <c r="I66" i="56" s="1"/>
  <c r="H59" i="56"/>
  <c r="I59" i="56" s="1"/>
  <c r="H51" i="56"/>
  <c r="I51" i="56" s="1"/>
  <c r="H44" i="56"/>
  <c r="I44" i="56" s="1"/>
  <c r="H37" i="56"/>
  <c r="I37" i="56" s="1"/>
  <c r="H29" i="56"/>
  <c r="I29" i="56" s="1"/>
  <c r="H22" i="56"/>
  <c r="I22" i="56" s="1"/>
  <c r="H15" i="56"/>
  <c r="I15" i="56" s="1"/>
  <c r="H57" i="56"/>
  <c r="I57" i="56" s="1"/>
  <c r="H27" i="56"/>
  <c r="I27" i="56" s="1"/>
  <c r="H49" i="56"/>
  <c r="I49" i="56" s="1"/>
  <c r="H20" i="56"/>
  <c r="I20" i="56" s="1"/>
  <c r="H64" i="56"/>
  <c r="I64" i="56" s="1"/>
  <c r="H71" i="56"/>
  <c r="I71" i="56" s="1"/>
  <c r="H42" i="56"/>
  <c r="I42" i="56" s="1"/>
  <c r="H35" i="56"/>
  <c r="I35" i="56" s="1"/>
  <c r="H13" i="56"/>
  <c r="I13" i="56" s="1"/>
  <c r="I12" i="56"/>
  <c r="I12" i="37"/>
  <c r="H64" i="49"/>
  <c r="I64" i="49" s="1"/>
  <c r="H35" i="49"/>
  <c r="I35" i="49" s="1"/>
  <c r="H59" i="49"/>
  <c r="I59" i="49" s="1"/>
  <c r="H56" i="49"/>
  <c r="I56" i="49" s="1"/>
  <c r="H26" i="49"/>
  <c r="I26" i="49" s="1"/>
  <c r="H44" i="49"/>
  <c r="I44" i="49" s="1"/>
  <c r="H67" i="49"/>
  <c r="I67" i="49" s="1"/>
  <c r="H38" i="49"/>
  <c r="I38" i="49" s="1"/>
  <c r="H51" i="49"/>
  <c r="I51" i="49" s="1"/>
  <c r="H34" i="49"/>
  <c r="I34" i="49" s="1"/>
  <c r="H57" i="49"/>
  <c r="I57" i="49" s="1"/>
  <c r="H27" i="49"/>
  <c r="I27" i="49" s="1"/>
  <c r="H22" i="49"/>
  <c r="I22" i="49" s="1"/>
  <c r="H48" i="49"/>
  <c r="I48" i="49" s="1"/>
  <c r="H19" i="49"/>
  <c r="I19" i="49" s="1"/>
  <c r="H37" i="49"/>
  <c r="I37" i="49" s="1"/>
  <c r="H60" i="49"/>
  <c r="I60" i="49" s="1"/>
  <c r="H30" i="49"/>
  <c r="I30" i="49" s="1"/>
  <c r="H29" i="49"/>
  <c r="I29" i="49" s="1"/>
  <c r="H71" i="49"/>
  <c r="I71" i="49" s="1"/>
  <c r="H45" i="49"/>
  <c r="I45" i="49" s="1"/>
  <c r="H49" i="49"/>
  <c r="I49" i="49" s="1"/>
  <c r="H20" i="49"/>
  <c r="I20" i="49" s="1"/>
  <c r="H70" i="49"/>
  <c r="I70" i="49" s="1"/>
  <c r="H41" i="49"/>
  <c r="I41" i="49" s="1"/>
  <c r="H73" i="49"/>
  <c r="I73" i="49" s="1"/>
  <c r="H15" i="49"/>
  <c r="I15" i="49" s="1"/>
  <c r="H52" i="49"/>
  <c r="I52" i="49" s="1"/>
  <c r="H23" i="49"/>
  <c r="I23" i="49" s="1"/>
  <c r="I12" i="49"/>
  <c r="H42" i="49"/>
  <c r="I42" i="49" s="1"/>
  <c r="H13" i="49"/>
  <c r="I13" i="49" s="1"/>
  <c r="H63" i="49"/>
  <c r="I63" i="49" s="1"/>
  <c r="H66" i="49"/>
  <c r="I66" i="49" s="1"/>
  <c r="H74" i="49"/>
  <c r="I74" i="49" s="1"/>
  <c r="H16" i="49"/>
  <c r="I16" i="49" s="1"/>
  <c r="I54" i="52"/>
  <c r="H14" i="52"/>
  <c r="I14" i="52" s="1"/>
  <c r="I12" i="52"/>
  <c r="B70" i="43" l="1"/>
  <c r="B60" i="43"/>
  <c r="I16" i="55"/>
  <c r="I77" i="57"/>
  <c r="J48" i="43" s="1"/>
  <c r="I57" i="59"/>
  <c r="J51" i="43" s="1"/>
  <c r="I76" i="56"/>
  <c r="B47" i="43" s="1"/>
  <c r="I79" i="56"/>
  <c r="J47" i="43" s="1"/>
  <c r="I76" i="50"/>
  <c r="B46" i="43" s="1"/>
  <c r="I77" i="60"/>
  <c r="J50" i="43" s="1"/>
  <c r="I75" i="60"/>
  <c r="I76" i="49"/>
  <c r="B44" i="43" s="1"/>
  <c r="I76" i="60"/>
  <c r="B50" i="43" s="1"/>
  <c r="I76" i="57"/>
  <c r="B48" i="43" s="1"/>
  <c r="I57" i="52"/>
  <c r="I58" i="58"/>
  <c r="J49" i="43" s="1"/>
  <c r="I77" i="50"/>
  <c r="J46" i="43" s="1"/>
  <c r="I79" i="49"/>
  <c r="J44" i="43" s="1"/>
  <c r="I75" i="49"/>
  <c r="E241" i="49" s="1"/>
  <c r="I57" i="54"/>
  <c r="I57" i="53"/>
  <c r="I57" i="58"/>
  <c r="E176" i="58" s="1"/>
  <c r="I75" i="57"/>
  <c r="I75" i="56"/>
  <c r="E199" i="56" s="1"/>
  <c r="I75" i="50"/>
  <c r="E232" i="50" s="1"/>
  <c r="I57" i="51"/>
  <c r="I14" i="37"/>
  <c r="B64" i="43" l="1"/>
  <c r="C35" i="38"/>
  <c r="E175" i="53"/>
  <c r="O175" i="53" s="1"/>
  <c r="O181" i="53" s="1"/>
  <c r="K23" i="38" s="1"/>
  <c r="J53" i="43"/>
  <c r="E20" i="38"/>
  <c r="E195" i="60"/>
  <c r="O195" i="60" s="1"/>
  <c r="J52" i="43"/>
  <c r="E177" i="52"/>
  <c r="O177" i="52" s="1"/>
  <c r="E176" i="54"/>
  <c r="O176" i="54" s="1"/>
  <c r="J54" i="43"/>
  <c r="E179" i="51"/>
  <c r="O179" i="51" s="1"/>
  <c r="J45" i="43"/>
  <c r="E18" i="38"/>
  <c r="E195" i="57"/>
  <c r="O195" i="57" s="1"/>
  <c r="E19" i="38"/>
  <c r="O176" i="58"/>
  <c r="E21" i="38"/>
  <c r="E179" i="59"/>
  <c r="O179" i="59" s="1"/>
  <c r="E26" i="38"/>
  <c r="E56" i="55"/>
  <c r="O56" i="55" s="1"/>
  <c r="E15" i="38"/>
  <c r="E22" i="38"/>
  <c r="E24" i="38"/>
  <c r="E23" i="38"/>
  <c r="E16" i="38"/>
  <c r="E14" i="38"/>
  <c r="E17" i="38"/>
  <c r="I17" i="37"/>
  <c r="O201" i="57" l="1"/>
  <c r="K18" i="38" s="1"/>
  <c r="O201" i="60"/>
  <c r="K20" i="38" s="1"/>
  <c r="O185" i="59"/>
  <c r="K21" i="38" s="1"/>
  <c r="O182" i="54"/>
  <c r="K24" i="38" s="1"/>
  <c r="O182" i="58"/>
  <c r="K19" i="38" s="1"/>
  <c r="O183" i="52"/>
  <c r="K22" i="38" s="1"/>
  <c r="O185" i="51"/>
  <c r="K15" i="38" s="1"/>
  <c r="O62" i="55"/>
  <c r="K26" i="38" s="1"/>
  <c r="J55" i="43"/>
  <c r="C34" i="38" s="1"/>
  <c r="O233" i="50"/>
  <c r="O232" i="50"/>
  <c r="O242" i="49"/>
  <c r="O241" i="49"/>
  <c r="O200" i="56"/>
  <c r="O199" i="56"/>
  <c r="I19" i="37"/>
  <c r="G8" i="43"/>
  <c r="O205" i="56" l="1"/>
  <c r="K17" i="38" s="1"/>
  <c r="O239" i="50"/>
  <c r="K16" i="38" s="1"/>
  <c r="O250" i="49"/>
  <c r="K14" i="38" s="1"/>
  <c r="I22" i="37"/>
  <c r="G10" i="43"/>
  <c r="K10" i="55"/>
  <c r="J8" i="43"/>
  <c r="G9" i="43"/>
  <c r="G11" i="43"/>
  <c r="G12" i="43"/>
  <c r="G13" i="43"/>
  <c r="K13" i="60" l="1"/>
  <c r="K52" i="60" s="1"/>
  <c r="K13" i="49"/>
  <c r="K13" i="50"/>
  <c r="K12" i="49"/>
  <c r="K12" i="50"/>
  <c r="K12" i="59"/>
  <c r="K33" i="59" s="1"/>
  <c r="K12" i="60"/>
  <c r="K13" i="57"/>
  <c r="K13" i="56"/>
  <c r="J10" i="43"/>
  <c r="K12" i="55"/>
  <c r="K12" i="57"/>
  <c r="K12" i="56"/>
  <c r="K12" i="58"/>
  <c r="K12" i="52"/>
  <c r="I24" i="37"/>
  <c r="K12" i="51"/>
  <c r="J9" i="43"/>
  <c r="K12" i="53"/>
  <c r="K12" i="54"/>
  <c r="K12" i="37"/>
  <c r="K40" i="37" s="1"/>
  <c r="J12" i="43"/>
  <c r="K9" i="55"/>
  <c r="J13" i="43"/>
  <c r="K11" i="55"/>
  <c r="J11" i="43"/>
  <c r="L10" i="55"/>
  <c r="O10" i="55"/>
  <c r="K64" i="60" l="1"/>
  <c r="O64" i="60" s="1"/>
  <c r="K71" i="60"/>
  <c r="O71" i="60" s="1"/>
  <c r="K35" i="60"/>
  <c r="L35" i="60" s="1"/>
  <c r="K30" i="60"/>
  <c r="O30" i="60" s="1"/>
  <c r="K57" i="60"/>
  <c r="L57" i="60" s="1"/>
  <c r="K20" i="60"/>
  <c r="O20" i="60" s="1"/>
  <c r="K27" i="60"/>
  <c r="L27" i="60" s="1"/>
  <c r="K16" i="60"/>
  <c r="L16" i="60" s="1"/>
  <c r="K60" i="60"/>
  <c r="O60" i="60" s="1"/>
  <c r="K42" i="60"/>
  <c r="L42" i="60" s="1"/>
  <c r="O13" i="60"/>
  <c r="K23" i="60"/>
  <c r="O23" i="60" s="1"/>
  <c r="K67" i="60"/>
  <c r="O67" i="60" s="1"/>
  <c r="K74" i="60"/>
  <c r="L74" i="60" s="1"/>
  <c r="K49" i="60"/>
  <c r="O49" i="60" s="1"/>
  <c r="K45" i="60"/>
  <c r="L45" i="60" s="1"/>
  <c r="K38" i="60"/>
  <c r="O38" i="60" s="1"/>
  <c r="L13" i="60"/>
  <c r="K71" i="50"/>
  <c r="K30" i="50"/>
  <c r="K49" i="50"/>
  <c r="K52" i="50"/>
  <c r="K27" i="50"/>
  <c r="K74" i="50"/>
  <c r="K49" i="49"/>
  <c r="K74" i="49"/>
  <c r="K30" i="49"/>
  <c r="K27" i="49"/>
  <c r="K71" i="49"/>
  <c r="K52" i="49"/>
  <c r="K38" i="37"/>
  <c r="K24" i="37"/>
  <c r="K22" i="37"/>
  <c r="K40" i="51"/>
  <c r="K24" i="51"/>
  <c r="K38" i="51"/>
  <c r="K56" i="51"/>
  <c r="K54" i="51"/>
  <c r="K22" i="51"/>
  <c r="K38" i="54"/>
  <c r="K56" i="54"/>
  <c r="K24" i="54"/>
  <c r="K54" i="54"/>
  <c r="K22" i="54"/>
  <c r="K40" i="54"/>
  <c r="L12" i="59"/>
  <c r="K38" i="59"/>
  <c r="L38" i="59" s="1"/>
  <c r="K22" i="59"/>
  <c r="O22" i="59" s="1"/>
  <c r="K56" i="59"/>
  <c r="O56" i="59" s="1"/>
  <c r="K24" i="59"/>
  <c r="L24" i="59" s="1"/>
  <c r="K54" i="59"/>
  <c r="O54" i="59" s="1"/>
  <c r="K40" i="59"/>
  <c r="O40" i="59" s="1"/>
  <c r="K73" i="50"/>
  <c r="K26" i="50"/>
  <c r="K29" i="50"/>
  <c r="K70" i="50"/>
  <c r="K48" i="50"/>
  <c r="K51" i="50"/>
  <c r="O51" i="50" s="1"/>
  <c r="K54" i="53"/>
  <c r="K22" i="53"/>
  <c r="K56" i="53"/>
  <c r="K24" i="53"/>
  <c r="K40" i="53"/>
  <c r="K38" i="53"/>
  <c r="K17" i="59"/>
  <c r="L17" i="59" s="1"/>
  <c r="K29" i="49"/>
  <c r="K48" i="49"/>
  <c r="K73" i="49"/>
  <c r="K51" i="49"/>
  <c r="K70" i="49"/>
  <c r="K26" i="49"/>
  <c r="K38" i="52"/>
  <c r="K56" i="52"/>
  <c r="K24" i="52"/>
  <c r="K54" i="52"/>
  <c r="K22" i="52"/>
  <c r="K40" i="52"/>
  <c r="K70" i="60"/>
  <c r="K48" i="60"/>
  <c r="K26" i="60"/>
  <c r="K51" i="60"/>
  <c r="K73" i="60"/>
  <c r="K29" i="60"/>
  <c r="K54" i="58"/>
  <c r="K38" i="58"/>
  <c r="K22" i="58"/>
  <c r="K56" i="58"/>
  <c r="K40" i="58"/>
  <c r="K24" i="58"/>
  <c r="K27" i="57"/>
  <c r="K74" i="57"/>
  <c r="K52" i="57"/>
  <c r="K30" i="57"/>
  <c r="K71" i="57"/>
  <c r="K49" i="57"/>
  <c r="K70" i="57"/>
  <c r="K48" i="57"/>
  <c r="K26" i="57"/>
  <c r="K73" i="57"/>
  <c r="K51" i="57"/>
  <c r="K29" i="57"/>
  <c r="K48" i="56"/>
  <c r="K26" i="56"/>
  <c r="K51" i="56"/>
  <c r="K29" i="56"/>
  <c r="K52" i="56"/>
  <c r="K30" i="56"/>
  <c r="K49" i="56"/>
  <c r="K27" i="56"/>
  <c r="K49" i="59"/>
  <c r="O49" i="59" s="1"/>
  <c r="O12" i="59"/>
  <c r="K30" i="59"/>
  <c r="O30" i="59" s="1"/>
  <c r="K46" i="59"/>
  <c r="L46" i="59" s="1"/>
  <c r="K14" i="59"/>
  <c r="O14" i="59" s="1"/>
  <c r="K19" i="59"/>
  <c r="O19" i="59" s="1"/>
  <c r="K28" i="59"/>
  <c r="O28" i="59" s="1"/>
  <c r="K35" i="59"/>
  <c r="L35" i="59" s="1"/>
  <c r="K44" i="59"/>
  <c r="O44" i="59" s="1"/>
  <c r="K51" i="59"/>
  <c r="O51" i="59" s="1"/>
  <c r="O52" i="60"/>
  <c r="L52" i="60"/>
  <c r="K41" i="60"/>
  <c r="L12" i="60"/>
  <c r="K63" i="60"/>
  <c r="K44" i="60"/>
  <c r="K56" i="60"/>
  <c r="K15" i="60"/>
  <c r="K22" i="60"/>
  <c r="K37" i="60"/>
  <c r="O12" i="60"/>
  <c r="K66" i="60"/>
  <c r="K19" i="60"/>
  <c r="K34" i="60"/>
  <c r="K59" i="60"/>
  <c r="O33" i="59"/>
  <c r="L33" i="59"/>
  <c r="K51" i="54"/>
  <c r="K30" i="54"/>
  <c r="K19" i="54"/>
  <c r="K44" i="54"/>
  <c r="K49" i="54"/>
  <c r="K28" i="54"/>
  <c r="K17" i="54"/>
  <c r="K33" i="54"/>
  <c r="K46" i="54"/>
  <c r="K35" i="54"/>
  <c r="K14" i="54"/>
  <c r="K51" i="58"/>
  <c r="K49" i="58"/>
  <c r="K46" i="58"/>
  <c r="K35" i="58"/>
  <c r="K33" i="58"/>
  <c r="K30" i="58"/>
  <c r="K19" i="58"/>
  <c r="K14" i="58"/>
  <c r="K28" i="58"/>
  <c r="K17" i="58"/>
  <c r="K44" i="58"/>
  <c r="O12" i="58"/>
  <c r="L12" i="58"/>
  <c r="K64" i="50"/>
  <c r="K57" i="50"/>
  <c r="K42" i="50"/>
  <c r="K35" i="50"/>
  <c r="K20" i="50"/>
  <c r="K45" i="50"/>
  <c r="K16" i="50"/>
  <c r="K67" i="50"/>
  <c r="K38" i="50"/>
  <c r="K23" i="50"/>
  <c r="K60" i="50"/>
  <c r="O13" i="50"/>
  <c r="L13" i="50"/>
  <c r="K64" i="57"/>
  <c r="K57" i="57"/>
  <c r="K42" i="57"/>
  <c r="K35" i="57"/>
  <c r="K20" i="57"/>
  <c r="K67" i="57"/>
  <c r="K60" i="57"/>
  <c r="K45" i="57"/>
  <c r="K38" i="57"/>
  <c r="K23" i="57"/>
  <c r="K16" i="57"/>
  <c r="L13" i="57"/>
  <c r="O13" i="57"/>
  <c r="K64" i="49"/>
  <c r="K57" i="49"/>
  <c r="K42" i="49"/>
  <c r="K35" i="49"/>
  <c r="K20" i="49"/>
  <c r="K67" i="49"/>
  <c r="K38" i="49"/>
  <c r="K60" i="49"/>
  <c r="K16" i="49"/>
  <c r="K23" i="49"/>
  <c r="K45" i="49"/>
  <c r="K66" i="49"/>
  <c r="K59" i="49"/>
  <c r="K44" i="49"/>
  <c r="K37" i="49"/>
  <c r="K22" i="49"/>
  <c r="K15" i="49"/>
  <c r="K63" i="49"/>
  <c r="K56" i="49"/>
  <c r="K41" i="49"/>
  <c r="K34" i="49"/>
  <c r="K19" i="49"/>
  <c r="I28" i="37"/>
  <c r="K66" i="50"/>
  <c r="K59" i="50"/>
  <c r="K44" i="50"/>
  <c r="K37" i="50"/>
  <c r="K22" i="50"/>
  <c r="K15" i="50"/>
  <c r="K63" i="50"/>
  <c r="K56" i="50"/>
  <c r="K41" i="50"/>
  <c r="K34" i="50"/>
  <c r="K19" i="50"/>
  <c r="K51" i="51"/>
  <c r="K30" i="51"/>
  <c r="K19" i="51"/>
  <c r="K49" i="51"/>
  <c r="K28" i="51"/>
  <c r="K17" i="51"/>
  <c r="K46" i="51"/>
  <c r="K35" i="51"/>
  <c r="K14" i="51"/>
  <c r="O14" i="51" s="1"/>
  <c r="K44" i="51"/>
  <c r="K33" i="51"/>
  <c r="O12" i="55"/>
  <c r="L12" i="55"/>
  <c r="K73" i="56"/>
  <c r="K66" i="56"/>
  <c r="K59" i="56"/>
  <c r="K44" i="56"/>
  <c r="K37" i="56"/>
  <c r="K22" i="56"/>
  <c r="K15" i="56"/>
  <c r="K70" i="56"/>
  <c r="K63" i="56"/>
  <c r="K56" i="56"/>
  <c r="K41" i="56"/>
  <c r="K34" i="56"/>
  <c r="K19" i="56"/>
  <c r="O12" i="56"/>
  <c r="L12" i="56"/>
  <c r="K30" i="52"/>
  <c r="K14" i="52"/>
  <c r="K35" i="52"/>
  <c r="K33" i="52"/>
  <c r="K28" i="52"/>
  <c r="K51" i="52"/>
  <c r="L12" i="52"/>
  <c r="O12" i="52"/>
  <c r="K46" i="52"/>
  <c r="K44" i="52"/>
  <c r="K49" i="52"/>
  <c r="K19" i="52"/>
  <c r="K17" i="52"/>
  <c r="K63" i="57"/>
  <c r="K56" i="57"/>
  <c r="K41" i="57"/>
  <c r="K34" i="57"/>
  <c r="K19" i="57"/>
  <c r="K44" i="57"/>
  <c r="K15" i="57"/>
  <c r="K66" i="57"/>
  <c r="K37" i="57"/>
  <c r="K59" i="57"/>
  <c r="K22" i="57"/>
  <c r="L12" i="57"/>
  <c r="O12" i="57"/>
  <c r="K71" i="56"/>
  <c r="K64" i="56"/>
  <c r="K57" i="56"/>
  <c r="K42" i="56"/>
  <c r="K35" i="56"/>
  <c r="K20" i="56"/>
  <c r="K60" i="56"/>
  <c r="K67" i="56"/>
  <c r="K23" i="56"/>
  <c r="K38" i="56"/>
  <c r="K74" i="56"/>
  <c r="K45" i="56"/>
  <c r="K16" i="56"/>
  <c r="O13" i="56"/>
  <c r="L13" i="56"/>
  <c r="K49" i="53"/>
  <c r="K28" i="53"/>
  <c r="K17" i="53"/>
  <c r="K44" i="53"/>
  <c r="K51" i="53"/>
  <c r="K19" i="53"/>
  <c r="K46" i="53"/>
  <c r="K35" i="53"/>
  <c r="K14" i="53"/>
  <c r="K33" i="53"/>
  <c r="K30" i="53"/>
  <c r="L9" i="55"/>
  <c r="O9" i="55"/>
  <c r="K35" i="37"/>
  <c r="K28" i="37"/>
  <c r="K33" i="37"/>
  <c r="L12" i="37"/>
  <c r="K17" i="37"/>
  <c r="O12" i="37"/>
  <c r="K30" i="37"/>
  <c r="K19" i="37"/>
  <c r="K14" i="37"/>
  <c r="L12" i="49"/>
  <c r="O12" i="49"/>
  <c r="L12" i="53"/>
  <c r="O12" i="53"/>
  <c r="L12" i="50"/>
  <c r="O12" i="50"/>
  <c r="L13" i="49"/>
  <c r="O13" i="49"/>
  <c r="L11" i="55"/>
  <c r="O11" i="55"/>
  <c r="L12" i="54"/>
  <c r="O12" i="54"/>
  <c r="O12" i="51"/>
  <c r="L12" i="51"/>
  <c r="L64" i="60" l="1"/>
  <c r="L71" i="60"/>
  <c r="L49" i="60"/>
  <c r="O16" i="60"/>
  <c r="L23" i="60"/>
  <c r="L30" i="60"/>
  <c r="O16" i="55"/>
  <c r="O35" i="60"/>
  <c r="O27" i="60"/>
  <c r="L19" i="59"/>
  <c r="L60" i="60"/>
  <c r="O57" i="60"/>
  <c r="L20" i="60"/>
  <c r="L38" i="60"/>
  <c r="O42" i="60"/>
  <c r="O74" i="60"/>
  <c r="L56" i="59"/>
  <c r="O24" i="59"/>
  <c r="L67" i="60"/>
  <c r="O45" i="60"/>
  <c r="L40" i="59"/>
  <c r="L49" i="59"/>
  <c r="O46" i="59"/>
  <c r="L14" i="59"/>
  <c r="O38" i="59"/>
  <c r="L44" i="59"/>
  <c r="L28" i="59"/>
  <c r="L51" i="59"/>
  <c r="L30" i="59"/>
  <c r="K54" i="37"/>
  <c r="K56" i="37"/>
  <c r="O17" i="59"/>
  <c r="O35" i="59"/>
  <c r="L22" i="59"/>
  <c r="L54" i="59"/>
  <c r="O26" i="60"/>
  <c r="L26" i="60"/>
  <c r="L66" i="60"/>
  <c r="O66" i="60"/>
  <c r="L22" i="60"/>
  <c r="O22" i="60"/>
  <c r="L44" i="60"/>
  <c r="O44" i="60"/>
  <c r="L59" i="60"/>
  <c r="O59" i="60"/>
  <c r="O19" i="60"/>
  <c r="L19" i="60"/>
  <c r="O15" i="60"/>
  <c r="L15" i="60"/>
  <c r="O63" i="60"/>
  <c r="L63" i="60"/>
  <c r="L73" i="60"/>
  <c r="O73" i="60"/>
  <c r="O48" i="60"/>
  <c r="L48" i="60"/>
  <c r="O37" i="60"/>
  <c r="L37" i="60"/>
  <c r="O56" i="60"/>
  <c r="L56" i="60"/>
  <c r="O34" i="60"/>
  <c r="L34" i="60"/>
  <c r="L51" i="60"/>
  <c r="O51" i="60"/>
  <c r="O29" i="60"/>
  <c r="L29" i="60"/>
  <c r="L70" i="60"/>
  <c r="O70" i="60"/>
  <c r="L41" i="60"/>
  <c r="O41" i="60"/>
  <c r="L51" i="50"/>
  <c r="O23" i="56"/>
  <c r="L23" i="56"/>
  <c r="O42" i="56"/>
  <c r="L42" i="56"/>
  <c r="L66" i="57"/>
  <c r="O66" i="57"/>
  <c r="O17" i="52"/>
  <c r="L17" i="52"/>
  <c r="L33" i="52"/>
  <c r="O33" i="52"/>
  <c r="O70" i="56"/>
  <c r="L70" i="56"/>
  <c r="L33" i="51"/>
  <c r="O33" i="51"/>
  <c r="O56" i="51"/>
  <c r="L56" i="51"/>
  <c r="O23" i="57"/>
  <c r="L23" i="57"/>
  <c r="L14" i="51"/>
  <c r="L74" i="56"/>
  <c r="O74" i="56"/>
  <c r="O27" i="56"/>
  <c r="L27" i="56"/>
  <c r="L57" i="56"/>
  <c r="O57" i="56"/>
  <c r="L51" i="57"/>
  <c r="O51" i="57"/>
  <c r="L44" i="57"/>
  <c r="O44" i="57"/>
  <c r="L34" i="57"/>
  <c r="O34" i="57"/>
  <c r="O63" i="57"/>
  <c r="L63" i="57"/>
  <c r="O49" i="52"/>
  <c r="L49" i="52"/>
  <c r="L24" i="52"/>
  <c r="O24" i="52"/>
  <c r="O40" i="52"/>
  <c r="L40" i="52"/>
  <c r="O35" i="52"/>
  <c r="L35" i="52"/>
  <c r="L54" i="52"/>
  <c r="O54" i="52"/>
  <c r="L26" i="56"/>
  <c r="O26" i="56"/>
  <c r="O56" i="56"/>
  <c r="L56" i="56"/>
  <c r="L22" i="56"/>
  <c r="O22" i="56"/>
  <c r="L51" i="56"/>
  <c r="O51" i="56"/>
  <c r="O22" i="51"/>
  <c r="L22" i="51"/>
  <c r="L35" i="51"/>
  <c r="O35" i="51"/>
  <c r="L28" i="51"/>
  <c r="O28" i="51"/>
  <c r="O30" i="51"/>
  <c r="L30" i="51"/>
  <c r="I30" i="37"/>
  <c r="L41" i="49"/>
  <c r="O41" i="49"/>
  <c r="O70" i="49"/>
  <c r="L70" i="49"/>
  <c r="O37" i="49"/>
  <c r="L37" i="49"/>
  <c r="O66" i="49"/>
  <c r="L66" i="49"/>
  <c r="O38" i="49"/>
  <c r="L38" i="49"/>
  <c r="O35" i="49"/>
  <c r="L35" i="49"/>
  <c r="L64" i="49"/>
  <c r="O64" i="49"/>
  <c r="L38" i="57"/>
  <c r="O38" i="57"/>
  <c r="O67" i="57"/>
  <c r="L67" i="57"/>
  <c r="O35" i="57"/>
  <c r="L35" i="57"/>
  <c r="O64" i="57"/>
  <c r="L64" i="57"/>
  <c r="L30" i="50"/>
  <c r="O30" i="50"/>
  <c r="L67" i="50"/>
  <c r="O67" i="50"/>
  <c r="O74" i="50"/>
  <c r="L74" i="50"/>
  <c r="L42" i="50"/>
  <c r="O42" i="50"/>
  <c r="L71" i="50"/>
  <c r="O71" i="50"/>
  <c r="O17" i="58"/>
  <c r="L17" i="58"/>
  <c r="L19" i="58"/>
  <c r="O19" i="58"/>
  <c r="O33" i="58"/>
  <c r="L33" i="58"/>
  <c r="O38" i="58"/>
  <c r="L38" i="58"/>
  <c r="L54" i="54"/>
  <c r="O54" i="54"/>
  <c r="O46" i="54"/>
  <c r="L46" i="54"/>
  <c r="L28" i="54"/>
  <c r="O28" i="54"/>
  <c r="L44" i="54"/>
  <c r="O44" i="54"/>
  <c r="L51" i="54"/>
  <c r="O51" i="54"/>
  <c r="O38" i="56"/>
  <c r="L38" i="56"/>
  <c r="O30" i="56"/>
  <c r="L30" i="56"/>
  <c r="L35" i="56"/>
  <c r="O35" i="56"/>
  <c r="O64" i="56"/>
  <c r="L64" i="56"/>
  <c r="O22" i="57"/>
  <c r="L22" i="57"/>
  <c r="L37" i="57"/>
  <c r="O37" i="57"/>
  <c r="L73" i="57"/>
  <c r="O73" i="57"/>
  <c r="L41" i="57"/>
  <c r="O41" i="57"/>
  <c r="L70" i="57"/>
  <c r="O70" i="57"/>
  <c r="O44" i="52"/>
  <c r="L44" i="52"/>
  <c r="O28" i="52"/>
  <c r="L28" i="52"/>
  <c r="O14" i="52"/>
  <c r="L14" i="52"/>
  <c r="O34" i="56"/>
  <c r="L34" i="56"/>
  <c r="L63" i="56"/>
  <c r="O63" i="56"/>
  <c r="O29" i="56"/>
  <c r="L29" i="56"/>
  <c r="O59" i="56"/>
  <c r="L59" i="56"/>
  <c r="L54" i="51"/>
  <c r="O54" i="51"/>
  <c r="L46" i="51"/>
  <c r="O46" i="51"/>
  <c r="O38" i="51"/>
  <c r="L38" i="51"/>
  <c r="O40" i="51"/>
  <c r="L40" i="51"/>
  <c r="O48" i="49"/>
  <c r="L48" i="49"/>
  <c r="O44" i="49"/>
  <c r="L44" i="49"/>
  <c r="O73" i="49"/>
  <c r="L73" i="49"/>
  <c r="O67" i="49"/>
  <c r="L67" i="49"/>
  <c r="L42" i="49"/>
  <c r="O42" i="49"/>
  <c r="L71" i="49"/>
  <c r="O71" i="49"/>
  <c r="O16" i="57"/>
  <c r="L16" i="57"/>
  <c r="L45" i="57"/>
  <c r="O45" i="57"/>
  <c r="L74" i="57"/>
  <c r="O74" i="57"/>
  <c r="O42" i="57"/>
  <c r="L42" i="57"/>
  <c r="O71" i="57"/>
  <c r="L71" i="57"/>
  <c r="L60" i="50"/>
  <c r="O60" i="50"/>
  <c r="L20" i="50"/>
  <c r="O20" i="50"/>
  <c r="L49" i="50"/>
  <c r="O49" i="50"/>
  <c r="O28" i="58"/>
  <c r="L28" i="58"/>
  <c r="O30" i="58"/>
  <c r="L30" i="58"/>
  <c r="O35" i="58"/>
  <c r="L35" i="58"/>
  <c r="L49" i="58"/>
  <c r="O49" i="58"/>
  <c r="L56" i="54"/>
  <c r="O56" i="54"/>
  <c r="L38" i="54"/>
  <c r="O38" i="54"/>
  <c r="L29" i="57"/>
  <c r="O29" i="57"/>
  <c r="O60" i="56"/>
  <c r="L60" i="56"/>
  <c r="L19" i="57"/>
  <c r="O19" i="57"/>
  <c r="O22" i="52"/>
  <c r="L22" i="52"/>
  <c r="O37" i="56"/>
  <c r="L37" i="56"/>
  <c r="O51" i="51"/>
  <c r="L51" i="51"/>
  <c r="O56" i="49"/>
  <c r="L56" i="49"/>
  <c r="L51" i="49"/>
  <c r="O51" i="49"/>
  <c r="O45" i="49"/>
  <c r="L45" i="49"/>
  <c r="L49" i="49"/>
  <c r="O49" i="49"/>
  <c r="O74" i="49"/>
  <c r="L74" i="49"/>
  <c r="L52" i="57"/>
  <c r="O52" i="57"/>
  <c r="L20" i="57"/>
  <c r="O20" i="57"/>
  <c r="O49" i="57"/>
  <c r="L49" i="57"/>
  <c r="L23" i="50"/>
  <c r="O23" i="50"/>
  <c r="L16" i="50"/>
  <c r="O16" i="50"/>
  <c r="O27" i="50"/>
  <c r="L27" i="50"/>
  <c r="L57" i="50"/>
  <c r="O57" i="50"/>
  <c r="L54" i="58"/>
  <c r="O54" i="58"/>
  <c r="O24" i="58"/>
  <c r="L24" i="58"/>
  <c r="L46" i="58"/>
  <c r="O46" i="58"/>
  <c r="L40" i="58"/>
  <c r="O40" i="58"/>
  <c r="L24" i="54"/>
  <c r="O24" i="54"/>
  <c r="L33" i="54"/>
  <c r="O33" i="54"/>
  <c r="L49" i="54"/>
  <c r="O49" i="54"/>
  <c r="L30" i="54"/>
  <c r="O30" i="54"/>
  <c r="O45" i="56"/>
  <c r="L45" i="56"/>
  <c r="O52" i="56"/>
  <c r="L52" i="56"/>
  <c r="O20" i="56"/>
  <c r="L20" i="56"/>
  <c r="O49" i="56"/>
  <c r="L49" i="56"/>
  <c r="O59" i="57"/>
  <c r="L59" i="57"/>
  <c r="O15" i="57"/>
  <c r="L15" i="57"/>
  <c r="L26" i="57"/>
  <c r="O26" i="57"/>
  <c r="L56" i="57"/>
  <c r="O56" i="57"/>
  <c r="O19" i="52"/>
  <c r="L19" i="52"/>
  <c r="L46" i="52"/>
  <c r="O46" i="52"/>
  <c r="L51" i="52"/>
  <c r="O51" i="52"/>
  <c r="O56" i="52"/>
  <c r="L56" i="52"/>
  <c r="O38" i="52"/>
  <c r="L38" i="52"/>
  <c r="L19" i="56"/>
  <c r="O19" i="56"/>
  <c r="L48" i="56"/>
  <c r="O48" i="56"/>
  <c r="O15" i="56"/>
  <c r="L15" i="56"/>
  <c r="O44" i="56"/>
  <c r="L44" i="56"/>
  <c r="L73" i="56"/>
  <c r="O73" i="56"/>
  <c r="L44" i="51"/>
  <c r="O44" i="51"/>
  <c r="O24" i="51"/>
  <c r="L24" i="51"/>
  <c r="O34" i="49"/>
  <c r="L34" i="49"/>
  <c r="O63" i="49"/>
  <c r="L63" i="49"/>
  <c r="O59" i="49"/>
  <c r="L59" i="49"/>
  <c r="O60" i="49"/>
  <c r="L60" i="49"/>
  <c r="O57" i="49"/>
  <c r="L57" i="49"/>
  <c r="O30" i="57"/>
  <c r="L30" i="57"/>
  <c r="L60" i="57"/>
  <c r="O60" i="57"/>
  <c r="L27" i="57"/>
  <c r="O27" i="57"/>
  <c r="L57" i="57"/>
  <c r="O57" i="57"/>
  <c r="L38" i="50"/>
  <c r="O38" i="50"/>
  <c r="L45" i="50"/>
  <c r="O45" i="50"/>
  <c r="O35" i="50"/>
  <c r="L35" i="50"/>
  <c r="O64" i="50"/>
  <c r="L64" i="50"/>
  <c r="L44" i="58"/>
  <c r="O44" i="58"/>
  <c r="O14" i="58"/>
  <c r="L14" i="58"/>
  <c r="O22" i="58"/>
  <c r="L22" i="58"/>
  <c r="L56" i="58"/>
  <c r="O56" i="58"/>
  <c r="L51" i="58"/>
  <c r="O51" i="58"/>
  <c r="L35" i="54"/>
  <c r="O35" i="54"/>
  <c r="L22" i="54"/>
  <c r="O22" i="54"/>
  <c r="L40" i="54"/>
  <c r="O40" i="54"/>
  <c r="O16" i="56"/>
  <c r="L16" i="56"/>
  <c r="L71" i="56"/>
  <c r="O71" i="56"/>
  <c r="L48" i="57"/>
  <c r="O48" i="57"/>
  <c r="O30" i="52"/>
  <c r="L30" i="52"/>
  <c r="O41" i="56"/>
  <c r="L41" i="56"/>
  <c r="O66" i="56"/>
  <c r="L66" i="56"/>
  <c r="O49" i="51"/>
  <c r="L49" i="51"/>
  <c r="L67" i="56"/>
  <c r="O67" i="56"/>
  <c r="O52" i="49"/>
  <c r="L52" i="49"/>
  <c r="L56" i="53"/>
  <c r="O56" i="53"/>
  <c r="L28" i="53"/>
  <c r="O28" i="53"/>
  <c r="L33" i="53"/>
  <c r="O33" i="53"/>
  <c r="L51" i="53"/>
  <c r="O51" i="53"/>
  <c r="L24" i="53"/>
  <c r="O24" i="53"/>
  <c r="O19" i="53"/>
  <c r="L19" i="53"/>
  <c r="O44" i="53"/>
  <c r="L44" i="53"/>
  <c r="L38" i="53"/>
  <c r="O38" i="53"/>
  <c r="L46" i="53"/>
  <c r="O46" i="53"/>
  <c r="L17" i="53"/>
  <c r="O17" i="53"/>
  <c r="L14" i="53"/>
  <c r="O14" i="53"/>
  <c r="L22" i="53"/>
  <c r="O22" i="53"/>
  <c r="O30" i="53"/>
  <c r="L30" i="53"/>
  <c r="L35" i="53"/>
  <c r="O35" i="53"/>
  <c r="L40" i="53"/>
  <c r="O40" i="53"/>
  <c r="L54" i="53"/>
  <c r="O54" i="53"/>
  <c r="O49" i="53"/>
  <c r="L49" i="53"/>
  <c r="O30" i="49"/>
  <c r="L30" i="49"/>
  <c r="L29" i="49"/>
  <c r="O29" i="49"/>
  <c r="O19" i="51"/>
  <c r="L19" i="51"/>
  <c r="K49" i="37"/>
  <c r="K44" i="37"/>
  <c r="K51" i="37"/>
  <c r="K46" i="37"/>
  <c r="L52" i="50"/>
  <c r="O52" i="50"/>
  <c r="O15" i="50"/>
  <c r="L15" i="50"/>
  <c r="L37" i="50"/>
  <c r="O37" i="50"/>
  <c r="O29" i="50"/>
  <c r="L29" i="50"/>
  <c r="O34" i="50"/>
  <c r="L34" i="50"/>
  <c r="O15" i="49"/>
  <c r="L15" i="49"/>
  <c r="O17" i="37"/>
  <c r="L17" i="37"/>
  <c r="L44" i="50"/>
  <c r="O44" i="50"/>
  <c r="L14" i="37"/>
  <c r="O14" i="37"/>
  <c r="O30" i="37"/>
  <c r="L30" i="37"/>
  <c r="L35" i="37"/>
  <c r="O35" i="37"/>
  <c r="O23" i="49"/>
  <c r="L23" i="49"/>
  <c r="O20" i="49"/>
  <c r="L20" i="49"/>
  <c r="L19" i="50"/>
  <c r="O19" i="50"/>
  <c r="O38" i="37"/>
  <c r="L38" i="37"/>
  <c r="L27" i="49"/>
  <c r="O27" i="49"/>
  <c r="L17" i="51"/>
  <c r="O17" i="51"/>
  <c r="O41" i="50"/>
  <c r="L41" i="50"/>
  <c r="O26" i="50"/>
  <c r="L26" i="50"/>
  <c r="L19" i="49"/>
  <c r="O19" i="49"/>
  <c r="O40" i="37"/>
  <c r="L40" i="37"/>
  <c r="O22" i="37"/>
  <c r="L22" i="37"/>
  <c r="L28" i="37"/>
  <c r="O28" i="37"/>
  <c r="O14" i="54"/>
  <c r="L14" i="54"/>
  <c r="O16" i="49"/>
  <c r="L16" i="49"/>
  <c r="O22" i="50"/>
  <c r="L22" i="50"/>
  <c r="O48" i="50"/>
  <c r="L48" i="50"/>
  <c r="O22" i="49"/>
  <c r="L22" i="49"/>
  <c r="O26" i="49"/>
  <c r="L26" i="49"/>
  <c r="O19" i="37"/>
  <c r="L19" i="37"/>
  <c r="L24" i="37"/>
  <c r="O24" i="37"/>
  <c r="L33" i="37"/>
  <c r="O33" i="37"/>
  <c r="O57" i="52" l="1"/>
  <c r="O57" i="59"/>
  <c r="O75" i="60"/>
  <c r="O75" i="49"/>
  <c r="O252" i="49" s="1"/>
  <c r="O57" i="53"/>
  <c r="O183" i="53" s="1"/>
  <c r="O57" i="58"/>
  <c r="O184" i="58" s="1"/>
  <c r="O75" i="57"/>
  <c r="O75" i="56"/>
  <c r="O207" i="56" s="1"/>
  <c r="O187" i="51"/>
  <c r="I33" i="37"/>
  <c r="L66" i="50"/>
  <c r="O66" i="50"/>
  <c r="L63" i="50"/>
  <c r="O63" i="50"/>
  <c r="L56" i="50"/>
  <c r="O56" i="50"/>
  <c r="L70" i="50"/>
  <c r="O70" i="50"/>
  <c r="L59" i="50"/>
  <c r="O59" i="50"/>
  <c r="L73" i="50"/>
  <c r="O73" i="50"/>
  <c r="L56" i="37"/>
  <c r="O56" i="37"/>
  <c r="L44" i="37"/>
  <c r="O44" i="37"/>
  <c r="L46" i="37"/>
  <c r="O46" i="37"/>
  <c r="L49" i="37"/>
  <c r="O49" i="37"/>
  <c r="L51" i="37"/>
  <c r="O51" i="37"/>
  <c r="L54" i="37"/>
  <c r="O54" i="37"/>
  <c r="O17" i="54"/>
  <c r="L17" i="54"/>
  <c r="G26" i="38"/>
  <c r="O83" i="55"/>
  <c r="O57" i="37" l="1"/>
  <c r="G20" i="38"/>
  <c r="L20" i="38" s="1"/>
  <c r="M20" i="38" s="1"/>
  <c r="O203" i="60"/>
  <c r="O207" i="60" s="1"/>
  <c r="G21" i="38"/>
  <c r="L21" i="38" s="1"/>
  <c r="N21" i="38" s="1"/>
  <c r="O187" i="59"/>
  <c r="O193" i="59" s="1"/>
  <c r="O185" i="52"/>
  <c r="O206" i="59"/>
  <c r="O75" i="50"/>
  <c r="O241" i="50" s="1"/>
  <c r="O222" i="60"/>
  <c r="O202" i="53"/>
  <c r="O191" i="53"/>
  <c r="G19" i="38"/>
  <c r="O188" i="58"/>
  <c r="O203" i="58"/>
  <c r="O226" i="56"/>
  <c r="G17" i="38"/>
  <c r="L17" i="38" s="1"/>
  <c r="O222" i="57"/>
  <c r="G18" i="38"/>
  <c r="G23" i="38"/>
  <c r="L23" i="38" s="1"/>
  <c r="I35" i="37"/>
  <c r="O213" i="56"/>
  <c r="O215" i="56"/>
  <c r="O209" i="56"/>
  <c r="O211" i="56"/>
  <c r="O271" i="49"/>
  <c r="G15" i="38"/>
  <c r="L15" i="38" s="1"/>
  <c r="O206" i="51"/>
  <c r="G14" i="38"/>
  <c r="O19" i="54"/>
  <c r="O57" i="54" s="1"/>
  <c r="O184" i="54" s="1"/>
  <c r="L19" i="54"/>
  <c r="O195" i="51"/>
  <c r="O193" i="51"/>
  <c r="O189" i="51"/>
  <c r="O191" i="51"/>
  <c r="N20" i="38" l="1"/>
  <c r="P20" i="38" s="1"/>
  <c r="Q20" i="38" s="1"/>
  <c r="R20" i="38" s="1"/>
  <c r="O217" i="56"/>
  <c r="O219" i="56" s="1"/>
  <c r="O221" i="56" s="1"/>
  <c r="O197" i="51"/>
  <c r="O199" i="51" s="1"/>
  <c r="O201" i="51" s="1"/>
  <c r="L19" i="38"/>
  <c r="M21" i="38"/>
  <c r="P21" i="38" s="1"/>
  <c r="Q21" i="38" s="1"/>
  <c r="R21" i="38" s="1"/>
  <c r="G22" i="38"/>
  <c r="O204" i="52"/>
  <c r="O195" i="59"/>
  <c r="O189" i="59"/>
  <c r="O191" i="59"/>
  <c r="O209" i="60"/>
  <c r="O205" i="60"/>
  <c r="O211" i="60"/>
  <c r="O260" i="50"/>
  <c r="O249" i="50"/>
  <c r="N23" i="38"/>
  <c r="M17" i="38"/>
  <c r="N15" i="38"/>
  <c r="O192" i="58"/>
  <c r="O186" i="58"/>
  <c r="O190" i="58"/>
  <c r="G16" i="38"/>
  <c r="L16" i="38" s="1"/>
  <c r="O189" i="53"/>
  <c r="O185" i="53"/>
  <c r="O187" i="53"/>
  <c r="M23" i="38"/>
  <c r="O187" i="52"/>
  <c r="O189" i="52"/>
  <c r="O193" i="52"/>
  <c r="O191" i="52"/>
  <c r="I38" i="37"/>
  <c r="G13" i="38"/>
  <c r="O206" i="37"/>
  <c r="G24" i="38"/>
  <c r="L24" i="38" s="1"/>
  <c r="O203" i="54"/>
  <c r="O195" i="52" l="1"/>
  <c r="O197" i="52" s="1"/>
  <c r="O199" i="52" s="1"/>
  <c r="O213" i="60"/>
  <c r="O215" i="60" s="1"/>
  <c r="O217" i="60" s="1"/>
  <c r="O228" i="60" s="1"/>
  <c r="U20" i="38" s="1"/>
  <c r="O197" i="59"/>
  <c r="O199" i="59" s="1"/>
  <c r="O201" i="59" s="1"/>
  <c r="O212" i="59" s="1"/>
  <c r="U21" i="38" s="1"/>
  <c r="O194" i="58"/>
  <c r="O196" i="58" s="1"/>
  <c r="O198" i="58" s="1"/>
  <c r="O208" i="58" s="1"/>
  <c r="T19" i="38" s="1"/>
  <c r="L22" i="38"/>
  <c r="P23" i="38"/>
  <c r="Q23" i="38" s="1"/>
  <c r="R23" i="38" s="1"/>
  <c r="M19" i="38"/>
  <c r="N19" i="38"/>
  <c r="O193" i="53"/>
  <c r="O195" i="53" s="1"/>
  <c r="O197" i="53" s="1"/>
  <c r="N17" i="38"/>
  <c r="M15" i="38"/>
  <c r="M16" i="38"/>
  <c r="G28" i="38"/>
  <c r="O231" i="56"/>
  <c r="T17" i="38" s="1"/>
  <c r="O232" i="56"/>
  <c r="U17" i="38" s="1"/>
  <c r="O247" i="50"/>
  <c r="O243" i="50"/>
  <c r="O245" i="50"/>
  <c r="O212" i="51"/>
  <c r="U15" i="38" s="1"/>
  <c r="O211" i="51"/>
  <c r="T15" i="38" s="1"/>
  <c r="I40" i="37"/>
  <c r="O186" i="54"/>
  <c r="O190" i="54"/>
  <c r="O188" i="54"/>
  <c r="O192" i="54"/>
  <c r="O251" i="50" l="1"/>
  <c r="O253" i="50" s="1"/>
  <c r="O255" i="50" s="1"/>
  <c r="O266" i="50" s="1"/>
  <c r="U16" i="38" s="1"/>
  <c r="P19" i="38"/>
  <c r="Q19" i="38" s="1"/>
  <c r="R19" i="38" s="1"/>
  <c r="P17" i="38"/>
  <c r="Q17" i="38" s="1"/>
  <c r="R17" i="38" s="1"/>
  <c r="N22" i="38"/>
  <c r="M22" i="38"/>
  <c r="O194" i="54"/>
  <c r="O196" i="54" s="1"/>
  <c r="O198" i="54" s="1"/>
  <c r="P15" i="38"/>
  <c r="Q15" i="38" s="1"/>
  <c r="R15" i="38" s="1"/>
  <c r="O211" i="59"/>
  <c r="T21" i="38" s="1"/>
  <c r="O227" i="60"/>
  <c r="T20" i="38" s="1"/>
  <c r="N16" i="38"/>
  <c r="O209" i="58"/>
  <c r="U19" i="38" s="1"/>
  <c r="O207" i="53"/>
  <c r="T23" i="38" s="1"/>
  <c r="O208" i="53"/>
  <c r="U23" i="38" s="1"/>
  <c r="O209" i="52"/>
  <c r="T22" i="38" s="1"/>
  <c r="O210" i="52"/>
  <c r="U22" i="38" s="1"/>
  <c r="I44" i="37"/>
  <c r="M24" i="38"/>
  <c r="N24" i="38"/>
  <c r="P22" i="38" l="1"/>
  <c r="Q22" i="38" s="1"/>
  <c r="R22" i="38" s="1"/>
  <c r="P16" i="38"/>
  <c r="Q16" i="38" s="1"/>
  <c r="R16" i="38" s="1"/>
  <c r="P24" i="38"/>
  <c r="O208" i="54"/>
  <c r="T24" i="38" s="1"/>
  <c r="O209" i="54"/>
  <c r="U24" i="38" s="1"/>
  <c r="O265" i="50"/>
  <c r="T16" i="38" s="1"/>
  <c r="I46" i="37"/>
  <c r="I49" i="37" l="1"/>
  <c r="Q24" i="38"/>
  <c r="I51" i="37" l="1"/>
  <c r="R24" i="38"/>
  <c r="O256" i="49"/>
  <c r="O254" i="49"/>
  <c r="O260" i="49"/>
  <c r="O258" i="49"/>
  <c r="O262" i="49" l="1"/>
  <c r="O264" i="49" s="1"/>
  <c r="O266" i="49" s="1"/>
  <c r="I56" i="37"/>
  <c r="I54" i="37"/>
  <c r="I57" i="37" l="1"/>
  <c r="B43" i="43" s="1"/>
  <c r="B55" i="43" s="1"/>
  <c r="O277" i="49"/>
  <c r="U14" i="38" s="1"/>
  <c r="O276" i="49"/>
  <c r="T14" i="38" s="1"/>
  <c r="H14" i="38"/>
  <c r="L14" i="38" s="1"/>
  <c r="B56" i="43" l="1"/>
  <c r="B73" i="43" s="1"/>
  <c r="C33" i="38"/>
  <c r="C39" i="38" s="1"/>
  <c r="E177" i="37"/>
  <c r="O177" i="37" s="1"/>
  <c r="E13" i="38"/>
  <c r="E28" i="38" s="1"/>
  <c r="O27" i="55" s="1"/>
  <c r="O178" i="37"/>
  <c r="F16" i="63" l="1"/>
  <c r="G16" i="63" s="1"/>
  <c r="G17" i="63" s="1"/>
  <c r="O185" i="37"/>
  <c r="O187" i="37" s="1"/>
  <c r="H26" i="38"/>
  <c r="H28" i="38" s="1"/>
  <c r="O38" i="55"/>
  <c r="O64" i="55" s="1"/>
  <c r="N14" i="38"/>
  <c r="M14" i="38"/>
  <c r="P14" i="38" l="1"/>
  <c r="O70" i="55"/>
  <c r="O84" i="55"/>
  <c r="I26" i="38"/>
  <c r="L26" i="38" s="1"/>
  <c r="K13" i="38"/>
  <c r="K28" i="38" s="1"/>
  <c r="O191" i="37"/>
  <c r="O195" i="37"/>
  <c r="O189" i="37"/>
  <c r="O193" i="37"/>
  <c r="O72" i="55"/>
  <c r="O66" i="55"/>
  <c r="O68" i="55"/>
  <c r="O74" i="55" l="1"/>
  <c r="O76" i="55" s="1"/>
  <c r="O78" i="55" s="1"/>
  <c r="O197" i="37"/>
  <c r="O199" i="37" s="1"/>
  <c r="O201" i="37" s="1"/>
  <c r="O212" i="37" s="1"/>
  <c r="U13" i="38" s="1"/>
  <c r="L13" i="38"/>
  <c r="N26" i="38"/>
  <c r="Q14" i="38"/>
  <c r="R14" i="38" s="1"/>
  <c r="M13" i="38" l="1"/>
  <c r="N13" i="38"/>
  <c r="M26" i="38"/>
  <c r="O211" i="37"/>
  <c r="T13" i="38" s="1"/>
  <c r="O89" i="55"/>
  <c r="U26" i="38" s="1"/>
  <c r="O88" i="55"/>
  <c r="T26" i="38" s="1"/>
  <c r="L136" i="57"/>
  <c r="O136" i="57"/>
  <c r="O181" i="57" s="1"/>
  <c r="O203" i="57" s="1"/>
  <c r="P26" i="38" l="1"/>
  <c r="Q26" i="38" s="1"/>
  <c r="R26" i="38" s="1"/>
  <c r="P13" i="38"/>
  <c r="O209" i="57"/>
  <c r="O205" i="57"/>
  <c r="O207" i="57"/>
  <c r="O211" i="57"/>
  <c r="I18" i="38"/>
  <c r="L18" i="38" s="1"/>
  <c r="O223" i="57"/>
  <c r="O213" i="57" l="1"/>
  <c r="O215" i="57" s="1"/>
  <c r="O217" i="57" s="1"/>
  <c r="L28" i="38"/>
  <c r="Q13" i="38"/>
  <c r="R13" i="38" s="1"/>
  <c r="I28" i="38"/>
  <c r="G30" i="38" s="1"/>
  <c r="O227" i="57" l="1"/>
  <c r="T18" i="38" s="1"/>
  <c r="O228" i="57"/>
  <c r="U18" i="38" s="1"/>
  <c r="N18" i="38"/>
  <c r="N28" i="38" s="1"/>
  <c r="M18" i="38"/>
  <c r="M28" i="38" l="1"/>
  <c r="M30" i="38" s="1"/>
  <c r="P18" i="38"/>
  <c r="P28" i="38" s="1"/>
  <c r="C4" i="65" s="1"/>
  <c r="O29" i="38" l="1"/>
  <c r="J29" i="38"/>
  <c r="G29" i="38"/>
  <c r="H29" i="38"/>
  <c r="K29" i="38"/>
  <c r="I29" i="38"/>
  <c r="Q18" i="38"/>
  <c r="Q28" i="38" s="1"/>
  <c r="C6" i="65" s="1"/>
  <c r="N29" i="38"/>
  <c r="M29" i="38"/>
  <c r="H32" i="38" l="1"/>
  <c r="H33" i="38"/>
  <c r="R18" i="38"/>
  <c r="R28" i="38" s="1"/>
  <c r="C7" i="65" s="1"/>
  <c r="F29" i="38"/>
  <c r="H34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PASCUAL VIVO, Xavier</author>
  </authors>
  <commentList>
    <comment ref="O13" authorId="0" shapeId="0" xr:uid="{2B2CC1EB-E92C-4C32-827C-FC94E2F9AACE}">
      <text>
        <r>
          <rPr>
            <b/>
            <sz val="9"/>
            <color indexed="81"/>
            <rFont val="Tahoma"/>
            <charset val="1"/>
          </rPr>
          <t>SUBVENCIONAT GENERALITAT</t>
        </r>
      </text>
    </comment>
    <comment ref="O14" authorId="0" shapeId="0" xr:uid="{12760CCB-6173-452C-876F-EDF20E72BA0A}">
      <text>
        <r>
          <rPr>
            <b/>
            <sz val="9"/>
            <color indexed="81"/>
            <rFont val="Tahoma"/>
            <charset val="1"/>
          </rPr>
          <t>SUBVENCIONAT GENERALITAT</t>
        </r>
      </text>
    </comment>
    <comment ref="O15" authorId="0" shapeId="0" xr:uid="{F8937ACC-FB75-4D76-BFC0-BADB0DD7E53B}">
      <text>
        <r>
          <rPr>
            <b/>
            <sz val="9"/>
            <color indexed="81"/>
            <rFont val="Tahoma"/>
            <charset val="1"/>
          </rPr>
          <t>SUBVENCIONAT GENERALITAT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 Martínez</author>
  </authors>
  <commentList>
    <comment ref="B39" authorId="0" shapeId="0" xr:uid="{5B57257D-9E62-47F5-B84F-25E8C11C4FF5}">
      <text>
        <r>
          <rPr>
            <b/>
            <sz val="10"/>
            <color indexed="81"/>
            <rFont val="Tahoma"/>
            <family val="2"/>
          </rPr>
          <t>Por Ley la empresa no debe pagar
Ver lo que se complementa por convenio</t>
        </r>
      </text>
    </comment>
    <comment ref="B40" authorId="0" shapeId="0" xr:uid="{2585903D-4C0C-4CF9-9D1C-18938F22BD04}">
      <text>
        <r>
          <rPr>
            <b/>
            <sz val="10"/>
            <color indexed="81"/>
            <rFont val="Tahoma"/>
            <family val="2"/>
          </rPr>
          <t>Por Ley la empresa debe pagar el 60% mín
Ver lo que se complementa por convenio</t>
        </r>
      </text>
    </comment>
    <comment ref="B41" authorId="0" shapeId="0" xr:uid="{956A7657-3713-4009-8491-2169B0326027}">
      <text>
        <r>
          <rPr>
            <b/>
            <sz val="10"/>
            <color indexed="81"/>
            <rFont val="Tahoma"/>
            <family val="2"/>
          </rPr>
          <t>Por Ley la empresa no debe pagar, la SS paga el 60%
Ver lo que se complementa por convenio, 40% máx.</t>
        </r>
      </text>
    </comment>
    <comment ref="B42" authorId="0" shapeId="0" xr:uid="{77BAD6ED-0BCB-42FC-BCB4-BDF14198CC25}">
      <text>
        <r>
          <rPr>
            <b/>
            <sz val="10"/>
            <color indexed="81"/>
            <rFont val="Tahoma"/>
            <family val="2"/>
          </rPr>
          <t>Por Ley la empresa no debe pagar, la SS paga el 75%
Ver lo que se complementa por convenio, 25% máx.</t>
        </r>
      </text>
    </comment>
    <comment ref="B43" authorId="0" shapeId="0" xr:uid="{27D571B4-9A00-4459-82CE-D22302FCEDE1}">
      <text>
        <r>
          <rPr>
            <b/>
            <sz val="10"/>
            <color indexed="81"/>
            <rFont val="Tahoma"/>
            <family val="2"/>
          </rPr>
          <t>Por Ley la empresa no debe pagar, la SS paga el 75%
Ver lo que se complementa por convenio, 25% máx.</t>
        </r>
      </text>
    </comment>
  </commentList>
</comments>
</file>

<file path=xl/sharedStrings.xml><?xml version="1.0" encoding="utf-8"?>
<sst xmlns="http://schemas.openxmlformats.org/spreadsheetml/2006/main" count="5129" uniqueCount="449">
  <si>
    <t>Tipus</t>
  </si>
  <si>
    <t>Personal</t>
  </si>
  <si>
    <t>Benefici Industrial</t>
  </si>
  <si>
    <t>Despeses Generals</t>
  </si>
  <si>
    <t>IVA</t>
  </si>
  <si>
    <t>Jornada</t>
  </si>
  <si>
    <t>Combustible</t>
  </si>
  <si>
    <t>TOTAL</t>
  </si>
  <si>
    <t>Pressupost Parcial del Servei de:</t>
  </si>
  <si>
    <t>Plantilla</t>
  </si>
  <si>
    <t>Llocs treball</t>
  </si>
  <si>
    <t>Cost directe</t>
  </si>
  <si>
    <t>Subtotal 1</t>
  </si>
  <si>
    <t>Desp. Gen.</t>
  </si>
  <si>
    <t>Ben.  Ind.</t>
  </si>
  <si>
    <t>Subtotal 2</t>
  </si>
  <si>
    <t>Cost Directe</t>
  </si>
  <si>
    <t>Reparacions i mtt.</t>
  </si>
  <si>
    <t>Amortització i finançament</t>
  </si>
  <si>
    <t>Total Anual</t>
  </si>
  <si>
    <t>Equip</t>
  </si>
  <si>
    <t xml:space="preserve"> núm. </t>
  </si>
  <si>
    <t>Anys</t>
  </si>
  <si>
    <t>Preu</t>
  </si>
  <si>
    <t>Equips</t>
  </si>
  <si>
    <t>1.- Cost de Personal</t>
  </si>
  <si>
    <t>Categoria</t>
  </si>
  <si>
    <t>Hores</t>
  </si>
  <si>
    <t>%</t>
  </si>
  <si>
    <t>dies de Servei</t>
  </si>
  <si>
    <t>Preu Unitari</t>
  </si>
  <si>
    <t xml:space="preserve">Torn de </t>
  </si>
  <si>
    <t xml:space="preserve">Cost </t>
  </si>
  <si>
    <t>feina</t>
  </si>
  <si>
    <t>parcial</t>
  </si>
  <si>
    <t>Total</t>
  </si>
  <si>
    <t>(€/jornada)</t>
  </si>
  <si>
    <t>Unitari (€/hora)</t>
  </si>
  <si>
    <t>treball</t>
  </si>
  <si>
    <t>Contracte</t>
  </si>
  <si>
    <t>Anual</t>
  </si>
  <si>
    <t>Matí</t>
  </si>
  <si>
    <t>Laboral</t>
  </si>
  <si>
    <t>Codi</t>
  </si>
  <si>
    <t>utilització</t>
  </si>
  <si>
    <t>TOTAL PERSONAL</t>
  </si>
  <si>
    <t>TOTAL COMBUSTIBLE I LUBRICANTS</t>
  </si>
  <si>
    <t>TOTAL MANTENIMENT I REPARACIONS</t>
  </si>
  <si>
    <t>Campanyes de conscienciació</t>
  </si>
  <si>
    <t>COST TOTAL DEL SERVEI (Euros/any)</t>
  </si>
  <si>
    <t>Resum de costos del servei</t>
  </si>
  <si>
    <t>IVA inclòs</t>
  </si>
  <si>
    <t>Cost personal anual</t>
  </si>
  <si>
    <t>Cost explotació maquinària anual</t>
  </si>
  <si>
    <t>Imputació mitjans comuns anual</t>
  </si>
  <si>
    <t>total jornades servei</t>
  </si>
  <si>
    <t>total hores servei</t>
  </si>
  <si>
    <t>Cost servei (€/jornada)</t>
  </si>
  <si>
    <t>Cost servei (€/hora)</t>
  </si>
  <si>
    <t>Carret portacubells</t>
  </si>
  <si>
    <t>Instal·lacions fixes: Despeses d'aigua</t>
  </si>
  <si>
    <t>Instal·lacions fixes: Despeses d'electricitat</t>
  </si>
  <si>
    <t>Instal·lacions fixes: Despeses de comunicacions</t>
  </si>
  <si>
    <t>Instal·lacions fixes: Taxes i assegurances</t>
  </si>
  <si>
    <t>Bufador</t>
  </si>
  <si>
    <t>Inf.Embarcada: Sistema Comunicacions</t>
  </si>
  <si>
    <t>Assegurances</t>
  </si>
  <si>
    <t>V. Brigada 110Cv 3,5Tn</t>
  </si>
  <si>
    <t>Instal·lacions fixes: Base principal</t>
  </si>
  <si>
    <t>Serveis comuns</t>
  </si>
  <si>
    <t>V.Inspecció</t>
  </si>
  <si>
    <t>Camió d'aiguabatre 8.000 l.</t>
  </si>
  <si>
    <t>Conductor</t>
  </si>
  <si>
    <t>Escombradora d'aspiració 2 m3</t>
  </si>
  <si>
    <t>Màquina d'aiguabatre a alta pressió</t>
  </si>
  <si>
    <t>Encarregat</t>
  </si>
  <si>
    <t>Control del servei</t>
  </si>
  <si>
    <t>Servei d'escombrada mixta</t>
  </si>
  <si>
    <t>Mitjans comuns</t>
  </si>
  <si>
    <t>Interès</t>
  </si>
  <si>
    <t>Quota Anual</t>
  </si>
  <si>
    <t>Inversió (€ totals)</t>
  </si>
  <si>
    <t>amortització</t>
  </si>
  <si>
    <t>Ut. (€/any)</t>
  </si>
  <si>
    <t>TOTAL AMORTITZACIONS</t>
  </si>
  <si>
    <t>TOTAL ASSEGURANCES</t>
  </si>
  <si>
    <t>Servei d'escombrada manual</t>
  </si>
  <si>
    <t>Capataç</t>
  </si>
  <si>
    <t>Torn de matí</t>
  </si>
  <si>
    <t>Torn de tarda</t>
  </si>
  <si>
    <t>Tarda</t>
  </si>
  <si>
    <t>Serveis de neteja viària</t>
  </si>
  <si>
    <t>Servei d'escombrada mecànica</t>
  </si>
  <si>
    <t>Auxiliar Tècnic</t>
  </si>
  <si>
    <t>Preus unitaris</t>
  </si>
  <si>
    <t>Euros/jorn.</t>
  </si>
  <si>
    <t>Euros/hora</t>
  </si>
  <si>
    <t>Servei de neteja viària de Vilafranca del Penedès</t>
  </si>
  <si>
    <t>COST DIRECTE DELS SERVEIS</t>
  </si>
  <si>
    <t>Escombradora d'aspiració 5 m3</t>
  </si>
  <si>
    <t>Preu Cost</t>
  </si>
  <si>
    <t>Assegurança</t>
  </si>
  <si>
    <t>Servei de neteja Viària de Vilafranca del Pendeès</t>
  </si>
  <si>
    <t>Conceptes</t>
  </si>
  <si>
    <t>Unitats</t>
  </si>
  <si>
    <t>Cost Unitari</t>
  </si>
  <si>
    <t>Total Any</t>
  </si>
  <si>
    <t>Total Retribució</t>
  </si>
  <si>
    <t>Salari Base Anual</t>
  </si>
  <si>
    <t>Remuneració 
Eur/Any</t>
  </si>
  <si>
    <t>Seguretat
Social
Eur/Any</t>
  </si>
  <si>
    <t>Total (inclou abst.)
Cost empresa</t>
  </si>
  <si>
    <t>Jornades / Any</t>
  </si>
  <si>
    <t>Total Cost Empresa Jornada</t>
  </si>
  <si>
    <t>Hores / any</t>
  </si>
  <si>
    <t>Hores / Jornada</t>
  </si>
  <si>
    <t>Total Cost Eur/Hora</t>
  </si>
  <si>
    <t>Conveni MAS ALBORNÀ Vilafranca del Penedès</t>
  </si>
  <si>
    <t>Salari base</t>
  </si>
  <si>
    <t>Complements</t>
  </si>
  <si>
    <t>Total Seguretat Social, des., etc.</t>
  </si>
  <si>
    <t xml:space="preserve">Total Cost Empresa </t>
  </si>
  <si>
    <t>Absentisme</t>
  </si>
  <si>
    <t xml:space="preserve">PREUS UNITARIS PER CATEGORIA </t>
  </si>
  <si>
    <t>Tipus d'interès</t>
  </si>
  <si>
    <t xml:space="preserve">MAQUINARIA </t>
  </si>
  <si>
    <t>Vida</t>
  </si>
  <si>
    <t>Años</t>
  </si>
  <si>
    <t>Seguros/Imp..</t>
  </si>
  <si>
    <t>I ELEMENTS</t>
  </si>
  <si>
    <t xml:space="preserve"> COSTOS FIXES DE MAQUINARIA I ELEMENTS</t>
  </si>
  <si>
    <t>PERSONAL DE NETEJA</t>
  </si>
  <si>
    <t>TIPUS CONTRACTE</t>
  </si>
  <si>
    <t>PERSONAL FIXE</t>
  </si>
  <si>
    <t>PERSONAL TEMPORAL</t>
  </si>
  <si>
    <t>DISTRIBUCIÓ DE DIES</t>
  </si>
  <si>
    <t>Dies naturals</t>
  </si>
  <si>
    <t>Dies eq. en costos</t>
  </si>
  <si>
    <t>DIES NATURALS/ANY</t>
  </si>
  <si>
    <t>Descansos intersetmanals</t>
  </si>
  <si>
    <t>Festius</t>
  </si>
  <si>
    <t>horas/día</t>
  </si>
  <si>
    <t>Vacances</t>
  </si>
  <si>
    <t>horas/anuales</t>
  </si>
  <si>
    <t>Dies assumptes propis</t>
  </si>
  <si>
    <t>Segons conveni. Art. 10</t>
  </si>
  <si>
    <t>Suma absències</t>
  </si>
  <si>
    <t>DIES DE CONVENI</t>
  </si>
  <si>
    <t>I. TEMPORAL (Malaltia comú)</t>
  </si>
  <si>
    <t>I. TEMPORAL (Accident de treball)</t>
  </si>
  <si>
    <t>Suma absentisme</t>
  </si>
  <si>
    <t>DIES DE TREBALL EFECTIU</t>
  </si>
  <si>
    <t>VALORACIÓ DE LA INCAPACITAT TEMPORAL A EFECTES DE COST</t>
  </si>
  <si>
    <t>1.- TOTAL.</t>
  </si>
  <si>
    <t xml:space="preserve">Dies </t>
  </si>
  <si>
    <t>Naturals</t>
  </si>
  <si>
    <t>Cost</t>
  </si>
  <si>
    <t>Absentisme.</t>
  </si>
  <si>
    <t xml:space="preserve">a) Malaltia. </t>
  </si>
  <si>
    <t>a.1) 3 primers dies.</t>
  </si>
  <si>
    <t>a.2) del 4 al 15</t>
  </si>
  <si>
    <t>a.3) del 16 al 20</t>
  </si>
  <si>
    <t>a.3) Resta.</t>
  </si>
  <si>
    <t>b) Accident.</t>
  </si>
  <si>
    <t>2.- MITJA PONDERADA.</t>
  </si>
  <si>
    <t>% Salari</t>
  </si>
  <si>
    <t>% S.S.</t>
  </si>
  <si>
    <t>3.- INCAPACITAT TEMPORAL</t>
  </si>
  <si>
    <t>Complem.</t>
  </si>
  <si>
    <t xml:space="preserve">%S.S. </t>
  </si>
  <si>
    <t>a) Malaltia</t>
  </si>
  <si>
    <t>a.4) Resta.</t>
  </si>
  <si>
    <t>b) Accident</t>
  </si>
  <si>
    <t>Km / Horas</t>
  </si>
  <si>
    <t>Combustible + 
lubicant</t>
  </si>
  <si>
    <t>Pneumatics + 
reparacio + 
altres</t>
  </si>
  <si>
    <t>3 hores</t>
  </si>
  <si>
    <t>Dies</t>
  </si>
  <si>
    <t xml:space="preserve">Llocs </t>
  </si>
  <si>
    <t>Treball</t>
  </si>
  <si>
    <t>treball efectiu</t>
  </si>
  <si>
    <t>Pagues extres</t>
  </si>
  <si>
    <t>Oficial 2 Taller</t>
  </si>
  <si>
    <t>Peó</t>
  </si>
  <si>
    <t>Oficial 2a taller</t>
  </si>
  <si>
    <t>COST DE PERSONAL DESGLOSSAT PER CATEGORIES</t>
  </si>
  <si>
    <t>Total Cost Empresa 2024</t>
  </si>
  <si>
    <t xml:space="preserve">Antiguitat </t>
  </si>
  <si>
    <t>Servei de brigada herbes</t>
  </si>
  <si>
    <t>Servei de brigada caixa oberta</t>
  </si>
  <si>
    <t>Servei de brigada mercats</t>
  </si>
  <si>
    <t>Servei de brigada papereres</t>
  </si>
  <si>
    <t>Servei d'aiguabatre a alta pressió - BALDEJADORA</t>
  </si>
  <si>
    <t>Servei d'aiguabatre - CAMIÓ CUBA</t>
  </si>
  <si>
    <t>Servei amb aigua a alta pressió - FURGONETA</t>
  </si>
  <si>
    <t>DILLUNS A DIVENDRES</t>
  </si>
  <si>
    <t>DISSABTES</t>
  </si>
  <si>
    <t>DIUMENGES</t>
  </si>
  <si>
    <t>Temporada BAIXA (1 febrer al 15 de juny)</t>
  </si>
  <si>
    <t>Temporada ALTA (16 juny al 30 setembre)</t>
  </si>
  <si>
    <t>SERVEI ESCOMBRADA MANUAL</t>
  </si>
  <si>
    <t>SERVEIS COMUNS</t>
  </si>
  <si>
    <t>SERVEI AIGUABATRE ALTA PRESSIÓ - NO TEMPERATURA - BALDEJADORA</t>
  </si>
  <si>
    <t>SERVEI ESCOMBRADA MIXTA</t>
  </si>
  <si>
    <t>SERVEI ESCOMBRADA MECÀNICA</t>
  </si>
  <si>
    <t>SERVEI BRIGADA HERBES</t>
  </si>
  <si>
    <t>SERVEI BRIGADA CAIXA OBERTA</t>
  </si>
  <si>
    <t>SERVEI BRIGADA MERCATS</t>
  </si>
  <si>
    <t>SERVEI AMB AIGUA ALTA PRESSIÓ - AMB TEMPERATURA - FURGONETA</t>
  </si>
  <si>
    <t>SERVEI AIGUABATRE - NO TEMPERATURA - CAMIÓ CUBA</t>
  </si>
  <si>
    <t>Serveis amb aigua - GOUPIL</t>
  </si>
  <si>
    <t>2.- Combustible i lubrificants</t>
  </si>
  <si>
    <t>3.- Manteniment i reparacions</t>
  </si>
  <si>
    <t>5. - Assegurances</t>
  </si>
  <si>
    <t>Furgoneta  Hidropressió</t>
  </si>
  <si>
    <t>Dilluns a Divendres</t>
  </si>
  <si>
    <t>Dissabtes</t>
  </si>
  <si>
    <t>Diumenges</t>
  </si>
  <si>
    <t>Vehicle elèctric tipus goupil</t>
  </si>
  <si>
    <t>SERVEI BRIGADA PAPERERES</t>
  </si>
  <si>
    <t>SERVEI AMB AIGUA - GOUPIL</t>
  </si>
  <si>
    <t>Any 
2025</t>
  </si>
  <si>
    <t>Servei d'actes</t>
  </si>
  <si>
    <t>SERVEI D'ACTES</t>
  </si>
  <si>
    <t>TOTAL CONSUMIBLES</t>
  </si>
  <si>
    <t xml:space="preserve">Descricpió </t>
  </si>
  <si>
    <t>Bosses</t>
  </si>
  <si>
    <t>Portacubells - NOU</t>
  </si>
  <si>
    <t>Pinces - NOU</t>
  </si>
  <si>
    <t>Bufadors elèctrics amb bateries - NOU</t>
  </si>
  <si>
    <t>Escombradora d'aspiració 2 m3 - NOVA</t>
  </si>
  <si>
    <t>Desbrossadores - NOVA</t>
  </si>
  <si>
    <t>Vehicle elèctric tipus goupil  - NOU</t>
  </si>
  <si>
    <t>V.Inspecció - NOU</t>
  </si>
  <si>
    <t>Productes neteja i desinfecció</t>
  </si>
  <si>
    <t>Sepiolita</t>
  </si>
  <si>
    <t>Escombres, recollidors, etc</t>
  </si>
  <si>
    <t>Respalls escombradores</t>
  </si>
  <si>
    <t>unitari</t>
  </si>
  <si>
    <t>Increment previst 2025
segons modificació conveni 2022</t>
  </si>
  <si>
    <t>Total Cost Empresa 2025</t>
  </si>
  <si>
    <t>PLUS BUFADOR (PER JORNADA TREBALLADA)</t>
  </si>
  <si>
    <t>PLUS ASPIRADOR (PER JORNADA TREBALLADA)</t>
  </si>
  <si>
    <t>PLUS NOCTURN (PER HORA TREBALLADA)</t>
  </si>
  <si>
    <t>PLUS DIUMENGES TREBALLATS (€/JORNADA)</t>
  </si>
  <si>
    <t>Roba laboral i EPIS</t>
  </si>
  <si>
    <t>Desbrossadora</t>
  </si>
  <si>
    <t>Carret portacubells + pinces</t>
  </si>
  <si>
    <t>Peo</t>
  </si>
  <si>
    <t>Jornades 
personal</t>
  </si>
  <si>
    <t>COND.</t>
  </si>
  <si>
    <t>PEO</t>
  </si>
  <si>
    <t>DIES</t>
  </si>
  <si>
    <t>horas/semana (CONVENI)</t>
  </si>
  <si>
    <t>Jornada treball (conveni Mas Albornà)</t>
  </si>
  <si>
    <t>37 hores setmanals</t>
  </si>
  <si>
    <t>5 dies dilluns a divendres</t>
  </si>
  <si>
    <t xml:space="preserve">6,5h </t>
  </si>
  <si>
    <t>1a setmana</t>
  </si>
  <si>
    <t>dissabte</t>
  </si>
  <si>
    <t>4,5h</t>
  </si>
  <si>
    <t xml:space="preserve">2a setmana </t>
  </si>
  <si>
    <t>3a setmana</t>
  </si>
  <si>
    <t>diumenge</t>
  </si>
  <si>
    <t>Treball de 3 setmanes (fan 2 dissabtes + 1 diumenge)</t>
  </si>
  <si>
    <t>Total dissabtes treballats inclòs jornada ordinaria</t>
  </si>
  <si>
    <t>Total dissabte que manquen</t>
  </si>
  <si>
    <t>Total diumenges treballats inclòs jornada ordinaria</t>
  </si>
  <si>
    <t>Total diumenges que manquen</t>
  </si>
  <si>
    <t>Servei Neteja Viària Vilafranca del Penedès</t>
  </si>
  <si>
    <t>TOTAL ABANS IVA + AMORTITZACIÓ</t>
  </si>
  <si>
    <t>Cost directe d'explotació del servei (sense incloure Amortitzacions)</t>
  </si>
  <si>
    <t>4.- Amortització</t>
  </si>
  <si>
    <t>Psicolog - Unitat suport activitat professional (USAP)</t>
  </si>
  <si>
    <t>Treballadr Social -  (USAP)</t>
  </si>
  <si>
    <t>Psicòleg responsable</t>
  </si>
  <si>
    <t>Personal suport CET</t>
  </si>
  <si>
    <t>Psicòleg. Unitat suport activitat prefessional (USAP)</t>
  </si>
  <si>
    <t>Treballador social USAP</t>
  </si>
  <si>
    <t>Serveis Comuns</t>
  </si>
  <si>
    <t>EMX</t>
  </si>
  <si>
    <t>EMC</t>
  </si>
  <si>
    <t>B_HERB</t>
  </si>
  <si>
    <t>B_CAIXA</t>
  </si>
  <si>
    <t>B_PAPER</t>
  </si>
  <si>
    <t>Aigua_goupil</t>
  </si>
  <si>
    <t>Aigua_calent</t>
  </si>
  <si>
    <t>Baldeja</t>
  </si>
  <si>
    <t>Comuns</t>
  </si>
  <si>
    <t>Nombre 
jornades</t>
  </si>
  <si>
    <t>PLUS DESBROSSADORA (PER JORNADA TREBALLADA)</t>
  </si>
  <si>
    <t>Jornades 
dill a dis</t>
  </si>
  <si>
    <t>Jornades
dill a dis - buf</t>
  </si>
  <si>
    <t>Jornades 
dill a dis - des</t>
  </si>
  <si>
    <t>Jornades 
diumenges</t>
  </si>
  <si>
    <t>Jornades
diumenges buf</t>
  </si>
  <si>
    <t>Jornades 
diumenges des</t>
  </si>
  <si>
    <t>Jornades 
Dill a dis</t>
  </si>
  <si>
    <t>Dilluns a dissabtes</t>
  </si>
  <si>
    <t>Dilluns a dissabtes +  BUFADOR</t>
  </si>
  <si>
    <t>Diumenges + BUFADOR</t>
  </si>
  <si>
    <t xml:space="preserve">Dilluns a dissabtes </t>
  </si>
  <si>
    <t xml:space="preserve">Diumenges </t>
  </si>
  <si>
    <t>Dilluns a dissabtes + DESBROSSADORA</t>
  </si>
  <si>
    <t>Jornades 
Diumenges</t>
  </si>
  <si>
    <t>Carret portacubells - ANTICS</t>
  </si>
  <si>
    <t>Bufadors - ANTICS</t>
  </si>
  <si>
    <t>Escombradora d'aspiració 5 m3 - (E-2617-BHL)</t>
  </si>
  <si>
    <t>Escombradora d'aspiració 5 m3 - (E-2616-BHL)</t>
  </si>
  <si>
    <t>Escombradora d'aspiració 5 m3 - NOVA</t>
  </si>
  <si>
    <t>Escombradora d'aspiració 5 m3 - (E-9617-BHW)</t>
  </si>
  <si>
    <t>V. Brigada 110Cv 3,5Tn - (7500-LPS)</t>
  </si>
  <si>
    <t>V.Inspecció - (2746-LPJ)</t>
  </si>
  <si>
    <t>Camió d'aiguabatre 8.000 l. - (8959-GZB)</t>
  </si>
  <si>
    <t>Escombradora d'aspiració 2 m3 (3 respalls) - (1721-BGS)</t>
  </si>
  <si>
    <t>Fregadora - (E-2201-BGS)</t>
  </si>
  <si>
    <t>Vehicle elèctric tipus goupil - (E-6268-BFT)</t>
  </si>
  <si>
    <t>Vehicle elèctric tipus goupil - (E-6269-BFT)</t>
  </si>
  <si>
    <t>Vehicle elèctric tipus goupil - NOU</t>
  </si>
  <si>
    <t>Màquina d'aiguabatre a alta pressió - (E-2618-BHL)</t>
  </si>
  <si>
    <t>Inversions - Amortitzacions</t>
  </si>
  <si>
    <t>sense iva</t>
  </si>
  <si>
    <t>B_MERC</t>
  </si>
  <si>
    <t>Inf.Embarcada: Sistema Comunicacions - ACTUAL</t>
  </si>
  <si>
    <t>Inf.Embarcada: Sistema Comunicacions - NOU</t>
  </si>
  <si>
    <t>Inf.Embarcada: Sistema Comunicacions - ANTIC</t>
  </si>
  <si>
    <t>Temporada FULLA (1 octubre al 31 gener)</t>
  </si>
  <si>
    <t>Cost 
Total</t>
  </si>
  <si>
    <t>Furgoneta - (3359-DWB)</t>
  </si>
  <si>
    <t>V. Brigada 110Cv 3,5Tn - NOU</t>
  </si>
  <si>
    <t>Consumibles i altres</t>
  </si>
  <si>
    <t>Servei</t>
  </si>
  <si>
    <t>Descripció</t>
  </si>
  <si>
    <t>MES</t>
  </si>
  <si>
    <t>ACTE</t>
  </si>
  <si>
    <t>Hores destinades a la neteja de l'acte</t>
  </si>
  <si>
    <t>Escombrat
Manual
(Peó)</t>
  </si>
  <si>
    <t>Escombrat Mecànic
(Conductor)</t>
  </si>
  <si>
    <t>Escombrat Mixta
(Conductor+peó)</t>
  </si>
  <si>
    <t>Brigada
(conductor + peó)</t>
  </si>
  <si>
    <t>Servei Aigua</t>
  </si>
  <si>
    <t>PEÓ</t>
  </si>
  <si>
    <t>CODUCTOR</t>
  </si>
  <si>
    <t>CONDUCTOR</t>
  </si>
  <si>
    <t>TEMPORADA 
FULLA</t>
  </si>
  <si>
    <t>Gener</t>
  </si>
  <si>
    <t>Cavalcada de Reis</t>
  </si>
  <si>
    <t>Festes de St. Raimon</t>
  </si>
  <si>
    <t>Festa del Xató</t>
  </si>
  <si>
    <t>Els Tres Tombs</t>
  </si>
  <si>
    <t>Aplec de St. Pau</t>
  </si>
  <si>
    <t>Cursa 10K</t>
  </si>
  <si>
    <t>TEMPORADA BAIXA</t>
  </si>
  <si>
    <t xml:space="preserve">Febrer </t>
  </si>
  <si>
    <t>Carnaval</t>
  </si>
  <si>
    <t>Abril</t>
  </si>
  <si>
    <t>Diada St. Jordi</t>
  </si>
  <si>
    <t>FIRAVI</t>
  </si>
  <si>
    <t>Diabòlic</t>
  </si>
  <si>
    <t>Maig</t>
  </si>
  <si>
    <t>Fires de Maig</t>
  </si>
  <si>
    <t>Juny</t>
  </si>
  <si>
    <t>Sant Joan</t>
  </si>
  <si>
    <t>Festes de Barri Poble Nou</t>
  </si>
  <si>
    <t>Festes de Barri La Girada</t>
  </si>
  <si>
    <t>Festes de Barri Barceloneta</t>
  </si>
  <si>
    <t>Festes de Barri Sant Julià</t>
  </si>
  <si>
    <t>TEMPORADA ALTA</t>
  </si>
  <si>
    <t>Juliol</t>
  </si>
  <si>
    <t>Festes de Barri Molí Rovira</t>
  </si>
  <si>
    <t>Festes de Barri Les Clotes</t>
  </si>
  <si>
    <t>Festes de Barri Espirall</t>
  </si>
  <si>
    <t>Festes de Barri Centre Vila</t>
  </si>
  <si>
    <t>Vijazz</t>
  </si>
  <si>
    <t>Cursa Sant Fèlix</t>
  </si>
  <si>
    <t>Agost</t>
  </si>
  <si>
    <t>Festa Major</t>
  </si>
  <si>
    <t>Setembre</t>
  </si>
  <si>
    <t>Diada Nacional de Catalunya</t>
  </si>
  <si>
    <t>Marxa de Torxes</t>
  </si>
  <si>
    <t>Novembre</t>
  </si>
  <si>
    <t>Diada Castellera 1 Nov</t>
  </si>
  <si>
    <t>Mitja Marató de l’Espirall</t>
  </si>
  <si>
    <t>Desembre</t>
  </si>
  <si>
    <t>Fira de Santa Llúcia</t>
  </si>
  <si>
    <t>Fira del Gall</t>
  </si>
  <si>
    <t>Cursa dels Falcons</t>
  </si>
  <si>
    <t>HORES</t>
  </si>
  <si>
    <t>JORNADES</t>
  </si>
  <si>
    <t>TEMPORADA FULLA</t>
  </si>
  <si>
    <t>HORES JORNADA</t>
  </si>
  <si>
    <t>JORNADES (2 decimals)</t>
  </si>
  <si>
    <t>Conductors</t>
  </si>
  <si>
    <t>peons</t>
  </si>
  <si>
    <t>mín</t>
  </si>
  <si>
    <t>-</t>
  </si>
  <si>
    <t>Bufador / Desbrossadora</t>
  </si>
  <si>
    <t>Instal·lacions fixes: Base principal (lloguer)</t>
  </si>
  <si>
    <t>PLANTILLA</t>
  </si>
  <si>
    <t>AUXILIAR TÈCNIC</t>
  </si>
  <si>
    <t>ENCARREGAT</t>
  </si>
  <si>
    <t>CAPATAÇ</t>
  </si>
  <si>
    <t>OFICIAL 2A TALLER</t>
  </si>
  <si>
    <t>PENDENT AMORTITZAR</t>
  </si>
  <si>
    <t>Estat</t>
  </si>
  <si>
    <t>Import</t>
  </si>
  <si>
    <t>NOU</t>
  </si>
  <si>
    <t>Import sense iva</t>
  </si>
  <si>
    <t>Import unitari</t>
  </si>
  <si>
    <t>Serveis</t>
  </si>
  <si>
    <t>Respalls 
escombradores</t>
  </si>
  <si>
    <t>Productes 
neteja</t>
  </si>
  <si>
    <t>Escombres, 
recollidors</t>
  </si>
  <si>
    <t>Treballadors</t>
  </si>
  <si>
    <t>Import Total</t>
  </si>
  <si>
    <t>Import unitari (€)</t>
  </si>
  <si>
    <t>Bateries pels bufadors - ANTICS</t>
  </si>
  <si>
    <t>No revisable:</t>
  </si>
  <si>
    <t>Revisable:</t>
  </si>
  <si>
    <t>Altres despeses</t>
  </si>
  <si>
    <t>6. - Altres despeses</t>
  </si>
  <si>
    <t>IMPORT €</t>
  </si>
  <si>
    <t xml:space="preserve">Absentisme </t>
  </si>
  <si>
    <t>Vehicles brigada herbes</t>
  </si>
  <si>
    <t>V. Brigada Herbes</t>
  </si>
  <si>
    <t>V. Inspecció</t>
  </si>
  <si>
    <t>Vehicle brigada herbes - NOVA</t>
  </si>
  <si>
    <t>Vehicle brigada herbes</t>
  </si>
  <si>
    <t>Furgoneta Hidropressió</t>
  </si>
  <si>
    <t>Furgoneta Hidropressió - (7650-LRR)</t>
  </si>
  <si>
    <t>Furgoneta  Hidropressió - (7650-LRR)</t>
  </si>
  <si>
    <t xml:space="preserve">Bateries pels bufadors </t>
  </si>
  <si>
    <t>Bufadors</t>
  </si>
  <si>
    <t>Bufadors elèctrics amb bateries</t>
  </si>
  <si>
    <t>Desbrossadores</t>
  </si>
  <si>
    <t>Pinces</t>
  </si>
  <si>
    <t>Portacubells</t>
  </si>
  <si>
    <t>CRITERIS DE VALORACIÓ AUTOMÀTICA</t>
  </si>
  <si>
    <t>A) OFERTA ECONÒMICA</t>
  </si>
  <si>
    <t>B) MILLORA DE L'EFICIÈNCIA ENERGÈTICA EN ELS VEHICLES UTILITZATS EN EL SERVEI</t>
  </si>
  <si>
    <t>% IVA</t>
  </si>
  <si>
    <t>Import d'IVA</t>
  </si>
  <si>
    <t xml:space="preserve">Import total </t>
  </si>
  <si>
    <t>€</t>
  </si>
  <si>
    <t>Numero</t>
  </si>
  <si>
    <t>C) PERCENTATGE DG+BI</t>
  </si>
  <si>
    <t>D) REBAIXA TIPUS INTERÈS FINANÇAMENT DELS VEHICLES</t>
  </si>
  <si>
    <t>Número de vehicles amb l'ETIQUETA AMBIENTAL ECO (blava + verda)</t>
  </si>
  <si>
    <t>Número de màquines escombradores o vehicles que disposi de l'ETIQUETA AMBIENTAL 0 (blava)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</si>
</sst>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_-* #,##0.00\ _P_t_s_-;\-* #,##0.00\ _P_t_s_-;_-* &quot;-&quot;??\ _P_t_s_-;_-@_-"/>
    <numFmt numFmtId="167" formatCode="_-* #,##0.00\ _p_t_a_-;\-* #,##0.00\ _p_t_a_-;_-* &quot;-&quot;??\ _p_t_a_-;_-@_-"/>
    <numFmt numFmtId="168" formatCode="_-* #,##0\ _P_t_s_-;\-* #,##0\ _P_t_s_-;_-* &quot;-&quot;\ _P_t_s_-;_-@_-"/>
    <numFmt numFmtId="169" formatCode="_-* #,##0.00\ &quot;Pts&quot;_-;\-* #,##0.00\ &quot;Pts&quot;_-;_-* &quot;-&quot;??\ &quot;Pts&quot;_-;_-@_-"/>
    <numFmt numFmtId="170" formatCode="0.00000"/>
    <numFmt numFmtId="171" formatCode="0.0000"/>
    <numFmt numFmtId="172" formatCode="0.0"/>
    <numFmt numFmtId="173" formatCode="#,##0.0\ &quot;horas&quot;"/>
    <numFmt numFmtId="174" formatCode="#,##0.0\ &quot;Km.&quot;"/>
    <numFmt numFmtId="175" formatCode="0.000"/>
    <numFmt numFmtId="176" formatCode="_-* #,##0\ _€_-;\-* #,##0\ _€_-;_-* &quot;-&quot;??\ _€_-;_-@_-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9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name val="Century Gothic"/>
      <family val="2"/>
    </font>
    <font>
      <b/>
      <sz val="20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10"/>
      <name val="Calibri"/>
      <family val="2"/>
      <scheme val="minor"/>
    </font>
    <font>
      <b/>
      <sz val="10"/>
      <color indexed="81"/>
      <name val="Tahoma"/>
      <family val="2"/>
    </font>
    <font>
      <b/>
      <sz val="10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b/>
      <sz val="9"/>
      <color indexed="81"/>
      <name val="Tahoma"/>
      <charset val="1"/>
    </font>
    <font>
      <b/>
      <sz val="2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6C29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darkGray">
        <fgColor indexed="9"/>
        <bgColor theme="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 style="hair">
        <color theme="9" tint="-0.499984740745262"/>
      </left>
      <right/>
      <top/>
      <bottom/>
      <diagonal/>
    </border>
    <border>
      <left/>
      <right style="hair">
        <color theme="9" tint="-0.499984740745262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hair">
        <color theme="9" tint="-0.499984740745262"/>
      </right>
      <top style="thin">
        <color theme="3"/>
      </top>
      <bottom/>
      <diagonal/>
    </border>
    <border>
      <left style="hair">
        <color theme="9" tint="-0.499984740745262"/>
      </left>
      <right style="hair">
        <color theme="9" tint="-0.499984740745262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hair">
        <color theme="9" tint="-0.499984740745262"/>
      </left>
      <right/>
      <top style="thin">
        <color theme="3"/>
      </top>
      <bottom/>
      <diagonal/>
    </border>
    <border>
      <left/>
      <right style="hair">
        <color theme="9" tint="-0.499984740745262"/>
      </right>
      <top/>
      <bottom style="thin">
        <color theme="3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hair">
        <color theme="9" tint="-0.499984740745262"/>
      </left>
      <right/>
      <top/>
      <bottom style="thin">
        <color theme="3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9" tint="-0.499984740745262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2060"/>
      </top>
      <bottom/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indexed="64"/>
      </left>
      <right/>
      <top style="thin">
        <color theme="9" tint="-0.499984740745262"/>
      </top>
      <bottom/>
      <diagonal/>
    </border>
    <border>
      <left/>
      <right style="thin">
        <color indexed="64"/>
      </right>
      <top style="thin">
        <color theme="9" tint="-0.499984740745262"/>
      </top>
      <bottom/>
      <diagonal/>
    </border>
    <border>
      <left style="thin">
        <color indexed="64"/>
      </left>
      <right/>
      <top/>
      <bottom style="thin">
        <color theme="9" tint="-0.499984740745262"/>
      </bottom>
      <diagonal/>
    </border>
    <border>
      <left/>
      <right style="thin">
        <color indexed="64"/>
      </right>
      <top/>
      <bottom style="thin">
        <color theme="9" tint="-0.499984740745262"/>
      </bottom>
      <diagonal/>
    </border>
    <border>
      <left style="thin">
        <color indexed="64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0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40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1">
    <xf numFmtId="0" fontId="0" fillId="0" borderId="0" xfId="0"/>
    <xf numFmtId="165" fontId="4" fillId="2" borderId="2" xfId="2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0" fillId="0" borderId="0" xfId="0" applyProtection="1"/>
    <xf numFmtId="0" fontId="4" fillId="0" borderId="2" xfId="0" applyFont="1" applyFill="1" applyBorder="1" applyAlignment="1" applyProtection="1">
      <alignment horizontal="right"/>
    </xf>
    <xf numFmtId="0" fontId="4" fillId="0" borderId="0" xfId="0" applyFont="1" applyProtection="1"/>
    <xf numFmtId="0" fontId="4" fillId="0" borderId="2" xfId="0" applyFont="1" applyBorder="1" applyAlignment="1" applyProtection="1">
      <alignment horizontal="center"/>
    </xf>
    <xf numFmtId="9" fontId="4" fillId="7" borderId="2" xfId="2" applyFont="1" applyFill="1" applyBorder="1" applyAlignment="1" applyProtection="1">
      <alignment horizontal="center"/>
    </xf>
    <xf numFmtId="0" fontId="39" fillId="4" borderId="0" xfId="16" applyFont="1" applyFill="1" applyBorder="1" applyAlignment="1" applyProtection="1">
      <alignment horizontal="left" vertical="center"/>
    </xf>
    <xf numFmtId="0" fontId="7" fillId="10" borderId="0" xfId="16" applyFill="1" applyProtection="1"/>
    <xf numFmtId="0" fontId="7" fillId="10" borderId="0" xfId="16" applyFill="1" applyAlignment="1" applyProtection="1">
      <alignment horizontal="center"/>
    </xf>
    <xf numFmtId="165" fontId="7" fillId="10" borderId="0" xfId="2" applyNumberFormat="1" applyFont="1" applyFill="1" applyAlignment="1" applyProtection="1">
      <alignment horizontal="center" vertical="center"/>
    </xf>
    <xf numFmtId="0" fontId="36" fillId="0" borderId="0" xfId="16" applyFont="1" applyFill="1" applyBorder="1" applyAlignment="1" applyProtection="1">
      <alignment horizontal="center" vertical="center"/>
    </xf>
    <xf numFmtId="0" fontId="7" fillId="0" borderId="0" xfId="16" applyProtection="1"/>
    <xf numFmtId="0" fontId="36" fillId="0" borderId="0" xfId="16" applyFont="1" applyBorder="1" applyAlignment="1" applyProtection="1">
      <alignment horizontal="center" vertical="center" wrapText="1"/>
    </xf>
    <xf numFmtId="0" fontId="36" fillId="0" borderId="0" xfId="16" applyFont="1" applyBorder="1" applyAlignment="1" applyProtection="1">
      <alignment horizontal="center" vertical="center"/>
    </xf>
    <xf numFmtId="0" fontId="36" fillId="0" borderId="0" xfId="16" applyFont="1" applyFill="1" applyBorder="1" applyAlignment="1" applyProtection="1">
      <alignment horizontal="left" vertical="center"/>
    </xf>
    <xf numFmtId="0" fontId="7" fillId="0" borderId="0" xfId="16" applyBorder="1" applyProtection="1"/>
    <xf numFmtId="0" fontId="36" fillId="0" borderId="0" xfId="16" applyFont="1" applyFill="1" applyBorder="1" applyAlignment="1" applyProtection="1">
      <alignment horizontal="centerContinuous" vertical="center"/>
    </xf>
    <xf numFmtId="0" fontId="36" fillId="0" borderId="0" xfId="16" applyFont="1" applyFill="1" applyBorder="1" applyAlignment="1" applyProtection="1">
      <alignment horizontal="center" vertical="center" wrapText="1"/>
    </xf>
    <xf numFmtId="171" fontId="36" fillId="0" borderId="0" xfId="16" applyNumberFormat="1" applyFont="1" applyFill="1" applyBorder="1" applyAlignment="1" applyProtection="1">
      <alignment horizontal="center" vertical="center" wrapText="1"/>
    </xf>
    <xf numFmtId="0" fontId="7" fillId="7" borderId="2" xfId="16" applyFill="1" applyBorder="1" applyProtection="1"/>
    <xf numFmtId="4" fontId="7" fillId="0" borderId="2" xfId="16" applyNumberFormat="1" applyBorder="1" applyAlignment="1" applyProtection="1">
      <alignment horizontal="right"/>
    </xf>
    <xf numFmtId="164" fontId="37" fillId="4" borderId="2" xfId="16" applyNumberFormat="1" applyFont="1" applyFill="1" applyBorder="1" applyAlignment="1" applyProtection="1">
      <alignment horizontal="right"/>
    </xf>
    <xf numFmtId="4" fontId="36" fillId="7" borderId="2" xfId="16" applyNumberFormat="1" applyFont="1" applyFill="1" applyBorder="1" applyAlignment="1" applyProtection="1">
      <alignment horizontal="right"/>
    </xf>
    <xf numFmtId="4" fontId="7" fillId="6" borderId="2" xfId="16" applyNumberFormat="1" applyFill="1" applyBorder="1" applyAlignment="1" applyProtection="1">
      <alignment horizontal="right"/>
    </xf>
    <xf numFmtId="4" fontId="7" fillId="6" borderId="2" xfId="16" applyNumberFormat="1" applyFont="1" applyFill="1" applyBorder="1" applyAlignment="1" applyProtection="1">
      <alignment horizontal="center"/>
    </xf>
    <xf numFmtId="4" fontId="37" fillId="4" borderId="2" xfId="16" applyNumberFormat="1" applyFont="1" applyFill="1" applyBorder="1" applyAlignment="1" applyProtection="1">
      <alignment horizontal="right"/>
    </xf>
    <xf numFmtId="4" fontId="7" fillId="0" borderId="2" xfId="16" applyNumberFormat="1" applyBorder="1" applyProtection="1"/>
    <xf numFmtId="0" fontId="38" fillId="4" borderId="0" xfId="16" applyFont="1" applyFill="1" applyBorder="1" applyAlignment="1" applyProtection="1">
      <alignment horizontal="left" vertical="center"/>
    </xf>
    <xf numFmtId="0" fontId="38" fillId="4" borderId="0" xfId="16" applyFont="1" applyFill="1" applyBorder="1" applyAlignment="1" applyProtection="1">
      <alignment horizontal="center" vertical="center"/>
    </xf>
    <xf numFmtId="4" fontId="36" fillId="0" borderId="0" xfId="16" applyNumberFormat="1" applyFont="1" applyFill="1" applyProtection="1"/>
    <xf numFmtId="0" fontId="36" fillId="0" borderId="0" xfId="16" applyFont="1" applyBorder="1" applyProtection="1"/>
    <xf numFmtId="0" fontId="36" fillId="0" borderId="2" xfId="16" applyFont="1" applyBorder="1" applyAlignment="1" applyProtection="1">
      <alignment horizontal="left" vertical="center"/>
    </xf>
    <xf numFmtId="0" fontId="36" fillId="0" borderId="2" xfId="16" applyFont="1" applyBorder="1" applyAlignment="1" applyProtection="1">
      <alignment horizontal="centerContinuous" vertical="center"/>
    </xf>
    <xf numFmtId="0" fontId="36" fillId="6" borderId="2" xfId="16" applyFont="1" applyFill="1" applyBorder="1" applyAlignment="1" applyProtection="1">
      <alignment horizontal="center"/>
    </xf>
    <xf numFmtId="0" fontId="7" fillId="11" borderId="2" xfId="16" applyFont="1" applyFill="1" applyBorder="1" applyAlignment="1" applyProtection="1">
      <alignment horizontal="left" vertical="center"/>
    </xf>
    <xf numFmtId="1" fontId="7" fillId="11" borderId="2" xfId="16" applyNumberFormat="1" applyFont="1" applyFill="1" applyBorder="1" applyAlignment="1" applyProtection="1">
      <alignment horizontal="center"/>
    </xf>
    <xf numFmtId="4" fontId="7" fillId="0" borderId="2" xfId="19" applyNumberFormat="1" applyFont="1" applyFill="1" applyBorder="1" applyProtection="1"/>
    <xf numFmtId="4" fontId="7" fillId="0" borderId="2" xfId="19" applyNumberFormat="1" applyFont="1" applyBorder="1" applyProtection="1"/>
    <xf numFmtId="4" fontId="0" fillId="0" borderId="0" xfId="0" applyNumberFormat="1" applyProtection="1"/>
    <xf numFmtId="0" fontId="39" fillId="12" borderId="2" xfId="16" applyFont="1" applyFill="1" applyBorder="1" applyAlignment="1" applyProtection="1">
      <alignment horizontal="left" vertical="center"/>
    </xf>
    <xf numFmtId="165" fontId="39" fillId="12" borderId="2" xfId="18" applyNumberFormat="1" applyFont="1" applyFill="1" applyBorder="1" applyAlignment="1" applyProtection="1">
      <alignment horizontal="centerContinuous"/>
    </xf>
    <xf numFmtId="4" fontId="37" fillId="12" borderId="2" xfId="16" applyNumberFormat="1" applyFont="1" applyFill="1" applyBorder="1" applyProtection="1"/>
    <xf numFmtId="4" fontId="39" fillId="12" borderId="2" xfId="16" applyNumberFormat="1" applyFont="1" applyFill="1" applyBorder="1" applyProtection="1"/>
    <xf numFmtId="4" fontId="36" fillId="7" borderId="2" xfId="16" applyNumberFormat="1" applyFont="1" applyFill="1" applyBorder="1" applyProtection="1"/>
    <xf numFmtId="1" fontId="40" fillId="0" borderId="2" xfId="16" applyNumberFormat="1" applyFont="1" applyBorder="1" applyProtection="1"/>
    <xf numFmtId="4" fontId="7" fillId="0" borderId="2" xfId="16" applyNumberFormat="1" applyFont="1" applyBorder="1" applyProtection="1"/>
    <xf numFmtId="0" fontId="36" fillId="6" borderId="2" xfId="16" applyFont="1" applyFill="1" applyBorder="1" applyAlignment="1" applyProtection="1">
      <alignment horizontal="left" vertical="center"/>
    </xf>
    <xf numFmtId="165" fontId="36" fillId="6" borderId="2" xfId="18" applyNumberFormat="1" applyFont="1" applyFill="1" applyBorder="1" applyAlignment="1" applyProtection="1">
      <alignment horizontal="centerContinuous"/>
    </xf>
    <xf numFmtId="4" fontId="7" fillId="6" borderId="2" xfId="16" applyNumberFormat="1" applyFont="1" applyFill="1" applyBorder="1" applyProtection="1"/>
    <xf numFmtId="4" fontId="36" fillId="6" borderId="2" xfId="16" applyNumberFormat="1" applyFont="1" applyFill="1" applyBorder="1" applyProtection="1"/>
    <xf numFmtId="4" fontId="37" fillId="28" borderId="2" xfId="16" applyNumberFormat="1" applyFont="1" applyFill="1" applyBorder="1" applyProtection="1"/>
    <xf numFmtId="4" fontId="39" fillId="28" borderId="2" xfId="16" applyNumberFormat="1" applyFont="1" applyFill="1" applyBorder="1" applyProtection="1"/>
    <xf numFmtId="0" fontId="36" fillId="7" borderId="2" xfId="16" applyFont="1" applyFill="1" applyBorder="1" applyAlignment="1" applyProtection="1">
      <alignment horizontal="left" vertical="center" wrapText="1"/>
    </xf>
    <xf numFmtId="165" fontId="36" fillId="6" borderId="2" xfId="18" applyNumberFormat="1" applyFont="1" applyFill="1" applyBorder="1" applyAlignment="1" applyProtection="1">
      <alignment horizontal="centerContinuous" vertical="center"/>
    </xf>
    <xf numFmtId="0" fontId="0" fillId="0" borderId="2" xfId="0" applyBorder="1" applyProtection="1"/>
    <xf numFmtId="0" fontId="0" fillId="0" borderId="2" xfId="0" applyBorder="1" applyAlignment="1" applyProtection="1">
      <alignment vertical="center"/>
    </xf>
    <xf numFmtId="0" fontId="39" fillId="22" borderId="2" xfId="16" applyFont="1" applyFill="1" applyBorder="1" applyAlignment="1" applyProtection="1">
      <alignment horizontal="left" vertical="center"/>
    </xf>
    <xf numFmtId="0" fontId="0" fillId="22" borderId="2" xfId="0" applyFill="1" applyBorder="1" applyProtection="1"/>
    <xf numFmtId="4" fontId="2" fillId="28" borderId="2" xfId="0" applyNumberFormat="1" applyFont="1" applyFill="1" applyBorder="1" applyProtection="1"/>
    <xf numFmtId="0" fontId="3" fillId="28" borderId="2" xfId="0" applyFont="1" applyFill="1" applyBorder="1" applyProtection="1"/>
    <xf numFmtId="0" fontId="56" fillId="0" borderId="0" xfId="0" applyFont="1" applyAlignment="1" applyProtection="1">
      <alignment horizontal="center"/>
    </xf>
    <xf numFmtId="44" fontId="0" fillId="0" borderId="0" xfId="30" applyFont="1" applyProtection="1"/>
    <xf numFmtId="44" fontId="56" fillId="0" borderId="0" xfId="0" applyNumberFormat="1" applyFont="1" applyProtection="1"/>
    <xf numFmtId="49" fontId="0" fillId="0" borderId="0" xfId="0" applyNumberFormat="1" applyFont="1" applyProtection="1"/>
    <xf numFmtId="4" fontId="56" fillId="7" borderId="2" xfId="0" applyNumberFormat="1" applyFont="1" applyFill="1" applyBorder="1" applyAlignment="1" applyProtection="1">
      <alignment horizontal="center" vertical="center"/>
    </xf>
    <xf numFmtId="0" fontId="56" fillId="7" borderId="2" xfId="0" applyFont="1" applyFill="1" applyBorder="1" applyAlignment="1" applyProtection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</xf>
    <xf numFmtId="0" fontId="0" fillId="7" borderId="25" xfId="0" applyFont="1" applyFill="1" applyBorder="1" applyAlignment="1" applyProtection="1">
      <alignment horizontal="center"/>
    </xf>
    <xf numFmtId="49" fontId="0" fillId="7" borderId="55" xfId="0" applyNumberFormat="1" applyFont="1" applyFill="1" applyBorder="1" applyAlignment="1" applyProtection="1">
      <alignment horizontal="center"/>
    </xf>
    <xf numFmtId="49" fontId="8" fillId="0" borderId="2" xfId="0" applyNumberFormat="1" applyFont="1" applyBorder="1" applyProtection="1"/>
    <xf numFmtId="4" fontId="56" fillId="7" borderId="2" xfId="0" applyNumberFormat="1" applyFont="1" applyFill="1" applyBorder="1" applyProtection="1"/>
    <xf numFmtId="4" fontId="0" fillId="7" borderId="2" xfId="0" applyNumberFormat="1" applyFill="1" applyBorder="1" applyAlignment="1" applyProtection="1">
      <alignment horizontal="right"/>
    </xf>
    <xf numFmtId="4" fontId="0" fillId="7" borderId="2" xfId="0" applyNumberFormat="1" applyFill="1" applyBorder="1" applyProtection="1"/>
    <xf numFmtId="0" fontId="0" fillId="7" borderId="2" xfId="0" applyFill="1" applyBorder="1" applyProtection="1"/>
    <xf numFmtId="4" fontId="15" fillId="7" borderId="1" xfId="0" applyNumberFormat="1" applyFont="1" applyFill="1" applyBorder="1" applyProtection="1"/>
    <xf numFmtId="0" fontId="0" fillId="7" borderId="28" xfId="0" applyFill="1" applyBorder="1" applyProtection="1"/>
    <xf numFmtId="4" fontId="15" fillId="7" borderId="25" xfId="0" applyNumberFormat="1" applyFont="1" applyFill="1" applyBorder="1" applyProtection="1"/>
    <xf numFmtId="4" fontId="0" fillId="7" borderId="55" xfId="0" applyNumberFormat="1" applyFont="1" applyFill="1" applyBorder="1" applyProtection="1"/>
    <xf numFmtId="4" fontId="0" fillId="7" borderId="28" xfId="0" applyNumberFormat="1" applyFill="1" applyBorder="1" applyProtection="1"/>
    <xf numFmtId="4" fontId="15" fillId="7" borderId="2" xfId="0" applyNumberFormat="1" applyFont="1" applyFill="1" applyBorder="1" applyProtection="1"/>
    <xf numFmtId="0" fontId="0" fillId="7" borderId="2" xfId="0" applyFill="1" applyBorder="1" applyAlignment="1" applyProtection="1">
      <alignment horizontal="right"/>
    </xf>
    <xf numFmtId="4" fontId="56" fillId="7" borderId="2" xfId="0" applyNumberFormat="1" applyFont="1" applyFill="1" applyBorder="1" applyAlignment="1" applyProtection="1">
      <alignment horizontal="right"/>
    </xf>
    <xf numFmtId="0" fontId="8" fillId="0" borderId="2" xfId="0" applyFont="1" applyBorder="1" applyProtection="1"/>
    <xf numFmtId="0" fontId="8" fillId="7" borderId="2" xfId="0" applyFont="1" applyFill="1" applyBorder="1" applyProtection="1"/>
    <xf numFmtId="4" fontId="15" fillId="7" borderId="54" xfId="0" applyNumberFormat="1" applyFont="1" applyFill="1" applyBorder="1" applyProtection="1"/>
    <xf numFmtId="0" fontId="15" fillId="0" borderId="0" xfId="0" applyFont="1" applyProtection="1"/>
    <xf numFmtId="43" fontId="56" fillId="7" borderId="2" xfId="0" applyNumberFormat="1" applyFont="1" applyFill="1" applyBorder="1" applyProtection="1"/>
    <xf numFmtId="2" fontId="56" fillId="7" borderId="2" xfId="0" applyNumberFormat="1" applyFont="1" applyFill="1" applyBorder="1" applyProtection="1"/>
    <xf numFmtId="2" fontId="0" fillId="7" borderId="2" xfId="0" applyNumberFormat="1" applyFill="1" applyBorder="1" applyProtection="1"/>
    <xf numFmtId="4" fontId="56" fillId="7" borderId="54" xfId="0" applyNumberFormat="1" applyFont="1" applyFill="1" applyBorder="1" applyProtection="1"/>
    <xf numFmtId="4" fontId="56" fillId="7" borderId="55" xfId="0" applyNumberFormat="1" applyFont="1" applyFill="1" applyBorder="1" applyProtection="1"/>
    <xf numFmtId="4" fontId="56" fillId="7" borderId="1" xfId="0" applyNumberFormat="1" applyFont="1" applyFill="1" applyBorder="1" applyAlignment="1" applyProtection="1"/>
    <xf numFmtId="0" fontId="56" fillId="7" borderId="0" xfId="0" applyFont="1" applyFill="1" applyBorder="1" applyAlignment="1" applyProtection="1"/>
    <xf numFmtId="0" fontId="0" fillId="7" borderId="0" xfId="0" applyFill="1" applyProtection="1"/>
    <xf numFmtId="4" fontId="15" fillId="7" borderId="0" xfId="0" applyNumberFormat="1" applyFont="1" applyFill="1" applyBorder="1" applyAlignment="1" applyProtection="1">
      <alignment horizontal="center"/>
    </xf>
    <xf numFmtId="0" fontId="15" fillId="7" borderId="0" xfId="0" applyFont="1" applyFill="1" applyBorder="1" applyAlignment="1" applyProtection="1">
      <alignment horizontal="center"/>
    </xf>
    <xf numFmtId="0" fontId="57" fillId="0" borderId="0" xfId="0" applyFont="1" applyBorder="1" applyAlignment="1" applyProtection="1"/>
    <xf numFmtId="4" fontId="56" fillId="7" borderId="2" xfId="0" applyNumberFormat="1" applyFont="1" applyFill="1" applyBorder="1" applyAlignment="1" applyProtection="1">
      <alignment horizontal="center" vertical="center" wrapText="1"/>
    </xf>
    <xf numFmtId="0" fontId="0" fillId="7" borderId="0" xfId="0" applyFill="1" applyBorder="1" applyProtection="1"/>
    <xf numFmtId="0" fontId="4" fillId="0" borderId="2" xfId="0" applyFont="1" applyBorder="1" applyAlignment="1" applyProtection="1"/>
    <xf numFmtId="2" fontId="4" fillId="7" borderId="2" xfId="0" applyNumberFormat="1" applyFont="1" applyFill="1" applyBorder="1" applyAlignment="1" applyProtection="1"/>
    <xf numFmtId="2" fontId="4" fillId="7" borderId="0" xfId="0" applyNumberFormat="1" applyFont="1" applyFill="1" applyBorder="1" applyAlignment="1" applyProtection="1"/>
    <xf numFmtId="0" fontId="4" fillId="0" borderId="0" xfId="0" applyFont="1" applyBorder="1" applyAlignment="1" applyProtection="1"/>
    <xf numFmtId="2" fontId="57" fillId="7" borderId="2" xfId="0" applyNumberFormat="1" applyFont="1" applyFill="1" applyBorder="1" applyAlignment="1" applyProtection="1"/>
    <xf numFmtId="2" fontId="56" fillId="7" borderId="2" xfId="0" applyNumberFormat="1" applyFont="1" applyFill="1" applyBorder="1" applyAlignment="1" applyProtection="1"/>
    <xf numFmtId="2" fontId="56" fillId="7" borderId="0" xfId="0" applyNumberFormat="1" applyFont="1" applyFill="1" applyBorder="1" applyAlignment="1" applyProtection="1"/>
    <xf numFmtId="2" fontId="4" fillId="7" borderId="0" xfId="0" applyNumberFormat="1" applyFont="1" applyFill="1" applyBorder="1" applyAlignment="1" applyProtection="1">
      <alignment horizontal="center"/>
    </xf>
    <xf numFmtId="2" fontId="15" fillId="7" borderId="0" xfId="0" applyNumberFormat="1" applyFont="1" applyFill="1" applyBorder="1" applyAlignment="1" applyProtection="1">
      <alignment horizontal="center"/>
    </xf>
    <xf numFmtId="0" fontId="60" fillId="0" borderId="0" xfId="0" applyFont="1" applyFill="1" applyBorder="1" applyAlignment="1" applyProtection="1">
      <alignment horizontal="right"/>
    </xf>
    <xf numFmtId="4" fontId="56" fillId="7" borderId="2" xfId="0" applyNumberFormat="1" applyFont="1" applyFill="1" applyBorder="1" applyAlignment="1" applyProtection="1"/>
    <xf numFmtId="4" fontId="56" fillId="7" borderId="0" xfId="0" applyNumberFormat="1" applyFont="1" applyFill="1" applyBorder="1" applyAlignment="1" applyProtection="1"/>
    <xf numFmtId="4" fontId="7" fillId="2" borderId="2" xfId="19" applyNumberFormat="1" applyFont="1" applyFill="1" applyBorder="1" applyAlignment="1" applyProtection="1">
      <alignment horizontal="right"/>
      <protection locked="0"/>
    </xf>
    <xf numFmtId="4" fontId="7" fillId="2" borderId="2" xfId="16" applyNumberFormat="1" applyFont="1" applyFill="1" applyBorder="1" applyProtection="1">
      <protection locked="0"/>
    </xf>
    <xf numFmtId="4" fontId="36" fillId="2" borderId="2" xfId="16" applyNumberFormat="1" applyFont="1" applyFill="1" applyBorder="1" applyProtection="1">
      <protection locked="0"/>
    </xf>
    <xf numFmtId="0" fontId="46" fillId="0" borderId="0" xfId="0" applyFont="1" applyFill="1" applyBorder="1" applyAlignment="1" applyProtection="1">
      <alignment horizontal="left" vertical="center"/>
    </xf>
    <xf numFmtId="3" fontId="42" fillId="29" borderId="2" xfId="25" applyNumberFormat="1" applyFont="1" applyFill="1" applyBorder="1" applyAlignment="1" applyProtection="1">
      <alignment horizontal="center" vertical="center"/>
    </xf>
    <xf numFmtId="0" fontId="44" fillId="7" borderId="2" xfId="25" applyFont="1" applyFill="1" applyBorder="1" applyAlignment="1" applyProtection="1">
      <alignment vertical="center"/>
    </xf>
    <xf numFmtId="0" fontId="43" fillId="29" borderId="2" xfId="25" applyFont="1" applyFill="1" applyBorder="1" applyAlignment="1" applyProtection="1">
      <alignment horizontal="center" vertical="center"/>
    </xf>
    <xf numFmtId="3" fontId="44" fillId="29" borderId="2" xfId="25" applyNumberFormat="1" applyFont="1" applyFill="1" applyBorder="1" applyAlignment="1" applyProtection="1">
      <alignment horizontal="center" vertical="center"/>
    </xf>
    <xf numFmtId="3" fontId="44" fillId="29" borderId="2" xfId="25" quotePrefix="1" applyNumberFormat="1" applyFont="1" applyFill="1" applyBorder="1" applyAlignment="1" applyProtection="1">
      <alignment horizontal="center" vertical="center"/>
    </xf>
    <xf numFmtId="0" fontId="44" fillId="7" borderId="2" xfId="25" applyFont="1" applyFill="1" applyBorder="1" applyAlignment="1" applyProtection="1">
      <alignment horizontal="center" vertical="center" wrapText="1"/>
    </xf>
    <xf numFmtId="0" fontId="45" fillId="0" borderId="2" xfId="25" applyFont="1" applyFill="1" applyBorder="1" applyAlignment="1" applyProtection="1">
      <alignment vertical="center"/>
    </xf>
    <xf numFmtId="4" fontId="4" fillId="0" borderId="2" xfId="25" quotePrefix="1" applyNumberFormat="1" applyFont="1" applyFill="1" applyBorder="1" applyAlignment="1" applyProtection="1">
      <alignment horizontal="left" vertical="center"/>
    </xf>
    <xf numFmtId="173" fontId="4" fillId="0" borderId="2" xfId="25" applyNumberFormat="1" applyFont="1" applyFill="1" applyBorder="1" applyAlignment="1" applyProtection="1">
      <alignment horizontal="right" vertical="center"/>
    </xf>
    <xf numFmtId="3" fontId="4" fillId="0" borderId="2" xfId="25" quotePrefix="1" applyNumberFormat="1" applyFont="1" applyFill="1" applyBorder="1" applyAlignment="1" applyProtection="1">
      <alignment horizontal="center" vertical="center"/>
    </xf>
    <xf numFmtId="174" fontId="4" fillId="0" borderId="2" xfId="25" applyNumberFormat="1" applyFont="1" applyFill="1" applyBorder="1" applyAlignment="1" applyProtection="1">
      <alignment horizontal="right" vertical="center"/>
    </xf>
    <xf numFmtId="4" fontId="4" fillId="0" borderId="2" xfId="25" applyNumberFormat="1" applyFont="1" applyFill="1" applyBorder="1" applyAlignment="1" applyProtection="1">
      <alignment horizontal="right" vertical="center"/>
    </xf>
    <xf numFmtId="4" fontId="4" fillId="9" borderId="2" xfId="25" applyNumberFormat="1" applyFont="1" applyFill="1" applyBorder="1" applyAlignment="1" applyProtection="1">
      <alignment vertical="center"/>
    </xf>
    <xf numFmtId="4" fontId="4" fillId="0" borderId="2" xfId="25" applyNumberFormat="1" applyFont="1" applyFill="1" applyBorder="1" applyAlignment="1" applyProtection="1">
      <alignment horizontal="left" vertical="center"/>
    </xf>
    <xf numFmtId="0" fontId="4" fillId="0" borderId="2" xfId="0" applyFont="1" applyBorder="1" applyProtection="1"/>
    <xf numFmtId="3" fontId="4" fillId="0" borderId="2" xfId="25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/>
    </xf>
    <xf numFmtId="4" fontId="4" fillId="2" borderId="2" xfId="25" applyNumberFormat="1" applyFont="1" applyFill="1" applyBorder="1" applyAlignment="1" applyProtection="1">
      <alignment vertical="center"/>
      <protection locked="0"/>
    </xf>
    <xf numFmtId="0" fontId="64" fillId="0" borderId="0" xfId="0" applyFont="1" applyProtection="1"/>
    <xf numFmtId="0" fontId="0" fillId="7" borderId="28" xfId="0" applyFill="1" applyBorder="1" applyAlignment="1" applyProtection="1">
      <alignment horizontal="center"/>
    </xf>
    <xf numFmtId="170" fontId="25" fillId="7" borderId="2" xfId="7" applyNumberFormat="1" applyFont="1" applyFill="1" applyBorder="1" applyAlignment="1" applyProtection="1">
      <alignment horizontal="center"/>
    </xf>
    <xf numFmtId="9" fontId="4" fillId="7" borderId="2" xfId="15" applyNumberFormat="1" applyFont="1" applyFill="1" applyBorder="1" applyAlignment="1" applyProtection="1">
      <alignment horizontal="center"/>
    </xf>
    <xf numFmtId="0" fontId="25" fillId="7" borderId="2" xfId="7" applyFont="1" applyFill="1" applyBorder="1" applyAlignment="1" applyProtection="1">
      <alignment horizontal="center"/>
    </xf>
    <xf numFmtId="4" fontId="25" fillId="7" borderId="2" xfId="7" applyNumberFormat="1" applyFont="1" applyFill="1" applyBorder="1" applyAlignment="1" applyProtection="1">
      <alignment horizontal="center"/>
    </xf>
    <xf numFmtId="1" fontId="4" fillId="7" borderId="2" xfId="7" applyNumberFormat="1" applyFont="1" applyFill="1" applyBorder="1" applyAlignment="1" applyProtection="1">
      <alignment horizontal="center"/>
    </xf>
    <xf numFmtId="10" fontId="4" fillId="7" borderId="2" xfId="2" applyNumberFormat="1" applyFont="1" applyFill="1" applyBorder="1" applyAlignment="1" applyProtection="1">
      <alignment horizontal="center"/>
    </xf>
    <xf numFmtId="4" fontId="4" fillId="7" borderId="2" xfId="7" applyNumberFormat="1" applyFont="1" applyFill="1" applyBorder="1" applyAlignment="1" applyProtection="1">
      <alignment horizontal="center"/>
    </xf>
    <xf numFmtId="4" fontId="27" fillId="7" borderId="2" xfId="7" applyNumberFormat="1" applyFont="1" applyFill="1" applyBorder="1" applyAlignment="1" applyProtection="1">
      <alignment horizontal="right"/>
    </xf>
    <xf numFmtId="0" fontId="0" fillId="7" borderId="2" xfId="0" applyFill="1" applyBorder="1" applyAlignment="1" applyProtection="1">
      <alignment horizontal="center"/>
    </xf>
    <xf numFmtId="170" fontId="4" fillId="7" borderId="2" xfId="7" applyNumberFormat="1" applyFont="1" applyFill="1" applyBorder="1" applyAlignment="1" applyProtection="1">
      <alignment horizontal="center"/>
    </xf>
    <xf numFmtId="0" fontId="4" fillId="7" borderId="2" xfId="7" applyFont="1" applyFill="1" applyBorder="1" applyAlignment="1" applyProtection="1">
      <alignment horizontal="center"/>
    </xf>
    <xf numFmtId="4" fontId="56" fillId="7" borderId="0" xfId="0" applyNumberFormat="1" applyFont="1" applyFill="1" applyProtection="1"/>
    <xf numFmtId="4" fontId="25" fillId="2" borderId="2" xfId="7" applyNumberFormat="1" applyFont="1" applyFill="1" applyBorder="1" applyAlignment="1" applyProtection="1">
      <alignment horizontal="center"/>
      <protection locked="0"/>
    </xf>
    <xf numFmtId="4" fontId="4" fillId="2" borderId="2" xfId="7" applyNumberFormat="1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Protection="1"/>
    <xf numFmtId="0" fontId="18" fillId="0" borderId="0" xfId="0" applyFont="1" applyFill="1" applyBorder="1" applyAlignment="1" applyProtection="1">
      <alignment horizontal="left" vertical="center"/>
    </xf>
    <xf numFmtId="0" fontId="10" fillId="4" borderId="0" xfId="7" applyFont="1" applyFill="1" applyBorder="1" applyAlignment="1" applyProtection="1">
      <alignment horizontal="left" vertical="center"/>
    </xf>
    <xf numFmtId="0" fontId="2" fillId="5" borderId="0" xfId="7" applyFont="1" applyFill="1" applyAlignment="1" applyProtection="1">
      <alignment horizontal="left" vertical="center"/>
    </xf>
    <xf numFmtId="49" fontId="19" fillId="5" borderId="0" xfId="0" applyNumberFormat="1" applyFont="1" applyFill="1" applyBorder="1" applyAlignment="1" applyProtection="1">
      <alignment horizontal="center" vertical="center"/>
    </xf>
    <xf numFmtId="0" fontId="20" fillId="6" borderId="14" xfId="0" applyFont="1" applyFill="1" applyBorder="1" applyAlignment="1" applyProtection="1">
      <alignment horizontal="centerContinuous" vertical="center"/>
    </xf>
    <xf numFmtId="0" fontId="20" fillId="6" borderId="13" xfId="0" applyFont="1" applyFill="1" applyBorder="1" applyAlignment="1" applyProtection="1">
      <alignment horizontal="centerContinuous" vertical="center"/>
    </xf>
    <xf numFmtId="0" fontId="20" fillId="6" borderId="12" xfId="0" applyFont="1" applyFill="1" applyBorder="1" applyAlignment="1" applyProtection="1">
      <alignment horizontal="centerContinuous" vertical="center"/>
    </xf>
    <xf numFmtId="0" fontId="20" fillId="6" borderId="12" xfId="0" applyFont="1" applyFill="1" applyBorder="1" applyAlignment="1" applyProtection="1">
      <alignment horizontal="center" vertical="center"/>
    </xf>
    <xf numFmtId="0" fontId="20" fillId="6" borderId="11" xfId="0" applyFont="1" applyFill="1" applyBorder="1" applyAlignment="1" applyProtection="1">
      <alignment horizontal="centerContinuous" vertical="center"/>
    </xf>
    <xf numFmtId="0" fontId="20" fillId="6" borderId="5" xfId="0" applyFont="1" applyFill="1" applyBorder="1" applyAlignment="1" applyProtection="1">
      <alignment horizontal="centerContinuous" vertical="center"/>
    </xf>
    <xf numFmtId="0" fontId="20" fillId="6" borderId="0" xfId="0" applyFont="1" applyFill="1" applyBorder="1" applyAlignment="1" applyProtection="1">
      <alignment horizontal="centerContinuous" vertical="center"/>
    </xf>
    <xf numFmtId="0" fontId="21" fillId="6" borderId="0" xfId="0" applyFont="1" applyFill="1" applyBorder="1" applyAlignment="1" applyProtection="1">
      <alignment horizontal="centerContinuous" vertical="center"/>
    </xf>
    <xf numFmtId="0" fontId="21" fillId="6" borderId="7" xfId="0" applyFont="1" applyFill="1" applyBorder="1" applyAlignment="1" applyProtection="1">
      <alignment horizontal="centerContinuous" vertical="center"/>
    </xf>
    <xf numFmtId="9" fontId="21" fillId="6" borderId="0" xfId="2" applyNumberFormat="1" applyFont="1" applyFill="1" applyBorder="1" applyAlignment="1" applyProtection="1">
      <alignment horizontal="center"/>
    </xf>
    <xf numFmtId="0" fontId="20" fillId="6" borderId="18" xfId="0" applyFont="1" applyFill="1" applyBorder="1" applyAlignment="1" applyProtection="1">
      <alignment horizontal="center"/>
    </xf>
    <xf numFmtId="0" fontId="6" fillId="6" borderId="17" xfId="0" applyFont="1" applyFill="1" applyBorder="1" applyAlignment="1" applyProtection="1">
      <alignment horizontal="center"/>
    </xf>
    <xf numFmtId="0" fontId="20" fillId="6" borderId="17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</xf>
    <xf numFmtId="0" fontId="6" fillId="6" borderId="15" xfId="0" applyFont="1" applyFill="1" applyBorder="1" applyAlignment="1" applyProtection="1">
      <alignment horizontal="center"/>
    </xf>
    <xf numFmtId="9" fontId="6" fillId="6" borderId="17" xfId="2" applyFont="1" applyFill="1" applyBorder="1" applyAlignment="1" applyProtection="1">
      <alignment horizontal="center"/>
    </xf>
    <xf numFmtId="0" fontId="6" fillId="6" borderId="18" xfId="0" applyFont="1" applyFill="1" applyBorder="1" applyAlignment="1" applyProtection="1">
      <alignment horizontal="center"/>
    </xf>
    <xf numFmtId="49" fontId="29" fillId="6" borderId="2" xfId="0" applyNumberFormat="1" applyFont="1" applyFill="1" applyBorder="1" applyProtection="1"/>
    <xf numFmtId="43" fontId="22" fillId="6" borderId="2" xfId="1" applyFont="1" applyFill="1" applyBorder="1" applyAlignment="1" applyProtection="1">
      <alignment horizontal="center"/>
    </xf>
    <xf numFmtId="2" fontId="22" fillId="6" borderId="2" xfId="0" applyNumberFormat="1" applyFont="1" applyFill="1" applyBorder="1" applyAlignment="1" applyProtection="1">
      <alignment horizontal="center"/>
    </xf>
    <xf numFmtId="4" fontId="22" fillId="6" borderId="2" xfId="0" applyNumberFormat="1" applyFont="1" applyFill="1" applyBorder="1" applyProtection="1"/>
    <xf numFmtId="4" fontId="20" fillId="6" borderId="2" xfId="0" applyNumberFormat="1" applyFont="1" applyFill="1" applyBorder="1" applyProtection="1"/>
    <xf numFmtId="0" fontId="17" fillId="0" borderId="2" xfId="0" applyFont="1" applyBorder="1" applyProtection="1"/>
    <xf numFmtId="4" fontId="8" fillId="0" borderId="2" xfId="0" applyNumberFormat="1" applyFont="1" applyBorder="1" applyProtection="1"/>
    <xf numFmtId="2" fontId="8" fillId="0" borderId="2" xfId="0" applyNumberFormat="1" applyFont="1" applyBorder="1" applyProtection="1"/>
    <xf numFmtId="4" fontId="8" fillId="7" borderId="2" xfId="0" applyNumberFormat="1" applyFont="1" applyFill="1" applyBorder="1" applyProtection="1"/>
    <xf numFmtId="0" fontId="6" fillId="0" borderId="2" xfId="0" applyFont="1" applyBorder="1" applyProtection="1"/>
    <xf numFmtId="4" fontId="8" fillId="0" borderId="2" xfId="0" applyNumberFormat="1" applyFont="1" applyBorder="1" applyAlignment="1" applyProtection="1">
      <alignment horizontal="right"/>
    </xf>
    <xf numFmtId="4" fontId="8" fillId="6" borderId="1" xfId="0" applyNumberFormat="1" applyFont="1" applyFill="1" applyBorder="1" applyProtection="1"/>
    <xf numFmtId="2" fontId="8" fillId="6" borderId="1" xfId="0" applyNumberFormat="1" applyFont="1" applyFill="1" applyBorder="1" applyProtection="1"/>
    <xf numFmtId="4" fontId="8" fillId="6" borderId="2" xfId="0" applyNumberFormat="1" applyFont="1" applyFill="1" applyBorder="1" applyProtection="1"/>
    <xf numFmtId="4" fontId="6" fillId="6" borderId="2" xfId="0" applyNumberFormat="1" applyFont="1" applyFill="1" applyBorder="1" applyProtection="1"/>
    <xf numFmtId="0" fontId="27" fillId="6" borderId="2" xfId="0" applyFont="1" applyFill="1" applyBorder="1" applyProtection="1"/>
    <xf numFmtId="43" fontId="27" fillId="6" borderId="2" xfId="0" applyNumberFormat="1" applyFont="1" applyFill="1" applyBorder="1" applyProtection="1"/>
    <xf numFmtId="4" fontId="27" fillId="6" borderId="2" xfId="0" applyNumberFormat="1" applyFont="1" applyFill="1" applyBorder="1" applyAlignment="1" applyProtection="1">
      <alignment horizontal="center"/>
    </xf>
    <xf numFmtId="4" fontId="27" fillId="6" borderId="2" xfId="0" applyNumberFormat="1" applyFont="1" applyFill="1" applyBorder="1" applyAlignment="1" applyProtection="1">
      <alignment horizontal="right"/>
    </xf>
    <xf numFmtId="4" fontId="27" fillId="15" borderId="2" xfId="0" applyNumberFormat="1" applyFont="1" applyFill="1" applyBorder="1" applyAlignment="1" applyProtection="1">
      <alignment horizontal="right"/>
    </xf>
    <xf numFmtId="4" fontId="15" fillId="0" borderId="0" xfId="0" applyNumberFormat="1" applyFont="1" applyProtection="1"/>
    <xf numFmtId="9" fontId="15" fillId="0" borderId="0" xfId="0" applyNumberFormat="1" applyFont="1" applyProtection="1"/>
    <xf numFmtId="10" fontId="56" fillId="24" borderId="2" xfId="2" applyNumberFormat="1" applyFont="1" applyFill="1" applyBorder="1" applyAlignment="1" applyProtection="1">
      <alignment horizontal="center"/>
    </xf>
    <xf numFmtId="10" fontId="56" fillId="26" borderId="2" xfId="2" applyNumberFormat="1" applyFont="1" applyFill="1" applyBorder="1" applyAlignment="1" applyProtection="1">
      <alignment horizontal="center"/>
    </xf>
    <xf numFmtId="10" fontId="15" fillId="0" borderId="0" xfId="2" applyNumberFormat="1" applyFont="1" applyProtection="1"/>
    <xf numFmtId="0" fontId="0" fillId="0" borderId="0" xfId="0" applyFont="1" applyProtection="1"/>
    <xf numFmtId="43" fontId="15" fillId="0" borderId="0" xfId="0" applyNumberFormat="1" applyFont="1" applyProtection="1"/>
    <xf numFmtId="165" fontId="15" fillId="0" borderId="0" xfId="2" applyNumberFormat="1" applyFont="1" applyProtection="1"/>
    <xf numFmtId="0" fontId="15" fillId="0" borderId="0" xfId="0" applyFont="1" applyBorder="1" applyProtection="1"/>
    <xf numFmtId="0" fontId="0" fillId="8" borderId="2" xfId="0" applyFont="1" applyFill="1" applyBorder="1" applyAlignment="1" applyProtection="1">
      <alignment horizontal="center"/>
    </xf>
    <xf numFmtId="4" fontId="27" fillId="24" borderId="2" xfId="0" applyNumberFormat="1" applyFont="1" applyFill="1" applyBorder="1" applyAlignment="1" applyProtection="1">
      <alignment horizontal="right"/>
    </xf>
    <xf numFmtId="10" fontId="15" fillId="0" borderId="0" xfId="0" applyNumberFormat="1" applyFont="1" applyProtection="1"/>
    <xf numFmtId="0" fontId="0" fillId="8" borderId="2" xfId="0" applyFont="1" applyFill="1" applyBorder="1" applyAlignment="1" applyProtection="1">
      <alignment horizontal="right"/>
    </xf>
    <xf numFmtId="43" fontId="15" fillId="0" borderId="2" xfId="1" applyFont="1" applyBorder="1" applyAlignment="1" applyProtection="1">
      <alignment horizontal="right"/>
    </xf>
    <xf numFmtId="4" fontId="27" fillId="20" borderId="2" xfId="0" applyNumberFormat="1" applyFont="1" applyFill="1" applyBorder="1" applyAlignment="1" applyProtection="1">
      <alignment horizontal="right"/>
    </xf>
    <xf numFmtId="10" fontId="56" fillId="20" borderId="2" xfId="2" applyNumberFormat="1" applyFont="1" applyFill="1" applyBorder="1" applyAlignment="1" applyProtection="1">
      <alignment horizontal="center"/>
    </xf>
    <xf numFmtId="10" fontId="56" fillId="23" borderId="2" xfId="2" applyNumberFormat="1" applyFont="1" applyFill="1" applyBorder="1" applyAlignment="1" applyProtection="1">
      <alignment horizontal="center"/>
    </xf>
    <xf numFmtId="43" fontId="56" fillId="9" borderId="2" xfId="1" applyFont="1" applyFill="1" applyBorder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4" fillId="7" borderId="0" xfId="3" applyFont="1" applyFill="1" applyBorder="1" applyAlignment="1" applyProtection="1">
      <alignment vertical="center"/>
    </xf>
    <xf numFmtId="0" fontId="63" fillId="0" borderId="0" xfId="0" applyFont="1" applyAlignment="1" applyProtection="1"/>
    <xf numFmtId="0" fontId="26" fillId="0" borderId="0" xfId="7" applyFont="1" applyFill="1" applyBorder="1" applyAlignment="1" applyProtection="1">
      <alignment horizontal="left" vertical="center"/>
    </xf>
    <xf numFmtId="0" fontId="4" fillId="0" borderId="0" xfId="7" applyFont="1" applyProtection="1"/>
    <xf numFmtId="0" fontId="1" fillId="0" borderId="0" xfId="7" applyFont="1" applyProtection="1"/>
    <xf numFmtId="0" fontId="5" fillId="0" borderId="0" xfId="7" applyFont="1" applyFill="1" applyBorder="1" applyAlignment="1" applyProtection="1">
      <alignment horizontal="left" vertical="center"/>
    </xf>
    <xf numFmtId="0" fontId="59" fillId="2" borderId="0" xfId="7" applyFont="1" applyFill="1" applyBorder="1" applyAlignment="1" applyProtection="1">
      <alignment horizontal="left"/>
    </xf>
    <xf numFmtId="0" fontId="11" fillId="2" borderId="0" xfId="7" applyFont="1" applyFill="1" applyBorder="1" applyProtection="1"/>
    <xf numFmtId="2" fontId="11" fillId="2" borderId="0" xfId="7" applyNumberFormat="1" applyFont="1" applyFill="1" applyBorder="1" applyProtection="1"/>
    <xf numFmtId="0" fontId="12" fillId="2" borderId="0" xfId="7" applyFont="1" applyFill="1" applyBorder="1" applyProtection="1"/>
    <xf numFmtId="4" fontId="4" fillId="2" borderId="0" xfId="7" applyNumberFormat="1" applyFont="1" applyFill="1" applyBorder="1" applyProtection="1"/>
    <xf numFmtId="0" fontId="4" fillId="6" borderId="8" xfId="7" applyFont="1" applyFill="1" applyBorder="1" applyAlignment="1" applyProtection="1">
      <alignment horizontal="center" vertical="center"/>
    </xf>
    <xf numFmtId="0" fontId="4" fillId="6" borderId="0" xfId="7" applyFont="1" applyFill="1" applyBorder="1" applyAlignment="1" applyProtection="1">
      <alignment horizontal="center"/>
    </xf>
    <xf numFmtId="0" fontId="4" fillId="6" borderId="0" xfId="7" applyFont="1" applyFill="1" applyBorder="1" applyAlignment="1" applyProtection="1">
      <alignment horizontal="center" vertical="center" wrapText="1"/>
    </xf>
    <xf numFmtId="165" fontId="4" fillId="6" borderId="0" xfId="15" applyNumberFormat="1" applyFont="1" applyFill="1" applyBorder="1" applyAlignment="1" applyProtection="1">
      <alignment horizontal="center"/>
    </xf>
    <xf numFmtId="0" fontId="2" fillId="22" borderId="2" xfId="7" applyFont="1" applyFill="1" applyBorder="1" applyProtection="1"/>
    <xf numFmtId="0" fontId="2" fillId="22" borderId="2" xfId="7" applyFont="1" applyFill="1" applyBorder="1" applyAlignment="1" applyProtection="1">
      <alignment horizontal="left" vertical="center"/>
    </xf>
    <xf numFmtId="0" fontId="3" fillId="22" borderId="2" xfId="7" applyFont="1" applyFill="1" applyBorder="1" applyProtection="1"/>
    <xf numFmtId="0" fontId="57" fillId="14" borderId="2" xfId="7" applyFont="1" applyFill="1" applyBorder="1" applyProtection="1"/>
    <xf numFmtId="0" fontId="14" fillId="14" borderId="2" xfId="7" applyFont="1" applyFill="1" applyBorder="1" applyAlignment="1" applyProtection="1">
      <alignment horizontal="left" vertical="center"/>
    </xf>
    <xf numFmtId="0" fontId="4" fillId="0" borderId="2" xfId="7" applyFont="1" applyBorder="1" applyProtection="1"/>
    <xf numFmtId="1" fontId="25" fillId="0" borderId="2" xfId="7" applyNumberFormat="1" applyFont="1" applyBorder="1" applyAlignment="1" applyProtection="1">
      <alignment horizontal="center"/>
    </xf>
    <xf numFmtId="2" fontId="25" fillId="0" borderId="2" xfId="7" applyNumberFormat="1" applyFont="1" applyBorder="1" applyAlignment="1" applyProtection="1">
      <alignment horizontal="center"/>
    </xf>
    <xf numFmtId="43" fontId="25" fillId="0" borderId="2" xfId="7" applyNumberFormat="1" applyFont="1" applyFill="1" applyBorder="1" applyProtection="1"/>
    <xf numFmtId="0" fontId="25" fillId="0" borderId="2" xfId="7" applyFont="1" applyBorder="1" applyAlignment="1" applyProtection="1">
      <alignment horizontal="center"/>
    </xf>
    <xf numFmtId="4" fontId="27" fillId="0" borderId="2" xfId="7" applyNumberFormat="1" applyFont="1" applyFill="1" applyBorder="1" applyAlignment="1" applyProtection="1">
      <alignment horizontal="right"/>
    </xf>
    <xf numFmtId="0" fontId="22" fillId="0" borderId="0" xfId="0" applyFont="1" applyProtection="1"/>
    <xf numFmtId="0" fontId="4" fillId="7" borderId="2" xfId="7" applyFont="1" applyFill="1" applyBorder="1" applyProtection="1"/>
    <xf numFmtId="0" fontId="25" fillId="22" borderId="2" xfId="7" applyFont="1" applyFill="1" applyBorder="1" applyAlignment="1" applyProtection="1">
      <alignment horizontal="right"/>
    </xf>
    <xf numFmtId="170" fontId="25" fillId="22" borderId="2" xfId="7" applyNumberFormat="1" applyFont="1" applyFill="1" applyBorder="1" applyAlignment="1" applyProtection="1">
      <alignment horizontal="center"/>
    </xf>
    <xf numFmtId="9" fontId="4" fillId="22" borderId="2" xfId="15" applyNumberFormat="1" applyFont="1" applyFill="1" applyBorder="1" applyAlignment="1" applyProtection="1">
      <alignment horizontal="center"/>
    </xf>
    <xf numFmtId="0" fontId="25" fillId="22" borderId="2" xfId="7" applyFont="1" applyFill="1" applyBorder="1" applyAlignment="1" applyProtection="1">
      <alignment horizontal="center"/>
    </xf>
    <xf numFmtId="1" fontId="25" fillId="22" borderId="2" xfId="7" applyNumberFormat="1" applyFont="1" applyFill="1" applyBorder="1" applyAlignment="1" applyProtection="1">
      <alignment horizontal="center"/>
    </xf>
    <xf numFmtId="2" fontId="25" fillId="22" borderId="2" xfId="7" applyNumberFormat="1" applyFont="1" applyFill="1" applyBorder="1" applyAlignment="1" applyProtection="1">
      <alignment horizontal="center"/>
    </xf>
    <xf numFmtId="4" fontId="27" fillId="22" borderId="2" xfId="7" applyNumberFormat="1" applyFont="1" applyFill="1" applyBorder="1" applyAlignment="1" applyProtection="1">
      <alignment horizontal="right"/>
    </xf>
    <xf numFmtId="0" fontId="22" fillId="0" borderId="2" xfId="0" applyFont="1" applyBorder="1" applyProtection="1"/>
    <xf numFmtId="170" fontId="4" fillId="7" borderId="27" xfId="7" applyNumberFormat="1" applyFont="1" applyFill="1" applyBorder="1" applyAlignment="1" applyProtection="1">
      <alignment horizontal="center"/>
    </xf>
    <xf numFmtId="43" fontId="25" fillId="0" borderId="27" xfId="7" applyNumberFormat="1" applyFont="1" applyFill="1" applyBorder="1" applyProtection="1"/>
    <xf numFmtId="0" fontId="25" fillId="0" borderId="27" xfId="7" applyFont="1" applyBorder="1" applyAlignment="1" applyProtection="1">
      <alignment horizontal="center"/>
    </xf>
    <xf numFmtId="4" fontId="27" fillId="0" borderId="27" xfId="7" applyNumberFormat="1" applyFont="1" applyFill="1" applyBorder="1" applyAlignment="1" applyProtection="1">
      <alignment horizontal="right"/>
    </xf>
    <xf numFmtId="0" fontId="11" fillId="21" borderId="28" xfId="7" applyFont="1" applyFill="1" applyBorder="1" applyProtection="1"/>
    <xf numFmtId="4" fontId="11" fillId="21" borderId="37" xfId="7" applyNumberFormat="1" applyFont="1" applyFill="1" applyBorder="1" applyAlignment="1" applyProtection="1">
      <alignment horizontal="center"/>
    </xf>
    <xf numFmtId="4" fontId="27" fillId="21" borderId="37" xfId="7" applyNumberFormat="1" applyFont="1" applyFill="1" applyBorder="1" applyAlignment="1" applyProtection="1">
      <alignment horizontal="left"/>
    </xf>
    <xf numFmtId="4" fontId="27" fillId="21" borderId="25" xfId="7" applyNumberFormat="1" applyFont="1" applyFill="1" applyBorder="1" applyAlignment="1" applyProtection="1">
      <alignment horizontal="right"/>
    </xf>
    <xf numFmtId="4" fontId="11" fillId="21" borderId="37" xfId="7" applyNumberFormat="1" applyFont="1" applyFill="1" applyBorder="1" applyAlignment="1" applyProtection="1">
      <alignment horizontal="right"/>
    </xf>
    <xf numFmtId="0" fontId="59" fillId="2" borderId="28" xfId="7" applyFont="1" applyFill="1" applyBorder="1" applyAlignment="1" applyProtection="1">
      <alignment horizontal="left"/>
    </xf>
    <xf numFmtId="0" fontId="11" fillId="2" borderId="37" xfId="7" applyFont="1" applyFill="1" applyBorder="1" applyProtection="1"/>
    <xf numFmtId="0" fontId="12" fillId="2" borderId="37" xfId="7" applyFont="1" applyFill="1" applyBorder="1" applyProtection="1"/>
    <xf numFmtId="4" fontId="4" fillId="2" borderId="37" xfId="7" applyNumberFormat="1" applyFont="1" applyFill="1" applyBorder="1" applyProtection="1"/>
    <xf numFmtId="4" fontId="4" fillId="2" borderId="25" xfId="7" applyNumberFormat="1" applyFont="1" applyFill="1" applyBorder="1" applyProtection="1"/>
    <xf numFmtId="0" fontId="4" fillId="6" borderId="0" xfId="7" applyFont="1" applyFill="1" applyBorder="1" applyAlignment="1" applyProtection="1">
      <alignment horizontal="center" vertical="center"/>
    </xf>
    <xf numFmtId="0" fontId="4" fillId="6" borderId="36" xfId="7" applyFont="1" applyFill="1" applyBorder="1" applyAlignment="1" applyProtection="1">
      <alignment horizontal="center" vertical="center"/>
    </xf>
    <xf numFmtId="0" fontId="4" fillId="6" borderId="24" xfId="7" applyFont="1" applyFill="1" applyBorder="1" applyAlignment="1" applyProtection="1">
      <alignment horizontal="center"/>
    </xf>
    <xf numFmtId="0" fontId="4" fillId="6" borderId="24" xfId="7" applyFont="1" applyFill="1" applyBorder="1" applyAlignment="1" applyProtection="1">
      <alignment horizontal="center" vertical="center" wrapText="1"/>
    </xf>
    <xf numFmtId="165" fontId="4" fillId="6" borderId="24" xfId="15" applyNumberFormat="1" applyFont="1" applyFill="1" applyBorder="1" applyAlignment="1" applyProtection="1">
      <alignment horizontal="center"/>
    </xf>
    <xf numFmtId="0" fontId="4" fillId="6" borderId="34" xfId="7" applyFont="1" applyFill="1" applyBorder="1" applyAlignment="1" applyProtection="1">
      <alignment horizontal="center"/>
    </xf>
    <xf numFmtId="0" fontId="2" fillId="22" borderId="1" xfId="7" applyFont="1" applyFill="1" applyBorder="1" applyProtection="1"/>
    <xf numFmtId="0" fontId="24" fillId="22" borderId="1" xfId="7" applyFont="1" applyFill="1" applyBorder="1" applyAlignment="1" applyProtection="1">
      <alignment horizontal="center"/>
    </xf>
    <xf numFmtId="0" fontId="24" fillId="22" borderId="1" xfId="7" applyFont="1" applyFill="1" applyBorder="1" applyAlignment="1" applyProtection="1">
      <alignment horizontal="center" vertical="center" wrapText="1"/>
    </xf>
    <xf numFmtId="1" fontId="25" fillId="7" borderId="2" xfId="7" applyNumberFormat="1" applyFont="1" applyFill="1" applyBorder="1" applyAlignment="1" applyProtection="1">
      <alignment horizontal="center"/>
    </xf>
    <xf numFmtId="170" fontId="25" fillId="7" borderId="27" xfId="7" applyNumberFormat="1" applyFont="1" applyFill="1" applyBorder="1" applyAlignment="1" applyProtection="1">
      <alignment horizontal="center"/>
    </xf>
    <xf numFmtId="9" fontId="4" fillId="7" borderId="27" xfId="15" applyNumberFormat="1" applyFont="1" applyFill="1" applyBorder="1" applyAlignment="1" applyProtection="1">
      <alignment horizontal="center"/>
    </xf>
    <xf numFmtId="1" fontId="25" fillId="7" borderId="27" xfId="7" applyNumberFormat="1" applyFont="1" applyFill="1" applyBorder="1" applyAlignment="1" applyProtection="1">
      <alignment horizontal="center"/>
    </xf>
    <xf numFmtId="4" fontId="4" fillId="2" borderId="25" xfId="7" applyNumberFormat="1" applyFont="1" applyFill="1" applyBorder="1" applyAlignment="1" applyProtection="1">
      <alignment horizontal="right"/>
    </xf>
    <xf numFmtId="0" fontId="4" fillId="22" borderId="2" xfId="7" applyFont="1" applyFill="1" applyBorder="1" applyProtection="1"/>
    <xf numFmtId="0" fontId="4" fillId="22" borderId="2" xfId="7" applyFont="1" applyFill="1" applyBorder="1" applyAlignment="1" applyProtection="1">
      <alignment horizontal="right"/>
    </xf>
    <xf numFmtId="0" fontId="4" fillId="6" borderId="0" xfId="3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4" fillId="6" borderId="24" xfId="3" applyFont="1" applyFill="1" applyBorder="1" applyAlignment="1" applyProtection="1">
      <alignment horizontal="center" vertical="center"/>
    </xf>
    <xf numFmtId="164" fontId="25" fillId="7" borderId="2" xfId="7" applyNumberFormat="1" applyFont="1" applyFill="1" applyBorder="1" applyAlignment="1" applyProtection="1">
      <alignment horizontal="center"/>
    </xf>
    <xf numFmtId="10" fontId="25" fillId="7" borderId="2" xfId="2" applyNumberFormat="1" applyFont="1" applyFill="1" applyBorder="1" applyAlignment="1" applyProtection="1">
      <alignment horizontal="center"/>
    </xf>
    <xf numFmtId="0" fontId="59" fillId="2" borderId="28" xfId="0" applyFont="1" applyFill="1" applyBorder="1" applyAlignment="1" applyProtection="1">
      <alignment horizontal="left"/>
    </xf>
    <xf numFmtId="0" fontId="11" fillId="2" borderId="37" xfId="0" applyFont="1" applyFill="1" applyBorder="1" applyProtection="1"/>
    <xf numFmtId="0" fontId="12" fillId="2" borderId="37" xfId="0" applyFont="1" applyFill="1" applyBorder="1" applyProtection="1"/>
    <xf numFmtId="4" fontId="4" fillId="2" borderId="37" xfId="0" applyNumberFormat="1" applyFont="1" applyFill="1" applyBorder="1" applyProtection="1"/>
    <xf numFmtId="4" fontId="4" fillId="2" borderId="25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right" vertical="center"/>
    </xf>
    <xf numFmtId="0" fontId="4" fillId="3" borderId="24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right"/>
    </xf>
    <xf numFmtId="170" fontId="25" fillId="7" borderId="39" xfId="7" applyNumberFormat="1" applyFont="1" applyFill="1" applyBorder="1" applyAlignment="1" applyProtection="1">
      <alignment horizontal="center"/>
    </xf>
    <xf numFmtId="9" fontId="4" fillId="7" borderId="39" xfId="15" applyNumberFormat="1" applyFont="1" applyFill="1" applyBorder="1" applyAlignment="1" applyProtection="1">
      <alignment horizontal="center"/>
    </xf>
    <xf numFmtId="0" fontId="25" fillId="7" borderId="39" xfId="0" applyFont="1" applyFill="1" applyBorder="1" applyAlignment="1" applyProtection="1">
      <alignment horizontal="center"/>
    </xf>
    <xf numFmtId="43" fontId="25" fillId="0" borderId="39" xfId="1" applyFont="1" applyBorder="1" applyAlignment="1" applyProtection="1">
      <alignment horizontal="center"/>
    </xf>
    <xf numFmtId="0" fontId="25" fillId="0" borderId="39" xfId="0" applyFont="1" applyBorder="1" applyAlignment="1" applyProtection="1">
      <alignment horizontal="center"/>
    </xf>
    <xf numFmtId="164" fontId="25" fillId="7" borderId="39" xfId="0" applyNumberFormat="1" applyFont="1" applyFill="1" applyBorder="1" applyAlignment="1" applyProtection="1">
      <alignment horizontal="center"/>
    </xf>
    <xf numFmtId="4" fontId="27" fillId="0" borderId="39" xfId="7" applyNumberFormat="1" applyFont="1" applyFill="1" applyBorder="1" applyAlignment="1" applyProtection="1">
      <alignment horizontal="right"/>
    </xf>
    <xf numFmtId="43" fontId="25" fillId="0" borderId="2" xfId="1" applyFont="1" applyBorder="1" applyAlignment="1" applyProtection="1">
      <alignment horizontal="center"/>
    </xf>
    <xf numFmtId="0" fontId="25" fillId="0" borderId="2" xfId="0" applyFont="1" applyBorder="1" applyAlignment="1" applyProtection="1">
      <alignment horizontal="center"/>
    </xf>
    <xf numFmtId="164" fontId="25" fillId="7" borderId="2" xfId="0" applyNumberFormat="1" applyFont="1" applyFill="1" applyBorder="1" applyAlignment="1" applyProtection="1">
      <alignment horizontal="center"/>
    </xf>
    <xf numFmtId="170" fontId="25" fillId="7" borderId="37" xfId="7" applyNumberFormat="1" applyFont="1" applyFill="1" applyBorder="1" applyAlignment="1" applyProtection="1">
      <alignment horizontal="center"/>
    </xf>
    <xf numFmtId="0" fontId="25" fillId="7" borderId="2" xfId="7" applyFont="1" applyFill="1" applyBorder="1" applyProtection="1"/>
    <xf numFmtId="4" fontId="27" fillId="6" borderId="28" xfId="7" applyNumberFormat="1" applyFont="1" applyFill="1" applyBorder="1" applyAlignment="1" applyProtection="1">
      <alignment horizontal="left"/>
    </xf>
    <xf numFmtId="4" fontId="27" fillId="6" borderId="37" xfId="7" applyNumberFormat="1" applyFont="1" applyFill="1" applyBorder="1" applyAlignment="1" applyProtection="1">
      <alignment horizontal="center"/>
    </xf>
    <xf numFmtId="4" fontId="27" fillId="6" borderId="25" xfId="7" applyNumberFormat="1" applyFont="1" applyFill="1" applyBorder="1" applyAlignment="1" applyProtection="1">
      <alignment horizontal="right"/>
    </xf>
    <xf numFmtId="0" fontId="1" fillId="0" borderId="0" xfId="7" applyFont="1" applyAlignment="1" applyProtection="1">
      <alignment horizontal="right"/>
    </xf>
    <xf numFmtId="0" fontId="27" fillId="0" borderId="0" xfId="7" applyFont="1" applyProtection="1"/>
    <xf numFmtId="0" fontId="28" fillId="0" borderId="0" xfId="7" applyFont="1" applyProtection="1"/>
    <xf numFmtId="4" fontId="27" fillId="0" borderId="0" xfId="7" applyNumberFormat="1" applyFont="1" applyFill="1" applyBorder="1" applyAlignment="1" applyProtection="1">
      <alignment horizontal="right"/>
    </xf>
    <xf numFmtId="10" fontId="28" fillId="0" borderId="0" xfId="15" applyNumberFormat="1" applyFont="1" applyProtection="1"/>
    <xf numFmtId="4" fontId="27" fillId="6" borderId="10" xfId="7" applyNumberFormat="1" applyFont="1" applyFill="1" applyBorder="1" applyAlignment="1" applyProtection="1">
      <alignment horizontal="left"/>
    </xf>
    <xf numFmtId="4" fontId="27" fillId="6" borderId="10" xfId="7" applyNumberFormat="1" applyFont="1" applyFill="1" applyBorder="1" applyAlignment="1" applyProtection="1">
      <alignment horizontal="center"/>
    </xf>
    <xf numFmtId="4" fontId="27" fillId="6" borderId="10" xfId="7" applyNumberFormat="1" applyFont="1" applyFill="1" applyBorder="1" applyAlignment="1" applyProtection="1">
      <alignment horizontal="right"/>
    </xf>
    <xf numFmtId="4" fontId="23" fillId="0" borderId="0" xfId="0" applyNumberFormat="1" applyFont="1" applyFill="1" applyBorder="1" applyAlignment="1" applyProtection="1">
      <alignment horizontal="right"/>
    </xf>
    <xf numFmtId="43" fontId="25" fillId="22" borderId="2" xfId="7" applyNumberFormat="1" applyFont="1" applyFill="1" applyBorder="1" applyProtection="1"/>
    <xf numFmtId="2" fontId="25" fillId="7" borderId="2" xfId="7" applyNumberFormat="1" applyFont="1" applyFill="1" applyBorder="1" applyAlignment="1" applyProtection="1">
      <alignment horizontal="center"/>
    </xf>
    <xf numFmtId="0" fontId="11" fillId="21" borderId="33" xfId="7" applyFont="1" applyFill="1" applyBorder="1" applyProtection="1"/>
    <xf numFmtId="4" fontId="11" fillId="21" borderId="26" xfId="7" applyNumberFormat="1" applyFont="1" applyFill="1" applyBorder="1" applyAlignment="1" applyProtection="1">
      <alignment horizontal="center"/>
    </xf>
    <xf numFmtId="4" fontId="27" fillId="21" borderId="2" xfId="7" applyNumberFormat="1" applyFont="1" applyFill="1" applyBorder="1" applyAlignment="1" applyProtection="1">
      <alignment horizontal="left"/>
    </xf>
    <xf numFmtId="4" fontId="11" fillId="21" borderId="2" xfId="7" applyNumberFormat="1" applyFont="1" applyFill="1" applyBorder="1" applyAlignment="1" applyProtection="1">
      <alignment horizontal="center"/>
    </xf>
    <xf numFmtId="4" fontId="27" fillId="21" borderId="29" xfId="7" applyNumberFormat="1" applyFont="1" applyFill="1" applyBorder="1" applyAlignment="1" applyProtection="1">
      <alignment horizontal="right"/>
    </xf>
    <xf numFmtId="0" fontId="11" fillId="21" borderId="38" xfId="7" applyFont="1" applyFill="1" applyBorder="1" applyProtection="1"/>
    <xf numFmtId="4" fontId="11" fillId="21" borderId="0" xfId="7" applyNumberFormat="1" applyFont="1" applyFill="1" applyBorder="1" applyAlignment="1" applyProtection="1">
      <alignment horizontal="center"/>
    </xf>
    <xf numFmtId="4" fontId="27" fillId="21" borderId="0" xfId="7" applyNumberFormat="1" applyFont="1" applyFill="1" applyBorder="1" applyAlignment="1" applyProtection="1">
      <alignment horizontal="left"/>
    </xf>
    <xf numFmtId="4" fontId="27" fillId="21" borderId="36" xfId="7" applyNumberFormat="1" applyFont="1" applyFill="1" applyBorder="1" applyAlignment="1" applyProtection="1">
      <alignment horizontal="right"/>
    </xf>
    <xf numFmtId="4" fontId="11" fillId="21" borderId="24" xfId="7" applyNumberFormat="1" applyFont="1" applyFill="1" applyBorder="1" applyAlignment="1" applyProtection="1">
      <alignment horizontal="center"/>
    </xf>
    <xf numFmtId="0" fontId="11" fillId="21" borderId="31" xfId="7" applyFont="1" applyFill="1" applyBorder="1" applyProtection="1"/>
    <xf numFmtId="4" fontId="27" fillId="21" borderId="24" xfId="7" applyNumberFormat="1" applyFont="1" applyFill="1" applyBorder="1" applyAlignment="1" applyProtection="1">
      <alignment horizontal="left"/>
    </xf>
    <xf numFmtId="0" fontId="15" fillId="21" borderId="2" xfId="0" applyFont="1" applyFill="1" applyBorder="1" applyProtection="1"/>
    <xf numFmtId="4" fontId="27" fillId="21" borderId="34" xfId="7" applyNumberFormat="1" applyFont="1" applyFill="1" applyBorder="1" applyAlignment="1" applyProtection="1">
      <alignment horizontal="right"/>
    </xf>
    <xf numFmtId="0" fontId="59" fillId="2" borderId="31" xfId="7" applyFont="1" applyFill="1" applyBorder="1" applyAlignment="1" applyProtection="1">
      <alignment horizontal="left"/>
    </xf>
    <xf numFmtId="0" fontId="11" fillId="2" borderId="24" xfId="7" applyFont="1" applyFill="1" applyBorder="1" applyProtection="1"/>
    <xf numFmtId="0" fontId="12" fillId="2" borderId="24" xfId="7" applyFont="1" applyFill="1" applyBorder="1" applyProtection="1"/>
    <xf numFmtId="4" fontId="4" fillId="2" borderId="24" xfId="7" applyNumberFormat="1" applyFont="1" applyFill="1" applyBorder="1" applyProtection="1"/>
    <xf numFmtId="4" fontId="4" fillId="2" borderId="34" xfId="7" applyNumberFormat="1" applyFont="1" applyFill="1" applyBorder="1" applyProtection="1"/>
    <xf numFmtId="0" fontId="2" fillId="22" borderId="1" xfId="7" applyFont="1" applyFill="1" applyBorder="1" applyAlignment="1" applyProtection="1">
      <alignment horizontal="left" vertical="center"/>
    </xf>
    <xf numFmtId="165" fontId="24" fillId="22" borderId="1" xfId="15" applyNumberFormat="1" applyFont="1" applyFill="1" applyBorder="1" applyAlignment="1" applyProtection="1">
      <alignment horizontal="center"/>
    </xf>
    <xf numFmtId="0" fontId="24" fillId="7" borderId="2" xfId="7" applyFont="1" applyFill="1" applyBorder="1" applyAlignment="1" applyProtection="1">
      <alignment horizontal="center"/>
    </xf>
    <xf numFmtId="0" fontId="24" fillId="7" borderId="2" xfId="7" applyFont="1" applyFill="1" applyBorder="1" applyAlignment="1" applyProtection="1">
      <alignment horizontal="center" vertical="center" wrapText="1"/>
    </xf>
    <xf numFmtId="165" fontId="24" fillId="7" borderId="2" xfId="15" applyNumberFormat="1" applyFont="1" applyFill="1" applyBorder="1" applyAlignment="1" applyProtection="1">
      <alignment horizontal="center"/>
    </xf>
    <xf numFmtId="0" fontId="15" fillId="0" borderId="2" xfId="0" applyFont="1" applyBorder="1" applyProtection="1"/>
    <xf numFmtId="0" fontId="15" fillId="22" borderId="2" xfId="0" applyFont="1" applyFill="1" applyBorder="1" applyProtection="1"/>
    <xf numFmtId="0" fontId="24" fillId="22" borderId="2" xfId="7" applyFont="1" applyFill="1" applyBorder="1" applyAlignment="1" applyProtection="1">
      <alignment horizontal="center"/>
    </xf>
    <xf numFmtId="0" fontId="24" fillId="22" borderId="2" xfId="7" applyFont="1" applyFill="1" applyBorder="1" applyAlignment="1" applyProtection="1">
      <alignment horizontal="center" vertical="center" wrapText="1"/>
    </xf>
    <xf numFmtId="165" fontId="24" fillId="22" borderId="2" xfId="15" applyNumberFormat="1" applyFont="1" applyFill="1" applyBorder="1" applyAlignment="1" applyProtection="1">
      <alignment horizontal="center"/>
    </xf>
    <xf numFmtId="4" fontId="27" fillId="21" borderId="26" xfId="7" applyNumberFormat="1" applyFont="1" applyFill="1" applyBorder="1" applyAlignment="1" applyProtection="1">
      <alignment horizontal="left"/>
    </xf>
    <xf numFmtId="0" fontId="4" fillId="6" borderId="36" xfId="7" applyFont="1" applyFill="1" applyBorder="1" applyAlignment="1" applyProtection="1">
      <alignment horizontal="right" vertical="center"/>
    </xf>
    <xf numFmtId="0" fontId="4" fillId="6" borderId="34" xfId="7" applyFont="1" applyFill="1" applyBorder="1" applyAlignment="1" applyProtection="1">
      <alignment horizontal="right"/>
    </xf>
    <xf numFmtId="0" fontId="1" fillId="0" borderId="2" xfId="0" applyFont="1" applyBorder="1" applyProtection="1"/>
    <xf numFmtId="164" fontId="25" fillId="7" borderId="26" xfId="0" applyNumberFormat="1" applyFont="1" applyFill="1" applyBorder="1" applyAlignment="1" applyProtection="1">
      <alignment horizontal="center"/>
    </xf>
    <xf numFmtId="0" fontId="25" fillId="0" borderId="26" xfId="0" applyFont="1" applyBorder="1" applyAlignment="1" applyProtection="1">
      <alignment horizontal="center"/>
    </xf>
    <xf numFmtId="43" fontId="25" fillId="0" borderId="26" xfId="1" applyFont="1" applyBorder="1" applyAlignment="1" applyProtection="1">
      <alignment horizontal="center"/>
    </xf>
    <xf numFmtId="0" fontId="25" fillId="7" borderId="27" xfId="0" applyFont="1" applyFill="1" applyBorder="1" applyAlignment="1" applyProtection="1">
      <alignment horizontal="center"/>
    </xf>
    <xf numFmtId="164" fontId="25" fillId="7" borderId="27" xfId="0" applyNumberFormat="1" applyFont="1" applyFill="1" applyBorder="1" applyAlignment="1" applyProtection="1">
      <alignment horizontal="center"/>
    </xf>
    <xf numFmtId="0" fontId="25" fillId="0" borderId="27" xfId="0" applyFont="1" applyBorder="1" applyAlignment="1" applyProtection="1">
      <alignment horizontal="center"/>
    </xf>
    <xf numFmtId="43" fontId="25" fillId="0" borderId="27" xfId="1" applyFont="1" applyBorder="1" applyAlignment="1" applyProtection="1">
      <alignment horizontal="center"/>
    </xf>
    <xf numFmtId="0" fontId="17" fillId="2" borderId="0" xfId="0" applyFont="1" applyFill="1" applyProtection="1"/>
    <xf numFmtId="2" fontId="25" fillId="7" borderId="27" xfId="7" applyNumberFormat="1" applyFont="1" applyFill="1" applyBorder="1" applyAlignment="1" applyProtection="1">
      <alignment horizontal="center"/>
    </xf>
    <xf numFmtId="0" fontId="4" fillId="22" borderId="1" xfId="7" applyFont="1" applyFill="1" applyBorder="1" applyProtection="1"/>
    <xf numFmtId="0" fontId="24" fillId="6" borderId="0" xfId="7" applyFont="1" applyFill="1" applyBorder="1" applyAlignment="1" applyProtection="1">
      <alignment horizontal="center" vertical="center"/>
    </xf>
    <xf numFmtId="0" fontId="24" fillId="6" borderId="36" xfId="7" applyFont="1" applyFill="1" applyBorder="1" applyAlignment="1" applyProtection="1">
      <alignment horizontal="right" vertical="center"/>
    </xf>
    <xf numFmtId="0" fontId="24" fillId="6" borderId="24" xfId="7" applyFont="1" applyFill="1" applyBorder="1" applyAlignment="1" applyProtection="1">
      <alignment horizontal="center"/>
    </xf>
    <xf numFmtId="0" fontId="24" fillId="6" borderId="24" xfId="7" applyFont="1" applyFill="1" applyBorder="1" applyAlignment="1" applyProtection="1">
      <alignment horizontal="center" vertical="center" wrapText="1"/>
    </xf>
    <xf numFmtId="165" fontId="24" fillId="6" borderId="24" xfId="15" applyNumberFormat="1" applyFont="1" applyFill="1" applyBorder="1" applyAlignment="1" applyProtection="1">
      <alignment horizontal="center"/>
    </xf>
    <xf numFmtId="0" fontId="24" fillId="6" borderId="34" xfId="7" applyFont="1" applyFill="1" applyBorder="1" applyAlignment="1" applyProtection="1">
      <alignment horizontal="right"/>
    </xf>
    <xf numFmtId="0" fontId="4" fillId="22" borderId="1" xfId="7" applyFont="1" applyFill="1" applyBorder="1" applyAlignment="1" applyProtection="1">
      <alignment horizontal="right"/>
    </xf>
    <xf numFmtId="0" fontId="4" fillId="0" borderId="2" xfId="7" applyFont="1" applyBorder="1" applyAlignment="1" applyProtection="1">
      <alignment horizontal="right"/>
    </xf>
    <xf numFmtId="0" fontId="25" fillId="7" borderId="2" xfId="0" applyFont="1" applyFill="1" applyBorder="1" applyAlignment="1" applyProtection="1">
      <alignment horizontal="center"/>
    </xf>
    <xf numFmtId="43" fontId="25" fillId="7" borderId="2" xfId="1" applyFont="1" applyFill="1" applyBorder="1" applyAlignment="1" applyProtection="1">
      <alignment horizontal="center"/>
    </xf>
    <xf numFmtId="0" fontId="25" fillId="7" borderId="2" xfId="7" applyFont="1" applyFill="1" applyBorder="1" applyAlignment="1" applyProtection="1">
      <alignment horizontal="left"/>
    </xf>
    <xf numFmtId="4" fontId="27" fillId="7" borderId="0" xfId="7" applyNumberFormat="1" applyFont="1" applyFill="1" applyBorder="1" applyAlignment="1" applyProtection="1">
      <alignment horizontal="left"/>
    </xf>
    <xf numFmtId="4" fontId="27" fillId="7" borderId="0" xfId="7" applyNumberFormat="1" applyFont="1" applyFill="1" applyBorder="1" applyAlignment="1" applyProtection="1">
      <alignment horizontal="center"/>
    </xf>
    <xf numFmtId="4" fontId="27" fillId="7" borderId="0" xfId="7" applyNumberFormat="1" applyFont="1" applyFill="1" applyBorder="1" applyAlignment="1" applyProtection="1">
      <alignment horizontal="right"/>
    </xf>
    <xf numFmtId="0" fontId="17" fillId="2" borderId="37" xfId="0" applyFont="1" applyFill="1" applyBorder="1" applyProtection="1"/>
    <xf numFmtId="0" fontId="4" fillId="6" borderId="26" xfId="7" applyFont="1" applyFill="1" applyBorder="1" applyAlignment="1" applyProtection="1">
      <alignment horizontal="center" vertical="center"/>
    </xf>
    <xf numFmtId="0" fontId="4" fillId="6" borderId="29" xfId="7" applyFont="1" applyFill="1" applyBorder="1" applyAlignment="1" applyProtection="1">
      <alignment horizontal="center" vertical="center"/>
    </xf>
    <xf numFmtId="0" fontId="4" fillId="7" borderId="1" xfId="7" applyFont="1" applyFill="1" applyBorder="1" applyAlignment="1" applyProtection="1">
      <alignment horizontal="center"/>
    </xf>
    <xf numFmtId="0" fontId="4" fillId="7" borderId="1" xfId="7" applyFont="1" applyFill="1" applyBorder="1" applyAlignment="1" applyProtection="1">
      <alignment horizontal="center" vertical="center" wrapText="1"/>
    </xf>
    <xf numFmtId="165" fontId="4" fillId="7" borderId="1" xfId="15" applyNumberFormat="1" applyFont="1" applyFill="1" applyBorder="1" applyAlignment="1" applyProtection="1">
      <alignment horizontal="center"/>
    </xf>
    <xf numFmtId="0" fontId="4" fillId="7" borderId="2" xfId="7" applyFont="1" applyFill="1" applyBorder="1" applyAlignment="1" applyProtection="1">
      <alignment horizontal="center" vertical="center" wrapText="1"/>
    </xf>
    <xf numFmtId="165" fontId="4" fillId="7" borderId="2" xfId="15" applyNumberFormat="1" applyFont="1" applyFill="1" applyBorder="1" applyAlignment="1" applyProtection="1">
      <alignment horizontal="center"/>
    </xf>
    <xf numFmtId="0" fontId="25" fillId="0" borderId="26" xfId="7" applyFont="1" applyBorder="1" applyAlignment="1" applyProtection="1">
      <alignment horizontal="center"/>
    </xf>
    <xf numFmtId="4" fontId="4" fillId="2" borderId="34" xfId="7" applyNumberFormat="1" applyFont="1" applyFill="1" applyBorder="1" applyAlignment="1" applyProtection="1">
      <alignment horizontal="right"/>
    </xf>
    <xf numFmtId="0" fontId="4" fillId="7" borderId="1" xfId="7" applyFont="1" applyFill="1" applyBorder="1" applyAlignment="1" applyProtection="1">
      <alignment horizontal="right"/>
    </xf>
    <xf numFmtId="0" fontId="4" fillId="7" borderId="2" xfId="7" applyFont="1" applyFill="1" applyBorder="1" applyAlignment="1" applyProtection="1">
      <alignment horizontal="right"/>
    </xf>
    <xf numFmtId="0" fontId="59" fillId="2" borderId="31" xfId="0" applyFont="1" applyFill="1" applyBorder="1" applyAlignment="1" applyProtection="1">
      <alignment horizontal="left"/>
    </xf>
    <xf numFmtId="0" fontId="11" fillId="2" borderId="24" xfId="0" applyFont="1" applyFill="1" applyBorder="1" applyProtection="1"/>
    <xf numFmtId="0" fontId="12" fillId="2" borderId="24" xfId="0" applyFont="1" applyFill="1" applyBorder="1" applyProtection="1"/>
    <xf numFmtId="4" fontId="4" fillId="2" borderId="24" xfId="0" applyNumberFormat="1" applyFont="1" applyFill="1" applyBorder="1" applyProtection="1"/>
    <xf numFmtId="4" fontId="4" fillId="2" borderId="34" xfId="0" applyNumberFormat="1" applyFont="1" applyFill="1" applyBorder="1" applyAlignment="1" applyProtection="1">
      <alignment horizontal="right"/>
    </xf>
    <xf numFmtId="0" fontId="11" fillId="21" borderId="10" xfId="7" applyFont="1" applyFill="1" applyBorder="1" applyProtection="1"/>
    <xf numFmtId="4" fontId="11" fillId="21" borderId="10" xfId="7" applyNumberFormat="1" applyFont="1" applyFill="1" applyBorder="1" applyAlignment="1" applyProtection="1">
      <alignment horizontal="center"/>
    </xf>
    <xf numFmtId="4" fontId="27" fillId="21" borderId="10" xfId="7" applyNumberFormat="1" applyFont="1" applyFill="1" applyBorder="1" applyAlignment="1" applyProtection="1">
      <alignment horizontal="left"/>
    </xf>
    <xf numFmtId="4" fontId="11" fillId="21" borderId="8" xfId="7" applyNumberFormat="1" applyFont="1" applyFill="1" applyBorder="1" applyAlignment="1" applyProtection="1">
      <alignment horizontal="center"/>
    </xf>
    <xf numFmtId="4" fontId="27" fillId="21" borderId="10" xfId="7" applyNumberFormat="1" applyFont="1" applyFill="1" applyBorder="1" applyAlignment="1" applyProtection="1">
      <alignment horizontal="right"/>
    </xf>
    <xf numFmtId="0" fontId="11" fillId="21" borderId="0" xfId="7" applyFont="1" applyFill="1" applyBorder="1" applyProtection="1"/>
    <xf numFmtId="4" fontId="27" fillId="21" borderId="0" xfId="7" applyNumberFormat="1" applyFont="1" applyFill="1" applyBorder="1" applyAlignment="1" applyProtection="1">
      <alignment horizontal="right"/>
    </xf>
    <xf numFmtId="0" fontId="11" fillId="21" borderId="2" xfId="7" applyFont="1" applyFill="1" applyBorder="1" applyProtection="1"/>
    <xf numFmtId="4" fontId="27" fillId="21" borderId="2" xfId="7" applyNumberFormat="1" applyFont="1" applyFill="1" applyBorder="1" applyAlignment="1" applyProtection="1">
      <alignment horizontal="right"/>
    </xf>
    <xf numFmtId="4" fontId="4" fillId="2" borderId="0" xfId="7" applyNumberFormat="1" applyFont="1" applyFill="1" applyBorder="1" applyAlignment="1" applyProtection="1">
      <alignment horizontal="right"/>
    </xf>
    <xf numFmtId="0" fontId="4" fillId="6" borderId="8" xfId="7" applyFont="1" applyFill="1" applyBorder="1" applyAlignment="1" applyProtection="1">
      <alignment horizontal="right" vertical="center"/>
    </xf>
    <xf numFmtId="0" fontId="4" fillId="6" borderId="9" xfId="7" applyFont="1" applyFill="1" applyBorder="1" applyAlignment="1" applyProtection="1">
      <alignment horizontal="center"/>
    </xf>
    <xf numFmtId="0" fontId="4" fillId="6" borderId="9" xfId="7" applyFont="1" applyFill="1" applyBorder="1" applyAlignment="1" applyProtection="1">
      <alignment horizontal="center" vertical="center" wrapText="1"/>
    </xf>
    <xf numFmtId="165" fontId="4" fillId="6" borderId="9" xfId="15" applyNumberFormat="1" applyFont="1" applyFill="1" applyBorder="1" applyAlignment="1" applyProtection="1">
      <alignment horizontal="center"/>
    </xf>
    <xf numFmtId="0" fontId="4" fillId="6" borderId="9" xfId="7" applyFont="1" applyFill="1" applyBorder="1" applyAlignment="1" applyProtection="1">
      <alignment horizontal="right"/>
    </xf>
    <xf numFmtId="0" fontId="11" fillId="21" borderId="9" xfId="7" applyFont="1" applyFill="1" applyBorder="1" applyProtection="1"/>
    <xf numFmtId="4" fontId="11" fillId="21" borderId="9" xfId="7" applyNumberFormat="1" applyFont="1" applyFill="1" applyBorder="1" applyAlignment="1" applyProtection="1">
      <alignment horizontal="center"/>
    </xf>
    <xf numFmtId="4" fontId="27" fillId="21" borderId="9" xfId="7" applyNumberFormat="1" applyFont="1" applyFill="1" applyBorder="1" applyAlignment="1" applyProtection="1">
      <alignment horizontal="left"/>
    </xf>
    <xf numFmtId="4" fontId="27" fillId="21" borderId="9" xfId="7" applyNumberFormat="1" applyFont="1" applyFill="1" applyBorder="1" applyAlignment="1" applyProtection="1">
      <alignment horizontal="right"/>
    </xf>
    <xf numFmtId="0" fontId="4" fillId="6" borderId="8" xfId="3" applyFont="1" applyFill="1" applyBorder="1" applyAlignment="1" applyProtection="1">
      <alignment horizontal="center" vertical="center"/>
    </xf>
    <xf numFmtId="0" fontId="59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Protection="1"/>
    <xf numFmtId="0" fontId="12" fillId="2" borderId="0" xfId="0" applyFont="1" applyFill="1" applyBorder="1" applyProtection="1"/>
    <xf numFmtId="4" fontId="4" fillId="2" borderId="0" xfId="0" applyNumberFormat="1" applyFont="1" applyFill="1" applyBorder="1" applyProtection="1"/>
    <xf numFmtId="4" fontId="4" fillId="2" borderId="0" xfId="0" applyNumberFormat="1" applyFont="1" applyFill="1" applyBorder="1" applyAlignment="1" applyProtection="1">
      <alignment horizontal="right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right"/>
    </xf>
    <xf numFmtId="0" fontId="59" fillId="2" borderId="38" xfId="7" applyFont="1" applyFill="1" applyBorder="1" applyAlignment="1" applyProtection="1">
      <alignment horizontal="left"/>
    </xf>
    <xf numFmtId="0" fontId="17" fillId="2" borderId="0" xfId="0" applyFont="1" applyFill="1" applyBorder="1" applyProtection="1"/>
    <xf numFmtId="4" fontId="4" fillId="2" borderId="36" xfId="7" applyNumberFormat="1" applyFont="1" applyFill="1" applyBorder="1" applyProtection="1"/>
    <xf numFmtId="0" fontId="4" fillId="6" borderId="41" xfId="7" applyFont="1" applyFill="1" applyBorder="1" applyAlignment="1" applyProtection="1">
      <alignment horizontal="center" vertical="center"/>
    </xf>
    <xf numFmtId="0" fontId="4" fillId="6" borderId="43" xfId="7" applyFont="1" applyFill="1" applyBorder="1" applyAlignment="1" applyProtection="1">
      <alignment horizontal="center"/>
    </xf>
    <xf numFmtId="4" fontId="11" fillId="21" borderId="25" xfId="7" applyNumberFormat="1" applyFont="1" applyFill="1" applyBorder="1" applyAlignment="1" applyProtection="1">
      <alignment horizontal="center"/>
    </xf>
    <xf numFmtId="0" fontId="2" fillId="22" borderId="44" xfId="7" applyFont="1" applyFill="1" applyBorder="1" applyProtection="1"/>
    <xf numFmtId="0" fontId="2" fillId="22" borderId="23" xfId="7" applyFont="1" applyFill="1" applyBorder="1" applyAlignment="1" applyProtection="1">
      <alignment horizontal="left" vertical="center"/>
    </xf>
    <xf numFmtId="0" fontId="4" fillId="22" borderId="0" xfId="7" applyFont="1" applyFill="1" applyBorder="1" applyProtection="1"/>
    <xf numFmtId="0" fontId="4" fillId="22" borderId="36" xfId="7" applyFont="1" applyFill="1" applyBorder="1" applyProtection="1"/>
    <xf numFmtId="4" fontId="4" fillId="2" borderId="36" xfId="7" applyNumberFormat="1" applyFont="1" applyFill="1" applyBorder="1" applyAlignment="1" applyProtection="1">
      <alignment horizontal="right"/>
    </xf>
    <xf numFmtId="0" fontId="4" fillId="6" borderId="41" xfId="7" applyFont="1" applyFill="1" applyBorder="1" applyAlignment="1" applyProtection="1">
      <alignment horizontal="right" vertical="center"/>
    </xf>
    <xf numFmtId="0" fontId="4" fillId="6" borderId="43" xfId="7" applyFont="1" applyFill="1" applyBorder="1" applyAlignment="1" applyProtection="1">
      <alignment horizontal="right"/>
    </xf>
    <xf numFmtId="0" fontId="11" fillId="21" borderId="45" xfId="7" applyFont="1" applyFill="1" applyBorder="1" applyProtection="1"/>
    <xf numFmtId="4" fontId="27" fillId="21" borderId="43" xfId="7" applyNumberFormat="1" applyFont="1" applyFill="1" applyBorder="1" applyAlignment="1" applyProtection="1">
      <alignment horizontal="right"/>
    </xf>
    <xf numFmtId="0" fontId="59" fillId="2" borderId="38" xfId="0" applyFont="1" applyFill="1" applyBorder="1" applyAlignment="1" applyProtection="1">
      <alignment horizontal="left"/>
    </xf>
    <xf numFmtId="4" fontId="4" fillId="2" borderId="36" xfId="0" applyNumberFormat="1" applyFont="1" applyFill="1" applyBorder="1" applyAlignment="1" applyProtection="1">
      <alignment horizontal="right"/>
    </xf>
    <xf numFmtId="0" fontId="4" fillId="3" borderId="47" xfId="0" applyFont="1" applyFill="1" applyBorder="1" applyAlignment="1" applyProtection="1">
      <alignment horizontal="right" vertical="center"/>
    </xf>
    <xf numFmtId="0" fontId="4" fillId="3" borderId="4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right"/>
    </xf>
    <xf numFmtId="0" fontId="11" fillId="21" borderId="50" xfId="7" applyFont="1" applyFill="1" applyBorder="1" applyProtection="1"/>
    <xf numFmtId="4" fontId="11" fillId="21" borderId="51" xfId="7" applyNumberFormat="1" applyFont="1" applyFill="1" applyBorder="1" applyAlignment="1" applyProtection="1">
      <alignment horizontal="center"/>
    </xf>
    <xf numFmtId="4" fontId="27" fillId="21" borderId="51" xfId="7" applyNumberFormat="1" applyFont="1" applyFill="1" applyBorder="1" applyAlignment="1" applyProtection="1">
      <alignment horizontal="left"/>
    </xf>
    <xf numFmtId="4" fontId="27" fillId="21" borderId="52" xfId="7" applyNumberFormat="1" applyFont="1" applyFill="1" applyBorder="1" applyAlignment="1" applyProtection="1">
      <alignment horizontal="right"/>
    </xf>
    <xf numFmtId="0" fontId="4" fillId="6" borderId="36" xfId="7" applyFont="1" applyFill="1" applyBorder="1" applyAlignment="1" applyProtection="1">
      <alignment horizontal="center"/>
    </xf>
    <xf numFmtId="0" fontId="4" fillId="6" borderId="36" xfId="7" applyFont="1" applyFill="1" applyBorder="1" applyAlignment="1" applyProtection="1">
      <alignment horizontal="right"/>
    </xf>
    <xf numFmtId="0" fontId="4" fillId="3" borderId="36" xfId="0" applyFont="1" applyFill="1" applyBorder="1" applyAlignment="1" applyProtection="1">
      <alignment horizontal="right"/>
    </xf>
    <xf numFmtId="0" fontId="4" fillId="6" borderId="0" xfId="7" applyFont="1" applyFill="1" applyBorder="1" applyAlignment="1" applyProtection="1">
      <alignment horizontal="right"/>
    </xf>
    <xf numFmtId="0" fontId="24" fillId="6" borderId="8" xfId="3" applyFont="1" applyFill="1" applyBorder="1" applyAlignment="1" applyProtection="1">
      <alignment horizontal="center" vertical="center"/>
    </xf>
    <xf numFmtId="0" fontId="24" fillId="6" borderId="0" xfId="3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right" vertical="center"/>
    </xf>
    <xf numFmtId="0" fontId="24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Alignment="1" applyProtection="1">
      <alignment horizontal="right"/>
    </xf>
    <xf numFmtId="0" fontId="4" fillId="7" borderId="2" xfId="0" applyFont="1" applyFill="1" applyBorder="1" applyAlignment="1" applyProtection="1">
      <alignment horizontal="center"/>
    </xf>
    <xf numFmtId="43" fontId="4" fillId="7" borderId="2" xfId="1" applyFont="1" applyFill="1" applyBorder="1" applyAlignment="1" applyProtection="1">
      <alignment horizontal="center"/>
    </xf>
    <xf numFmtId="0" fontId="24" fillId="3" borderId="4" xfId="0" applyFont="1" applyFill="1" applyBorder="1" applyAlignment="1" applyProtection="1">
      <alignment horizontal="center"/>
    </xf>
    <xf numFmtId="0" fontId="24" fillId="3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 applyProtection="1">
      <alignment horizontal="right"/>
    </xf>
    <xf numFmtId="170" fontId="4" fillId="7" borderId="0" xfId="0" applyNumberFormat="1" applyFont="1" applyFill="1" applyAlignment="1" applyProtection="1">
      <alignment horizontal="center"/>
    </xf>
    <xf numFmtId="9" fontId="4" fillId="7" borderId="0" xfId="15" applyNumberFormat="1" applyFont="1" applyFill="1" applyAlignment="1" applyProtection="1">
      <alignment horizontal="center"/>
    </xf>
    <xf numFmtId="0" fontId="4" fillId="7" borderId="0" xfId="0" applyFont="1" applyFill="1" applyAlignment="1" applyProtection="1">
      <alignment horizontal="center"/>
    </xf>
    <xf numFmtId="43" fontId="4" fillId="7" borderId="0" xfId="1" applyFont="1" applyFill="1" applyAlignment="1" applyProtection="1">
      <alignment horizontal="center"/>
    </xf>
    <xf numFmtId="0" fontId="25" fillId="7" borderId="0" xfId="0" applyFont="1" applyFill="1" applyAlignment="1" applyProtection="1">
      <alignment horizontal="center"/>
    </xf>
    <xf numFmtId="164" fontId="25" fillId="7" borderId="0" xfId="0" applyNumberFormat="1" applyFont="1" applyFill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43" fontId="25" fillId="0" borderId="0" xfId="1" applyFont="1" applyAlignment="1" applyProtection="1">
      <alignment horizontal="center"/>
    </xf>
    <xf numFmtId="0" fontId="24" fillId="6" borderId="8" xfId="7" applyFont="1" applyFill="1" applyBorder="1" applyAlignment="1" applyProtection="1">
      <alignment horizontal="center" vertical="center"/>
    </xf>
    <xf numFmtId="0" fontId="24" fillId="6" borderId="8" xfId="7" applyFont="1" applyFill="1" applyBorder="1" applyAlignment="1" applyProtection="1">
      <alignment horizontal="right" vertical="center"/>
    </xf>
    <xf numFmtId="0" fontId="24" fillId="6" borderId="0" xfId="7" applyFont="1" applyFill="1" applyBorder="1" applyAlignment="1" applyProtection="1">
      <alignment horizontal="center"/>
    </xf>
    <xf numFmtId="0" fontId="24" fillId="6" borderId="0" xfId="7" applyFont="1" applyFill="1" applyBorder="1" applyAlignment="1" applyProtection="1">
      <alignment horizontal="center" vertical="center" wrapText="1"/>
    </xf>
    <xf numFmtId="165" fontId="24" fillId="6" borderId="0" xfId="15" applyNumberFormat="1" applyFont="1" applyFill="1" applyBorder="1" applyAlignment="1" applyProtection="1">
      <alignment horizontal="center"/>
    </xf>
    <xf numFmtId="0" fontId="24" fillId="6" borderId="0" xfId="7" applyFont="1" applyFill="1" applyBorder="1" applyAlignment="1" applyProtection="1">
      <alignment horizontal="right"/>
    </xf>
    <xf numFmtId="0" fontId="24" fillId="6" borderId="9" xfId="3" applyFont="1" applyFill="1" applyBorder="1" applyAlignment="1" applyProtection="1">
      <alignment horizontal="center" vertical="center"/>
    </xf>
    <xf numFmtId="170" fontId="25" fillId="7" borderId="0" xfId="7" applyNumberFormat="1" applyFont="1" applyFill="1" applyAlignment="1" applyProtection="1">
      <alignment horizontal="center" vertical="center"/>
    </xf>
    <xf numFmtId="9" fontId="4" fillId="7" borderId="0" xfId="15" applyNumberFormat="1" applyFont="1" applyFill="1" applyAlignment="1" applyProtection="1">
      <alignment horizontal="center" vertical="center"/>
    </xf>
    <xf numFmtId="0" fontId="25" fillId="7" borderId="0" xfId="7" applyFont="1" applyFill="1" applyAlignment="1" applyProtection="1">
      <alignment horizontal="center" vertical="center"/>
    </xf>
    <xf numFmtId="164" fontId="25" fillId="7" borderId="0" xfId="7" applyNumberFormat="1" applyFont="1" applyFill="1" applyAlignment="1" applyProtection="1">
      <alignment horizontal="center" vertical="center"/>
    </xf>
    <xf numFmtId="1" fontId="25" fillId="7" borderId="0" xfId="7" applyNumberFormat="1" applyFont="1" applyFill="1" applyAlignment="1" applyProtection="1">
      <alignment horizontal="center" vertical="center"/>
    </xf>
    <xf numFmtId="10" fontId="25" fillId="7" borderId="0" xfId="2" applyNumberFormat="1" applyFont="1" applyFill="1" applyAlignment="1" applyProtection="1">
      <alignment horizontal="center" vertical="center"/>
    </xf>
    <xf numFmtId="4" fontId="25" fillId="7" borderId="0" xfId="7" applyNumberFormat="1" applyFont="1" applyFill="1" applyAlignment="1" applyProtection="1">
      <alignment horizontal="center" vertical="center"/>
    </xf>
    <xf numFmtId="4" fontId="27" fillId="7" borderId="0" xfId="7" applyNumberFormat="1" applyFont="1" applyFill="1" applyBorder="1" applyAlignment="1" applyProtection="1">
      <alignment horizontal="right" vertical="center"/>
    </xf>
    <xf numFmtId="170" fontId="25" fillId="7" borderId="0" xfId="7" applyNumberFormat="1" applyFont="1" applyFill="1" applyAlignment="1" applyProtection="1">
      <alignment horizontal="center"/>
    </xf>
    <xf numFmtId="43" fontId="25" fillId="7" borderId="0" xfId="1" applyFont="1" applyFill="1" applyAlignment="1" applyProtection="1">
      <alignment horizontal="center"/>
    </xf>
    <xf numFmtId="43" fontId="25" fillId="7" borderId="2" xfId="7" applyNumberFormat="1" applyFont="1" applyFill="1" applyBorder="1" applyProtection="1"/>
    <xf numFmtId="4" fontId="1" fillId="0" borderId="0" xfId="7" applyNumberFormat="1" applyFont="1" applyProtection="1"/>
    <xf numFmtId="170" fontId="4" fillId="7" borderId="1" xfId="7" applyNumberFormat="1" applyFont="1" applyFill="1" applyBorder="1" applyAlignment="1" applyProtection="1">
      <alignment horizontal="center"/>
    </xf>
    <xf numFmtId="9" fontId="4" fillId="7" borderId="1" xfId="15" applyNumberFormat="1" applyFont="1" applyFill="1" applyBorder="1" applyAlignment="1" applyProtection="1">
      <alignment horizontal="center"/>
    </xf>
    <xf numFmtId="0" fontId="4" fillId="0" borderId="1" xfId="7" applyFont="1" applyBorder="1" applyAlignment="1" applyProtection="1">
      <alignment horizontal="center"/>
    </xf>
    <xf numFmtId="0" fontId="4" fillId="0" borderId="2" xfId="7" applyFont="1" applyBorder="1" applyAlignment="1" applyProtection="1">
      <alignment horizontal="center"/>
    </xf>
    <xf numFmtId="1" fontId="4" fillId="0" borderId="2" xfId="7" applyNumberFormat="1" applyFont="1" applyBorder="1" applyAlignment="1" applyProtection="1">
      <alignment horizontal="center"/>
    </xf>
    <xf numFmtId="43" fontId="4" fillId="0" borderId="2" xfId="7" applyNumberFormat="1" applyFont="1" applyFill="1" applyBorder="1" applyProtection="1"/>
    <xf numFmtId="4" fontId="57" fillId="0" borderId="2" xfId="7" applyNumberFormat="1" applyFont="1" applyFill="1" applyBorder="1" applyAlignment="1" applyProtection="1">
      <alignment horizontal="right"/>
    </xf>
    <xf numFmtId="1" fontId="22" fillId="0" borderId="0" xfId="0" applyNumberFormat="1" applyFont="1" applyProtection="1"/>
    <xf numFmtId="0" fontId="57" fillId="21" borderId="9" xfId="7" applyFont="1" applyFill="1" applyBorder="1" applyProtection="1"/>
    <xf numFmtId="4" fontId="57" fillId="21" borderId="9" xfId="7" applyNumberFormat="1" applyFont="1" applyFill="1" applyBorder="1" applyAlignment="1" applyProtection="1">
      <alignment horizontal="center"/>
    </xf>
    <xf numFmtId="4" fontId="57" fillId="21" borderId="9" xfId="7" applyNumberFormat="1" applyFont="1" applyFill="1" applyBorder="1" applyAlignment="1" applyProtection="1">
      <alignment horizontal="left"/>
    </xf>
    <xf numFmtId="4" fontId="57" fillId="21" borderId="9" xfId="7" applyNumberFormat="1" applyFont="1" applyFill="1" applyBorder="1" applyAlignment="1" applyProtection="1">
      <alignment horizontal="right"/>
    </xf>
    <xf numFmtId="0" fontId="57" fillId="21" borderId="10" xfId="7" applyFont="1" applyFill="1" applyBorder="1" applyProtection="1"/>
    <xf numFmtId="4" fontId="57" fillId="21" borderId="10" xfId="7" applyNumberFormat="1" applyFont="1" applyFill="1" applyBorder="1" applyAlignment="1" applyProtection="1">
      <alignment horizontal="center"/>
    </xf>
    <xf numFmtId="4" fontId="57" fillId="21" borderId="10" xfId="7" applyNumberFormat="1" applyFont="1" applyFill="1" applyBorder="1" applyAlignment="1" applyProtection="1">
      <alignment horizontal="left"/>
    </xf>
    <xf numFmtId="4" fontId="57" fillId="21" borderId="10" xfId="7" applyNumberFormat="1" applyFont="1" applyFill="1" applyBorder="1" applyAlignment="1" applyProtection="1">
      <alignment horizontal="right"/>
    </xf>
    <xf numFmtId="2" fontId="4" fillId="7" borderId="2" xfId="7" applyNumberFormat="1" applyFont="1" applyFill="1" applyBorder="1" applyAlignment="1" applyProtection="1">
      <alignment horizontal="center"/>
    </xf>
    <xf numFmtId="4" fontId="57" fillId="7" borderId="2" xfId="7" applyNumberFormat="1" applyFont="1" applyFill="1" applyBorder="1" applyAlignment="1" applyProtection="1">
      <alignment horizontal="right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right" vertical="center"/>
    </xf>
    <xf numFmtId="43" fontId="4" fillId="0" borderId="2" xfId="1" applyFont="1" applyBorder="1" applyAlignment="1" applyProtection="1">
      <alignment horizontal="center"/>
    </xf>
    <xf numFmtId="164" fontId="4" fillId="7" borderId="2" xfId="0" applyNumberFormat="1" applyFont="1" applyFill="1" applyBorder="1" applyAlignment="1" applyProtection="1">
      <alignment horizontal="center"/>
    </xf>
    <xf numFmtId="43" fontId="4" fillId="0" borderId="0" xfId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4" fontId="4" fillId="7" borderId="0" xfId="0" applyNumberFormat="1" applyFont="1" applyFill="1" applyBorder="1" applyAlignment="1" applyProtection="1">
      <alignment horizontal="center"/>
    </xf>
    <xf numFmtId="0" fontId="65" fillId="20" borderId="60" xfId="0" applyFont="1" applyFill="1" applyBorder="1" applyAlignment="1" applyProtection="1">
      <alignment horizontal="center" vertical="center" wrapText="1"/>
    </xf>
    <xf numFmtId="0" fontId="65" fillId="20" borderId="1" xfId="0" applyFont="1" applyFill="1" applyBorder="1" applyAlignment="1" applyProtection="1">
      <alignment horizontal="center" vertical="center" wrapText="1"/>
    </xf>
    <xf numFmtId="0" fontId="65" fillId="20" borderId="31" xfId="0" applyFont="1" applyFill="1" applyBorder="1" applyAlignment="1" applyProtection="1">
      <alignment horizontal="center" vertical="center" wrapText="1"/>
    </xf>
    <xf numFmtId="0" fontId="65" fillId="20" borderId="62" xfId="0" applyFont="1" applyFill="1" applyBorder="1" applyAlignment="1" applyProtection="1">
      <alignment horizontal="center" vertical="center" wrapText="1"/>
    </xf>
    <xf numFmtId="0" fontId="65" fillId="20" borderId="63" xfId="0" applyFont="1" applyFill="1" applyBorder="1" applyAlignment="1" applyProtection="1">
      <alignment horizontal="center" vertical="center" wrapText="1"/>
    </xf>
    <xf numFmtId="0" fontId="65" fillId="20" borderId="64" xfId="0" applyFont="1" applyFill="1" applyBorder="1" applyAlignment="1" applyProtection="1">
      <alignment horizontal="center" vertical="center" wrapText="1"/>
    </xf>
    <xf numFmtId="0" fontId="65" fillId="20" borderId="65" xfId="0" applyFont="1" applyFill="1" applyBorder="1" applyAlignment="1" applyProtection="1">
      <alignment horizontal="center" vertical="center" wrapText="1"/>
    </xf>
    <xf numFmtId="0" fontId="66" fillId="0" borderId="28" xfId="0" applyFont="1" applyBorder="1" applyAlignment="1" applyProtection="1">
      <alignment horizontal="left" vertical="center" wrapText="1"/>
    </xf>
    <xf numFmtId="0" fontId="0" fillId="0" borderId="63" xfId="0" applyBorder="1" applyProtection="1"/>
    <xf numFmtId="0" fontId="0" fillId="0" borderId="62" xfId="0" applyBorder="1" applyProtection="1"/>
    <xf numFmtId="0" fontId="0" fillId="0" borderId="64" xfId="0" applyBorder="1" applyProtection="1"/>
    <xf numFmtId="0" fontId="0" fillId="0" borderId="65" xfId="0" applyBorder="1" applyProtection="1"/>
    <xf numFmtId="0" fontId="66" fillId="25" borderId="28" xfId="0" applyFont="1" applyFill="1" applyBorder="1" applyAlignment="1" applyProtection="1">
      <alignment horizontal="left" vertical="center" wrapText="1"/>
    </xf>
    <xf numFmtId="0" fontId="0" fillId="25" borderId="63" xfId="0" applyFill="1" applyBorder="1" applyProtection="1"/>
    <xf numFmtId="0" fontId="0" fillId="25" borderId="65" xfId="0" applyFill="1" applyBorder="1" applyProtection="1"/>
    <xf numFmtId="0" fontId="0" fillId="25" borderId="54" xfId="0" applyFill="1" applyBorder="1" applyProtection="1"/>
    <xf numFmtId="0" fontId="0" fillId="25" borderId="55" xfId="0" applyFill="1" applyBorder="1" applyProtection="1"/>
    <xf numFmtId="0" fontId="0" fillId="0" borderId="54" xfId="0" applyBorder="1" applyProtection="1"/>
    <xf numFmtId="0" fontId="0" fillId="0" borderId="55" xfId="0" applyBorder="1" applyProtection="1"/>
    <xf numFmtId="0" fontId="56" fillId="21" borderId="36" xfId="0" applyFont="1" applyFill="1" applyBorder="1" applyAlignment="1" applyProtection="1">
      <alignment horizontal="center" vertical="center" textRotation="90"/>
    </xf>
    <xf numFmtId="0" fontId="66" fillId="0" borderId="2" xfId="0" applyFont="1" applyBorder="1" applyAlignment="1" applyProtection="1">
      <alignment horizontal="center" vertical="center" wrapText="1"/>
    </xf>
    <xf numFmtId="0" fontId="0" fillId="2" borderId="54" xfId="0" applyFill="1" applyBorder="1" applyProtection="1"/>
    <xf numFmtId="0" fontId="0" fillId="19" borderId="54" xfId="0" applyFill="1" applyBorder="1" applyProtection="1"/>
    <xf numFmtId="0" fontId="56" fillId="26" borderId="36" xfId="0" applyFont="1" applyFill="1" applyBorder="1" applyAlignment="1" applyProtection="1">
      <alignment horizontal="center" vertical="center" textRotation="90"/>
    </xf>
    <xf numFmtId="0" fontId="66" fillId="7" borderId="28" xfId="0" applyFont="1" applyFill="1" applyBorder="1" applyAlignment="1" applyProtection="1">
      <alignment horizontal="left" vertical="center" wrapText="1"/>
    </xf>
    <xf numFmtId="0" fontId="0" fillId="2" borderId="63" xfId="0" applyFill="1" applyBorder="1" applyProtection="1"/>
    <xf numFmtId="0" fontId="0" fillId="19" borderId="63" xfId="0" applyFill="1" applyBorder="1" applyProtection="1"/>
    <xf numFmtId="0" fontId="56" fillId="27" borderId="36" xfId="0" applyFont="1" applyFill="1" applyBorder="1" applyAlignment="1" applyProtection="1">
      <alignment horizontal="center" vertical="center" textRotation="90"/>
    </xf>
    <xf numFmtId="0" fontId="66" fillId="7" borderId="2" xfId="0" applyFont="1" applyFill="1" applyBorder="1" applyAlignment="1" applyProtection="1">
      <alignment horizontal="center" vertical="center" wrapText="1"/>
    </xf>
    <xf numFmtId="0" fontId="0" fillId="25" borderId="66" xfId="0" applyFill="1" applyBorder="1" applyProtection="1"/>
    <xf numFmtId="0" fontId="0" fillId="25" borderId="56" xfId="0" applyFill="1" applyBorder="1" applyProtection="1"/>
    <xf numFmtId="0" fontId="0" fillId="25" borderId="57" xfId="0" applyFill="1" applyBorder="1" applyProtection="1"/>
    <xf numFmtId="0" fontId="0" fillId="2" borderId="0" xfId="0" applyFill="1" applyProtection="1"/>
    <xf numFmtId="0" fontId="0" fillId="19" borderId="0" xfId="0" applyFill="1" applyProtection="1"/>
    <xf numFmtId="0" fontId="56" fillId="0" borderId="0" xfId="0" applyFont="1" applyAlignment="1" applyProtection="1">
      <alignment horizontal="right"/>
    </xf>
    <xf numFmtId="0" fontId="0" fillId="2" borderId="2" xfId="0" applyFill="1" applyBorder="1" applyAlignment="1" applyProtection="1">
      <alignment horizontal="center"/>
    </xf>
    <xf numFmtId="0" fontId="0" fillId="19" borderId="2" xfId="0" applyFill="1" applyBorder="1" applyAlignment="1" applyProtection="1">
      <alignment horizontal="center"/>
    </xf>
    <xf numFmtId="0" fontId="56" fillId="20" borderId="0" xfId="0" applyFont="1" applyFill="1" applyAlignment="1" applyProtection="1">
      <alignment horizontal="right"/>
    </xf>
    <xf numFmtId="2" fontId="56" fillId="20" borderId="2" xfId="0" applyNumberFormat="1" applyFont="1" applyFill="1" applyBorder="1" applyProtection="1"/>
    <xf numFmtId="0" fontId="56" fillId="27" borderId="0" xfId="0" applyFont="1" applyFill="1" applyAlignment="1" applyProtection="1">
      <alignment horizontal="right"/>
    </xf>
    <xf numFmtId="2" fontId="56" fillId="27" borderId="2" xfId="0" applyNumberFormat="1" applyFont="1" applyFill="1" applyBorder="1" applyProtection="1"/>
    <xf numFmtId="0" fontId="56" fillId="21" borderId="0" xfId="0" applyFont="1" applyFill="1" applyAlignment="1" applyProtection="1">
      <alignment horizontal="right"/>
    </xf>
    <xf numFmtId="2" fontId="56" fillId="21" borderId="2" xfId="0" applyNumberFormat="1" applyFont="1" applyFill="1" applyBorder="1" applyProtection="1"/>
    <xf numFmtId="2" fontId="0" fillId="0" borderId="2" xfId="0" applyNumberFormat="1" applyBorder="1" applyProtection="1"/>
    <xf numFmtId="0" fontId="0" fillId="7" borderId="0" xfId="0" applyFill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44" fillId="0" borderId="0" xfId="4" applyFont="1" applyBorder="1" applyProtection="1"/>
    <xf numFmtId="0" fontId="44" fillId="0" borderId="0" xfId="4" applyFont="1" applyProtection="1"/>
    <xf numFmtId="4" fontId="35" fillId="0" borderId="0" xfId="26" applyNumberFormat="1" applyFont="1" applyBorder="1" applyAlignment="1" applyProtection="1">
      <alignment horizontal="centerContinuous"/>
    </xf>
    <xf numFmtId="0" fontId="6" fillId="0" borderId="0" xfId="26" applyFont="1" applyBorder="1" applyAlignment="1" applyProtection="1">
      <alignment horizontal="centerContinuous"/>
    </xf>
    <xf numFmtId="0" fontId="6" fillId="0" borderId="0" xfId="27" applyFont="1" applyBorder="1" applyAlignment="1" applyProtection="1">
      <alignment horizontal="centerContinuous" vertical="center"/>
    </xf>
    <xf numFmtId="0" fontId="6" fillId="0" borderId="0" xfId="26" applyFont="1" applyBorder="1" applyProtection="1"/>
    <xf numFmtId="0" fontId="48" fillId="15" borderId="0" xfId="26" applyFont="1" applyFill="1" applyBorder="1" applyAlignment="1" applyProtection="1">
      <alignment horizontal="center" vertical="center" wrapText="1"/>
    </xf>
    <xf numFmtId="4" fontId="50" fillId="0" borderId="0" xfId="26" applyNumberFormat="1" applyFont="1" applyBorder="1" applyAlignment="1" applyProtection="1">
      <alignment horizontal="centerContinuous"/>
    </xf>
    <xf numFmtId="0" fontId="51" fillId="0" borderId="0" xfId="26" applyFont="1" applyBorder="1" applyAlignment="1" applyProtection="1">
      <alignment horizontal="centerContinuous"/>
    </xf>
    <xf numFmtId="0" fontId="51" fillId="0" borderId="0" xfId="27" applyFont="1" applyBorder="1" applyAlignment="1" applyProtection="1">
      <alignment horizontal="centerContinuous" vertical="center"/>
    </xf>
    <xf numFmtId="0" fontId="51" fillId="0" borderId="0" xfId="26" applyFont="1" applyBorder="1" applyProtection="1"/>
    <xf numFmtId="0" fontId="33" fillId="16" borderId="0" xfId="26" applyFont="1" applyFill="1" applyBorder="1" applyAlignment="1" applyProtection="1">
      <alignment horizontal="center" vertical="center" wrapText="1"/>
    </xf>
    <xf numFmtId="0" fontId="33" fillId="16" borderId="0" xfId="27" quotePrefix="1" applyFont="1" applyFill="1" applyBorder="1" applyAlignment="1" applyProtection="1">
      <alignment horizontal="center" vertical="center" wrapText="1"/>
    </xf>
    <xf numFmtId="0" fontId="33" fillId="8" borderId="0" xfId="4" applyFont="1" applyFill="1" applyBorder="1" applyAlignment="1" applyProtection="1">
      <alignment horizontal="center" vertical="center"/>
    </xf>
    <xf numFmtId="3" fontId="34" fillId="3" borderId="0" xfId="4" applyNumberFormat="1" applyFont="1" applyFill="1" applyBorder="1" applyAlignment="1" applyProtection="1">
      <alignment horizontal="center" vertical="center"/>
    </xf>
    <xf numFmtId="0" fontId="34" fillId="0" borderId="0" xfId="26" applyFont="1" applyBorder="1" applyAlignment="1" applyProtection="1">
      <alignment vertical="center"/>
    </xf>
    <xf numFmtId="0" fontId="52" fillId="0" borderId="0" xfId="26" applyFont="1" applyBorder="1" applyAlignment="1" applyProtection="1">
      <alignment vertical="center"/>
    </xf>
    <xf numFmtId="0" fontId="34" fillId="8" borderId="0" xfId="4" quotePrefix="1" applyFont="1" applyFill="1" applyBorder="1" applyAlignment="1" applyProtection="1">
      <alignment horizontal="left" vertical="center" indent="1"/>
    </xf>
    <xf numFmtId="170" fontId="55" fillId="7" borderId="53" xfId="26" applyNumberFormat="1" applyFont="1" applyFill="1" applyBorder="1" applyAlignment="1" applyProtection="1">
      <alignment vertical="center"/>
    </xf>
    <xf numFmtId="3" fontId="55" fillId="7" borderId="53" xfId="26" applyNumberFormat="1" applyFont="1" applyFill="1" applyBorder="1" applyAlignment="1" applyProtection="1">
      <alignment vertical="center"/>
    </xf>
    <xf numFmtId="164" fontId="52" fillId="0" borderId="0" xfId="26" applyNumberFormat="1" applyFont="1" applyBorder="1" applyAlignment="1" applyProtection="1">
      <alignment vertical="center"/>
    </xf>
    <xf numFmtId="0" fontId="33" fillId="3" borderId="0" xfId="4" applyFont="1" applyFill="1" applyBorder="1" applyAlignment="1" applyProtection="1">
      <alignment horizontal="right" vertical="center"/>
    </xf>
    <xf numFmtId="3" fontId="32" fillId="9" borderId="0" xfId="28" applyNumberFormat="1" applyFont="1" applyFill="1" applyBorder="1" applyAlignment="1" applyProtection="1">
      <alignment horizontal="center" vertical="center"/>
    </xf>
    <xf numFmtId="164" fontId="34" fillId="0" borderId="0" xfId="26" applyNumberFormat="1" applyFont="1" applyBorder="1" applyAlignment="1" applyProtection="1">
      <alignment vertical="center"/>
    </xf>
    <xf numFmtId="0" fontId="34" fillId="0" borderId="0" xfId="26" applyFont="1" applyFill="1" applyBorder="1" applyAlignment="1" applyProtection="1">
      <alignment vertical="center"/>
    </xf>
    <xf numFmtId="0" fontId="33" fillId="0" borderId="0" xfId="4" applyFont="1" applyBorder="1" applyAlignment="1" applyProtection="1">
      <alignment horizontal="center" vertical="center" wrapText="1"/>
    </xf>
    <xf numFmtId="3" fontId="6" fillId="0" borderId="0" xfId="27" applyNumberFormat="1" applyFont="1" applyBorder="1" applyAlignment="1" applyProtection="1">
      <alignment horizontal="centerContinuous" vertical="center"/>
    </xf>
    <xf numFmtId="0" fontId="48" fillId="16" borderId="0" xfId="4" applyFont="1" applyFill="1" applyBorder="1" applyAlignment="1" applyProtection="1">
      <alignment horizontal="right" vertical="center"/>
    </xf>
    <xf numFmtId="164" fontId="48" fillId="16" borderId="0" xfId="28" applyNumberFormat="1" applyFont="1" applyFill="1" applyBorder="1" applyAlignment="1" applyProtection="1">
      <alignment horizontal="center" vertical="center"/>
    </xf>
    <xf numFmtId="172" fontId="44" fillId="0" borderId="0" xfId="4" applyNumberFormat="1" applyFont="1" applyBorder="1" applyProtection="1"/>
    <xf numFmtId="3" fontId="34" fillId="3" borderId="0" xfId="26" applyNumberFormat="1" applyFont="1" applyFill="1" applyBorder="1" applyAlignment="1" applyProtection="1">
      <alignment horizontal="center" vertical="center"/>
    </xf>
    <xf numFmtId="2" fontId="44" fillId="0" borderId="0" xfId="4" applyNumberFormat="1" applyFont="1" applyBorder="1" applyProtection="1"/>
    <xf numFmtId="164" fontId="32" fillId="9" borderId="0" xfId="28" applyNumberFormat="1" applyFont="1" applyFill="1" applyBorder="1" applyAlignment="1" applyProtection="1">
      <alignment horizontal="center" vertical="center"/>
    </xf>
    <xf numFmtId="0" fontId="33" fillId="0" borderId="0" xfId="26" applyFont="1" applyBorder="1" applyAlignment="1" applyProtection="1">
      <alignment horizontal="center" vertical="center" wrapText="1"/>
    </xf>
    <xf numFmtId="0" fontId="33" fillId="17" borderId="0" xfId="27" applyFont="1" applyFill="1" applyBorder="1" applyAlignment="1" applyProtection="1">
      <alignment horizontal="centerContinuous" vertical="center" wrapText="1"/>
    </xf>
    <xf numFmtId="0" fontId="32" fillId="14" borderId="0" xfId="26" quotePrefix="1" applyFont="1" applyFill="1" applyBorder="1" applyAlignment="1" applyProtection="1">
      <alignment horizontal="right" vertical="center"/>
    </xf>
    <xf numFmtId="3" fontId="32" fillId="14" borderId="53" xfId="28" applyNumberFormat="1" applyFont="1" applyFill="1" applyBorder="1" applyAlignment="1" applyProtection="1">
      <alignment horizontal="center" vertical="center"/>
    </xf>
    <xf numFmtId="3" fontId="32" fillId="14" borderId="0" xfId="28" applyNumberFormat="1" applyFont="1" applyFill="1" applyBorder="1" applyAlignment="1" applyProtection="1">
      <alignment horizontal="center" vertical="center"/>
    </xf>
    <xf numFmtId="0" fontId="33" fillId="0" borderId="0" xfId="26" applyFont="1" applyBorder="1" applyAlignment="1" applyProtection="1">
      <alignment horizontal="centerContinuous" vertical="center"/>
    </xf>
    <xf numFmtId="0" fontId="34" fillId="0" borderId="0" xfId="26" applyFont="1" applyBorder="1" applyAlignment="1" applyProtection="1">
      <alignment horizontal="centerContinuous" vertical="center"/>
    </xf>
    <xf numFmtId="0" fontId="33" fillId="16" borderId="0" xfId="26" quotePrefix="1" applyFont="1" applyFill="1" applyBorder="1" applyAlignment="1" applyProtection="1">
      <alignment horizontal="left" vertical="center"/>
    </xf>
    <xf numFmtId="0" fontId="33" fillId="16" borderId="0" xfId="26" applyFont="1" applyFill="1" applyBorder="1" applyAlignment="1" applyProtection="1">
      <alignment horizontal="center" vertical="center"/>
    </xf>
    <xf numFmtId="0" fontId="33" fillId="16" borderId="0" xfId="26" quotePrefix="1" applyFont="1" applyFill="1" applyBorder="1" applyAlignment="1" applyProtection="1">
      <alignment horizontal="center" vertical="center"/>
    </xf>
    <xf numFmtId="0" fontId="35" fillId="0" borderId="0" xfId="26" applyFont="1" applyBorder="1" applyAlignment="1" applyProtection="1">
      <alignment horizontal="center" vertical="center" wrapText="1"/>
    </xf>
    <xf numFmtId="0" fontId="34" fillId="0" borderId="0" xfId="26" applyFont="1" applyBorder="1" applyProtection="1"/>
    <xf numFmtId="10" fontId="53" fillId="18" borderId="0" xfId="28" applyNumberFormat="1" applyFont="1" applyFill="1" applyBorder="1" applyAlignment="1" applyProtection="1">
      <alignment horizontal="center" vertical="center"/>
    </xf>
    <xf numFmtId="40" fontId="34" fillId="0" borderId="0" xfId="29" applyFont="1" applyBorder="1" applyAlignment="1" applyProtection="1">
      <alignment vertical="center"/>
    </xf>
    <xf numFmtId="40" fontId="33" fillId="0" borderId="0" xfId="29" applyFont="1" applyBorder="1" applyAlignment="1" applyProtection="1">
      <alignment vertical="center"/>
    </xf>
    <xf numFmtId="2" fontId="33" fillId="0" borderId="0" xfId="26" applyNumberFormat="1" applyFont="1" applyBorder="1" applyAlignment="1" applyProtection="1">
      <alignment vertical="center"/>
    </xf>
    <xf numFmtId="0" fontId="34" fillId="0" borderId="0" xfId="26" quotePrefix="1" applyFont="1" applyBorder="1" applyAlignment="1" applyProtection="1">
      <alignment horizontal="left" vertical="center"/>
    </xf>
    <xf numFmtId="10" fontId="34" fillId="0" borderId="0" xfId="5" applyNumberFormat="1" applyFont="1" applyBorder="1" applyAlignment="1" applyProtection="1">
      <alignment vertical="center"/>
    </xf>
    <xf numFmtId="0" fontId="34" fillId="0" borderId="0" xfId="26" applyFont="1" applyBorder="1" applyAlignment="1" applyProtection="1">
      <alignment horizontal="left" vertical="center" indent="1"/>
    </xf>
    <xf numFmtId="40" fontId="34" fillId="0" borderId="0" xfId="26" applyNumberFormat="1" applyFont="1" applyBorder="1" applyAlignment="1" applyProtection="1">
      <alignment vertical="center"/>
    </xf>
    <xf numFmtId="9" fontId="34" fillId="0" borderId="0" xfId="26" applyNumberFormat="1" applyFont="1" applyBorder="1" applyAlignment="1" applyProtection="1">
      <alignment vertical="center"/>
    </xf>
    <xf numFmtId="9" fontId="34" fillId="0" borderId="0" xfId="26" applyNumberFormat="1" applyFont="1" applyFill="1" applyBorder="1" applyAlignment="1" applyProtection="1">
      <alignment horizontal="center" vertical="center"/>
    </xf>
    <xf numFmtId="2" fontId="34" fillId="0" borderId="0" xfId="26" applyNumberFormat="1" applyFont="1" applyBorder="1" applyAlignment="1" applyProtection="1">
      <alignment horizontal="centerContinuous" vertical="center"/>
    </xf>
    <xf numFmtId="2" fontId="34" fillId="0" borderId="0" xfId="26" applyNumberFormat="1" applyFont="1" applyBorder="1" applyProtection="1"/>
    <xf numFmtId="10" fontId="34" fillId="0" borderId="0" xfId="26" applyNumberFormat="1" applyFont="1" applyBorder="1" applyAlignment="1" applyProtection="1">
      <alignment vertical="center"/>
    </xf>
    <xf numFmtId="10" fontId="33" fillId="0" borderId="0" xfId="26" applyNumberFormat="1" applyFont="1" applyBorder="1" applyAlignment="1" applyProtection="1">
      <alignment vertical="center"/>
    </xf>
    <xf numFmtId="10" fontId="34" fillId="0" borderId="0" xfId="5" quotePrefix="1" applyNumberFormat="1" applyFont="1" applyBorder="1" applyAlignment="1" applyProtection="1">
      <alignment horizontal="right" vertical="center"/>
    </xf>
    <xf numFmtId="10" fontId="34" fillId="0" borderId="0" xfId="4" applyNumberFormat="1" applyFont="1" applyBorder="1" applyAlignment="1" applyProtection="1">
      <alignment vertical="center"/>
    </xf>
    <xf numFmtId="0" fontId="57" fillId="7" borderId="2" xfId="7" applyFont="1" applyFill="1" applyBorder="1" applyAlignment="1" applyProtection="1">
      <alignment horizontal="center" vertical="center" wrapText="1"/>
    </xf>
    <xf numFmtId="0" fontId="56" fillId="0" borderId="0" xfId="0" applyFont="1" applyProtection="1"/>
    <xf numFmtId="0" fontId="57" fillId="7" borderId="35" xfId="7" applyFont="1" applyFill="1" applyBorder="1" applyProtection="1"/>
    <xf numFmtId="0" fontId="2" fillId="7" borderId="0" xfId="7" applyFont="1" applyFill="1" applyBorder="1" applyProtection="1"/>
    <xf numFmtId="0" fontId="61" fillId="0" borderId="0" xfId="0" applyFont="1" applyProtection="1"/>
    <xf numFmtId="175" fontId="0" fillId="7" borderId="0" xfId="0" applyNumberFormat="1" applyFill="1" applyProtection="1"/>
    <xf numFmtId="9" fontId="56" fillId="7" borderId="53" xfId="2" applyFont="1" applyFill="1" applyBorder="1" applyProtection="1"/>
    <xf numFmtId="0" fontId="57" fillId="7" borderId="0" xfId="7" applyFont="1" applyFill="1" applyBorder="1" applyAlignment="1" applyProtection="1">
      <alignment horizontal="right"/>
    </xf>
    <xf numFmtId="4" fontId="6" fillId="7" borderId="2" xfId="0" applyNumberFormat="1" applyFont="1" applyFill="1" applyBorder="1" applyProtection="1"/>
    <xf numFmtId="165" fontId="6" fillId="7" borderId="2" xfId="2" applyNumberFormat="1" applyFont="1" applyFill="1" applyBorder="1" applyAlignment="1" applyProtection="1">
      <alignment horizontal="center"/>
    </xf>
    <xf numFmtId="0" fontId="25" fillId="7" borderId="2" xfId="7" applyFont="1" applyFill="1" applyBorder="1" applyProtection="1"/>
    <xf numFmtId="0" fontId="4" fillId="7" borderId="2" xfId="0" applyFont="1" applyFill="1" applyBorder="1" applyProtection="1"/>
    <xf numFmtId="0" fontId="56" fillId="0" borderId="2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2" fillId="7" borderId="2" xfId="0" applyFont="1" applyFill="1" applyBorder="1" applyProtection="1"/>
    <xf numFmtId="0" fontId="25" fillId="7" borderId="27" xfId="7" applyFont="1" applyFill="1" applyBorder="1" applyAlignment="1" applyProtection="1">
      <alignment horizontal="center"/>
    </xf>
    <xf numFmtId="43" fontId="25" fillId="7" borderId="27" xfId="7" applyNumberFormat="1" applyFont="1" applyFill="1" applyBorder="1" applyProtection="1"/>
    <xf numFmtId="4" fontId="27" fillId="7" borderId="27" xfId="7" applyNumberFormat="1" applyFont="1" applyFill="1" applyBorder="1" applyAlignment="1" applyProtection="1">
      <alignment horizontal="right"/>
    </xf>
    <xf numFmtId="3" fontId="42" fillId="29" borderId="1" xfId="25" quotePrefix="1" applyNumberFormat="1" applyFont="1" applyFill="1" applyBorder="1" applyAlignment="1" applyProtection="1">
      <alignment horizontal="center" vertical="center"/>
    </xf>
    <xf numFmtId="0" fontId="43" fillId="29" borderId="1" xfId="25" quotePrefix="1" applyFont="1" applyFill="1" applyBorder="1" applyAlignment="1" applyProtection="1">
      <alignment horizontal="center" vertical="center"/>
    </xf>
    <xf numFmtId="0" fontId="42" fillId="29" borderId="1" xfId="25" quotePrefix="1" applyFont="1" applyFill="1" applyBorder="1" applyAlignment="1" applyProtection="1">
      <alignment horizontal="center" vertical="center"/>
    </xf>
    <xf numFmtId="3" fontId="42" fillId="29" borderId="1" xfId="25" applyNumberFormat="1" applyFont="1" applyFill="1" applyBorder="1" applyAlignment="1" applyProtection="1">
      <alignment horizontal="center" vertical="center"/>
    </xf>
    <xf numFmtId="3" fontId="44" fillId="29" borderId="1" xfId="25" applyNumberFormat="1" applyFont="1" applyFill="1" applyBorder="1" applyAlignment="1" applyProtection="1">
      <alignment horizontal="centerContinuous" vertical="center"/>
    </xf>
    <xf numFmtId="0" fontId="0" fillId="0" borderId="0" xfId="0" applyBorder="1" applyProtection="1"/>
    <xf numFmtId="4" fontId="25" fillId="7" borderId="2" xfId="0" applyNumberFormat="1" applyFont="1" applyFill="1" applyBorder="1" applyAlignment="1" applyProtection="1">
      <alignment horizontal="center"/>
    </xf>
    <xf numFmtId="3" fontId="25" fillId="7" borderId="2" xfId="0" applyNumberFormat="1" applyFont="1" applyFill="1" applyBorder="1" applyAlignment="1" applyProtection="1">
      <alignment horizontal="center"/>
    </xf>
    <xf numFmtId="10" fontId="28" fillId="7" borderId="0" xfId="15" applyNumberFormat="1" applyFont="1" applyFill="1" applyProtection="1"/>
    <xf numFmtId="0" fontId="15" fillId="7" borderId="2" xfId="0" applyFont="1" applyFill="1" applyBorder="1" applyProtection="1"/>
    <xf numFmtId="1" fontId="4" fillId="7" borderId="1" xfId="7" applyNumberFormat="1" applyFont="1" applyFill="1" applyBorder="1" applyAlignment="1" applyProtection="1">
      <alignment horizontal="center"/>
    </xf>
    <xf numFmtId="2" fontId="4" fillId="7" borderId="1" xfId="7" applyNumberFormat="1" applyFont="1" applyFill="1" applyBorder="1" applyAlignment="1" applyProtection="1">
      <alignment horizontal="center"/>
    </xf>
    <xf numFmtId="43" fontId="4" fillId="7" borderId="1" xfId="7" applyNumberFormat="1" applyFont="1" applyFill="1" applyBorder="1" applyProtection="1"/>
    <xf numFmtId="4" fontId="57" fillId="7" borderId="1" xfId="7" applyNumberFormat="1" applyFont="1" applyFill="1" applyBorder="1" applyAlignment="1" applyProtection="1">
      <alignment horizontal="right"/>
    </xf>
    <xf numFmtId="43" fontId="4" fillId="7" borderId="2" xfId="7" applyNumberFormat="1" applyFont="1" applyFill="1" applyBorder="1" applyProtection="1"/>
    <xf numFmtId="0" fontId="4" fillId="7" borderId="28" xfId="0" applyFont="1" applyFill="1" applyBorder="1" applyProtection="1"/>
    <xf numFmtId="0" fontId="4" fillId="7" borderId="25" xfId="0" applyFont="1" applyFill="1" applyBorder="1" applyProtection="1"/>
    <xf numFmtId="43" fontId="4" fillId="7" borderId="2" xfId="7" applyNumberFormat="1" applyFont="1" applyFill="1" applyBorder="1" applyAlignment="1" applyProtection="1">
      <alignment horizontal="center"/>
    </xf>
    <xf numFmtId="164" fontId="4" fillId="7" borderId="2" xfId="7" applyNumberFormat="1" applyFont="1" applyFill="1" applyBorder="1" applyAlignment="1" applyProtection="1">
      <alignment horizontal="center"/>
    </xf>
    <xf numFmtId="2" fontId="25" fillId="7" borderId="2" xfId="0" applyNumberFormat="1" applyFont="1" applyFill="1" applyBorder="1" applyAlignment="1" applyProtection="1">
      <alignment horizontal="center"/>
    </xf>
    <xf numFmtId="0" fontId="17" fillId="7" borderId="2" xfId="0" applyFont="1" applyFill="1" applyBorder="1" applyProtection="1"/>
    <xf numFmtId="1" fontId="25" fillId="7" borderId="26" xfId="7" applyNumberFormat="1" applyFont="1" applyFill="1" applyBorder="1" applyAlignment="1" applyProtection="1">
      <alignment horizontal="center"/>
    </xf>
    <xf numFmtId="44" fontId="56" fillId="2" borderId="2" xfId="30" applyFont="1" applyFill="1" applyBorder="1" applyProtection="1">
      <protection locked="0"/>
    </xf>
    <xf numFmtId="44" fontId="0" fillId="2" borderId="2" xfId="30" applyFont="1" applyFill="1" applyBorder="1" applyProtection="1">
      <protection locked="0"/>
    </xf>
    <xf numFmtId="4" fontId="4" fillId="7" borderId="2" xfId="25" quotePrefix="1" applyNumberFormat="1" applyFont="1" applyFill="1" applyBorder="1" applyAlignment="1" applyProtection="1">
      <alignment horizontal="left" vertical="center"/>
    </xf>
    <xf numFmtId="44" fontId="56" fillId="2" borderId="2" xfId="30" applyNumberFormat="1" applyFont="1" applyFill="1" applyBorder="1" applyAlignment="1" applyProtection="1">
      <alignment vertical="center"/>
      <protection locked="0"/>
    </xf>
    <xf numFmtId="44" fontId="56" fillId="2" borderId="2" xfId="30" applyNumberFormat="1" applyFont="1" applyFill="1" applyBorder="1" applyProtection="1">
      <protection locked="0"/>
    </xf>
    <xf numFmtId="0" fontId="56" fillId="0" borderId="2" xfId="0" applyFont="1" applyBorder="1" applyProtection="1"/>
    <xf numFmtId="176" fontId="0" fillId="0" borderId="2" xfId="1" applyNumberFormat="1" applyFont="1" applyBorder="1" applyProtection="1"/>
    <xf numFmtId="44" fontId="0" fillId="7" borderId="2" xfId="30" applyFont="1" applyFill="1" applyBorder="1" applyProtection="1"/>
    <xf numFmtId="44" fontId="56" fillId="0" borderId="0" xfId="30" applyFont="1" applyProtection="1"/>
    <xf numFmtId="0" fontId="68" fillId="0" borderId="0" xfId="0" applyFont="1" applyProtection="1"/>
    <xf numFmtId="0" fontId="56" fillId="0" borderId="28" xfId="0" applyFont="1" applyBorder="1" applyAlignment="1" applyProtection="1">
      <alignment horizontal="center"/>
    </xf>
    <xf numFmtId="43" fontId="0" fillId="0" borderId="2" xfId="1" applyFont="1" applyBorder="1" applyProtection="1"/>
    <xf numFmtId="44" fontId="0" fillId="0" borderId="2" xfId="30" applyFont="1" applyBorder="1" applyProtection="1"/>
    <xf numFmtId="44" fontId="56" fillId="7" borderId="28" xfId="0" applyNumberFormat="1" applyFont="1" applyFill="1" applyBorder="1" applyProtection="1"/>
    <xf numFmtId="44" fontId="56" fillId="0" borderId="2" xfId="0" applyNumberFormat="1" applyFont="1" applyBorder="1" applyProtection="1"/>
    <xf numFmtId="0" fontId="0" fillId="8" borderId="2" xfId="0" applyFont="1" applyFill="1" applyBorder="1" applyAlignment="1" applyProtection="1">
      <alignment vertical="center"/>
    </xf>
    <xf numFmtId="0" fontId="56" fillId="8" borderId="2" xfId="0" applyFont="1" applyFill="1" applyBorder="1" applyAlignment="1" applyProtection="1">
      <alignment horizontal="center" vertical="center"/>
    </xf>
    <xf numFmtId="0" fontId="56" fillId="8" borderId="2" xfId="0" applyFont="1" applyFill="1" applyBorder="1" applyAlignment="1" applyProtection="1">
      <alignment horizontal="center" vertical="center" wrapText="1"/>
    </xf>
    <xf numFmtId="49" fontId="8" fillId="0" borderId="28" xfId="0" applyNumberFormat="1" applyFont="1" applyBorder="1" applyProtection="1"/>
    <xf numFmtId="0" fontId="8" fillId="0" borderId="28" xfId="0" applyFont="1" applyBorder="1" applyProtection="1"/>
    <xf numFmtId="0" fontId="8" fillId="0" borderId="0" xfId="0" applyFont="1" applyFill="1" applyBorder="1" applyProtection="1"/>
    <xf numFmtId="0" fontId="56" fillId="0" borderId="27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44" fontId="56" fillId="7" borderId="28" xfId="30" applyFont="1" applyFill="1" applyBorder="1" applyProtection="1"/>
    <xf numFmtId="44" fontId="0" fillId="0" borderId="2" xfId="0" applyNumberFormat="1" applyBorder="1" applyAlignment="1" applyProtection="1">
      <alignment vertical="center"/>
      <protection locked="0"/>
    </xf>
    <xf numFmtId="44" fontId="0" fillId="0" borderId="0" xfId="0" applyNumberFormat="1" applyProtection="1">
      <protection locked="0"/>
    </xf>
    <xf numFmtId="44" fontId="56" fillId="0" borderId="2" xfId="0" applyNumberFormat="1" applyFont="1" applyFill="1" applyBorder="1" applyAlignment="1" applyProtection="1">
      <alignment horizontal="center"/>
      <protection locked="0"/>
    </xf>
    <xf numFmtId="44" fontId="0" fillId="0" borderId="0" xfId="30" applyNumberFormat="1" applyFont="1" applyProtection="1">
      <protection locked="0"/>
    </xf>
    <xf numFmtId="44" fontId="56" fillId="8" borderId="2" xfId="30" applyNumberFormat="1" applyFont="1" applyFill="1" applyBorder="1" applyAlignment="1" applyProtection="1">
      <alignment horizontal="center" vertical="center"/>
      <protection locked="0"/>
    </xf>
    <xf numFmtId="44" fontId="0" fillId="0" borderId="2" xfId="30" applyNumberFormat="1" applyFont="1" applyBorder="1" applyProtection="1">
      <protection locked="0"/>
    </xf>
    <xf numFmtId="44" fontId="56" fillId="0" borderId="2" xfId="30" applyNumberFormat="1" applyFont="1" applyFill="1" applyBorder="1" applyAlignment="1" applyProtection="1">
      <alignment horizontal="center"/>
      <protection locked="0"/>
    </xf>
    <xf numFmtId="4" fontId="56" fillId="0" borderId="2" xfId="0" applyNumberFormat="1" applyFont="1" applyBorder="1" applyProtection="1"/>
    <xf numFmtId="0" fontId="0" fillId="0" borderId="2" xfId="0" applyBorder="1" applyAlignment="1" applyProtection="1">
      <alignment horizontal="center" vertical="center"/>
    </xf>
    <xf numFmtId="9" fontId="56" fillId="0" borderId="2" xfId="0" applyNumberFormat="1" applyFont="1" applyBorder="1" applyProtection="1"/>
    <xf numFmtId="176" fontId="0" fillId="2" borderId="2" xfId="1" applyNumberFormat="1" applyFont="1" applyFill="1" applyBorder="1" applyProtection="1">
      <protection locked="0"/>
    </xf>
    <xf numFmtId="0" fontId="25" fillId="2" borderId="2" xfId="7" applyFont="1" applyFill="1" applyBorder="1" applyAlignment="1" applyProtection="1">
      <alignment horizontal="center"/>
      <protection locked="0"/>
    </xf>
    <xf numFmtId="0" fontId="25" fillId="2" borderId="27" xfId="7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Protection="1">
      <protection locked="0"/>
    </xf>
    <xf numFmtId="0" fontId="4" fillId="2" borderId="1" xfId="7" applyFont="1" applyFill="1" applyBorder="1" applyAlignment="1" applyProtection="1">
      <alignment horizontal="center"/>
      <protection locked="0"/>
    </xf>
    <xf numFmtId="0" fontId="4" fillId="2" borderId="2" xfId="7" applyFont="1" applyFill="1" applyBorder="1" applyAlignment="1" applyProtection="1">
      <alignment horizontal="center"/>
      <protection locked="0"/>
    </xf>
    <xf numFmtId="0" fontId="0" fillId="0" borderId="28" xfId="0" applyBorder="1" applyProtection="1"/>
    <xf numFmtId="0" fontId="0" fillId="0" borderId="37" xfId="0" applyBorder="1" applyProtection="1"/>
    <xf numFmtId="0" fontId="62" fillId="13" borderId="0" xfId="0" applyFont="1" applyFill="1" applyBorder="1" applyAlignment="1" applyProtection="1">
      <alignment horizontal="center" wrapText="1"/>
    </xf>
    <xf numFmtId="0" fontId="36" fillId="0" borderId="19" xfId="16" applyFont="1" applyBorder="1" applyAlignment="1" applyProtection="1">
      <alignment horizontal="center" vertical="center"/>
    </xf>
    <xf numFmtId="0" fontId="36" fillId="0" borderId="21" xfId="16" applyFont="1" applyBorder="1" applyAlignment="1" applyProtection="1">
      <alignment horizontal="center" vertical="center"/>
    </xf>
    <xf numFmtId="0" fontId="36" fillId="0" borderId="8" xfId="16" applyFont="1" applyBorder="1" applyAlignment="1" applyProtection="1">
      <alignment horizontal="center" vertical="center" wrapText="1"/>
    </xf>
    <xf numFmtId="0" fontId="36" fillId="0" borderId="9" xfId="16" applyFont="1" applyBorder="1" applyAlignment="1" applyProtection="1">
      <alignment horizontal="center" vertical="center" wrapText="1"/>
    </xf>
    <xf numFmtId="0" fontId="36" fillId="0" borderId="20" xfId="16" applyFont="1" applyBorder="1" applyAlignment="1" applyProtection="1">
      <alignment horizontal="center" vertical="center" wrapText="1"/>
    </xf>
    <xf numFmtId="0" fontId="36" fillId="0" borderId="22" xfId="16" applyFont="1" applyBorder="1" applyAlignment="1" applyProtection="1">
      <alignment horizontal="center" vertical="center" wrapText="1"/>
    </xf>
    <xf numFmtId="0" fontId="39" fillId="5" borderId="2" xfId="16" applyFont="1" applyFill="1" applyBorder="1" applyAlignment="1" applyProtection="1">
      <alignment horizontal="center"/>
    </xf>
    <xf numFmtId="4" fontId="56" fillId="7" borderId="56" xfId="0" applyNumberFormat="1" applyFont="1" applyFill="1" applyBorder="1" applyAlignment="1" applyProtection="1">
      <alignment horizontal="center"/>
    </xf>
    <xf numFmtId="0" fontId="56" fillId="7" borderId="57" xfId="0" applyFont="1" applyFill="1" applyBorder="1" applyAlignment="1" applyProtection="1">
      <alignment horizontal="center"/>
    </xf>
    <xf numFmtId="4" fontId="56" fillId="7" borderId="2" xfId="0" applyNumberFormat="1" applyFont="1" applyFill="1" applyBorder="1" applyAlignment="1" applyProtection="1">
      <alignment horizontal="center"/>
    </xf>
    <xf numFmtId="4" fontId="56" fillId="8" borderId="28" xfId="0" applyNumberFormat="1" applyFont="1" applyFill="1" applyBorder="1" applyAlignment="1" applyProtection="1">
      <alignment horizontal="center"/>
    </xf>
    <xf numFmtId="4" fontId="56" fillId="8" borderId="37" xfId="0" applyNumberFormat="1" applyFont="1" applyFill="1" applyBorder="1" applyAlignment="1" applyProtection="1">
      <alignment horizontal="center"/>
    </xf>
    <xf numFmtId="4" fontId="56" fillId="8" borderId="25" xfId="0" applyNumberFormat="1" applyFont="1" applyFill="1" applyBorder="1" applyAlignment="1" applyProtection="1">
      <alignment horizontal="center"/>
    </xf>
    <xf numFmtId="0" fontId="56" fillId="8" borderId="59" xfId="0" applyFont="1" applyFill="1" applyBorder="1" applyAlignment="1" applyProtection="1">
      <alignment horizontal="center"/>
    </xf>
    <xf numFmtId="0" fontId="56" fillId="8" borderId="58" xfId="0" applyFont="1" applyFill="1" applyBorder="1" applyAlignment="1" applyProtection="1">
      <alignment horizontal="center"/>
    </xf>
    <xf numFmtId="0" fontId="57" fillId="6" borderId="33" xfId="3" applyFont="1" applyFill="1" applyBorder="1" applyAlignment="1" applyProtection="1">
      <alignment horizontal="center" vertical="center"/>
    </xf>
    <xf numFmtId="0" fontId="57" fillId="6" borderId="31" xfId="3" applyFont="1" applyFill="1" applyBorder="1" applyAlignment="1" applyProtection="1">
      <alignment horizontal="center" vertical="center"/>
    </xf>
    <xf numFmtId="0" fontId="57" fillId="6" borderId="27" xfId="3" applyFont="1" applyFill="1" applyBorder="1" applyAlignment="1" applyProtection="1">
      <alignment horizontal="center" vertical="center"/>
    </xf>
    <xf numFmtId="0" fontId="57" fillId="6" borderId="1" xfId="3" applyFont="1" applyFill="1" applyBorder="1" applyAlignment="1" applyProtection="1">
      <alignment horizontal="center" vertical="center"/>
    </xf>
    <xf numFmtId="0" fontId="57" fillId="6" borderId="27" xfId="3" applyFont="1" applyFill="1" applyBorder="1" applyAlignment="1" applyProtection="1">
      <alignment horizontal="center" vertical="center" wrapText="1"/>
    </xf>
    <xf numFmtId="0" fontId="25" fillId="7" borderId="28" xfId="7" applyFont="1" applyFill="1" applyBorder="1" applyProtection="1"/>
    <xf numFmtId="0" fontId="25" fillId="7" borderId="25" xfId="7" applyFont="1" applyFill="1" applyBorder="1" applyProtection="1"/>
    <xf numFmtId="0" fontId="57" fillId="6" borderId="29" xfId="3" applyFont="1" applyFill="1" applyBorder="1" applyAlignment="1" applyProtection="1">
      <alignment horizontal="center" vertical="center"/>
    </xf>
    <xf numFmtId="0" fontId="57" fillId="6" borderId="34" xfId="3" applyFont="1" applyFill="1" applyBorder="1" applyAlignment="1" applyProtection="1">
      <alignment horizontal="center" vertical="center"/>
    </xf>
    <xf numFmtId="0" fontId="25" fillId="7" borderId="2" xfId="7" applyFont="1" applyFill="1" applyBorder="1" applyProtection="1"/>
    <xf numFmtId="0" fontId="25" fillId="7" borderId="2" xfId="7" applyFont="1" applyFill="1" applyBorder="1" applyAlignment="1" applyProtection="1">
      <alignment horizontal="left"/>
    </xf>
    <xf numFmtId="0" fontId="4" fillId="7" borderId="2" xfId="0" applyFont="1" applyFill="1" applyBorder="1" applyProtection="1"/>
    <xf numFmtId="4" fontId="27" fillId="6" borderId="2" xfId="0" applyNumberFormat="1" applyFont="1" applyFill="1" applyBorder="1" applyAlignment="1" applyProtection="1">
      <alignment horizontal="center"/>
    </xf>
    <xf numFmtId="0" fontId="6" fillId="6" borderId="14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20" fillId="6" borderId="0" xfId="0" applyFont="1" applyFill="1" applyBorder="1" applyAlignment="1" applyProtection="1">
      <alignment horizontal="center" vertical="center" wrapText="1"/>
    </xf>
    <xf numFmtId="0" fontId="20" fillId="6" borderId="17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horizontal="center" wrapText="1"/>
    </xf>
    <xf numFmtId="0" fontId="6" fillId="6" borderId="17" xfId="0" applyFont="1" applyFill="1" applyBorder="1" applyAlignment="1" applyProtection="1">
      <alignment horizontal="center" wrapText="1"/>
    </xf>
    <xf numFmtId="4" fontId="27" fillId="6" borderId="28" xfId="0" applyNumberFormat="1" applyFont="1" applyFill="1" applyBorder="1" applyAlignment="1" applyProtection="1">
      <alignment horizontal="center"/>
    </xf>
    <xf numFmtId="4" fontId="27" fillId="6" borderId="37" xfId="0" applyNumberFormat="1" applyFont="1" applyFill="1" applyBorder="1" applyAlignment="1" applyProtection="1">
      <alignment horizontal="center"/>
    </xf>
    <xf numFmtId="4" fontId="27" fillId="6" borderId="25" xfId="0" applyNumberFormat="1" applyFont="1" applyFill="1" applyBorder="1" applyAlignment="1" applyProtection="1">
      <alignment horizontal="center"/>
    </xf>
    <xf numFmtId="0" fontId="20" fillId="6" borderId="11" xfId="0" applyFont="1" applyFill="1" applyBorder="1" applyAlignment="1" applyProtection="1">
      <alignment horizontal="left" vertical="center"/>
    </xf>
    <xf numFmtId="0" fontId="20" fillId="6" borderId="6" xfId="0" applyFont="1" applyFill="1" applyBorder="1" applyAlignment="1" applyProtection="1">
      <alignment horizontal="left" vertical="center"/>
    </xf>
    <xf numFmtId="0" fontId="20" fillId="6" borderId="15" xfId="0" applyFont="1" applyFill="1" applyBorder="1" applyAlignment="1" applyProtection="1">
      <alignment horizontal="left" vertical="center"/>
    </xf>
    <xf numFmtId="0" fontId="20" fillId="6" borderId="12" xfId="3" applyFont="1" applyFill="1" applyBorder="1" applyAlignment="1" applyProtection="1">
      <alignment horizontal="center" vertical="center"/>
    </xf>
    <xf numFmtId="0" fontId="20" fillId="6" borderId="7" xfId="3" applyFont="1" applyFill="1" applyBorder="1" applyAlignment="1" applyProtection="1">
      <alignment horizontal="center" vertical="center"/>
    </xf>
    <xf numFmtId="0" fontId="20" fillId="6" borderId="16" xfId="3" applyFont="1" applyFill="1" applyBorder="1" applyAlignment="1" applyProtection="1">
      <alignment horizontal="center" vertical="center"/>
    </xf>
    <xf numFmtId="0" fontId="6" fillId="6" borderId="12" xfId="3" applyFont="1" applyFill="1" applyBorder="1" applyAlignment="1" applyProtection="1">
      <alignment horizontal="center" vertical="center" wrapText="1"/>
    </xf>
    <xf numFmtId="0" fontId="20" fillId="6" borderId="7" xfId="3" applyFont="1" applyFill="1" applyBorder="1" applyAlignment="1" applyProtection="1">
      <alignment horizontal="center" vertical="center" wrapText="1"/>
    </xf>
    <xf numFmtId="0" fontId="20" fillId="6" borderId="16" xfId="3" applyFont="1" applyFill="1" applyBorder="1" applyAlignment="1" applyProtection="1">
      <alignment horizontal="center" vertical="center" wrapText="1"/>
    </xf>
    <xf numFmtId="0" fontId="20" fillId="6" borderId="13" xfId="0" applyFont="1" applyFill="1" applyBorder="1" applyAlignment="1" applyProtection="1">
      <alignment horizontal="center" vertical="center" wrapText="1"/>
    </xf>
    <xf numFmtId="0" fontId="4" fillId="3" borderId="38" xfId="3" applyFont="1" applyFill="1" applyBorder="1" applyAlignment="1" applyProtection="1">
      <alignment horizontal="center" vertical="center"/>
    </xf>
    <xf numFmtId="0" fontId="4" fillId="3" borderId="0" xfId="3" applyFont="1" applyFill="1" applyBorder="1" applyAlignment="1" applyProtection="1">
      <alignment horizontal="center" vertical="center"/>
    </xf>
    <xf numFmtId="0" fontId="4" fillId="3" borderId="31" xfId="3" applyFont="1" applyFill="1" applyBorder="1" applyAlignment="1" applyProtection="1">
      <alignment horizontal="center" vertical="center"/>
    </xf>
    <xf numFmtId="0" fontId="4" fillId="3" borderId="24" xfId="3" applyFont="1" applyFill="1" applyBorder="1" applyAlignment="1" applyProtection="1">
      <alignment horizontal="center" vertical="center"/>
    </xf>
    <xf numFmtId="0" fontId="57" fillId="14" borderId="2" xfId="7" applyFont="1" applyFill="1" applyBorder="1" applyAlignment="1" applyProtection="1">
      <alignment horizontal="left"/>
    </xf>
    <xf numFmtId="0" fontId="4" fillId="19" borderId="2" xfId="7" applyFont="1" applyFill="1" applyBorder="1" applyProtection="1"/>
    <xf numFmtId="0" fontId="4" fillId="20" borderId="2" xfId="7" applyFont="1" applyFill="1" applyBorder="1" applyAlignment="1" applyProtection="1">
      <alignment horizontal="left"/>
    </xf>
    <xf numFmtId="0" fontId="4" fillId="19" borderId="2" xfId="7" applyFont="1" applyFill="1" applyBorder="1" applyAlignment="1" applyProtection="1">
      <alignment horizontal="left"/>
    </xf>
    <xf numFmtId="0" fontId="4" fillId="6" borderId="36" xfId="3" applyFont="1" applyFill="1" applyBorder="1" applyAlignment="1" applyProtection="1">
      <alignment horizontal="center" vertical="center"/>
    </xf>
    <xf numFmtId="0" fontId="4" fillId="6" borderId="34" xfId="3" applyFont="1" applyFill="1" applyBorder="1" applyAlignment="1" applyProtection="1">
      <alignment horizontal="center" vertical="center"/>
    </xf>
    <xf numFmtId="0" fontId="4" fillId="6" borderId="0" xfId="3" applyFont="1" applyFill="1" applyBorder="1" applyAlignment="1" applyProtection="1">
      <alignment horizontal="center" vertical="center"/>
    </xf>
    <xf numFmtId="0" fontId="4" fillId="6" borderId="24" xfId="3" applyFont="1" applyFill="1" applyBorder="1" applyAlignment="1" applyProtection="1">
      <alignment horizontal="center" vertical="center"/>
    </xf>
    <xf numFmtId="0" fontId="4" fillId="20" borderId="2" xfId="7" applyFont="1" applyFill="1" applyBorder="1" applyProtection="1"/>
    <xf numFmtId="0" fontId="25" fillId="7" borderId="27" xfId="7" applyFont="1" applyFill="1" applyBorder="1" applyProtection="1"/>
    <xf numFmtId="49" fontId="58" fillId="5" borderId="0" xfId="7" applyNumberFormat="1" applyFont="1" applyFill="1" applyBorder="1" applyAlignment="1" applyProtection="1">
      <alignment horizontal="center" vertical="center"/>
    </xf>
    <xf numFmtId="0" fontId="4" fillId="6" borderId="8" xfId="3" applyFont="1" applyFill="1" applyBorder="1" applyAlignment="1" applyProtection="1">
      <alignment horizontal="center" vertical="center"/>
    </xf>
    <xf numFmtId="0" fontId="4" fillId="6" borderId="1" xfId="3" applyFont="1" applyFill="1" applyBorder="1" applyAlignment="1" applyProtection="1">
      <alignment horizontal="center" vertical="center"/>
    </xf>
    <xf numFmtId="0" fontId="4" fillId="6" borderId="31" xfId="3" applyFont="1" applyFill="1" applyBorder="1" applyAlignment="1" applyProtection="1">
      <alignment horizontal="center" vertical="center"/>
    </xf>
    <xf numFmtId="0" fontId="4" fillId="6" borderId="2" xfId="3" applyFont="1" applyFill="1" applyBorder="1" applyAlignment="1" applyProtection="1">
      <alignment horizontal="center" vertical="center"/>
    </xf>
    <xf numFmtId="0" fontId="4" fillId="6" borderId="28" xfId="3" applyFont="1" applyFill="1" applyBorder="1" applyAlignment="1" applyProtection="1">
      <alignment horizontal="center" vertical="center"/>
    </xf>
    <xf numFmtId="0" fontId="25" fillId="7" borderId="39" xfId="7" applyFont="1" applyFill="1" applyBorder="1" applyProtection="1"/>
    <xf numFmtId="0" fontId="4" fillId="6" borderId="38" xfId="3" applyFont="1" applyFill="1" applyBorder="1" applyAlignment="1" applyProtection="1">
      <alignment horizontal="center" vertical="center"/>
    </xf>
    <xf numFmtId="0" fontId="11" fillId="21" borderId="28" xfId="7" applyFont="1" applyFill="1" applyBorder="1" applyProtection="1"/>
    <xf numFmtId="0" fontId="11" fillId="21" borderId="37" xfId="7" applyFont="1" applyFill="1" applyBorder="1" applyProtection="1"/>
    <xf numFmtId="0" fontId="57" fillId="14" borderId="2" xfId="7" applyFont="1" applyFill="1" applyBorder="1" applyProtection="1"/>
    <xf numFmtId="0" fontId="24" fillId="6" borderId="38" xfId="3" applyFont="1" applyFill="1" applyBorder="1" applyAlignment="1" applyProtection="1">
      <alignment horizontal="center" vertical="center"/>
    </xf>
    <xf numFmtId="0" fontId="24" fillId="6" borderId="31" xfId="3" applyFont="1" applyFill="1" applyBorder="1" applyAlignment="1" applyProtection="1">
      <alignment horizontal="center" vertical="center"/>
    </xf>
    <xf numFmtId="0" fontId="24" fillId="6" borderId="0" xfId="3" applyFont="1" applyFill="1" applyBorder="1" applyAlignment="1" applyProtection="1">
      <alignment horizontal="center" vertical="center"/>
    </xf>
    <xf numFmtId="0" fontId="24" fillId="6" borderId="24" xfId="3" applyFont="1" applyFill="1" applyBorder="1" applyAlignment="1" applyProtection="1">
      <alignment horizontal="center" vertical="center"/>
    </xf>
    <xf numFmtId="49" fontId="58" fillId="5" borderId="28" xfId="7" applyNumberFormat="1" applyFont="1" applyFill="1" applyBorder="1" applyAlignment="1" applyProtection="1">
      <alignment horizontal="center" vertical="center"/>
    </xf>
    <xf numFmtId="49" fontId="58" fillId="5" borderId="37" xfId="7" applyNumberFormat="1" applyFont="1" applyFill="1" applyBorder="1" applyAlignment="1" applyProtection="1">
      <alignment horizontal="center" vertical="center"/>
    </xf>
    <xf numFmtId="49" fontId="58" fillId="5" borderId="25" xfId="7" applyNumberFormat="1" applyFont="1" applyFill="1" applyBorder="1" applyAlignment="1" applyProtection="1">
      <alignment horizontal="center" vertical="center"/>
    </xf>
    <xf numFmtId="0" fontId="4" fillId="6" borderId="33" xfId="3" applyFont="1" applyFill="1" applyBorder="1" applyAlignment="1" applyProtection="1">
      <alignment horizontal="center" vertical="center"/>
    </xf>
    <xf numFmtId="0" fontId="4" fillId="6" borderId="26" xfId="3" applyFont="1" applyFill="1" applyBorder="1" applyAlignment="1" applyProtection="1">
      <alignment horizontal="center" vertical="center"/>
    </xf>
    <xf numFmtId="0" fontId="4" fillId="3" borderId="3" xfId="3" applyFont="1" applyFill="1" applyBorder="1" applyAlignment="1" applyProtection="1">
      <alignment horizontal="center" vertical="center"/>
    </xf>
    <xf numFmtId="0" fontId="4" fillId="6" borderId="30" xfId="3" applyFont="1" applyFill="1" applyBorder="1" applyAlignment="1" applyProtection="1">
      <alignment horizontal="center" vertical="center"/>
    </xf>
    <xf numFmtId="49" fontId="58" fillId="5" borderId="33" xfId="7" applyNumberFormat="1" applyFont="1" applyFill="1" applyBorder="1" applyAlignment="1" applyProtection="1">
      <alignment horizontal="center" vertical="center"/>
    </xf>
    <xf numFmtId="49" fontId="58" fillId="5" borderId="26" xfId="7" applyNumberFormat="1" applyFont="1" applyFill="1" applyBorder="1" applyAlignment="1" applyProtection="1">
      <alignment horizontal="center" vertical="center"/>
    </xf>
    <xf numFmtId="49" fontId="58" fillId="5" borderId="29" xfId="7" applyNumberFormat="1" applyFont="1" applyFill="1" applyBorder="1" applyAlignment="1" applyProtection="1">
      <alignment horizontal="center" vertical="center"/>
    </xf>
    <xf numFmtId="0" fontId="4" fillId="6" borderId="40" xfId="3" applyFont="1" applyFill="1" applyBorder="1" applyAlignment="1" applyProtection="1">
      <alignment horizontal="center" vertical="center"/>
    </xf>
    <xf numFmtId="0" fontId="4" fillId="6" borderId="42" xfId="3" applyFont="1" applyFill="1" applyBorder="1" applyAlignment="1" applyProtection="1">
      <alignment horizontal="center" vertical="center"/>
    </xf>
    <xf numFmtId="0" fontId="4" fillId="6" borderId="41" xfId="3" applyFont="1" applyFill="1" applyBorder="1" applyAlignment="1" applyProtection="1">
      <alignment horizontal="center" vertical="center"/>
    </xf>
    <xf numFmtId="0" fontId="4" fillId="3" borderId="46" xfId="3" applyFont="1" applyFill="1" applyBorder="1" applyAlignment="1" applyProtection="1">
      <alignment horizontal="center" vertical="center"/>
    </xf>
    <xf numFmtId="0" fontId="4" fillId="3" borderId="48" xfId="3" applyFont="1" applyFill="1" applyBorder="1" applyAlignment="1" applyProtection="1">
      <alignment horizontal="center" vertical="center"/>
    </xf>
    <xf numFmtId="0" fontId="4" fillId="3" borderId="4" xfId="3" applyFont="1" applyFill="1" applyBorder="1" applyAlignment="1" applyProtection="1">
      <alignment horizontal="center" vertical="center"/>
    </xf>
    <xf numFmtId="0" fontId="24" fillId="6" borderId="8" xfId="3" applyFont="1" applyFill="1" applyBorder="1" applyAlignment="1" applyProtection="1">
      <alignment horizontal="center" vertical="center"/>
    </xf>
    <xf numFmtId="0" fontId="24" fillId="3" borderId="3" xfId="3" applyFont="1" applyFill="1" applyBorder="1" applyAlignment="1" applyProtection="1">
      <alignment horizontal="center" vertical="center"/>
    </xf>
    <xf numFmtId="0" fontId="24" fillId="3" borderId="0" xfId="3" applyFont="1" applyFill="1" applyBorder="1" applyAlignment="1" applyProtection="1">
      <alignment horizontal="center" vertical="center"/>
    </xf>
    <xf numFmtId="0" fontId="24" fillId="3" borderId="4" xfId="3" applyFont="1" applyFill="1" applyBorder="1" applyAlignment="1" applyProtection="1">
      <alignment horizontal="center" vertical="center"/>
    </xf>
    <xf numFmtId="0" fontId="25" fillId="7" borderId="10" xfId="7" applyFont="1" applyFill="1" applyBorder="1" applyAlignment="1" applyProtection="1">
      <alignment horizontal="left"/>
    </xf>
    <xf numFmtId="0" fontId="24" fillId="6" borderId="9" xfId="3" applyFont="1" applyFill="1" applyBorder="1" applyAlignment="1" applyProtection="1">
      <alignment horizontal="center" vertical="center"/>
    </xf>
    <xf numFmtId="0" fontId="25" fillId="0" borderId="32" xfId="7" applyFont="1" applyBorder="1" applyAlignment="1" applyProtection="1">
      <alignment horizontal="left" vertical="center"/>
    </xf>
    <xf numFmtId="0" fontId="25" fillId="7" borderId="10" xfId="7" applyFont="1" applyFill="1" applyBorder="1" applyAlignment="1" applyProtection="1">
      <alignment horizontal="left" vertical="center"/>
    </xf>
    <xf numFmtId="0" fontId="4" fillId="3" borderId="33" xfId="3" applyFont="1" applyFill="1" applyBorder="1" applyAlignment="1" applyProtection="1">
      <alignment horizontal="center" vertical="center"/>
    </xf>
    <xf numFmtId="0" fontId="4" fillId="3" borderId="26" xfId="3" applyFont="1" applyFill="1" applyBorder="1" applyAlignment="1" applyProtection="1">
      <alignment horizontal="center" vertical="center"/>
    </xf>
    <xf numFmtId="0" fontId="4" fillId="0" borderId="28" xfId="0" applyFont="1" applyBorder="1" applyProtection="1"/>
    <xf numFmtId="0" fontId="4" fillId="0" borderId="25" xfId="0" applyFont="1" applyBorder="1" applyProtection="1"/>
    <xf numFmtId="0" fontId="4" fillId="6" borderId="9" xfId="3" applyFont="1" applyFill="1" applyBorder="1" applyAlignment="1" applyProtection="1">
      <alignment horizontal="center" vertical="center"/>
    </xf>
    <xf numFmtId="0" fontId="4" fillId="7" borderId="31" xfId="0" applyFont="1" applyFill="1" applyBorder="1" applyProtection="1"/>
    <xf numFmtId="0" fontId="4" fillId="7" borderId="34" xfId="0" applyFont="1" applyFill="1" applyBorder="1" applyProtection="1"/>
    <xf numFmtId="0" fontId="4" fillId="7" borderId="28" xfId="0" applyFont="1" applyFill="1" applyBorder="1" applyProtection="1"/>
    <xf numFmtId="0" fontId="4" fillId="7" borderId="25" xfId="0" applyFont="1" applyFill="1" applyBorder="1" applyProtection="1"/>
    <xf numFmtId="0" fontId="56" fillId="0" borderId="2" xfId="0" applyFont="1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</xf>
    <xf numFmtId="0" fontId="56" fillId="21" borderId="36" xfId="0" applyFont="1" applyFill="1" applyBorder="1" applyAlignment="1" applyProtection="1">
      <alignment horizontal="center" vertical="center" textRotation="90" wrapText="1"/>
    </xf>
    <xf numFmtId="0" fontId="56" fillId="21" borderId="36" xfId="0" applyFont="1" applyFill="1" applyBorder="1" applyAlignment="1" applyProtection="1">
      <alignment horizontal="center" vertical="center" textRotation="90"/>
    </xf>
    <xf numFmtId="0" fontId="66" fillId="0" borderId="2" xfId="0" applyFont="1" applyBorder="1" applyAlignment="1" applyProtection="1">
      <alignment horizontal="center" vertical="center" wrapText="1"/>
    </xf>
    <xf numFmtId="0" fontId="56" fillId="7" borderId="2" xfId="0" applyFont="1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/>
    </xf>
    <xf numFmtId="0" fontId="56" fillId="20" borderId="36" xfId="0" applyFont="1" applyFill="1" applyBorder="1" applyAlignment="1" applyProtection="1">
      <alignment horizontal="center" vertical="center" textRotation="90"/>
    </xf>
    <xf numFmtId="0" fontId="56" fillId="27" borderId="36" xfId="0" applyFont="1" applyFill="1" applyBorder="1" applyAlignment="1" applyProtection="1">
      <alignment horizontal="center" vertical="center" textRotation="90"/>
    </xf>
    <xf numFmtId="0" fontId="65" fillId="20" borderId="27" xfId="0" applyFont="1" applyFill="1" applyBorder="1" applyAlignment="1" applyProtection="1">
      <alignment horizontal="center" vertical="center" wrapText="1"/>
    </xf>
    <xf numFmtId="0" fontId="65" fillId="20" borderId="1" xfId="0" applyFont="1" applyFill="1" applyBorder="1" applyAlignment="1" applyProtection="1">
      <alignment horizontal="center" vertical="center" wrapText="1"/>
    </xf>
    <xf numFmtId="0" fontId="65" fillId="20" borderId="31" xfId="0" applyFont="1" applyFill="1" applyBorder="1" applyAlignment="1" applyProtection="1">
      <alignment horizontal="center" vertical="center" wrapText="1"/>
    </xf>
    <xf numFmtId="0" fontId="65" fillId="20" borderId="61" xfId="0" applyFont="1" applyFill="1" applyBorder="1" applyAlignment="1" applyProtection="1">
      <alignment horizontal="center" vertical="center" wrapText="1"/>
    </xf>
    <xf numFmtId="0" fontId="65" fillId="20" borderId="58" xfId="0" applyFont="1" applyFill="1" applyBorder="1" applyAlignment="1" applyProtection="1">
      <alignment horizontal="center" vertical="center" wrapText="1"/>
    </xf>
    <xf numFmtId="0" fontId="19" fillId="14" borderId="0" xfId="26" applyFont="1" applyFill="1" applyBorder="1" applyAlignment="1" applyProtection="1">
      <alignment horizontal="center" vertical="center" wrapText="1"/>
    </xf>
    <xf numFmtId="0" fontId="47" fillId="14" borderId="0" xfId="26" applyFont="1" applyFill="1" applyBorder="1" applyAlignment="1" applyProtection="1">
      <alignment horizontal="center" vertical="center" wrapText="1"/>
    </xf>
    <xf numFmtId="0" fontId="49" fillId="15" borderId="0" xfId="27" quotePrefix="1" applyFont="1" applyFill="1" applyBorder="1" applyAlignment="1" applyProtection="1">
      <alignment horizontal="center" vertical="center" wrapText="1"/>
    </xf>
    <xf numFmtId="0" fontId="49" fillId="15" borderId="0" xfId="27" applyFont="1" applyFill="1" applyBorder="1" applyAlignment="1" applyProtection="1">
      <alignment horizontal="center" vertical="center" wrapText="1"/>
    </xf>
    <xf numFmtId="0" fontId="2" fillId="22" borderId="2" xfId="7" applyFont="1" applyFill="1" applyBorder="1" applyAlignment="1" applyProtection="1">
      <alignment horizontal="left"/>
    </xf>
    <xf numFmtId="0" fontId="57" fillId="7" borderId="2" xfId="7" applyFont="1" applyFill="1" applyBorder="1" applyProtection="1"/>
    <xf numFmtId="0" fontId="2" fillId="22" borderId="2" xfId="7" applyFont="1" applyFill="1" applyBorder="1" applyAlignment="1" applyProtection="1">
      <alignment horizontal="left" wrapText="1"/>
    </xf>
  </cellXfs>
  <cellStyles count="31">
    <cellStyle name="Coma" xfId="1" builtinId="3"/>
    <cellStyle name="Euro" xfId="21" xr:uid="{00000000-0005-0000-0000-000000000000}"/>
    <cellStyle name="Millares [0] 2" xfId="19" xr:uid="{00000000-0005-0000-0000-000003000000}"/>
    <cellStyle name="Millares [0] 3" xfId="22" xr:uid="{00000000-0005-0000-0000-000004000000}"/>
    <cellStyle name="Millares 2" xfId="6" xr:uid="{00000000-0005-0000-0000-000005000000}"/>
    <cellStyle name="Millares 3" xfId="8" xr:uid="{00000000-0005-0000-0000-000006000000}"/>
    <cellStyle name="Millares 4" xfId="17" xr:uid="{00000000-0005-0000-0000-000007000000}"/>
    <cellStyle name="Millares 6 2" xfId="12" xr:uid="{00000000-0005-0000-0000-000008000000}"/>
    <cellStyle name="Millares 8" xfId="10" xr:uid="{00000000-0005-0000-0000-000009000000}"/>
    <cellStyle name="Millares_DÍAS" xfId="28" xr:uid="{DE4F00AF-81B3-48D0-9A05-14642388A196}"/>
    <cellStyle name="Millares_PERSONAL" xfId="29" xr:uid="{E672A060-A518-4D21-98ED-9644BA395DB9}"/>
    <cellStyle name="Moneda" xfId="30" builtinId="4"/>
    <cellStyle name="Moneda 2" xfId="20" xr:uid="{00000000-0005-0000-0000-00000A000000}"/>
    <cellStyle name="Moneda 9" xfId="14" xr:uid="{00000000-0005-0000-0000-00000B000000}"/>
    <cellStyle name="No-definido" xfId="24" xr:uid="{00000000-0005-0000-0000-00000C000000}"/>
    <cellStyle name="Normal" xfId="0" builtinId="0"/>
    <cellStyle name="Normal 18" xfId="9" xr:uid="{00000000-0005-0000-0000-00000E000000}"/>
    <cellStyle name="Normal 2" xfId="7" xr:uid="{00000000-0005-0000-0000-00000F000000}"/>
    <cellStyle name="Normal 3" xfId="4" xr:uid="{00000000-0005-0000-0000-000010000000}"/>
    <cellStyle name="Normal 4" xfId="16" xr:uid="{00000000-0005-0000-0000-000011000000}"/>
    <cellStyle name="Normal 5" xfId="23" xr:uid="{00000000-0005-0000-0000-000012000000}"/>
    <cellStyle name="Normal_Coste unitarios de equipos" xfId="25" xr:uid="{0A6F89F6-EFD4-4AFB-93C2-B90DDD2DAABB}"/>
    <cellStyle name="Normal_COSTES DE PERSONAL" xfId="26" xr:uid="{93239CE8-944F-4821-B778-9E27221E53A8}"/>
    <cellStyle name="Normal_DÍAS_COSTES DE PERSONAL" xfId="27" xr:uid="{31A96725-D097-4B2C-B192-A6CA7EE77BA2}"/>
    <cellStyle name="Normal_ESTUDI ECONÓMIC BASE Esplugues Def 19-9-02" xfId="3" xr:uid="{00000000-0005-0000-0000-000013000000}"/>
    <cellStyle name="Percentatge" xfId="2" builtinId="5"/>
    <cellStyle name="Porcentaje 2" xfId="15" xr:uid="{00000000-0005-0000-0000-000016000000}"/>
    <cellStyle name="Porcentaje 3" xfId="18" xr:uid="{00000000-0005-0000-0000-000017000000}"/>
    <cellStyle name="Porcentual 2" xfId="11" xr:uid="{00000000-0005-0000-0000-000019000000}"/>
    <cellStyle name="Porcentual 3" xfId="5" xr:uid="{00000000-0005-0000-0000-00001A000000}"/>
    <cellStyle name="Porcentual 8" xfId="13" xr:uid="{00000000-0005-0000-0000-00001B000000}"/>
  </cellStyles>
  <dxfs count="2">
    <dxf>
      <fill>
        <patternFill patternType="darkGray">
          <fgColor indexed="9"/>
          <bgColor indexed="33"/>
        </patternFill>
      </fill>
    </dxf>
    <dxf>
      <fill>
        <patternFill patternType="darkGray">
          <fgColor indexed="9"/>
          <bgColor indexed="42"/>
        </patternFill>
      </fill>
    </dxf>
  </dxfs>
  <tableStyles count="0" defaultTableStyle="TableStyleMedium2" defaultPivotStyle="PivotStyleLight16"/>
  <colors>
    <mruColors>
      <color rgb="FFE6C292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IC/1%20Recollida%20i%20Neteja/0_COMPRES/2023/Nou%20Plec%20Neteja%20Vi&#224;ria/Estudi%20Costos/Ratis%20V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bre 3"/>
      <sheetName val="Canon"/>
      <sheetName val="Neteja viària"/>
      <sheetName val="Recollida"/>
    </sheetNames>
    <sheetDataSet>
      <sheetData sheetId="0"/>
      <sheetData sheetId="1"/>
      <sheetData sheetId="2"/>
      <sheetData sheetId="3">
        <row r="10">
          <cell r="E10">
            <v>40479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4C22-4364-4945-98EE-B058CC92F00A}">
  <sheetPr>
    <tabColor theme="0"/>
    <pageSetUpPr fitToPage="1"/>
  </sheetPr>
  <dimension ref="A1:I18"/>
  <sheetViews>
    <sheetView zoomScale="145" zoomScaleNormal="145" workbookViewId="0">
      <selection activeCell="I12" sqref="I12"/>
    </sheetView>
  </sheetViews>
  <sheetFormatPr defaultRowHeight="15" x14ac:dyDescent="0.25"/>
  <cols>
    <col min="1" max="1" width="2.42578125" style="3" customWidth="1"/>
    <col min="2" max="2" width="12" style="3" customWidth="1"/>
    <col min="3" max="3" width="24.85546875" style="3" customWidth="1"/>
    <col min="4" max="4" width="3.5703125" style="3" customWidth="1"/>
    <col min="5" max="7" width="9.140625" style="3"/>
    <col min="8" max="8" width="16.28515625" style="3" customWidth="1"/>
    <col min="9" max="9" width="14" style="3" customWidth="1"/>
    <col min="10" max="16384" width="9.140625" style="3"/>
  </cols>
  <sheetData>
    <row r="1" spans="1:9" s="675" customFormat="1" ht="26.25" x14ac:dyDescent="0.4">
      <c r="A1" s="675" t="s">
        <v>437</v>
      </c>
    </row>
    <row r="3" spans="1:9" x14ac:dyDescent="0.25">
      <c r="A3" s="626" t="s">
        <v>438</v>
      </c>
    </row>
    <row r="4" spans="1:9" x14ac:dyDescent="0.25">
      <c r="B4" s="56" t="s">
        <v>405</v>
      </c>
      <c r="C4" s="697">
        <f>'COST TOTAL'!P28</f>
        <v>51420.436249999999</v>
      </c>
      <c r="D4" s="698" t="s">
        <v>443</v>
      </c>
    </row>
    <row r="5" spans="1:9" x14ac:dyDescent="0.25">
      <c r="B5" s="56" t="s">
        <v>440</v>
      </c>
      <c r="C5" s="699">
        <f>'COST TOTAL'!Q10</f>
        <v>0.1</v>
      </c>
      <c r="D5" s="698" t="s">
        <v>28</v>
      </c>
    </row>
    <row r="6" spans="1:9" x14ac:dyDescent="0.25">
      <c r="B6" s="56" t="s">
        <v>441</v>
      </c>
      <c r="C6" s="697">
        <f>'COST TOTAL'!Q28</f>
        <v>5142.0436250000002</v>
      </c>
      <c r="D6" s="698" t="s">
        <v>443</v>
      </c>
    </row>
    <row r="7" spans="1:9" x14ac:dyDescent="0.25">
      <c r="B7" s="56" t="s">
        <v>442</v>
      </c>
      <c r="C7" s="697">
        <f>'COST TOTAL'!R28</f>
        <v>56562.479875000005</v>
      </c>
      <c r="D7" s="698" t="s">
        <v>443</v>
      </c>
    </row>
    <row r="9" spans="1:9" x14ac:dyDescent="0.25">
      <c r="A9" s="626" t="s">
        <v>439</v>
      </c>
    </row>
    <row r="10" spans="1:9" x14ac:dyDescent="0.25">
      <c r="I10" s="62" t="s">
        <v>444</v>
      </c>
    </row>
    <row r="11" spans="1:9" x14ac:dyDescent="0.25">
      <c r="B11" s="706" t="s">
        <v>448</v>
      </c>
      <c r="C11" s="707"/>
      <c r="D11" s="707"/>
      <c r="E11" s="707"/>
      <c r="F11" s="707"/>
      <c r="G11" s="707"/>
      <c r="H11" s="707"/>
      <c r="I11" s="700"/>
    </row>
    <row r="12" spans="1:9" x14ac:dyDescent="0.25">
      <c r="B12" s="706" t="s">
        <v>447</v>
      </c>
      <c r="C12" s="707"/>
      <c r="D12" s="707"/>
      <c r="E12" s="707"/>
      <c r="F12" s="707"/>
      <c r="G12" s="707"/>
      <c r="H12" s="707"/>
      <c r="I12" s="700"/>
    </row>
    <row r="14" spans="1:9" x14ac:dyDescent="0.25">
      <c r="A14" s="626" t="s">
        <v>445</v>
      </c>
    </row>
    <row r="15" spans="1:9" x14ac:dyDescent="0.25">
      <c r="B15" s="671">
        <f>Paràmetres!C6+Paràmetres!C5</f>
        <v>0</v>
      </c>
    </row>
    <row r="17" spans="1:2" x14ac:dyDescent="0.25">
      <c r="A17" s="626" t="s">
        <v>446</v>
      </c>
    </row>
    <row r="18" spans="1:2" x14ac:dyDescent="0.25">
      <c r="B18" s="671">
        <f>Paràmetres!C4</f>
        <v>0</v>
      </c>
    </row>
  </sheetData>
  <sheetProtection algorithmName="SHA-512" hashValue="a6ERDhwvGckhsYfSocMfYgAYRuGPPYLUtCVGIHE1IVmnD5Cf17S/hCT8ZQ3//tqB0FijEq1221s6pwZYMlzulg==" saltValue="Qqxf3XXKBCQ0azmelWcjOg==" spinCount="100000" sheet="1" selectLockedCells="1"/>
  <mergeCells count="2">
    <mergeCell ref="B11:H11"/>
    <mergeCell ref="B12:H12"/>
  </mergeCell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5CB8-59B1-4C87-A4A8-A3E3CF947AAF}">
  <sheetPr>
    <tabColor theme="0"/>
  </sheetPr>
  <dimension ref="A1:O213"/>
  <sheetViews>
    <sheetView showGridLines="0" topLeftCell="A7" zoomScale="70" zoomScaleNormal="70" zoomScaleSheetLayoutView="70" workbookViewId="0">
      <selection activeCell="E56" sqref="E56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4" style="87" bestFit="1" customWidth="1"/>
    <col min="12" max="12" width="11.7109375" style="87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204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361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153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153" customFormat="1" x14ac:dyDescent="0.25">
      <c r="A13" s="764" t="s">
        <v>89</v>
      </c>
      <c r="B13" s="764"/>
      <c r="C13" s="241"/>
      <c r="D13" s="241"/>
      <c r="E13" s="241"/>
      <c r="F13" s="241"/>
      <c r="G13" s="241"/>
      <c r="H13" s="241"/>
      <c r="I13" s="320"/>
      <c r="J13" s="320"/>
      <c r="K13" s="241"/>
      <c r="L13" s="241"/>
      <c r="M13" s="234"/>
      <c r="N13" s="234"/>
      <c r="O13" s="234"/>
    </row>
    <row r="14" spans="1:15" s="153" customFormat="1" x14ac:dyDescent="0.25">
      <c r="A14" s="733" t="s">
        <v>72</v>
      </c>
      <c r="B14" s="733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237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s="153" customForma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320"/>
      <c r="J15" s="320"/>
      <c r="K15" s="241"/>
      <c r="L15" s="241"/>
      <c r="M15" s="234"/>
      <c r="N15" s="234"/>
      <c r="O15" s="234"/>
    </row>
    <row r="16" spans="1:15" s="153" customFormat="1" x14ac:dyDescent="0.25">
      <c r="A16" s="763" t="s">
        <v>88</v>
      </c>
      <c r="B16" s="763"/>
      <c r="C16" s="241"/>
      <c r="D16" s="241"/>
      <c r="E16" s="241"/>
      <c r="F16" s="241"/>
      <c r="G16" s="241"/>
      <c r="H16" s="241"/>
      <c r="I16" s="320"/>
      <c r="J16" s="320"/>
      <c r="K16" s="241"/>
      <c r="L16" s="241"/>
      <c r="M16" s="234"/>
      <c r="N16" s="234"/>
      <c r="O16" s="234"/>
    </row>
    <row r="17" spans="1:15" s="153" customFormat="1" x14ac:dyDescent="0.25">
      <c r="A17" s="733" t="s">
        <v>72</v>
      </c>
      <c r="B17" s="733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237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s="153" customForma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34"/>
      <c r="N18" s="234"/>
      <c r="O18" s="234"/>
    </row>
    <row r="19" spans="1:15" s="153" customFormat="1" x14ac:dyDescent="0.25">
      <c r="A19" s="733" t="s">
        <v>72</v>
      </c>
      <c r="B19" s="733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s="153" customFormat="1" x14ac:dyDescent="0.25">
      <c r="A20" s="762" t="s">
        <v>197</v>
      </c>
      <c r="B20" s="762"/>
      <c r="C20" s="234"/>
      <c r="D20" s="241"/>
      <c r="E20" s="241"/>
      <c r="F20" s="241"/>
      <c r="G20" s="241"/>
      <c r="H20" s="241"/>
      <c r="I20" s="241"/>
      <c r="J20" s="241"/>
      <c r="K20" s="241"/>
      <c r="L20" s="234"/>
      <c r="M20" s="234"/>
      <c r="N20" s="234"/>
      <c r="O20" s="234"/>
    </row>
    <row r="21" spans="1:15" s="153" customFormat="1" x14ac:dyDescent="0.25">
      <c r="A21" s="763" t="s">
        <v>88</v>
      </c>
      <c r="B21" s="763"/>
      <c r="C21" s="234"/>
      <c r="D21" s="241"/>
      <c r="E21" s="241"/>
      <c r="F21" s="241"/>
      <c r="G21" s="241"/>
      <c r="H21" s="241"/>
      <c r="I21" s="241"/>
      <c r="J21" s="241"/>
      <c r="K21" s="241"/>
      <c r="L21" s="234"/>
      <c r="M21" s="234"/>
      <c r="N21" s="234"/>
      <c r="O21" s="234"/>
    </row>
    <row r="22" spans="1:15" s="153" customFormat="1" x14ac:dyDescent="0.25">
      <c r="A22" s="733" t="s">
        <v>72</v>
      </c>
      <c r="B22" s="733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237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s="153" customFormat="1" x14ac:dyDescent="0.25">
      <c r="A23" s="764" t="s">
        <v>89</v>
      </c>
      <c r="B23" s="764"/>
      <c r="C23" s="234"/>
      <c r="D23" s="241"/>
      <c r="E23" s="241"/>
      <c r="F23" s="241"/>
      <c r="G23" s="241"/>
      <c r="H23" s="241"/>
      <c r="I23" s="241"/>
      <c r="J23" s="241"/>
      <c r="K23" s="241"/>
      <c r="L23" s="234"/>
      <c r="M23" s="234"/>
      <c r="N23" s="234"/>
      <c r="O23" s="234"/>
    </row>
    <row r="24" spans="1:15" s="153" customFormat="1" x14ac:dyDescent="0.25">
      <c r="A24" s="733" t="s">
        <v>72</v>
      </c>
      <c r="B24" s="733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237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s="153" customFormat="1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s="153" customFormat="1" x14ac:dyDescent="0.25">
      <c r="A26" s="782" t="s">
        <v>195</v>
      </c>
      <c r="B26" s="782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</row>
    <row r="27" spans="1:15" s="153" customFormat="1" x14ac:dyDescent="0.25">
      <c r="A27" s="763" t="s">
        <v>88</v>
      </c>
      <c r="B27" s="763"/>
      <c r="C27" s="180"/>
      <c r="D27" s="180"/>
      <c r="E27" s="180"/>
      <c r="F27" s="234"/>
      <c r="G27" s="180"/>
      <c r="H27" s="180"/>
      <c r="I27" s="180"/>
      <c r="J27" s="180"/>
      <c r="K27" s="180"/>
      <c r="L27" s="180"/>
      <c r="M27" s="180"/>
      <c r="N27" s="180"/>
      <c r="O27" s="180"/>
    </row>
    <row r="28" spans="1:15" s="153" customFormat="1" x14ac:dyDescent="0.25">
      <c r="A28" s="733" t="s">
        <v>72</v>
      </c>
      <c r="B28" s="733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237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s="153" customFormat="1" x14ac:dyDescent="0.25">
      <c r="A29" s="764" t="s">
        <v>89</v>
      </c>
      <c r="B29" s="764"/>
      <c r="C29" s="180"/>
      <c r="D29" s="241"/>
      <c r="E29" s="664"/>
      <c r="F29" s="241"/>
      <c r="G29" s="664"/>
      <c r="H29" s="664"/>
      <c r="I29" s="664"/>
      <c r="J29" s="664"/>
      <c r="K29" s="664"/>
      <c r="L29" s="180"/>
      <c r="M29" s="234"/>
      <c r="N29" s="180"/>
      <c r="O29" s="180"/>
    </row>
    <row r="30" spans="1:15" s="153" customFormat="1" x14ac:dyDescent="0.25">
      <c r="A30" s="733" t="s">
        <v>72</v>
      </c>
      <c r="B30" s="733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762" t="s">
        <v>196</v>
      </c>
      <c r="B31" s="762"/>
      <c r="C31" s="180"/>
      <c r="D31" s="241"/>
      <c r="E31" s="664"/>
      <c r="F31" s="241"/>
      <c r="G31" s="664"/>
      <c r="H31" s="664"/>
      <c r="I31" s="664"/>
      <c r="J31" s="664"/>
      <c r="K31" s="664"/>
      <c r="L31" s="180"/>
      <c r="M31" s="234"/>
      <c r="N31" s="180"/>
      <c r="O31" s="180"/>
    </row>
    <row r="32" spans="1:15" s="153" customFormat="1" x14ac:dyDescent="0.25">
      <c r="A32" s="763" t="s">
        <v>88</v>
      </c>
      <c r="B32" s="763"/>
      <c r="C32" s="180"/>
      <c r="D32" s="241"/>
      <c r="E32" s="664"/>
      <c r="F32" s="241"/>
      <c r="G32" s="664"/>
      <c r="H32" s="664"/>
      <c r="I32" s="664"/>
      <c r="J32" s="664"/>
      <c r="K32" s="664"/>
      <c r="L32" s="180"/>
      <c r="M32" s="234"/>
      <c r="N32" s="180"/>
      <c r="O32" s="180"/>
    </row>
    <row r="33" spans="1:15" s="153" customFormat="1" x14ac:dyDescent="0.25">
      <c r="A33" s="733" t="s">
        <v>72</v>
      </c>
      <c r="B33" s="733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237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s="153" customFormat="1" x14ac:dyDescent="0.25">
      <c r="A34" s="764" t="s">
        <v>89</v>
      </c>
      <c r="B34" s="764"/>
      <c r="C34" s="180"/>
      <c r="D34" s="241"/>
      <c r="E34" s="664"/>
      <c r="F34" s="241"/>
      <c r="G34" s="664"/>
      <c r="H34" s="664"/>
      <c r="I34" s="664"/>
      <c r="J34" s="664"/>
      <c r="K34" s="664"/>
      <c r="L34" s="180"/>
      <c r="M34" s="234"/>
      <c r="N34" s="180"/>
      <c r="O34" s="180"/>
    </row>
    <row r="35" spans="1:15" s="153" customFormat="1" x14ac:dyDescent="0.25">
      <c r="A35" s="733" t="s">
        <v>72</v>
      </c>
      <c r="B35" s="733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237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s="153" customFormat="1" x14ac:dyDescent="0.25">
      <c r="A36" s="762" t="s">
        <v>197</v>
      </c>
      <c r="B36" s="762"/>
      <c r="C36" s="234"/>
      <c r="D36" s="241"/>
      <c r="E36" s="241"/>
      <c r="F36" s="241"/>
      <c r="G36" s="241"/>
      <c r="H36" s="241"/>
      <c r="I36" s="241"/>
      <c r="J36" s="241"/>
      <c r="K36" s="241"/>
      <c r="L36" s="234"/>
      <c r="M36" s="234"/>
      <c r="N36" s="234"/>
      <c r="O36" s="234"/>
    </row>
    <row r="37" spans="1:15" s="153" customFormat="1" x14ac:dyDescent="0.25">
      <c r="A37" s="763" t="s">
        <v>88</v>
      </c>
      <c r="B37" s="763"/>
      <c r="C37" s="234"/>
      <c r="D37" s="241"/>
      <c r="E37" s="241"/>
      <c r="F37" s="241"/>
      <c r="G37" s="241"/>
      <c r="H37" s="241"/>
      <c r="I37" s="241"/>
      <c r="J37" s="241"/>
      <c r="K37" s="241"/>
      <c r="L37" s="234"/>
      <c r="M37" s="234"/>
      <c r="N37" s="234"/>
      <c r="O37" s="234"/>
    </row>
    <row r="38" spans="1:15" s="153" customFormat="1" x14ac:dyDescent="0.25">
      <c r="A38" s="733" t="s">
        <v>72</v>
      </c>
      <c r="B38" s="733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237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s="153" customFormat="1" x14ac:dyDescent="0.25">
      <c r="A39" s="764" t="s">
        <v>89</v>
      </c>
      <c r="B39" s="764"/>
      <c r="C39" s="234"/>
      <c r="D39" s="241"/>
      <c r="E39" s="241"/>
      <c r="F39" s="241"/>
      <c r="G39" s="241"/>
      <c r="H39" s="241"/>
      <c r="I39" s="241"/>
      <c r="J39" s="241"/>
      <c r="K39" s="241"/>
      <c r="L39" s="234"/>
      <c r="M39" s="234"/>
      <c r="N39" s="234"/>
      <c r="O39" s="234"/>
    </row>
    <row r="40" spans="1:15" s="153" customFormat="1" x14ac:dyDescent="0.25">
      <c r="A40" s="733" t="s">
        <v>72</v>
      </c>
      <c r="B40" s="733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237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s="153" customFormat="1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s="153" customFormat="1" x14ac:dyDescent="0.25">
      <c r="A42" s="782" t="s">
        <v>195</v>
      </c>
      <c r="B42" s="782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</row>
    <row r="43" spans="1:15" s="153" customFormat="1" x14ac:dyDescent="0.25">
      <c r="A43" s="763" t="s">
        <v>88</v>
      </c>
      <c r="B43" s="763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</row>
    <row r="44" spans="1:15" s="153" customFormat="1" x14ac:dyDescent="0.25">
      <c r="A44" s="733" t="s">
        <v>72</v>
      </c>
      <c r="B44" s="733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s="153" customFormat="1" x14ac:dyDescent="0.25">
      <c r="A45" s="764" t="s">
        <v>89</v>
      </c>
      <c r="B45" s="764"/>
      <c r="C45" s="234"/>
      <c r="D45" s="241"/>
      <c r="E45" s="241"/>
      <c r="F45" s="241"/>
      <c r="G45" s="241"/>
      <c r="H45" s="241"/>
      <c r="I45" s="241"/>
      <c r="J45" s="241"/>
      <c r="K45" s="241"/>
      <c r="L45" s="234"/>
      <c r="M45" s="234"/>
      <c r="N45" s="234"/>
      <c r="O45" s="234"/>
    </row>
    <row r="46" spans="1:15" s="153" customFormat="1" x14ac:dyDescent="0.25">
      <c r="A46" s="733" t="s">
        <v>72</v>
      </c>
      <c r="B46" s="733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237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s="153" customFormat="1" x14ac:dyDescent="0.25">
      <c r="A47" s="762" t="s">
        <v>196</v>
      </c>
      <c r="B47" s="762"/>
      <c r="C47" s="234"/>
      <c r="D47" s="241"/>
      <c r="E47" s="241"/>
      <c r="F47" s="241"/>
      <c r="G47" s="241"/>
      <c r="H47" s="241"/>
      <c r="I47" s="241"/>
      <c r="J47" s="241"/>
      <c r="K47" s="241"/>
      <c r="L47" s="234"/>
      <c r="M47" s="234"/>
      <c r="N47" s="234"/>
      <c r="O47" s="234"/>
    </row>
    <row r="48" spans="1:15" s="153" customFormat="1" x14ac:dyDescent="0.25">
      <c r="A48" s="763" t="s">
        <v>88</v>
      </c>
      <c r="B48" s="763"/>
      <c r="C48" s="234"/>
      <c r="D48" s="241"/>
      <c r="E48" s="241"/>
      <c r="F48" s="241"/>
      <c r="G48" s="241"/>
      <c r="H48" s="241"/>
      <c r="I48" s="241"/>
      <c r="J48" s="241"/>
      <c r="K48" s="241"/>
      <c r="L48" s="234"/>
      <c r="M48" s="234"/>
      <c r="N48" s="234"/>
      <c r="O48" s="234"/>
    </row>
    <row r="49" spans="1:15" s="153" customFormat="1" x14ac:dyDescent="0.25">
      <c r="A49" s="733" t="s">
        <v>72</v>
      </c>
      <c r="B49" s="733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153" customFormat="1" x14ac:dyDescent="0.25">
      <c r="A50" s="764" t="s">
        <v>89</v>
      </c>
      <c r="B50" s="764"/>
      <c r="C50" s="234"/>
      <c r="D50" s="241"/>
      <c r="E50" s="241"/>
      <c r="F50" s="241"/>
      <c r="G50" s="241"/>
      <c r="H50" s="241"/>
      <c r="I50" s="241"/>
      <c r="J50" s="241"/>
      <c r="K50" s="241"/>
      <c r="L50" s="234"/>
      <c r="M50" s="234"/>
      <c r="N50" s="234"/>
      <c r="O50" s="234"/>
    </row>
    <row r="51" spans="1:15" s="153" customFormat="1" x14ac:dyDescent="0.25">
      <c r="A51" s="733" t="s">
        <v>72</v>
      </c>
      <c r="B51" s="733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153" customFormat="1" x14ac:dyDescent="0.25">
      <c r="A52" s="762" t="s">
        <v>197</v>
      </c>
      <c r="B52" s="762"/>
      <c r="C52" s="234"/>
      <c r="D52" s="241"/>
      <c r="E52" s="241"/>
      <c r="F52" s="241"/>
      <c r="G52" s="241"/>
      <c r="H52" s="241"/>
      <c r="I52" s="241"/>
      <c r="J52" s="241"/>
      <c r="K52" s="241"/>
      <c r="L52" s="234"/>
      <c r="M52" s="234"/>
      <c r="N52" s="234"/>
      <c r="O52" s="234"/>
    </row>
    <row r="53" spans="1:15" s="153" customFormat="1" x14ac:dyDescent="0.25">
      <c r="A53" s="763" t="s">
        <v>88</v>
      </c>
      <c r="B53" s="763"/>
      <c r="C53" s="234"/>
      <c r="D53" s="241"/>
      <c r="E53" s="241"/>
      <c r="F53" s="241"/>
      <c r="G53" s="241"/>
      <c r="H53" s="241"/>
      <c r="I53" s="241"/>
      <c r="J53" s="241"/>
      <c r="K53" s="241"/>
      <c r="L53" s="234"/>
      <c r="M53" s="234"/>
      <c r="N53" s="234"/>
      <c r="O53" s="234"/>
    </row>
    <row r="54" spans="1:15" s="153" customFormat="1" x14ac:dyDescent="0.25">
      <c r="A54" s="733" t="s">
        <v>72</v>
      </c>
      <c r="B54" s="733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237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s="153" customFormat="1" x14ac:dyDescent="0.25">
      <c r="A55" s="764" t="s">
        <v>89</v>
      </c>
      <c r="B55" s="764"/>
      <c r="C55" s="234"/>
      <c r="D55" s="241"/>
      <c r="E55" s="241"/>
      <c r="F55" s="241"/>
      <c r="G55" s="241"/>
      <c r="H55" s="241"/>
      <c r="I55" s="241"/>
      <c r="J55" s="241"/>
      <c r="K55" s="241"/>
      <c r="L55" s="234"/>
      <c r="M55" s="234"/>
      <c r="N55" s="234"/>
      <c r="O55" s="234"/>
    </row>
    <row r="56" spans="1:15" s="153" customFormat="1" x14ac:dyDescent="0.25">
      <c r="A56" s="771" t="s">
        <v>72</v>
      </c>
      <c r="B56" s="771"/>
      <c r="C56" s="274">
        <v>6.1666699999999999</v>
      </c>
      <c r="D56" s="138">
        <v>0.66666666666666674</v>
      </c>
      <c r="E56" s="702"/>
      <c r="F56" s="641">
        <f>Dies!$C$60</f>
        <v>17</v>
      </c>
      <c r="G56" s="276">
        <f>+F56*E56*D56</f>
        <v>0</v>
      </c>
      <c r="H56" s="276">
        <f>$H$12</f>
        <v>265</v>
      </c>
      <c r="I56" s="362">
        <f>G56/H56</f>
        <v>0</v>
      </c>
      <c r="J56" s="362">
        <f>G56/298</f>
        <v>0</v>
      </c>
      <c r="K56" s="362">
        <f>$K$12+Personal!D38</f>
        <v>0</v>
      </c>
      <c r="L56" s="251">
        <f>+K56/C56</f>
        <v>0</v>
      </c>
      <c r="M56" s="238" t="s">
        <v>90</v>
      </c>
      <c r="N56" s="252" t="s">
        <v>42</v>
      </c>
      <c r="O56" s="253">
        <f>+K56*G56</f>
        <v>0</v>
      </c>
    </row>
    <row r="57" spans="1:15" x14ac:dyDescent="0.25">
      <c r="A57" s="254"/>
      <c r="B57" s="255"/>
      <c r="C57" s="255"/>
      <c r="D57" s="255"/>
      <c r="E57" s="256" t="s">
        <v>45</v>
      </c>
      <c r="F57" s="255"/>
      <c r="G57" s="255">
        <f>SUM(G12:G56)</f>
        <v>0</v>
      </c>
      <c r="H57" s="255"/>
      <c r="I57" s="255">
        <f>SUM(I12:I56)</f>
        <v>0</v>
      </c>
      <c r="J57" s="255">
        <f>SUM(J12:J56)</f>
        <v>0</v>
      </c>
      <c r="K57" s="255"/>
      <c r="L57" s="255"/>
      <c r="M57" s="255"/>
      <c r="N57" s="255"/>
      <c r="O57" s="257">
        <f>SUM(O12:O56)</f>
        <v>0</v>
      </c>
    </row>
    <row r="58" spans="1:15" x14ac:dyDescent="0.25">
      <c r="A58" s="254"/>
      <c r="B58" s="255"/>
      <c r="C58" s="255"/>
      <c r="D58" s="255"/>
      <c r="E58" s="256"/>
      <c r="F58" s="258" t="s">
        <v>298</v>
      </c>
      <c r="G58" s="255">
        <f>G12+G14+G17+G19+G28+G30+G33+G35+G44+G46+G49+G51</f>
        <v>0</v>
      </c>
      <c r="H58" s="255"/>
      <c r="I58" s="255"/>
      <c r="J58" s="255"/>
      <c r="K58" s="255"/>
      <c r="L58" s="255"/>
      <c r="M58" s="255"/>
      <c r="N58" s="255"/>
      <c r="O58" s="257"/>
    </row>
    <row r="59" spans="1:15" x14ac:dyDescent="0.25">
      <c r="A59" s="254"/>
      <c r="B59" s="255"/>
      <c r="C59" s="255"/>
      <c r="D59" s="255"/>
      <c r="E59" s="256"/>
      <c r="F59" s="255" t="s">
        <v>217</v>
      </c>
      <c r="G59" s="255">
        <f>G22+G24+G38+G40+G54+G56</f>
        <v>0</v>
      </c>
      <c r="H59" s="255"/>
      <c r="I59" s="255"/>
      <c r="J59" s="255"/>
      <c r="K59" s="255"/>
      <c r="L59" s="255"/>
      <c r="M59" s="255"/>
      <c r="N59" s="255"/>
      <c r="O59" s="257"/>
    </row>
    <row r="60" spans="1:15" s="153" customFormat="1" ht="26.25" x14ac:dyDescent="0.4">
      <c r="A60" s="259" t="s">
        <v>211</v>
      </c>
      <c r="B60" s="260"/>
      <c r="C60" s="260"/>
      <c r="D60" s="261"/>
      <c r="E60" s="261"/>
      <c r="F60" s="261"/>
      <c r="G60" s="261"/>
      <c r="H60" s="261"/>
      <c r="I60" s="261"/>
      <c r="J60" s="261"/>
      <c r="K60" s="262"/>
      <c r="L60" s="262"/>
      <c r="M60" s="262"/>
      <c r="N60" s="262"/>
      <c r="O60" s="263"/>
    </row>
    <row r="61" spans="1:15" x14ac:dyDescent="0.25">
      <c r="A61" s="779" t="s">
        <v>20</v>
      </c>
      <c r="B61" s="768"/>
      <c r="C61" s="264" t="s">
        <v>27</v>
      </c>
      <c r="D61" s="264" t="s">
        <v>28</v>
      </c>
      <c r="E61" s="264" t="s">
        <v>21</v>
      </c>
      <c r="F61" s="264" t="s">
        <v>29</v>
      </c>
      <c r="G61" s="264"/>
      <c r="H61" s="264"/>
      <c r="I61" s="264"/>
      <c r="J61" s="264"/>
      <c r="K61" s="264" t="s">
        <v>30</v>
      </c>
      <c r="L61" s="264" t="s">
        <v>23</v>
      </c>
      <c r="M61" s="264" t="s">
        <v>31</v>
      </c>
      <c r="N61" s="264"/>
      <c r="O61" s="265" t="s">
        <v>32</v>
      </c>
    </row>
    <row r="62" spans="1:15" x14ac:dyDescent="0.25">
      <c r="A62" s="775"/>
      <c r="B62" s="769"/>
      <c r="C62" s="266" t="s">
        <v>44</v>
      </c>
      <c r="D62" s="266" t="s">
        <v>5</v>
      </c>
      <c r="E62" s="266" t="s">
        <v>24</v>
      </c>
      <c r="F62" s="267" t="s">
        <v>34</v>
      </c>
      <c r="G62" s="266" t="s">
        <v>35</v>
      </c>
      <c r="H62" s="266"/>
      <c r="I62" s="266"/>
      <c r="J62" s="266"/>
      <c r="K62" s="266" t="s">
        <v>36</v>
      </c>
      <c r="L62" s="268" t="s">
        <v>37</v>
      </c>
      <c r="M62" s="266" t="s">
        <v>38</v>
      </c>
      <c r="N62" s="266"/>
      <c r="O62" s="269" t="s">
        <v>40</v>
      </c>
    </row>
    <row r="63" spans="1:15" s="153" customFormat="1" x14ac:dyDescent="0.25">
      <c r="A63" s="270" t="s">
        <v>198</v>
      </c>
      <c r="B63" s="340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363"/>
    </row>
    <row r="64" spans="1:15" s="153" customFormat="1" x14ac:dyDescent="0.25">
      <c r="A64" s="782" t="s">
        <v>195</v>
      </c>
      <c r="B64" s="782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s="153" customFormat="1" x14ac:dyDescent="0.25">
      <c r="A65" s="763" t="s">
        <v>88</v>
      </c>
      <c r="B65" s="76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</row>
    <row r="66" spans="1:15" s="153" customFormat="1" x14ac:dyDescent="0.25">
      <c r="A66" s="733" t="s">
        <v>73</v>
      </c>
      <c r="B66" s="733"/>
      <c r="C66" s="137">
        <v>6.1666699999999999</v>
      </c>
      <c r="D66" s="138">
        <v>1</v>
      </c>
      <c r="E66" s="139">
        <f>$E$12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'Seguro+combustible+reparacions'!F4</f>
        <v>0</v>
      </c>
      <c r="L66" s="237">
        <f>+K66/C66</f>
        <v>0</v>
      </c>
      <c r="M66" s="238" t="s">
        <v>41</v>
      </c>
      <c r="N66" s="238"/>
      <c r="O66" s="239">
        <f>+K66*G66</f>
        <v>0</v>
      </c>
    </row>
    <row r="67" spans="1:15" s="153" customFormat="1" x14ac:dyDescent="0.25">
      <c r="A67" s="764" t="s">
        <v>89</v>
      </c>
      <c r="B67" s="764"/>
      <c r="C67" s="234"/>
      <c r="D67" s="234"/>
      <c r="E67" s="241"/>
      <c r="F67" s="241"/>
      <c r="G67" s="241"/>
      <c r="H67" s="241"/>
      <c r="I67" s="241"/>
      <c r="J67" s="241"/>
      <c r="K67" s="241"/>
      <c r="L67" s="234"/>
      <c r="M67" s="234"/>
      <c r="N67" s="234"/>
      <c r="O67" s="234"/>
    </row>
    <row r="68" spans="1:15" s="153" customFormat="1" x14ac:dyDescent="0.25">
      <c r="A68" s="733" t="s">
        <v>73</v>
      </c>
      <c r="B68" s="733"/>
      <c r="C68" s="137">
        <v>6.1666699999999999</v>
      </c>
      <c r="D68" s="138">
        <v>1</v>
      </c>
      <c r="E68" s="139">
        <f>$E$14</f>
        <v>0</v>
      </c>
      <c r="F68" s="139">
        <f>Dies!$C$48</f>
        <v>95</v>
      </c>
      <c r="G68" s="273">
        <f>+D68*E68*F68</f>
        <v>0</v>
      </c>
      <c r="H68" s="273"/>
      <c r="I68" s="273"/>
      <c r="J68" s="273"/>
      <c r="K68" s="320">
        <f>$K$66</f>
        <v>0</v>
      </c>
      <c r="L68" s="237">
        <f>+K68/C68</f>
        <v>0</v>
      </c>
      <c r="M68" s="238" t="s">
        <v>90</v>
      </c>
      <c r="N68" s="238"/>
      <c r="O68" s="239">
        <f>+K68*G68</f>
        <v>0</v>
      </c>
    </row>
    <row r="69" spans="1:15" s="153" customFormat="1" x14ac:dyDescent="0.25">
      <c r="A69" s="762" t="s">
        <v>196</v>
      </c>
      <c r="B69" s="762"/>
      <c r="C69" s="180"/>
      <c r="D69" s="180"/>
      <c r="E69" s="664"/>
      <c r="F69" s="241"/>
      <c r="G69" s="664"/>
      <c r="H69" s="664"/>
      <c r="I69" s="664"/>
      <c r="J69" s="664"/>
      <c r="K69" s="664"/>
      <c r="L69" s="180"/>
      <c r="M69" s="234"/>
      <c r="N69" s="180"/>
      <c r="O69" s="180"/>
    </row>
    <row r="70" spans="1:15" s="153" customFormat="1" x14ac:dyDescent="0.25">
      <c r="A70" s="763" t="s">
        <v>88</v>
      </c>
      <c r="B70" s="763"/>
      <c r="C70" s="234"/>
      <c r="D70" s="234"/>
      <c r="E70" s="241"/>
      <c r="F70" s="241"/>
      <c r="G70" s="241"/>
      <c r="H70" s="241"/>
      <c r="I70" s="241"/>
      <c r="J70" s="241"/>
      <c r="K70" s="241"/>
      <c r="L70" s="234"/>
      <c r="M70" s="234"/>
      <c r="N70" s="234"/>
      <c r="O70" s="234"/>
    </row>
    <row r="71" spans="1:15" s="153" customFormat="1" x14ac:dyDescent="0.25">
      <c r="A71" s="733" t="s">
        <v>73</v>
      </c>
      <c r="B71" s="733"/>
      <c r="C71" s="137">
        <v>6.1666699999999999</v>
      </c>
      <c r="D71" s="138">
        <v>1</v>
      </c>
      <c r="E71" s="139">
        <f>$E$17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$K$66</f>
        <v>0</v>
      </c>
      <c r="L71" s="237">
        <f>+K71/C71</f>
        <v>0</v>
      </c>
      <c r="M71" s="238" t="s">
        <v>41</v>
      </c>
      <c r="N71" s="238"/>
      <c r="O71" s="239">
        <f>+K71*G71</f>
        <v>0</v>
      </c>
    </row>
    <row r="72" spans="1:15" s="153" customFormat="1" x14ac:dyDescent="0.25">
      <c r="A72" s="764" t="s">
        <v>89</v>
      </c>
      <c r="B72" s="764"/>
      <c r="C72" s="234"/>
      <c r="D72" s="234"/>
      <c r="E72" s="241"/>
      <c r="F72" s="241"/>
      <c r="G72" s="241"/>
      <c r="H72" s="241"/>
      <c r="I72" s="241"/>
      <c r="J72" s="241"/>
      <c r="K72" s="241"/>
      <c r="L72" s="234"/>
      <c r="M72" s="234"/>
      <c r="N72" s="234"/>
      <c r="O72" s="234"/>
    </row>
    <row r="73" spans="1:15" s="153" customFormat="1" x14ac:dyDescent="0.25">
      <c r="A73" s="733" t="s">
        <v>73</v>
      </c>
      <c r="B73" s="733"/>
      <c r="C73" s="137">
        <v>6.1666699999999999</v>
      </c>
      <c r="D73" s="138">
        <v>1</v>
      </c>
      <c r="E73" s="139">
        <f>$E$19</f>
        <v>0</v>
      </c>
      <c r="F73" s="139">
        <f>Dies!$C$49</f>
        <v>20</v>
      </c>
      <c r="G73" s="273">
        <f>+D73*E73*F73</f>
        <v>0</v>
      </c>
      <c r="H73" s="273"/>
      <c r="I73" s="273"/>
      <c r="J73" s="273"/>
      <c r="K73" s="320">
        <f>$K$66</f>
        <v>0</v>
      </c>
      <c r="L73" s="237">
        <f>+K73/C73</f>
        <v>0</v>
      </c>
      <c r="M73" s="238" t="s">
        <v>90</v>
      </c>
      <c r="N73" s="238"/>
      <c r="O73" s="239">
        <f>+K73*G73</f>
        <v>0</v>
      </c>
    </row>
    <row r="74" spans="1:15" s="153" customFormat="1" x14ac:dyDescent="0.25">
      <c r="A74" s="762" t="s">
        <v>197</v>
      </c>
      <c r="B74" s="762"/>
      <c r="C74" s="234"/>
      <c r="D74" s="234"/>
      <c r="E74" s="241"/>
      <c r="F74" s="241"/>
      <c r="G74" s="241"/>
      <c r="H74" s="241"/>
      <c r="I74" s="241"/>
      <c r="J74" s="241"/>
      <c r="K74" s="241"/>
      <c r="L74" s="234"/>
      <c r="M74" s="234"/>
      <c r="N74" s="234"/>
      <c r="O74" s="234"/>
    </row>
    <row r="75" spans="1:15" s="153" customFormat="1" x14ac:dyDescent="0.25">
      <c r="A75" s="763" t="s">
        <v>88</v>
      </c>
      <c r="B75" s="763"/>
      <c r="C75" s="234"/>
      <c r="D75" s="234"/>
      <c r="E75" s="241"/>
      <c r="F75" s="241"/>
      <c r="G75" s="241"/>
      <c r="H75" s="241"/>
      <c r="I75" s="241"/>
      <c r="J75" s="241"/>
      <c r="K75" s="241"/>
      <c r="L75" s="234"/>
      <c r="M75" s="234"/>
      <c r="N75" s="234"/>
      <c r="O75" s="234"/>
    </row>
    <row r="76" spans="1:15" s="153" customFormat="1" x14ac:dyDescent="0.25">
      <c r="A76" s="733" t="s">
        <v>73</v>
      </c>
      <c r="B76" s="733"/>
      <c r="C76" s="137">
        <v>6.1666699999999999</v>
      </c>
      <c r="D76" s="138">
        <v>1</v>
      </c>
      <c r="E76" s="139">
        <f>$E$22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$K$66</f>
        <v>0</v>
      </c>
      <c r="L76" s="237">
        <f>+K76/C76</f>
        <v>0</v>
      </c>
      <c r="M76" s="238" t="s">
        <v>41</v>
      </c>
      <c r="N76" s="238"/>
      <c r="O76" s="239">
        <f>+K76*G76</f>
        <v>0</v>
      </c>
    </row>
    <row r="77" spans="1:15" s="153" customFormat="1" x14ac:dyDescent="0.25">
      <c r="A77" s="764" t="s">
        <v>89</v>
      </c>
      <c r="B77" s="764"/>
      <c r="C77" s="234"/>
      <c r="D77" s="234"/>
      <c r="E77" s="241"/>
      <c r="F77" s="241"/>
      <c r="G77" s="241"/>
      <c r="H77" s="241"/>
      <c r="I77" s="241"/>
      <c r="J77" s="241"/>
      <c r="K77" s="241"/>
      <c r="L77" s="234"/>
      <c r="M77" s="234"/>
      <c r="N77" s="234"/>
      <c r="O77" s="234"/>
    </row>
    <row r="78" spans="1:15" s="153" customFormat="1" x14ac:dyDescent="0.25">
      <c r="A78" s="733" t="s">
        <v>73</v>
      </c>
      <c r="B78" s="733"/>
      <c r="C78" s="137">
        <v>6.1666699999999999</v>
      </c>
      <c r="D78" s="138">
        <v>1</v>
      </c>
      <c r="E78" s="139">
        <f>$E$24</f>
        <v>0</v>
      </c>
      <c r="F78" s="139">
        <f>Dies!$C$50</f>
        <v>20</v>
      </c>
      <c r="G78" s="273">
        <f>+D78*E78*F78</f>
        <v>0</v>
      </c>
      <c r="H78" s="273"/>
      <c r="I78" s="273"/>
      <c r="J78" s="273"/>
      <c r="K78" s="320">
        <f>$K$66</f>
        <v>0</v>
      </c>
      <c r="L78" s="237">
        <f>+K78/C78</f>
        <v>0</v>
      </c>
      <c r="M78" s="238" t="s">
        <v>90</v>
      </c>
      <c r="N78" s="238"/>
      <c r="O78" s="239">
        <f>+K78*G78</f>
        <v>0</v>
      </c>
    </row>
    <row r="79" spans="1:15" s="153" customFormat="1" x14ac:dyDescent="0.25">
      <c r="A79" s="229" t="s">
        <v>199</v>
      </c>
      <c r="B79" s="242"/>
      <c r="C79" s="278"/>
      <c r="D79" s="278"/>
      <c r="E79" s="278"/>
      <c r="F79" s="245"/>
      <c r="G79" s="278"/>
      <c r="H79" s="278"/>
      <c r="I79" s="278"/>
      <c r="J79" s="278"/>
      <c r="K79" s="278"/>
      <c r="L79" s="278"/>
      <c r="M79" s="278"/>
      <c r="N79" s="278"/>
      <c r="O79" s="278"/>
    </row>
    <row r="80" spans="1:15" s="153" customFormat="1" x14ac:dyDescent="0.25">
      <c r="A80" s="782" t="s">
        <v>195</v>
      </c>
      <c r="B80" s="782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</row>
    <row r="81" spans="1:15" s="153" customFormat="1" x14ac:dyDescent="0.25">
      <c r="A81" s="763" t="s">
        <v>88</v>
      </c>
      <c r="B81" s="763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</row>
    <row r="82" spans="1:15" s="153" customFormat="1" x14ac:dyDescent="0.25">
      <c r="A82" s="733" t="s">
        <v>73</v>
      </c>
      <c r="B82" s="733"/>
      <c r="C82" s="137">
        <v>6.1666699999999999</v>
      </c>
      <c r="D82" s="138">
        <v>1</v>
      </c>
      <c r="E82" s="139">
        <f>$E$28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$K$66</f>
        <v>0</v>
      </c>
      <c r="L82" s="237">
        <f>+K82/C82</f>
        <v>0</v>
      </c>
      <c r="M82" s="238" t="s">
        <v>41</v>
      </c>
      <c r="N82" s="238"/>
      <c r="O82" s="239">
        <f>+K82*G82</f>
        <v>0</v>
      </c>
    </row>
    <row r="83" spans="1:15" s="153" customFormat="1" x14ac:dyDescent="0.25">
      <c r="A83" s="764" t="s">
        <v>89</v>
      </c>
      <c r="B83" s="764"/>
      <c r="C83" s="234"/>
      <c r="D83" s="234"/>
      <c r="E83" s="241"/>
      <c r="F83" s="241"/>
      <c r="G83" s="241"/>
      <c r="H83" s="241"/>
      <c r="I83" s="241"/>
      <c r="J83" s="241"/>
      <c r="K83" s="241"/>
      <c r="L83" s="234"/>
      <c r="M83" s="234"/>
      <c r="N83" s="234"/>
      <c r="O83" s="234"/>
    </row>
    <row r="84" spans="1:15" s="153" customFormat="1" x14ac:dyDescent="0.25">
      <c r="A84" s="733" t="s">
        <v>73</v>
      </c>
      <c r="B84" s="733"/>
      <c r="C84" s="137">
        <v>6.1666699999999999</v>
      </c>
      <c r="D84" s="138">
        <v>1</v>
      </c>
      <c r="E84" s="139">
        <f>$E$30</f>
        <v>0</v>
      </c>
      <c r="F84" s="139">
        <f>Dies!$C$53</f>
        <v>77</v>
      </c>
      <c r="G84" s="273">
        <f>+D84*E84*F84</f>
        <v>0</v>
      </c>
      <c r="H84" s="273"/>
      <c r="I84" s="273"/>
      <c r="J84" s="273"/>
      <c r="K84" s="320">
        <f>$K$66</f>
        <v>0</v>
      </c>
      <c r="L84" s="237">
        <f>+K84/C84</f>
        <v>0</v>
      </c>
      <c r="M84" s="238" t="s">
        <v>90</v>
      </c>
      <c r="N84" s="238"/>
      <c r="O84" s="239">
        <f>+K84*G84</f>
        <v>0</v>
      </c>
    </row>
    <row r="85" spans="1:15" s="153" customFormat="1" x14ac:dyDescent="0.25">
      <c r="A85" s="762" t="s">
        <v>196</v>
      </c>
      <c r="B85" s="762"/>
      <c r="C85" s="234"/>
      <c r="D85" s="234"/>
      <c r="E85" s="241"/>
      <c r="F85" s="241"/>
      <c r="G85" s="241"/>
      <c r="H85" s="241"/>
      <c r="I85" s="241"/>
      <c r="J85" s="241"/>
      <c r="K85" s="241"/>
      <c r="L85" s="234"/>
      <c r="M85" s="234"/>
      <c r="N85" s="234"/>
      <c r="O85" s="234"/>
    </row>
    <row r="86" spans="1:15" s="153" customFormat="1" x14ac:dyDescent="0.25">
      <c r="A86" s="763" t="s">
        <v>88</v>
      </c>
      <c r="B86" s="763"/>
      <c r="C86" s="234"/>
      <c r="D86" s="234"/>
      <c r="E86" s="241"/>
      <c r="F86" s="241"/>
      <c r="G86" s="241"/>
      <c r="H86" s="241"/>
      <c r="I86" s="241"/>
      <c r="J86" s="241"/>
      <c r="K86" s="241"/>
      <c r="L86" s="234"/>
      <c r="M86" s="234"/>
      <c r="N86" s="234"/>
      <c r="O86" s="234"/>
    </row>
    <row r="87" spans="1:15" s="153" customFormat="1" x14ac:dyDescent="0.25">
      <c r="A87" s="733" t="s">
        <v>73</v>
      </c>
      <c r="B87" s="733"/>
      <c r="C87" s="137">
        <v>6.1666699999999999</v>
      </c>
      <c r="D87" s="138">
        <v>1</v>
      </c>
      <c r="E87" s="139">
        <f>$E$33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$K$66</f>
        <v>0</v>
      </c>
      <c r="L87" s="237">
        <f>+K87/C87</f>
        <v>0</v>
      </c>
      <c r="M87" s="238" t="s">
        <v>41</v>
      </c>
      <c r="N87" s="238"/>
      <c r="O87" s="239">
        <f>+K87*G87</f>
        <v>0</v>
      </c>
    </row>
    <row r="88" spans="1:15" s="153" customFormat="1" x14ac:dyDescent="0.25">
      <c r="A88" s="764" t="s">
        <v>89</v>
      </c>
      <c r="B88" s="764"/>
      <c r="C88" s="234"/>
      <c r="D88" s="234"/>
      <c r="E88" s="241"/>
      <c r="F88" s="241"/>
      <c r="G88" s="241"/>
      <c r="H88" s="241"/>
      <c r="I88" s="241"/>
      <c r="J88" s="241"/>
      <c r="K88" s="241"/>
      <c r="L88" s="234"/>
      <c r="M88" s="234"/>
      <c r="N88" s="234"/>
      <c r="O88" s="234"/>
    </row>
    <row r="89" spans="1:15" s="153" customFormat="1" x14ac:dyDescent="0.25">
      <c r="A89" s="733" t="s">
        <v>73</v>
      </c>
      <c r="B89" s="733"/>
      <c r="C89" s="137">
        <v>6.1666699999999999</v>
      </c>
      <c r="D89" s="138">
        <v>1</v>
      </c>
      <c r="E89" s="139">
        <f>$E$35</f>
        <v>0</v>
      </c>
      <c r="F89" s="139">
        <f>Dies!$C$54</f>
        <v>15</v>
      </c>
      <c r="G89" s="273">
        <f>+D89*E89*F89</f>
        <v>0</v>
      </c>
      <c r="H89" s="273"/>
      <c r="I89" s="273"/>
      <c r="J89" s="273"/>
      <c r="K89" s="320">
        <f>$K$66</f>
        <v>0</v>
      </c>
      <c r="L89" s="237">
        <f>+K89/C89</f>
        <v>0</v>
      </c>
      <c r="M89" s="238" t="s">
        <v>90</v>
      </c>
      <c r="N89" s="238"/>
      <c r="O89" s="239">
        <f>+K89*G89</f>
        <v>0</v>
      </c>
    </row>
    <row r="90" spans="1:15" s="153" customFormat="1" x14ac:dyDescent="0.25">
      <c r="A90" s="762" t="s">
        <v>197</v>
      </c>
      <c r="B90" s="762"/>
      <c r="C90" s="234"/>
      <c r="D90" s="234"/>
      <c r="E90" s="241"/>
      <c r="F90" s="241"/>
      <c r="G90" s="241"/>
      <c r="H90" s="241"/>
      <c r="I90" s="241"/>
      <c r="J90" s="241"/>
      <c r="K90" s="241"/>
      <c r="L90" s="234"/>
      <c r="M90" s="234"/>
      <c r="N90" s="234"/>
      <c r="O90" s="234"/>
    </row>
    <row r="91" spans="1:15" s="153" customFormat="1" x14ac:dyDescent="0.25">
      <c r="A91" s="763" t="s">
        <v>88</v>
      </c>
      <c r="B91" s="763"/>
      <c r="C91" s="234"/>
      <c r="D91" s="234"/>
      <c r="E91" s="241"/>
      <c r="F91" s="241"/>
      <c r="G91" s="241"/>
      <c r="H91" s="241"/>
      <c r="I91" s="241"/>
      <c r="J91" s="241"/>
      <c r="K91" s="241"/>
      <c r="L91" s="234"/>
      <c r="M91" s="234"/>
      <c r="N91" s="234"/>
      <c r="O91" s="234"/>
    </row>
    <row r="92" spans="1:15" s="153" customFormat="1" x14ac:dyDescent="0.25">
      <c r="A92" s="733" t="s">
        <v>73</v>
      </c>
      <c r="B92" s="733"/>
      <c r="C92" s="137">
        <v>6.1666699999999999</v>
      </c>
      <c r="D92" s="138">
        <v>1</v>
      </c>
      <c r="E92" s="139">
        <f>$E$38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$K$66</f>
        <v>0</v>
      </c>
      <c r="L92" s="237">
        <f>+K92/C92</f>
        <v>0</v>
      </c>
      <c r="M92" s="238" t="s">
        <v>41</v>
      </c>
      <c r="N92" s="238"/>
      <c r="O92" s="239">
        <f>+K92*G92</f>
        <v>0</v>
      </c>
    </row>
    <row r="93" spans="1:15" s="153" customFormat="1" x14ac:dyDescent="0.25">
      <c r="A93" s="764" t="s">
        <v>89</v>
      </c>
      <c r="B93" s="764"/>
      <c r="C93" s="234"/>
      <c r="D93" s="234"/>
      <c r="E93" s="241"/>
      <c r="F93" s="241"/>
      <c r="G93" s="241"/>
      <c r="H93" s="241"/>
      <c r="I93" s="241"/>
      <c r="J93" s="241"/>
      <c r="K93" s="241"/>
      <c r="L93" s="234"/>
      <c r="M93" s="234"/>
      <c r="N93" s="234"/>
      <c r="O93" s="234"/>
    </row>
    <row r="94" spans="1:15" s="153" customFormat="1" x14ac:dyDescent="0.25">
      <c r="A94" s="733" t="s">
        <v>73</v>
      </c>
      <c r="B94" s="733"/>
      <c r="C94" s="137">
        <v>6.1666699999999999</v>
      </c>
      <c r="D94" s="138">
        <v>1</v>
      </c>
      <c r="E94" s="139">
        <f>$E$40</f>
        <v>0</v>
      </c>
      <c r="F94" s="139">
        <f>Dies!$C$55</f>
        <v>15</v>
      </c>
      <c r="G94" s="273">
        <f>+D94*E94*F94</f>
        <v>0</v>
      </c>
      <c r="H94" s="273"/>
      <c r="I94" s="273"/>
      <c r="J94" s="273"/>
      <c r="K94" s="320">
        <f>$K$66</f>
        <v>0</v>
      </c>
      <c r="L94" s="237">
        <f>+K94/C94</f>
        <v>0</v>
      </c>
      <c r="M94" s="238" t="s">
        <v>90</v>
      </c>
      <c r="N94" s="238"/>
      <c r="O94" s="239">
        <f>+K94*G94</f>
        <v>0</v>
      </c>
    </row>
    <row r="95" spans="1:15" s="153" customFormat="1" x14ac:dyDescent="0.25">
      <c r="A95" s="229" t="s">
        <v>326</v>
      </c>
      <c r="B95" s="242"/>
      <c r="C95" s="278"/>
      <c r="D95" s="278"/>
      <c r="E95" s="278"/>
      <c r="F95" s="245"/>
      <c r="G95" s="278"/>
      <c r="H95" s="278"/>
      <c r="I95" s="278"/>
      <c r="J95" s="278"/>
      <c r="K95" s="278"/>
      <c r="L95" s="278"/>
      <c r="M95" s="278"/>
      <c r="N95" s="278"/>
      <c r="O95" s="278"/>
    </row>
    <row r="96" spans="1:15" s="153" customFormat="1" x14ac:dyDescent="0.25">
      <c r="A96" s="782" t="s">
        <v>195</v>
      </c>
      <c r="B96" s="782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</row>
    <row r="97" spans="1:15" s="153" customFormat="1" x14ac:dyDescent="0.25">
      <c r="A97" s="763" t="s">
        <v>88</v>
      </c>
      <c r="B97" s="763"/>
      <c r="C97" s="180"/>
      <c r="D97" s="180"/>
      <c r="E97" s="180"/>
      <c r="F97" s="234"/>
      <c r="G97" s="180"/>
      <c r="H97" s="180"/>
      <c r="I97" s="180"/>
      <c r="J97" s="180"/>
      <c r="K97" s="180"/>
      <c r="L97" s="180"/>
      <c r="M97" s="180"/>
      <c r="N97" s="180"/>
      <c r="O97" s="180"/>
    </row>
    <row r="98" spans="1:15" s="153" customFormat="1" x14ac:dyDescent="0.25">
      <c r="A98" s="733" t="s">
        <v>73</v>
      </c>
      <c r="B98" s="733"/>
      <c r="C98" s="137">
        <v>6.1666699999999999</v>
      </c>
      <c r="D98" s="138">
        <v>1</v>
      </c>
      <c r="E98" s="139">
        <f>$E$44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$K$66</f>
        <v>0</v>
      </c>
      <c r="L98" s="237">
        <f>+K98/C98</f>
        <v>0</v>
      </c>
      <c r="M98" s="238" t="s">
        <v>41</v>
      </c>
      <c r="N98" s="238"/>
      <c r="O98" s="239">
        <f>+K98*G98</f>
        <v>0</v>
      </c>
    </row>
    <row r="99" spans="1:15" s="153" customFormat="1" x14ac:dyDescent="0.25">
      <c r="A99" s="764" t="s">
        <v>89</v>
      </c>
      <c r="B99" s="764"/>
      <c r="C99" s="234"/>
      <c r="D99" s="234"/>
      <c r="E99" s="241"/>
      <c r="F99" s="241"/>
      <c r="G99" s="241"/>
      <c r="H99" s="241"/>
      <c r="I99" s="241"/>
      <c r="J99" s="241"/>
      <c r="K99" s="241"/>
      <c r="L99" s="234"/>
      <c r="M99" s="234"/>
      <c r="N99" s="234"/>
      <c r="O99" s="234"/>
    </row>
    <row r="100" spans="1:15" s="153" customFormat="1" x14ac:dyDescent="0.25">
      <c r="A100" s="733" t="s">
        <v>73</v>
      </c>
      <c r="B100" s="733"/>
      <c r="C100" s="137">
        <v>6.1666699999999999</v>
      </c>
      <c r="D100" s="138">
        <v>1</v>
      </c>
      <c r="E100" s="139">
        <f>$E$46</f>
        <v>0</v>
      </c>
      <c r="F100" s="139">
        <f>Dies!$C$58</f>
        <v>89</v>
      </c>
      <c r="G100" s="273">
        <f>+D100*E100*F100</f>
        <v>0</v>
      </c>
      <c r="H100" s="273"/>
      <c r="I100" s="273"/>
      <c r="J100" s="273"/>
      <c r="K100" s="320">
        <f>$K$66</f>
        <v>0</v>
      </c>
      <c r="L100" s="237">
        <f>+K100/C100</f>
        <v>0</v>
      </c>
      <c r="M100" s="238" t="s">
        <v>90</v>
      </c>
      <c r="N100" s="238"/>
      <c r="O100" s="239">
        <f>+K100*G100</f>
        <v>0</v>
      </c>
    </row>
    <row r="101" spans="1:15" s="153" customFormat="1" x14ac:dyDescent="0.25">
      <c r="A101" s="762" t="s">
        <v>196</v>
      </c>
      <c r="B101" s="762"/>
      <c r="C101" s="180"/>
      <c r="D101" s="180"/>
      <c r="E101" s="664"/>
      <c r="F101" s="241"/>
      <c r="G101" s="664"/>
      <c r="H101" s="664"/>
      <c r="I101" s="664"/>
      <c r="J101" s="664"/>
      <c r="K101" s="664"/>
      <c r="L101" s="180"/>
      <c r="M101" s="234"/>
      <c r="N101" s="180"/>
      <c r="O101" s="180"/>
    </row>
    <row r="102" spans="1:15" s="153" customFormat="1" x14ac:dyDescent="0.25">
      <c r="A102" s="763" t="s">
        <v>88</v>
      </c>
      <c r="B102" s="763"/>
      <c r="C102" s="234"/>
      <c r="D102" s="234"/>
      <c r="E102" s="241"/>
      <c r="F102" s="241"/>
      <c r="G102" s="241"/>
      <c r="H102" s="241"/>
      <c r="I102" s="241"/>
      <c r="J102" s="241"/>
      <c r="K102" s="241"/>
      <c r="L102" s="234"/>
      <c r="M102" s="234"/>
      <c r="N102" s="234"/>
      <c r="O102" s="234"/>
    </row>
    <row r="103" spans="1:15" s="153" customFormat="1" x14ac:dyDescent="0.25">
      <c r="A103" s="733" t="s">
        <v>73</v>
      </c>
      <c r="B103" s="733"/>
      <c r="C103" s="137">
        <v>6.1666699999999999</v>
      </c>
      <c r="D103" s="138">
        <v>1</v>
      </c>
      <c r="E103" s="139">
        <f>$E$49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$K$66</f>
        <v>0</v>
      </c>
      <c r="L103" s="237">
        <f>+K103/C103</f>
        <v>0</v>
      </c>
      <c r="M103" s="238" t="s">
        <v>41</v>
      </c>
      <c r="N103" s="238"/>
      <c r="O103" s="239">
        <f>+K103*G103</f>
        <v>0</v>
      </c>
    </row>
    <row r="104" spans="1:15" s="153" customFormat="1" x14ac:dyDescent="0.25">
      <c r="A104" s="764" t="s">
        <v>89</v>
      </c>
      <c r="B104" s="764"/>
      <c r="C104" s="234"/>
      <c r="D104" s="234"/>
      <c r="E104" s="241"/>
      <c r="F104" s="241"/>
      <c r="G104" s="241"/>
      <c r="H104" s="241"/>
      <c r="I104" s="241"/>
      <c r="J104" s="241"/>
      <c r="K104" s="241"/>
      <c r="L104" s="234"/>
      <c r="M104" s="234"/>
      <c r="N104" s="234"/>
      <c r="O104" s="234"/>
    </row>
    <row r="105" spans="1:15" s="153" customFormat="1" x14ac:dyDescent="0.25">
      <c r="A105" s="733" t="s">
        <v>73</v>
      </c>
      <c r="B105" s="733"/>
      <c r="C105" s="137">
        <v>6.1666699999999999</v>
      </c>
      <c r="D105" s="138">
        <v>1</v>
      </c>
      <c r="E105" s="139">
        <f>$E$51</f>
        <v>0</v>
      </c>
      <c r="F105" s="139">
        <f>Dies!$C$59</f>
        <v>17</v>
      </c>
      <c r="G105" s="273">
        <f>+D105*E105*F105</f>
        <v>0</v>
      </c>
      <c r="H105" s="273"/>
      <c r="I105" s="273"/>
      <c r="J105" s="273"/>
      <c r="K105" s="320">
        <f>$K$66</f>
        <v>0</v>
      </c>
      <c r="L105" s="237">
        <f>+K105/C105</f>
        <v>0</v>
      </c>
      <c r="M105" s="238" t="s">
        <v>90</v>
      </c>
      <c r="N105" s="238"/>
      <c r="O105" s="239">
        <f>+K105*G105</f>
        <v>0</v>
      </c>
    </row>
    <row r="106" spans="1:15" s="153" customFormat="1" x14ac:dyDescent="0.25">
      <c r="A106" s="762" t="s">
        <v>197</v>
      </c>
      <c r="B106" s="762"/>
      <c r="C106" s="234"/>
      <c r="D106" s="234"/>
      <c r="E106" s="241"/>
      <c r="F106" s="241"/>
      <c r="G106" s="241"/>
      <c r="H106" s="241"/>
      <c r="I106" s="241"/>
      <c r="J106" s="241"/>
      <c r="K106" s="241"/>
      <c r="L106" s="234"/>
      <c r="M106" s="234"/>
      <c r="N106" s="234"/>
      <c r="O106" s="234"/>
    </row>
    <row r="107" spans="1:15" s="153" customFormat="1" x14ac:dyDescent="0.25">
      <c r="A107" s="763" t="s">
        <v>88</v>
      </c>
      <c r="B107" s="763"/>
      <c r="C107" s="234"/>
      <c r="D107" s="234"/>
      <c r="E107" s="241"/>
      <c r="F107" s="241"/>
      <c r="G107" s="241"/>
      <c r="H107" s="241"/>
      <c r="I107" s="241"/>
      <c r="J107" s="241"/>
      <c r="K107" s="241"/>
      <c r="L107" s="234"/>
      <c r="M107" s="234"/>
      <c r="N107" s="234"/>
      <c r="O107" s="234"/>
    </row>
    <row r="108" spans="1:15" s="153" customFormat="1" x14ac:dyDescent="0.25">
      <c r="A108" s="733" t="s">
        <v>73</v>
      </c>
      <c r="B108" s="733"/>
      <c r="C108" s="137">
        <v>6.1666699999999999</v>
      </c>
      <c r="D108" s="138">
        <v>1</v>
      </c>
      <c r="E108" s="139">
        <f>$E$54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$K$66</f>
        <v>0</v>
      </c>
      <c r="L108" s="237">
        <f>+K108/C108</f>
        <v>0</v>
      </c>
      <c r="M108" s="238" t="s">
        <v>41</v>
      </c>
      <c r="N108" s="238"/>
      <c r="O108" s="239">
        <f>+K108*G108</f>
        <v>0</v>
      </c>
    </row>
    <row r="109" spans="1:15" s="153" customFormat="1" x14ac:dyDescent="0.25">
      <c r="A109" s="764" t="s">
        <v>89</v>
      </c>
      <c r="B109" s="764"/>
      <c r="C109" s="234"/>
      <c r="D109" s="234"/>
      <c r="E109" s="241"/>
      <c r="F109" s="241"/>
      <c r="G109" s="241"/>
      <c r="H109" s="241"/>
      <c r="I109" s="241"/>
      <c r="J109" s="241"/>
      <c r="K109" s="241"/>
      <c r="L109" s="234"/>
      <c r="M109" s="234"/>
      <c r="N109" s="234"/>
      <c r="O109" s="234"/>
    </row>
    <row r="110" spans="1:15" s="153" customFormat="1" x14ac:dyDescent="0.25">
      <c r="A110" s="771" t="s">
        <v>73</v>
      </c>
      <c r="B110" s="771"/>
      <c r="C110" s="274">
        <v>6.1666699999999999</v>
      </c>
      <c r="D110" s="275">
        <v>1</v>
      </c>
      <c r="E110" s="641">
        <f>$E$56</f>
        <v>0</v>
      </c>
      <c r="F110" s="641">
        <f>Dies!$C$60</f>
        <v>17</v>
      </c>
      <c r="G110" s="276">
        <f>+D110*E110*F110</f>
        <v>0</v>
      </c>
      <c r="H110" s="276"/>
      <c r="I110" s="276"/>
      <c r="J110" s="276"/>
      <c r="K110" s="362">
        <f>$K$66</f>
        <v>0</v>
      </c>
      <c r="L110" s="251">
        <f>+K110/C110</f>
        <v>0</v>
      </c>
      <c r="M110" s="238" t="s">
        <v>90</v>
      </c>
      <c r="N110" s="252"/>
      <c r="O110" s="253">
        <f>+K110*G110</f>
        <v>0</v>
      </c>
    </row>
    <row r="111" spans="1:15" x14ac:dyDescent="0.25">
      <c r="A111" s="254"/>
      <c r="B111" s="255"/>
      <c r="C111" s="255"/>
      <c r="D111" s="255"/>
      <c r="E111" s="256" t="s">
        <v>46</v>
      </c>
      <c r="F111" s="255"/>
      <c r="G111" s="255"/>
      <c r="H111" s="255"/>
      <c r="I111" s="255"/>
      <c r="J111" s="255"/>
      <c r="K111" s="255"/>
      <c r="L111" s="255"/>
      <c r="M111" s="255"/>
      <c r="N111" s="255"/>
      <c r="O111" s="257">
        <f>SUM(O64:O110)</f>
        <v>0</v>
      </c>
    </row>
    <row r="112" spans="1:15" s="153" customFormat="1" ht="26.25" x14ac:dyDescent="0.4">
      <c r="A112" s="259" t="s">
        <v>212</v>
      </c>
      <c r="B112" s="260"/>
      <c r="C112" s="260"/>
      <c r="D112" s="261"/>
      <c r="E112" s="261"/>
      <c r="F112" s="261"/>
      <c r="G112" s="261"/>
      <c r="H112" s="261"/>
      <c r="I112" s="261"/>
      <c r="J112" s="261"/>
      <c r="K112" s="262"/>
      <c r="L112" s="262"/>
      <c r="M112" s="262"/>
      <c r="N112" s="262"/>
      <c r="O112" s="277"/>
    </row>
    <row r="113" spans="1:15" x14ac:dyDescent="0.25">
      <c r="A113" s="783" t="s">
        <v>43</v>
      </c>
      <c r="B113" s="785" t="s">
        <v>20</v>
      </c>
      <c r="C113" s="364" t="s">
        <v>27</v>
      </c>
      <c r="D113" s="364" t="s">
        <v>28</v>
      </c>
      <c r="E113" s="364" t="s">
        <v>21</v>
      </c>
      <c r="F113" s="364" t="s">
        <v>29</v>
      </c>
      <c r="G113" s="364"/>
      <c r="H113" s="364"/>
      <c r="I113" s="364"/>
      <c r="J113" s="364"/>
      <c r="K113" s="364" t="s">
        <v>30</v>
      </c>
      <c r="L113" s="364" t="s">
        <v>23</v>
      </c>
      <c r="M113" s="364" t="s">
        <v>31</v>
      </c>
      <c r="N113" s="364"/>
      <c r="O113" s="365" t="s">
        <v>32</v>
      </c>
    </row>
    <row r="114" spans="1:15" x14ac:dyDescent="0.25">
      <c r="A114" s="784"/>
      <c r="B114" s="786"/>
      <c r="C114" s="366" t="s">
        <v>44</v>
      </c>
      <c r="D114" s="366" t="s">
        <v>5</v>
      </c>
      <c r="E114" s="366" t="s">
        <v>24</v>
      </c>
      <c r="F114" s="367" t="s">
        <v>34</v>
      </c>
      <c r="G114" s="366" t="s">
        <v>35</v>
      </c>
      <c r="H114" s="366"/>
      <c r="I114" s="366"/>
      <c r="J114" s="366"/>
      <c r="K114" s="366" t="s">
        <v>36</v>
      </c>
      <c r="L114" s="368" t="s">
        <v>37</v>
      </c>
      <c r="M114" s="366" t="s">
        <v>38</v>
      </c>
      <c r="N114" s="366"/>
      <c r="O114" s="369" t="s">
        <v>40</v>
      </c>
    </row>
    <row r="115" spans="1:15" s="153" customFormat="1" x14ac:dyDescent="0.25">
      <c r="A115" s="270" t="s">
        <v>198</v>
      </c>
      <c r="B115" s="340"/>
      <c r="C115" s="363"/>
      <c r="D115" s="363"/>
      <c r="E115" s="363"/>
      <c r="F115" s="363"/>
      <c r="G115" s="363"/>
      <c r="H115" s="363"/>
      <c r="I115" s="363"/>
      <c r="J115" s="363"/>
      <c r="K115" s="363"/>
      <c r="L115" s="363"/>
      <c r="M115" s="363"/>
      <c r="N115" s="363"/>
      <c r="O115" s="370"/>
    </row>
    <row r="116" spans="1:15" s="153" customFormat="1" x14ac:dyDescent="0.25">
      <c r="A116" s="782" t="s">
        <v>195</v>
      </c>
      <c r="B116" s="782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371"/>
    </row>
    <row r="117" spans="1:15" s="153" customFormat="1" x14ac:dyDescent="0.25">
      <c r="A117" s="763" t="s">
        <v>88</v>
      </c>
      <c r="B117" s="763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371"/>
    </row>
    <row r="118" spans="1:15" s="153" customFormat="1" x14ac:dyDescent="0.25">
      <c r="A118" s="733" t="s">
        <v>73</v>
      </c>
      <c r="B118" s="733"/>
      <c r="C118" s="137">
        <v>6.1666699999999999</v>
      </c>
      <c r="D118" s="138">
        <v>1</v>
      </c>
      <c r="E118" s="139">
        <f>$E$12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'Seguro+combustible+reparacions'!G4</f>
        <v>0</v>
      </c>
      <c r="L118" s="237">
        <f>+K118/C118</f>
        <v>0</v>
      </c>
      <c r="M118" s="238" t="s">
        <v>41</v>
      </c>
      <c r="N118" s="238"/>
      <c r="O118" s="239">
        <f>+K118*G118</f>
        <v>0</v>
      </c>
    </row>
    <row r="119" spans="1:15" s="153" customFormat="1" x14ac:dyDescent="0.25">
      <c r="A119" s="764" t="s">
        <v>89</v>
      </c>
      <c r="B119" s="764"/>
      <c r="C119" s="234"/>
      <c r="D119" s="234"/>
      <c r="E119" s="241"/>
      <c r="F119" s="241"/>
      <c r="G119" s="241"/>
      <c r="H119" s="241"/>
      <c r="I119" s="241"/>
      <c r="J119" s="241"/>
      <c r="K119" s="241"/>
      <c r="L119" s="234"/>
      <c r="M119" s="234"/>
      <c r="N119" s="234"/>
      <c r="O119" s="234"/>
    </row>
    <row r="120" spans="1:15" s="153" customFormat="1" x14ac:dyDescent="0.25">
      <c r="A120" s="733" t="s">
        <v>73</v>
      </c>
      <c r="B120" s="733"/>
      <c r="C120" s="137">
        <v>6.1666699999999999</v>
      </c>
      <c r="D120" s="138">
        <v>1</v>
      </c>
      <c r="E120" s="139">
        <f>$E$14</f>
        <v>0</v>
      </c>
      <c r="F120" s="139">
        <f>Dies!$C$48</f>
        <v>95</v>
      </c>
      <c r="G120" s="273">
        <f>+D120*E120*F120</f>
        <v>0</v>
      </c>
      <c r="H120" s="273"/>
      <c r="I120" s="273"/>
      <c r="J120" s="273"/>
      <c r="K120" s="320">
        <f>$K$118</f>
        <v>0</v>
      </c>
      <c r="L120" s="237">
        <f>+K120/C120</f>
        <v>0</v>
      </c>
      <c r="M120" s="238" t="s">
        <v>90</v>
      </c>
      <c r="N120" s="238"/>
      <c r="O120" s="239">
        <f>+K120*G120</f>
        <v>0</v>
      </c>
    </row>
    <row r="121" spans="1:15" s="153" customFormat="1" x14ac:dyDescent="0.25">
      <c r="A121" s="762" t="s">
        <v>196</v>
      </c>
      <c r="B121" s="762"/>
      <c r="C121" s="180"/>
      <c r="D121" s="180"/>
      <c r="E121" s="664"/>
      <c r="F121" s="241"/>
      <c r="G121" s="664"/>
      <c r="H121" s="664"/>
      <c r="I121" s="664"/>
      <c r="J121" s="664"/>
      <c r="K121" s="664"/>
      <c r="L121" s="180"/>
      <c r="M121" s="234"/>
      <c r="N121" s="180"/>
      <c r="O121" s="180"/>
    </row>
    <row r="122" spans="1:15" s="153" customFormat="1" x14ac:dyDescent="0.25">
      <c r="A122" s="763" t="s">
        <v>88</v>
      </c>
      <c r="B122" s="763"/>
      <c r="C122" s="234"/>
      <c r="D122" s="234"/>
      <c r="E122" s="241"/>
      <c r="F122" s="241"/>
      <c r="G122" s="241"/>
      <c r="H122" s="241"/>
      <c r="I122" s="241"/>
      <c r="J122" s="241"/>
      <c r="K122" s="241"/>
      <c r="L122" s="234"/>
      <c r="M122" s="234"/>
      <c r="N122" s="234"/>
      <c r="O122" s="234"/>
    </row>
    <row r="123" spans="1:15" s="153" customFormat="1" x14ac:dyDescent="0.25">
      <c r="A123" s="733" t="s">
        <v>73</v>
      </c>
      <c r="B123" s="733"/>
      <c r="C123" s="137">
        <v>6.1666699999999999</v>
      </c>
      <c r="D123" s="138">
        <v>1</v>
      </c>
      <c r="E123" s="139">
        <f>$E$17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$K$118</f>
        <v>0</v>
      </c>
      <c r="L123" s="237">
        <f>+K123/C123</f>
        <v>0</v>
      </c>
      <c r="M123" s="238" t="s">
        <v>41</v>
      </c>
      <c r="N123" s="238"/>
      <c r="O123" s="239">
        <f>+K123*G123</f>
        <v>0</v>
      </c>
    </row>
    <row r="124" spans="1:15" s="153" customFormat="1" x14ac:dyDescent="0.25">
      <c r="A124" s="764" t="s">
        <v>89</v>
      </c>
      <c r="B124" s="764"/>
      <c r="C124" s="234"/>
      <c r="D124" s="234"/>
      <c r="E124" s="241"/>
      <c r="F124" s="241"/>
      <c r="G124" s="241"/>
      <c r="H124" s="241"/>
      <c r="I124" s="241"/>
      <c r="J124" s="241"/>
      <c r="K124" s="241"/>
      <c r="L124" s="234"/>
      <c r="M124" s="234"/>
      <c r="N124" s="234"/>
      <c r="O124" s="234"/>
    </row>
    <row r="125" spans="1:15" s="153" customFormat="1" x14ac:dyDescent="0.25">
      <c r="A125" s="733" t="s">
        <v>73</v>
      </c>
      <c r="B125" s="733"/>
      <c r="C125" s="137">
        <v>6.1666699999999999</v>
      </c>
      <c r="D125" s="138">
        <v>1</v>
      </c>
      <c r="E125" s="139">
        <f>$E$19</f>
        <v>0</v>
      </c>
      <c r="F125" s="139">
        <f>Dies!$C$49</f>
        <v>20</v>
      </c>
      <c r="G125" s="273">
        <f>+D125*E125*F125</f>
        <v>0</v>
      </c>
      <c r="H125" s="273"/>
      <c r="I125" s="273"/>
      <c r="J125" s="273"/>
      <c r="K125" s="320">
        <f>$K$118</f>
        <v>0</v>
      </c>
      <c r="L125" s="237">
        <f>+K125/C125</f>
        <v>0</v>
      </c>
      <c r="M125" s="238" t="s">
        <v>90</v>
      </c>
      <c r="N125" s="238"/>
      <c r="O125" s="239">
        <f>+K125*G125</f>
        <v>0</v>
      </c>
    </row>
    <row r="126" spans="1:15" s="153" customFormat="1" x14ac:dyDescent="0.25">
      <c r="A126" s="762" t="s">
        <v>197</v>
      </c>
      <c r="B126" s="762"/>
      <c r="C126" s="234"/>
      <c r="D126" s="234"/>
      <c r="E126" s="241"/>
      <c r="F126" s="241"/>
      <c r="G126" s="241"/>
      <c r="H126" s="241"/>
      <c r="I126" s="241"/>
      <c r="J126" s="241"/>
      <c r="K126" s="241"/>
      <c r="L126" s="234"/>
      <c r="M126" s="234"/>
      <c r="N126" s="234"/>
      <c r="O126" s="234"/>
    </row>
    <row r="127" spans="1:15" s="153" customFormat="1" x14ac:dyDescent="0.25">
      <c r="A127" s="763" t="s">
        <v>88</v>
      </c>
      <c r="B127" s="763"/>
      <c r="C127" s="234"/>
      <c r="D127" s="234"/>
      <c r="E127" s="241"/>
      <c r="F127" s="241"/>
      <c r="G127" s="241"/>
      <c r="H127" s="241"/>
      <c r="I127" s="241"/>
      <c r="J127" s="241"/>
      <c r="K127" s="241"/>
      <c r="L127" s="234"/>
      <c r="M127" s="234"/>
      <c r="N127" s="234"/>
      <c r="O127" s="234"/>
    </row>
    <row r="128" spans="1:15" s="153" customFormat="1" x14ac:dyDescent="0.25">
      <c r="A128" s="733" t="s">
        <v>73</v>
      </c>
      <c r="B128" s="733"/>
      <c r="C128" s="137">
        <v>6.1666699999999999</v>
      </c>
      <c r="D128" s="138">
        <v>1</v>
      </c>
      <c r="E128" s="139">
        <f>$E$22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$K$118</f>
        <v>0</v>
      </c>
      <c r="L128" s="237">
        <f>+K128/C128</f>
        <v>0</v>
      </c>
      <c r="M128" s="238" t="s">
        <v>41</v>
      </c>
      <c r="N128" s="238"/>
      <c r="O128" s="239">
        <f>+K128*G128</f>
        <v>0</v>
      </c>
    </row>
    <row r="129" spans="1:15" s="153" customFormat="1" x14ac:dyDescent="0.25">
      <c r="A129" s="764" t="s">
        <v>89</v>
      </c>
      <c r="B129" s="764"/>
      <c r="C129" s="234"/>
      <c r="D129" s="234"/>
      <c r="E129" s="241"/>
      <c r="F129" s="241"/>
      <c r="G129" s="241"/>
      <c r="H129" s="241"/>
      <c r="I129" s="241"/>
      <c r="J129" s="241"/>
      <c r="K129" s="241"/>
      <c r="L129" s="234"/>
      <c r="M129" s="234"/>
      <c r="N129" s="234"/>
      <c r="O129" s="234"/>
    </row>
    <row r="130" spans="1:15" s="153" customFormat="1" x14ac:dyDescent="0.25">
      <c r="A130" s="733" t="s">
        <v>73</v>
      </c>
      <c r="B130" s="733"/>
      <c r="C130" s="137">
        <v>6.1666699999999999</v>
      </c>
      <c r="D130" s="138">
        <v>1</v>
      </c>
      <c r="E130" s="139">
        <f>$E$24</f>
        <v>0</v>
      </c>
      <c r="F130" s="139">
        <f>Dies!$C$50</f>
        <v>20</v>
      </c>
      <c r="G130" s="273">
        <f>+D130*E130*F130</f>
        <v>0</v>
      </c>
      <c r="H130" s="273"/>
      <c r="I130" s="273"/>
      <c r="J130" s="273"/>
      <c r="K130" s="320">
        <f>$K$118</f>
        <v>0</v>
      </c>
      <c r="L130" s="237">
        <f>+K130/C130</f>
        <v>0</v>
      </c>
      <c r="M130" s="238" t="s">
        <v>90</v>
      </c>
      <c r="N130" s="238"/>
      <c r="O130" s="239">
        <f>+K130*G130</f>
        <v>0</v>
      </c>
    </row>
    <row r="131" spans="1:15" s="153" customFormat="1" x14ac:dyDescent="0.25">
      <c r="A131" s="229" t="s">
        <v>199</v>
      </c>
      <c r="B131" s="242"/>
      <c r="C131" s="278"/>
      <c r="D131" s="278"/>
      <c r="E131" s="278"/>
      <c r="F131" s="245"/>
      <c r="G131" s="278"/>
      <c r="H131" s="278"/>
      <c r="I131" s="278"/>
      <c r="J131" s="278"/>
      <c r="K131" s="278"/>
      <c r="L131" s="278"/>
      <c r="M131" s="278"/>
      <c r="N131" s="278"/>
      <c r="O131" s="278"/>
    </row>
    <row r="132" spans="1:15" s="153" customFormat="1" x14ac:dyDescent="0.25">
      <c r="A132" s="782" t="s">
        <v>195</v>
      </c>
      <c r="B132" s="782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</row>
    <row r="133" spans="1:15" s="153" customFormat="1" x14ac:dyDescent="0.25">
      <c r="A133" s="763" t="s">
        <v>88</v>
      </c>
      <c r="B133" s="763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</row>
    <row r="134" spans="1:15" s="153" customFormat="1" x14ac:dyDescent="0.25">
      <c r="A134" s="733" t="s">
        <v>73</v>
      </c>
      <c r="B134" s="733"/>
      <c r="C134" s="137">
        <v>6.1666699999999999</v>
      </c>
      <c r="D134" s="138">
        <v>1</v>
      </c>
      <c r="E134" s="139">
        <f>$E$28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$K$118</f>
        <v>0</v>
      </c>
      <c r="L134" s="237">
        <f>+K134/C134</f>
        <v>0</v>
      </c>
      <c r="M134" s="238" t="s">
        <v>41</v>
      </c>
      <c r="N134" s="238"/>
      <c r="O134" s="239">
        <f>+K134*G134</f>
        <v>0</v>
      </c>
    </row>
    <row r="135" spans="1:15" s="153" customFormat="1" x14ac:dyDescent="0.25">
      <c r="A135" s="764" t="s">
        <v>89</v>
      </c>
      <c r="B135" s="764"/>
      <c r="C135" s="234"/>
      <c r="D135" s="234"/>
      <c r="E135" s="241"/>
      <c r="F135" s="241"/>
      <c r="G135" s="241"/>
      <c r="H135" s="241"/>
      <c r="I135" s="241"/>
      <c r="J135" s="241"/>
      <c r="K135" s="241"/>
      <c r="L135" s="234"/>
      <c r="M135" s="234"/>
      <c r="N135" s="234"/>
      <c r="O135" s="234"/>
    </row>
    <row r="136" spans="1:15" s="153" customFormat="1" x14ac:dyDescent="0.25">
      <c r="A136" s="733" t="s">
        <v>73</v>
      </c>
      <c r="B136" s="733"/>
      <c r="C136" s="137">
        <v>6.1666699999999999</v>
      </c>
      <c r="D136" s="138">
        <v>1</v>
      </c>
      <c r="E136" s="139">
        <f>$E$30</f>
        <v>0</v>
      </c>
      <c r="F136" s="139">
        <f>Dies!$C$53</f>
        <v>77</v>
      </c>
      <c r="G136" s="273">
        <f>+D136*E136*F136</f>
        <v>0</v>
      </c>
      <c r="H136" s="273"/>
      <c r="I136" s="273"/>
      <c r="J136" s="273"/>
      <c r="K136" s="320">
        <f>$K$118</f>
        <v>0</v>
      </c>
      <c r="L136" s="237">
        <f>+K136/C136</f>
        <v>0</v>
      </c>
      <c r="M136" s="238" t="s">
        <v>90</v>
      </c>
      <c r="N136" s="238"/>
      <c r="O136" s="239">
        <f>+K136*G136</f>
        <v>0</v>
      </c>
    </row>
    <row r="137" spans="1:15" s="153" customFormat="1" x14ac:dyDescent="0.25">
      <c r="A137" s="762" t="s">
        <v>196</v>
      </c>
      <c r="B137" s="762"/>
      <c r="C137" s="234"/>
      <c r="D137" s="234"/>
      <c r="E137" s="241"/>
      <c r="F137" s="241"/>
      <c r="G137" s="241"/>
      <c r="H137" s="241"/>
      <c r="I137" s="241"/>
      <c r="J137" s="241"/>
      <c r="K137" s="241"/>
      <c r="L137" s="234"/>
      <c r="M137" s="234"/>
      <c r="N137" s="234"/>
      <c r="O137" s="234"/>
    </row>
    <row r="138" spans="1:15" s="153" customFormat="1" x14ac:dyDescent="0.25">
      <c r="A138" s="763" t="s">
        <v>88</v>
      </c>
      <c r="B138" s="763"/>
      <c r="C138" s="234"/>
      <c r="D138" s="234"/>
      <c r="E138" s="241"/>
      <c r="F138" s="241"/>
      <c r="G138" s="241"/>
      <c r="H138" s="241"/>
      <c r="I138" s="241"/>
      <c r="J138" s="241"/>
      <c r="K138" s="241"/>
      <c r="L138" s="234"/>
      <c r="M138" s="234"/>
      <c r="N138" s="234"/>
      <c r="O138" s="234"/>
    </row>
    <row r="139" spans="1:15" s="153" customFormat="1" x14ac:dyDescent="0.25">
      <c r="A139" s="733" t="s">
        <v>73</v>
      </c>
      <c r="B139" s="733"/>
      <c r="C139" s="137">
        <v>6.1666699999999999</v>
      </c>
      <c r="D139" s="138">
        <v>1</v>
      </c>
      <c r="E139" s="139">
        <f>$E$33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$K$118</f>
        <v>0</v>
      </c>
      <c r="L139" s="237">
        <f>+K139/C139</f>
        <v>0</v>
      </c>
      <c r="M139" s="238" t="s">
        <v>41</v>
      </c>
      <c r="N139" s="238"/>
      <c r="O139" s="239">
        <f>+K139*G139</f>
        <v>0</v>
      </c>
    </row>
    <row r="140" spans="1:15" s="153" customFormat="1" x14ac:dyDescent="0.25">
      <c r="A140" s="764" t="s">
        <v>89</v>
      </c>
      <c r="B140" s="764"/>
      <c r="C140" s="234"/>
      <c r="D140" s="234"/>
      <c r="E140" s="241"/>
      <c r="F140" s="241"/>
      <c r="G140" s="241"/>
      <c r="H140" s="241"/>
      <c r="I140" s="241"/>
      <c r="J140" s="241"/>
      <c r="K140" s="241"/>
      <c r="L140" s="234"/>
      <c r="M140" s="234"/>
      <c r="N140" s="234"/>
      <c r="O140" s="234"/>
    </row>
    <row r="141" spans="1:15" s="153" customFormat="1" x14ac:dyDescent="0.25">
      <c r="A141" s="733" t="s">
        <v>73</v>
      </c>
      <c r="B141" s="733"/>
      <c r="C141" s="137">
        <v>6.1666699999999999</v>
      </c>
      <c r="D141" s="138">
        <v>1</v>
      </c>
      <c r="E141" s="139">
        <f>$E$35</f>
        <v>0</v>
      </c>
      <c r="F141" s="139">
        <f>Dies!$C$54</f>
        <v>15</v>
      </c>
      <c r="G141" s="273">
        <f>+D141*E141*F141</f>
        <v>0</v>
      </c>
      <c r="H141" s="273"/>
      <c r="I141" s="273"/>
      <c r="J141" s="273"/>
      <c r="K141" s="320">
        <f>$K$118</f>
        <v>0</v>
      </c>
      <c r="L141" s="237">
        <f>+K141/C141</f>
        <v>0</v>
      </c>
      <c r="M141" s="238" t="s">
        <v>90</v>
      </c>
      <c r="N141" s="238"/>
      <c r="O141" s="239">
        <f>+K141*G141</f>
        <v>0</v>
      </c>
    </row>
    <row r="142" spans="1:15" s="153" customFormat="1" x14ac:dyDescent="0.25">
      <c r="A142" s="762" t="s">
        <v>197</v>
      </c>
      <c r="B142" s="762"/>
      <c r="C142" s="234"/>
      <c r="D142" s="234"/>
      <c r="E142" s="241"/>
      <c r="F142" s="241"/>
      <c r="G142" s="241"/>
      <c r="H142" s="241"/>
      <c r="I142" s="241"/>
      <c r="J142" s="241"/>
      <c r="K142" s="241"/>
      <c r="L142" s="234"/>
      <c r="M142" s="234"/>
      <c r="N142" s="234"/>
      <c r="O142" s="234"/>
    </row>
    <row r="143" spans="1:15" s="153" customFormat="1" x14ac:dyDescent="0.25">
      <c r="A143" s="763" t="s">
        <v>88</v>
      </c>
      <c r="B143" s="763"/>
      <c r="C143" s="234"/>
      <c r="D143" s="234"/>
      <c r="E143" s="241"/>
      <c r="F143" s="241"/>
      <c r="G143" s="241"/>
      <c r="H143" s="241"/>
      <c r="I143" s="241"/>
      <c r="J143" s="241"/>
      <c r="K143" s="241"/>
      <c r="L143" s="234"/>
      <c r="M143" s="234"/>
      <c r="N143" s="234"/>
      <c r="O143" s="234"/>
    </row>
    <row r="144" spans="1:15" s="153" customFormat="1" x14ac:dyDescent="0.25">
      <c r="A144" s="733" t="s">
        <v>73</v>
      </c>
      <c r="B144" s="733"/>
      <c r="C144" s="137">
        <v>6.1666699999999999</v>
      </c>
      <c r="D144" s="138">
        <v>1</v>
      </c>
      <c r="E144" s="139">
        <f>$E$38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$K$118</f>
        <v>0</v>
      </c>
      <c r="L144" s="237">
        <f>+K144/C144</f>
        <v>0</v>
      </c>
      <c r="M144" s="238" t="s">
        <v>41</v>
      </c>
      <c r="N144" s="238"/>
      <c r="O144" s="239">
        <f>+K144*G144</f>
        <v>0</v>
      </c>
    </row>
    <row r="145" spans="1:15" s="153" customFormat="1" x14ac:dyDescent="0.25">
      <c r="A145" s="764" t="s">
        <v>89</v>
      </c>
      <c r="B145" s="764"/>
      <c r="C145" s="234"/>
      <c r="D145" s="234"/>
      <c r="E145" s="241"/>
      <c r="F145" s="241"/>
      <c r="G145" s="241"/>
      <c r="H145" s="241"/>
      <c r="I145" s="241"/>
      <c r="J145" s="241"/>
      <c r="K145" s="241"/>
      <c r="L145" s="234"/>
      <c r="M145" s="234"/>
      <c r="N145" s="234"/>
      <c r="O145" s="234"/>
    </row>
    <row r="146" spans="1:15" s="153" customFormat="1" x14ac:dyDescent="0.25">
      <c r="A146" s="733" t="s">
        <v>73</v>
      </c>
      <c r="B146" s="733"/>
      <c r="C146" s="137">
        <v>6.1666699999999999</v>
      </c>
      <c r="D146" s="138">
        <v>1</v>
      </c>
      <c r="E146" s="139">
        <f>$E$40</f>
        <v>0</v>
      </c>
      <c r="F146" s="139">
        <f>Dies!$C$55</f>
        <v>15</v>
      </c>
      <c r="G146" s="273">
        <f>+D146*E146*F146</f>
        <v>0</v>
      </c>
      <c r="H146" s="273"/>
      <c r="I146" s="273"/>
      <c r="J146" s="273"/>
      <c r="K146" s="320">
        <f>$K$118</f>
        <v>0</v>
      </c>
      <c r="L146" s="237">
        <f>+K146/C146</f>
        <v>0</v>
      </c>
      <c r="M146" s="238" t="s">
        <v>90</v>
      </c>
      <c r="N146" s="238"/>
      <c r="O146" s="239">
        <f>+K146*G146</f>
        <v>0</v>
      </c>
    </row>
    <row r="147" spans="1:15" s="153" customFormat="1" x14ac:dyDescent="0.25">
      <c r="A147" s="229" t="s">
        <v>326</v>
      </c>
      <c r="B147" s="242"/>
      <c r="C147" s="278"/>
      <c r="D147" s="278"/>
      <c r="E147" s="278"/>
      <c r="F147" s="245"/>
      <c r="G147" s="278"/>
      <c r="H147" s="278"/>
      <c r="I147" s="278"/>
      <c r="J147" s="278"/>
      <c r="K147" s="278"/>
      <c r="L147" s="278"/>
      <c r="M147" s="278"/>
      <c r="N147" s="278"/>
      <c r="O147" s="278"/>
    </row>
    <row r="148" spans="1:15" s="153" customFormat="1" x14ac:dyDescent="0.25">
      <c r="A148" s="782" t="s">
        <v>195</v>
      </c>
      <c r="B148" s="782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</row>
    <row r="149" spans="1:15" s="153" customFormat="1" x14ac:dyDescent="0.25">
      <c r="A149" s="763" t="s">
        <v>88</v>
      </c>
      <c r="B149" s="763"/>
      <c r="C149" s="180"/>
      <c r="D149" s="180"/>
      <c r="E149" s="180"/>
      <c r="F149" s="234"/>
      <c r="G149" s="180"/>
      <c r="H149" s="180"/>
      <c r="I149" s="180"/>
      <c r="J149" s="180"/>
      <c r="K149" s="180"/>
      <c r="L149" s="180"/>
      <c r="M149" s="180"/>
      <c r="N149" s="180"/>
      <c r="O149" s="180"/>
    </row>
    <row r="150" spans="1:15" s="153" customFormat="1" x14ac:dyDescent="0.25">
      <c r="A150" s="733" t="s">
        <v>73</v>
      </c>
      <c r="B150" s="733"/>
      <c r="C150" s="137">
        <v>6.1666699999999999</v>
      </c>
      <c r="D150" s="138">
        <v>1</v>
      </c>
      <c r="E150" s="139">
        <f>$E$44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$K$118</f>
        <v>0</v>
      </c>
      <c r="L150" s="237">
        <f>+K150/C150</f>
        <v>0</v>
      </c>
      <c r="M150" s="238" t="s">
        <v>41</v>
      </c>
      <c r="N150" s="238"/>
      <c r="O150" s="239">
        <f>+K150*G150</f>
        <v>0</v>
      </c>
    </row>
    <row r="151" spans="1:15" s="153" customFormat="1" x14ac:dyDescent="0.25">
      <c r="A151" s="764" t="s">
        <v>89</v>
      </c>
      <c r="B151" s="764"/>
      <c r="C151" s="234"/>
      <c r="D151" s="234"/>
      <c r="E151" s="241"/>
      <c r="F151" s="241"/>
      <c r="G151" s="241"/>
      <c r="H151" s="241"/>
      <c r="I151" s="241"/>
      <c r="J151" s="241"/>
      <c r="K151" s="241"/>
      <c r="L151" s="234"/>
      <c r="M151" s="234"/>
      <c r="N151" s="234"/>
      <c r="O151" s="234"/>
    </row>
    <row r="152" spans="1:15" s="153" customFormat="1" x14ac:dyDescent="0.25">
      <c r="A152" s="733" t="s">
        <v>73</v>
      </c>
      <c r="B152" s="733"/>
      <c r="C152" s="137">
        <v>6.1666699999999999</v>
      </c>
      <c r="D152" s="138">
        <v>1</v>
      </c>
      <c r="E152" s="139">
        <f>$E$46</f>
        <v>0</v>
      </c>
      <c r="F152" s="139">
        <f>Dies!$C$58</f>
        <v>89</v>
      </c>
      <c r="G152" s="273">
        <f>+D152*E152*F152</f>
        <v>0</v>
      </c>
      <c r="H152" s="273"/>
      <c r="I152" s="273"/>
      <c r="J152" s="273"/>
      <c r="K152" s="320">
        <f>$K$118</f>
        <v>0</v>
      </c>
      <c r="L152" s="237">
        <f>+K152/C152</f>
        <v>0</v>
      </c>
      <c r="M152" s="238" t="s">
        <v>90</v>
      </c>
      <c r="N152" s="238"/>
      <c r="O152" s="239">
        <f>+K152*G152</f>
        <v>0</v>
      </c>
    </row>
    <row r="153" spans="1:15" s="153" customFormat="1" x14ac:dyDescent="0.25">
      <c r="A153" s="762" t="s">
        <v>196</v>
      </c>
      <c r="B153" s="762"/>
      <c r="C153" s="180"/>
      <c r="D153" s="180"/>
      <c r="E153" s="664"/>
      <c r="F153" s="241"/>
      <c r="G153" s="664"/>
      <c r="H153" s="664"/>
      <c r="I153" s="664"/>
      <c r="J153" s="664"/>
      <c r="K153" s="664"/>
      <c r="L153" s="180"/>
      <c r="M153" s="234"/>
      <c r="N153" s="180"/>
      <c r="O153" s="180"/>
    </row>
    <row r="154" spans="1:15" s="153" customFormat="1" x14ac:dyDescent="0.25">
      <c r="A154" s="763" t="s">
        <v>88</v>
      </c>
      <c r="B154" s="763"/>
      <c r="C154" s="234"/>
      <c r="D154" s="234"/>
      <c r="E154" s="241"/>
      <c r="F154" s="241"/>
      <c r="G154" s="241"/>
      <c r="H154" s="241"/>
      <c r="I154" s="241"/>
      <c r="J154" s="241"/>
      <c r="K154" s="241"/>
      <c r="L154" s="234"/>
      <c r="M154" s="234"/>
      <c r="N154" s="234"/>
      <c r="O154" s="234"/>
    </row>
    <row r="155" spans="1:15" s="153" customFormat="1" x14ac:dyDescent="0.25">
      <c r="A155" s="733" t="s">
        <v>73</v>
      </c>
      <c r="B155" s="733"/>
      <c r="C155" s="137">
        <v>6.1666699999999999</v>
      </c>
      <c r="D155" s="138">
        <v>1</v>
      </c>
      <c r="E155" s="139">
        <f>$E$49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$K$118</f>
        <v>0</v>
      </c>
      <c r="L155" s="237">
        <f>+K155/C155</f>
        <v>0</v>
      </c>
      <c r="M155" s="238" t="s">
        <v>41</v>
      </c>
      <c r="N155" s="238"/>
      <c r="O155" s="239">
        <f>+K155*G155</f>
        <v>0</v>
      </c>
    </row>
    <row r="156" spans="1:15" s="153" customFormat="1" x14ac:dyDescent="0.25">
      <c r="A156" s="764" t="s">
        <v>89</v>
      </c>
      <c r="B156" s="764"/>
      <c r="C156" s="234"/>
      <c r="D156" s="234"/>
      <c r="E156" s="241"/>
      <c r="F156" s="241"/>
      <c r="G156" s="241"/>
      <c r="H156" s="241"/>
      <c r="I156" s="241"/>
      <c r="J156" s="241"/>
      <c r="K156" s="241"/>
      <c r="L156" s="234"/>
      <c r="M156" s="234"/>
      <c r="N156" s="234"/>
      <c r="O156" s="234"/>
    </row>
    <row r="157" spans="1:15" s="153" customFormat="1" x14ac:dyDescent="0.25">
      <c r="A157" s="733" t="s">
        <v>73</v>
      </c>
      <c r="B157" s="733"/>
      <c r="C157" s="137">
        <v>6.1666699999999999</v>
      </c>
      <c r="D157" s="138">
        <v>1</v>
      </c>
      <c r="E157" s="139">
        <f>$E$51</f>
        <v>0</v>
      </c>
      <c r="F157" s="139">
        <f>Dies!$C$59</f>
        <v>17</v>
      </c>
      <c r="G157" s="273">
        <f>+D157*E157*F157</f>
        <v>0</v>
      </c>
      <c r="H157" s="273"/>
      <c r="I157" s="273"/>
      <c r="J157" s="273"/>
      <c r="K157" s="320">
        <f>$K$118</f>
        <v>0</v>
      </c>
      <c r="L157" s="237">
        <f>+K157/C157</f>
        <v>0</v>
      </c>
      <c r="M157" s="238" t="s">
        <v>90</v>
      </c>
      <c r="N157" s="238"/>
      <c r="O157" s="239">
        <f>+K157*G157</f>
        <v>0</v>
      </c>
    </row>
    <row r="158" spans="1:15" s="153" customFormat="1" x14ac:dyDescent="0.25">
      <c r="A158" s="762" t="s">
        <v>197</v>
      </c>
      <c r="B158" s="762"/>
      <c r="C158" s="234"/>
      <c r="D158" s="234"/>
      <c r="E158" s="241"/>
      <c r="F158" s="241"/>
      <c r="G158" s="241"/>
      <c r="H158" s="241"/>
      <c r="I158" s="241"/>
      <c r="J158" s="241"/>
      <c r="K158" s="241"/>
      <c r="L158" s="234"/>
      <c r="M158" s="234"/>
      <c r="N158" s="234"/>
      <c r="O158" s="234"/>
    </row>
    <row r="159" spans="1:15" s="153" customFormat="1" x14ac:dyDescent="0.25">
      <c r="A159" s="763" t="s">
        <v>88</v>
      </c>
      <c r="B159" s="763"/>
      <c r="C159" s="234"/>
      <c r="D159" s="234"/>
      <c r="E159" s="241"/>
      <c r="F159" s="241"/>
      <c r="G159" s="241"/>
      <c r="H159" s="241"/>
      <c r="I159" s="241"/>
      <c r="J159" s="241"/>
      <c r="K159" s="241"/>
      <c r="L159" s="234"/>
      <c r="M159" s="234"/>
      <c r="N159" s="234"/>
      <c r="O159" s="234"/>
    </row>
    <row r="160" spans="1:15" s="153" customFormat="1" x14ac:dyDescent="0.25">
      <c r="A160" s="733" t="s">
        <v>73</v>
      </c>
      <c r="B160" s="733"/>
      <c r="C160" s="137">
        <v>6.1666699999999999</v>
      </c>
      <c r="D160" s="138">
        <v>1</v>
      </c>
      <c r="E160" s="139">
        <f>$E$54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$K$118</f>
        <v>0</v>
      </c>
      <c r="L160" s="237">
        <f>+K160/C160</f>
        <v>0</v>
      </c>
      <c r="M160" s="238" t="s">
        <v>41</v>
      </c>
      <c r="N160" s="238"/>
      <c r="O160" s="239">
        <f>+K160*G160</f>
        <v>0</v>
      </c>
    </row>
    <row r="161" spans="1:15" s="153" customFormat="1" x14ac:dyDescent="0.25">
      <c r="A161" s="764" t="s">
        <v>89</v>
      </c>
      <c r="B161" s="764"/>
      <c r="C161" s="234"/>
      <c r="D161" s="234"/>
      <c r="E161" s="241"/>
      <c r="F161" s="241"/>
      <c r="G161" s="241"/>
      <c r="H161" s="241"/>
      <c r="I161" s="241"/>
      <c r="J161" s="241"/>
      <c r="K161" s="241"/>
      <c r="L161" s="234"/>
      <c r="M161" s="234"/>
      <c r="N161" s="234"/>
      <c r="O161" s="234"/>
    </row>
    <row r="162" spans="1:15" s="153" customFormat="1" x14ac:dyDescent="0.25">
      <c r="A162" s="771" t="s">
        <v>73</v>
      </c>
      <c r="B162" s="771"/>
      <c r="C162" s="274">
        <v>6.1666699999999999</v>
      </c>
      <c r="D162" s="275">
        <v>1</v>
      </c>
      <c r="E162" s="641">
        <f>$E$56</f>
        <v>0</v>
      </c>
      <c r="F162" s="641">
        <f>Dies!$C$60</f>
        <v>17</v>
      </c>
      <c r="G162" s="276">
        <f>+D162*E162*F162</f>
        <v>0</v>
      </c>
      <c r="H162" s="276"/>
      <c r="I162" s="276"/>
      <c r="J162" s="276"/>
      <c r="K162" s="362">
        <f>$K$118</f>
        <v>0</v>
      </c>
      <c r="L162" s="251">
        <f>+K162/C162</f>
        <v>0</v>
      </c>
      <c r="M162" s="238" t="s">
        <v>90</v>
      </c>
      <c r="N162" s="252"/>
      <c r="O162" s="253">
        <f>+K162*G162</f>
        <v>0</v>
      </c>
    </row>
    <row r="163" spans="1:15" x14ac:dyDescent="0.25">
      <c r="A163" s="254"/>
      <c r="B163" s="255"/>
      <c r="C163" s="255"/>
      <c r="D163" s="255"/>
      <c r="E163" s="256" t="s">
        <v>47</v>
      </c>
      <c r="F163" s="255"/>
      <c r="G163" s="255"/>
      <c r="H163" s="255"/>
      <c r="I163" s="255"/>
      <c r="J163" s="255"/>
      <c r="K163" s="255"/>
      <c r="L163" s="255"/>
      <c r="M163" s="255"/>
      <c r="N163" s="255"/>
      <c r="O163" s="257">
        <f>SUM(O116:O162)</f>
        <v>0</v>
      </c>
    </row>
    <row r="164" spans="1:15" s="153" customFormat="1" ht="26.25" x14ac:dyDescent="0.4">
      <c r="A164" s="259" t="s">
        <v>272</v>
      </c>
      <c r="B164" s="260"/>
      <c r="C164" s="260"/>
      <c r="D164" s="261"/>
      <c r="E164" s="261"/>
      <c r="F164" s="261"/>
      <c r="G164" s="261"/>
      <c r="H164" s="261"/>
      <c r="I164" s="261"/>
      <c r="J164" s="261"/>
      <c r="K164" s="262"/>
      <c r="L164" s="262"/>
      <c r="M164" s="262"/>
      <c r="N164" s="262"/>
      <c r="O164" s="277"/>
    </row>
    <row r="165" spans="1:15" s="281" customFormat="1" x14ac:dyDescent="0.25">
      <c r="A165" s="779" t="s">
        <v>20</v>
      </c>
      <c r="B165" s="768"/>
      <c r="C165" s="768" t="s">
        <v>27</v>
      </c>
      <c r="D165" s="768" t="s">
        <v>28</v>
      </c>
      <c r="E165" s="768" t="s">
        <v>21</v>
      </c>
      <c r="F165" s="768" t="s">
        <v>23</v>
      </c>
      <c r="G165" s="768" t="s">
        <v>22</v>
      </c>
      <c r="H165" s="280"/>
      <c r="I165" s="280"/>
      <c r="J165" s="280"/>
      <c r="K165" s="768" t="s">
        <v>79</v>
      </c>
      <c r="L165" s="280"/>
      <c r="M165" s="768"/>
      <c r="N165" s="768" t="s">
        <v>80</v>
      </c>
      <c r="O165" s="766" t="s">
        <v>32</v>
      </c>
    </row>
    <row r="166" spans="1:15" s="281" customFormat="1" x14ac:dyDescent="0.25">
      <c r="A166" s="775"/>
      <c r="B166" s="769"/>
      <c r="C166" s="769" t="s">
        <v>44</v>
      </c>
      <c r="D166" s="769" t="s">
        <v>5</v>
      </c>
      <c r="E166" s="769" t="s">
        <v>24</v>
      </c>
      <c r="F166" s="769" t="s">
        <v>81</v>
      </c>
      <c r="G166" s="769" t="s">
        <v>82</v>
      </c>
      <c r="H166" s="282"/>
      <c r="I166" s="282"/>
      <c r="J166" s="282"/>
      <c r="K166" s="769" t="s">
        <v>28</v>
      </c>
      <c r="L166" s="282"/>
      <c r="M166" s="769"/>
      <c r="N166" s="769" t="s">
        <v>83</v>
      </c>
      <c r="O166" s="767" t="s">
        <v>40</v>
      </c>
    </row>
    <row r="167" spans="1:15" x14ac:dyDescent="0.25">
      <c r="A167" s="734" t="s">
        <v>230</v>
      </c>
      <c r="B167" s="734"/>
      <c r="C167" s="137">
        <v>6.1666699999999999</v>
      </c>
      <c r="D167" s="138">
        <v>1</v>
      </c>
      <c r="E167" s="139">
        <v>1</v>
      </c>
      <c r="F167" s="140">
        <f>Inversions!H10</f>
        <v>0</v>
      </c>
      <c r="G167" s="273">
        <v>8</v>
      </c>
      <c r="H167" s="273"/>
      <c r="I167" s="273"/>
      <c r="J167" s="273"/>
      <c r="K167" s="284">
        <f>Paràmetres!$C$4</f>
        <v>0</v>
      </c>
      <c r="L167" s="284"/>
      <c r="M167" s="139"/>
      <c r="N167" s="140">
        <f>-12*PMT(K167/12,G167*12,F167)</f>
        <v>0</v>
      </c>
      <c r="O167" s="144">
        <f>E167*N167</f>
        <v>0</v>
      </c>
    </row>
    <row r="168" spans="1:15" s="281" customFormat="1" x14ac:dyDescent="0.25">
      <c r="A168" s="254"/>
      <c r="B168" s="255"/>
      <c r="C168" s="255"/>
      <c r="D168" s="255"/>
      <c r="E168" s="256"/>
      <c r="F168" s="256" t="s">
        <v>84</v>
      </c>
      <c r="G168" s="255"/>
      <c r="H168" s="255"/>
      <c r="I168" s="255"/>
      <c r="J168" s="255"/>
      <c r="K168" s="255"/>
      <c r="L168" s="255"/>
      <c r="M168" s="255"/>
      <c r="N168" s="255"/>
      <c r="O168" s="257">
        <f>SUM(O167:O167)</f>
        <v>0</v>
      </c>
    </row>
    <row r="169" spans="1:15" s="5" customFormat="1" ht="26.25" x14ac:dyDescent="0.4">
      <c r="A169" s="285" t="s">
        <v>213</v>
      </c>
      <c r="B169" s="286"/>
      <c r="C169" s="286"/>
      <c r="D169" s="287"/>
      <c r="E169" s="287"/>
      <c r="F169" s="287"/>
      <c r="G169" s="287"/>
      <c r="H169" s="287"/>
      <c r="I169" s="287"/>
      <c r="J169" s="287"/>
      <c r="K169" s="288"/>
      <c r="L169" s="288"/>
      <c r="M169" s="288"/>
      <c r="N169" s="288"/>
      <c r="O169" s="289"/>
    </row>
    <row r="170" spans="1:15" s="281" customFormat="1" x14ac:dyDescent="0.25">
      <c r="A170" s="758" t="s">
        <v>20</v>
      </c>
      <c r="B170" s="759"/>
      <c r="C170" s="290" t="s">
        <v>27</v>
      </c>
      <c r="D170" s="290" t="s">
        <v>28</v>
      </c>
      <c r="E170" s="290" t="s">
        <v>21</v>
      </c>
      <c r="F170" s="290"/>
      <c r="G170" s="290"/>
      <c r="H170" s="290"/>
      <c r="I170" s="290"/>
      <c r="J170" s="290"/>
      <c r="K170" s="290" t="s">
        <v>100</v>
      </c>
      <c r="L170" s="290"/>
      <c r="M170" s="290"/>
      <c r="N170" s="290"/>
      <c r="O170" s="291" t="s">
        <v>32</v>
      </c>
    </row>
    <row r="171" spans="1:15" s="281" customFormat="1" x14ac:dyDescent="0.25">
      <c r="A171" s="760"/>
      <c r="B171" s="761"/>
      <c r="C171" s="292" t="s">
        <v>44</v>
      </c>
      <c r="D171" s="292" t="s">
        <v>5</v>
      </c>
      <c r="E171" s="292" t="s">
        <v>24</v>
      </c>
      <c r="F171" s="293"/>
      <c r="G171" s="292"/>
      <c r="H171" s="292"/>
      <c r="I171" s="292"/>
      <c r="J171" s="292"/>
      <c r="K171" s="292" t="s">
        <v>101</v>
      </c>
      <c r="L171" s="292"/>
      <c r="M171" s="292"/>
      <c r="N171" s="292"/>
      <c r="O171" s="294" t="s">
        <v>40</v>
      </c>
    </row>
    <row r="172" spans="1:15" s="281" customFormat="1" x14ac:dyDescent="0.25">
      <c r="A172" s="734" t="s">
        <v>314</v>
      </c>
      <c r="B172" s="734"/>
      <c r="C172" s="137">
        <v>6.1666699999999999</v>
      </c>
      <c r="D172" s="138">
        <v>1</v>
      </c>
      <c r="E172" s="372">
        <v>1</v>
      </c>
      <c r="F172" s="373"/>
      <c r="G172" s="372"/>
      <c r="H172" s="372"/>
      <c r="I172" s="372"/>
      <c r="J172" s="372"/>
      <c r="K172" s="304">
        <f>'Seguro+combustible+reparacions'!E4*D172</f>
        <v>0</v>
      </c>
      <c r="L172" s="304"/>
      <c r="M172" s="303"/>
      <c r="N172" s="302"/>
      <c r="O172" s="239">
        <f>E172*K172</f>
        <v>0</v>
      </c>
    </row>
    <row r="173" spans="1:15" s="281" customFormat="1" x14ac:dyDescent="0.25">
      <c r="A173" s="374" t="s">
        <v>315</v>
      </c>
      <c r="B173" s="374"/>
      <c r="C173" s="137">
        <v>6.1666699999999999</v>
      </c>
      <c r="D173" s="138">
        <v>1</v>
      </c>
      <c r="E173" s="372">
        <v>1</v>
      </c>
      <c r="F173" s="373"/>
      <c r="G173" s="372"/>
      <c r="H173" s="372"/>
      <c r="I173" s="372"/>
      <c r="J173" s="372"/>
      <c r="K173" s="304">
        <f>'Seguro+combustible+reparacions'!E4*D173</f>
        <v>0</v>
      </c>
      <c r="L173" s="304"/>
      <c r="M173" s="303"/>
      <c r="N173" s="302"/>
      <c r="O173" s="239">
        <f>E173*K173</f>
        <v>0</v>
      </c>
    </row>
    <row r="174" spans="1:15" s="281" customFormat="1" x14ac:dyDescent="0.25">
      <c r="A174" s="734" t="s">
        <v>230</v>
      </c>
      <c r="B174" s="734"/>
      <c r="C174" s="137">
        <v>6.1666699999999999</v>
      </c>
      <c r="D174" s="138">
        <v>1</v>
      </c>
      <c r="E174" s="372">
        <v>1</v>
      </c>
      <c r="F174" s="373"/>
      <c r="G174" s="372"/>
      <c r="H174" s="372"/>
      <c r="I174" s="372"/>
      <c r="J174" s="372"/>
      <c r="K174" s="304">
        <f>'Seguro+combustible+reparacions'!E4*D174</f>
        <v>0</v>
      </c>
      <c r="L174" s="304"/>
      <c r="M174" s="303"/>
      <c r="N174" s="302"/>
      <c r="O174" s="239">
        <f>E174*K174</f>
        <v>0</v>
      </c>
    </row>
    <row r="175" spans="1:15" s="281" customFormat="1" x14ac:dyDescent="0.25">
      <c r="A175" s="254"/>
      <c r="B175" s="255"/>
      <c r="C175" s="255"/>
      <c r="D175" s="255"/>
      <c r="E175" s="256"/>
      <c r="F175" s="256" t="s">
        <v>85</v>
      </c>
      <c r="G175" s="255"/>
      <c r="H175" s="255"/>
      <c r="I175" s="255"/>
      <c r="J175" s="255"/>
      <c r="K175" s="255"/>
      <c r="L175" s="255"/>
      <c r="M175" s="255"/>
      <c r="N175" s="255"/>
      <c r="O175" s="257">
        <f>SUM(O172:O174)</f>
        <v>0</v>
      </c>
    </row>
    <row r="176" spans="1:15" s="281" customFormat="1" ht="26.25" x14ac:dyDescent="0.4">
      <c r="A176" s="285" t="s">
        <v>420</v>
      </c>
      <c r="B176" s="286"/>
      <c r="C176" s="286"/>
      <c r="D176" s="287"/>
      <c r="E176" s="287"/>
      <c r="F176" s="287"/>
      <c r="G176" s="287"/>
      <c r="H176" s="287"/>
      <c r="I176" s="287"/>
      <c r="J176" s="287"/>
      <c r="K176" s="288"/>
      <c r="L176" s="288"/>
      <c r="M176" s="288"/>
      <c r="N176" s="288"/>
      <c r="O176" s="289"/>
    </row>
    <row r="177" spans="1:15" s="281" customFormat="1" x14ac:dyDescent="0.25">
      <c r="A177" s="758" t="s">
        <v>225</v>
      </c>
      <c r="B177" s="759"/>
      <c r="C177" s="290"/>
      <c r="D177" s="290" t="s">
        <v>28</v>
      </c>
      <c r="E177" s="290"/>
      <c r="F177" s="290"/>
      <c r="G177" s="290"/>
      <c r="H177" s="290"/>
      <c r="I177" s="290"/>
      <c r="J177" s="290"/>
      <c r="K177" s="290" t="s">
        <v>100</v>
      </c>
      <c r="L177" s="290"/>
      <c r="M177" s="290"/>
      <c r="N177" s="290"/>
      <c r="O177" s="291" t="s">
        <v>32</v>
      </c>
    </row>
    <row r="178" spans="1:15" s="281" customFormat="1" x14ac:dyDescent="0.25">
      <c r="A178" s="760"/>
      <c r="B178" s="761"/>
      <c r="C178" s="292"/>
      <c r="D178" s="292" t="s">
        <v>5</v>
      </c>
      <c r="E178" s="290" t="s">
        <v>21</v>
      </c>
      <c r="F178" s="293"/>
      <c r="G178" s="292"/>
      <c r="H178" s="292"/>
      <c r="I178" s="292"/>
      <c r="J178" s="292"/>
      <c r="K178" s="292" t="s">
        <v>238</v>
      </c>
      <c r="L178" s="292"/>
      <c r="M178" s="292"/>
      <c r="N178" s="292"/>
      <c r="O178" s="294" t="s">
        <v>40</v>
      </c>
    </row>
    <row r="179" spans="1:15" s="281" customFormat="1" x14ac:dyDescent="0.25">
      <c r="A179" s="733" t="s">
        <v>245</v>
      </c>
      <c r="B179" s="733"/>
      <c r="C179" s="137"/>
      <c r="D179" s="138">
        <v>1</v>
      </c>
      <c r="E179" s="650">
        <f>I57</f>
        <v>0</v>
      </c>
      <c r="F179" s="373"/>
      <c r="G179" s="372"/>
      <c r="H179" s="372"/>
      <c r="I179" s="372"/>
      <c r="J179" s="372"/>
      <c r="K179" s="650">
        <f>Consumibles!E46</f>
        <v>0</v>
      </c>
      <c r="L179" s="304"/>
      <c r="M179" s="303"/>
      <c r="N179" s="302"/>
      <c r="O179" s="239">
        <f>E179*K179</f>
        <v>0</v>
      </c>
    </row>
    <row r="180" spans="1:15" s="281" customFormat="1" x14ac:dyDescent="0.25">
      <c r="A180" s="733" t="s">
        <v>226</v>
      </c>
      <c r="B180" s="733"/>
      <c r="C180" s="137"/>
      <c r="D180" s="138">
        <v>1</v>
      </c>
      <c r="E180" s="650">
        <v>0</v>
      </c>
      <c r="F180" s="373"/>
      <c r="G180" s="372"/>
      <c r="H180" s="372"/>
      <c r="I180" s="372"/>
      <c r="J180" s="372"/>
      <c r="K180" s="650">
        <f>Consumibles!E21</f>
        <v>0</v>
      </c>
      <c r="L180" s="304"/>
      <c r="M180" s="303"/>
      <c r="N180" s="302"/>
      <c r="O180" s="239">
        <f>E180*K180</f>
        <v>0</v>
      </c>
    </row>
    <row r="181" spans="1:15" s="281" customFormat="1" x14ac:dyDescent="0.25">
      <c r="A181" s="733" t="s">
        <v>237</v>
      </c>
      <c r="B181" s="733"/>
      <c r="C181" s="137"/>
      <c r="D181" s="138">
        <v>1</v>
      </c>
      <c r="E181" s="372">
        <v>150</v>
      </c>
      <c r="F181" s="373"/>
      <c r="G181" s="372"/>
      <c r="H181" s="372"/>
      <c r="I181" s="372"/>
      <c r="J181" s="372"/>
      <c r="K181" s="650">
        <f>Consumibles!E22</f>
        <v>0</v>
      </c>
      <c r="L181" s="304"/>
      <c r="M181" s="303"/>
      <c r="N181" s="302"/>
      <c r="O181" s="239">
        <f t="shared" ref="O181:O183" si="0">E181*K181</f>
        <v>0</v>
      </c>
    </row>
    <row r="182" spans="1:15" s="281" customFormat="1" x14ac:dyDescent="0.25">
      <c r="A182" s="733" t="s">
        <v>234</v>
      </c>
      <c r="B182" s="733"/>
      <c r="C182" s="137"/>
      <c r="D182" s="138">
        <v>1</v>
      </c>
      <c r="E182" s="372">
        <v>50</v>
      </c>
      <c r="F182" s="373"/>
      <c r="G182" s="372"/>
      <c r="H182" s="372"/>
      <c r="I182" s="372"/>
      <c r="J182" s="372"/>
      <c r="K182" s="650">
        <f>Consumibles!E23</f>
        <v>0</v>
      </c>
      <c r="L182" s="304"/>
      <c r="M182" s="303"/>
      <c r="N182" s="302"/>
      <c r="O182" s="239">
        <f t="shared" si="0"/>
        <v>0</v>
      </c>
    </row>
    <row r="183" spans="1:15" s="281" customFormat="1" x14ac:dyDescent="0.25">
      <c r="A183" s="733" t="s">
        <v>235</v>
      </c>
      <c r="B183" s="733"/>
      <c r="C183" s="137"/>
      <c r="D183" s="138">
        <v>1</v>
      </c>
      <c r="E183" s="372">
        <v>80</v>
      </c>
      <c r="F183" s="373"/>
      <c r="G183" s="372"/>
      <c r="H183" s="372"/>
      <c r="I183" s="372"/>
      <c r="J183" s="372"/>
      <c r="K183" s="650">
        <f>Consumibles!E24</f>
        <v>0</v>
      </c>
      <c r="L183" s="304"/>
      <c r="M183" s="303"/>
      <c r="N183" s="302"/>
      <c r="O183" s="239">
        <f t="shared" si="0"/>
        <v>0</v>
      </c>
    </row>
    <row r="184" spans="1:15" s="281" customFormat="1" x14ac:dyDescent="0.25">
      <c r="A184" s="733" t="s">
        <v>236</v>
      </c>
      <c r="B184" s="733"/>
      <c r="C184" s="137"/>
      <c r="D184" s="138">
        <v>1</v>
      </c>
      <c r="E184" s="372">
        <v>20</v>
      </c>
      <c r="F184" s="373"/>
      <c r="G184" s="372"/>
      <c r="H184" s="372"/>
      <c r="I184" s="372"/>
      <c r="J184" s="372"/>
      <c r="K184" s="650">
        <f>Consumibles!E25</f>
        <v>0</v>
      </c>
      <c r="L184" s="304"/>
      <c r="M184" s="303"/>
      <c r="N184" s="302"/>
      <c r="O184" s="239">
        <f>E184*K184</f>
        <v>0</v>
      </c>
    </row>
    <row r="185" spans="1:15" s="281" customFormat="1" x14ac:dyDescent="0.25">
      <c r="A185" s="254"/>
      <c r="B185" s="255"/>
      <c r="C185" s="255"/>
      <c r="D185" s="255"/>
      <c r="E185" s="256"/>
      <c r="F185" s="256" t="s">
        <v>224</v>
      </c>
      <c r="G185" s="255"/>
      <c r="H185" s="255"/>
      <c r="I185" s="255"/>
      <c r="J185" s="255"/>
      <c r="K185" s="255"/>
      <c r="L185" s="255"/>
      <c r="M185" s="255"/>
      <c r="N185" s="255"/>
      <c r="O185" s="257">
        <f>SUM(O179:O184)</f>
        <v>0</v>
      </c>
    </row>
    <row r="186" spans="1: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</row>
    <row r="187" spans="1:15" x14ac:dyDescent="0.25">
      <c r="A187" s="218"/>
      <c r="B187" s="218"/>
      <c r="C187" s="218"/>
      <c r="D187" s="218"/>
      <c r="E187" s="218"/>
      <c r="F187" s="307" t="s">
        <v>271</v>
      </c>
      <c r="G187" s="308"/>
      <c r="H187" s="308"/>
      <c r="I187" s="308"/>
      <c r="J187" s="308"/>
      <c r="K187" s="308"/>
      <c r="L187" s="308"/>
      <c r="M187" s="316"/>
      <c r="N187" s="316"/>
      <c r="O187" s="317">
        <f>+O57+O111+O163+O175+O185</f>
        <v>0</v>
      </c>
    </row>
    <row r="188" spans="1:15" x14ac:dyDescent="0.25">
      <c r="A188" s="218"/>
      <c r="B188" s="218"/>
      <c r="C188" s="218"/>
      <c r="D188" s="218"/>
      <c r="E188" s="218"/>
      <c r="F188" s="375"/>
      <c r="G188" s="376"/>
      <c r="H188" s="376"/>
      <c r="I188" s="376"/>
      <c r="J188" s="376"/>
      <c r="K188" s="376"/>
      <c r="L188" s="376"/>
      <c r="M188" s="376"/>
      <c r="N188" s="376"/>
      <c r="O188" s="377"/>
    </row>
    <row r="189" spans="1:15" x14ac:dyDescent="0.25">
      <c r="A189" s="218"/>
      <c r="B189" s="218"/>
      <c r="C189" s="218"/>
      <c r="D189" s="218"/>
      <c r="E189" s="218"/>
      <c r="F189" s="311" t="s">
        <v>3</v>
      </c>
      <c r="G189" s="312"/>
      <c r="H189" s="312"/>
      <c r="I189" s="312"/>
      <c r="J189" s="312"/>
      <c r="K189" s="312"/>
      <c r="L189" s="312"/>
      <c r="M189" s="652">
        <f>Paràmetres!C6</f>
        <v>0</v>
      </c>
      <c r="N189" s="312"/>
      <c r="O189" s="313">
        <f>+O187*M189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2</v>
      </c>
      <c r="G191" s="312"/>
      <c r="H191" s="312"/>
      <c r="I191" s="312"/>
      <c r="J191" s="312"/>
      <c r="K191" s="312"/>
      <c r="L191" s="312"/>
      <c r="M191" s="652">
        <f>Paràmetres!C5</f>
        <v>0</v>
      </c>
      <c r="N191" s="312"/>
      <c r="O191" s="313">
        <f>+O187*M191</f>
        <v>0</v>
      </c>
    </row>
    <row r="192" spans="1:15" x14ac:dyDescent="0.25">
      <c r="A192" s="218"/>
      <c r="B192" s="218"/>
      <c r="C192" s="218"/>
      <c r="D192" s="218"/>
      <c r="E192" s="218"/>
      <c r="F192" s="312"/>
      <c r="G192" s="312"/>
      <c r="H192" s="312"/>
      <c r="I192" s="312"/>
      <c r="J192" s="312"/>
      <c r="K192" s="312"/>
      <c r="L192" s="312"/>
      <c r="M192" s="314"/>
      <c r="N192" s="312"/>
      <c r="O192" s="313"/>
    </row>
    <row r="193" spans="1:15" x14ac:dyDescent="0.25">
      <c r="A193" s="218"/>
      <c r="B193" s="218"/>
      <c r="C193" s="218"/>
      <c r="D193" s="218"/>
      <c r="E193" s="218"/>
      <c r="F193" s="311" t="s">
        <v>48</v>
      </c>
      <c r="G193" s="312"/>
      <c r="H193" s="312"/>
      <c r="I193" s="312"/>
      <c r="J193" s="312"/>
      <c r="K193" s="312"/>
      <c r="L193" s="312"/>
      <c r="M193" s="314"/>
      <c r="N193" s="312"/>
      <c r="O193" s="313">
        <f>+O187*M193</f>
        <v>0</v>
      </c>
    </row>
    <row r="194" spans="1:15" x14ac:dyDescent="0.25">
      <c r="A194" s="218"/>
      <c r="B194" s="218"/>
      <c r="C194" s="218"/>
      <c r="D194" s="218"/>
      <c r="E194" s="218"/>
      <c r="F194" s="312"/>
      <c r="G194" s="312"/>
      <c r="H194" s="312"/>
      <c r="I194" s="312"/>
      <c r="J194" s="312"/>
      <c r="K194" s="312"/>
      <c r="L194" s="312"/>
      <c r="M194" s="314"/>
      <c r="N194" s="312"/>
      <c r="O194" s="313"/>
    </row>
    <row r="195" spans="1:15" x14ac:dyDescent="0.25">
      <c r="A195" s="218"/>
      <c r="B195" s="218"/>
      <c r="C195" s="218"/>
      <c r="D195" s="218"/>
      <c r="E195" s="218"/>
      <c r="F195" s="311" t="s">
        <v>76</v>
      </c>
      <c r="G195" s="312"/>
      <c r="H195" s="312"/>
      <c r="I195" s="312"/>
      <c r="J195" s="312"/>
      <c r="K195" s="312"/>
      <c r="L195" s="312"/>
      <c r="M195" s="314"/>
      <c r="N195" s="312"/>
      <c r="O195" s="313">
        <f>+O187*M195</f>
        <v>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5" t="s">
        <v>270</v>
      </c>
      <c r="G197" s="316"/>
      <c r="H197" s="316"/>
      <c r="I197" s="316"/>
      <c r="J197" s="316"/>
      <c r="K197" s="316"/>
      <c r="L197" s="316"/>
      <c r="M197" s="316"/>
      <c r="N197" s="316"/>
      <c r="O197" s="317">
        <f>SUM(O187:O195)+O168</f>
        <v>0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310"/>
    </row>
    <row r="199" spans="1:15" x14ac:dyDescent="0.25">
      <c r="A199" s="218"/>
      <c r="B199" s="218"/>
      <c r="C199" s="218"/>
      <c r="D199" s="218"/>
      <c r="E199" s="218"/>
      <c r="F199" s="311" t="s">
        <v>4</v>
      </c>
      <c r="G199" s="312"/>
      <c r="H199" s="312"/>
      <c r="I199" s="312"/>
      <c r="J199" s="312"/>
      <c r="K199" s="312"/>
      <c r="L199" s="312"/>
      <c r="M199" s="314">
        <v>0.1</v>
      </c>
      <c r="N199" s="312"/>
      <c r="O199" s="313">
        <f>+O197*M199</f>
        <v>0</v>
      </c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310"/>
    </row>
    <row r="201" spans="1:15" x14ac:dyDescent="0.25">
      <c r="A201" s="218"/>
      <c r="B201" s="218"/>
      <c r="C201" s="218"/>
      <c r="D201" s="218"/>
      <c r="E201" s="218"/>
      <c r="F201" s="315" t="s">
        <v>49</v>
      </c>
      <c r="G201" s="316"/>
      <c r="H201" s="316"/>
      <c r="I201" s="316"/>
      <c r="J201" s="316"/>
      <c r="K201" s="316"/>
      <c r="L201" s="316"/>
      <c r="M201" s="316"/>
      <c r="N201" s="316"/>
      <c r="O201" s="317">
        <f>+O197+O199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</row>
    <row r="204" spans="1:15" x14ac:dyDescent="0.25">
      <c r="A204" s="218"/>
      <c r="B204" s="218"/>
      <c r="C204" s="218"/>
      <c r="D204" s="218"/>
      <c r="E204" s="218"/>
      <c r="F204" s="315" t="s">
        <v>50</v>
      </c>
      <c r="G204" s="316"/>
      <c r="H204" s="316"/>
      <c r="I204" s="316"/>
      <c r="J204" s="316"/>
      <c r="K204" s="316"/>
      <c r="L204" s="316"/>
      <c r="M204" s="316"/>
      <c r="N204" s="316"/>
      <c r="O204" s="317" t="s">
        <v>51</v>
      </c>
    </row>
    <row r="205" spans="1:15" x14ac:dyDescent="0.25">
      <c r="A205" s="218"/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</row>
    <row r="206" spans="1:15" x14ac:dyDescent="0.25">
      <c r="A206" s="218"/>
      <c r="B206" s="218"/>
      <c r="C206" s="218"/>
      <c r="D206" s="218"/>
      <c r="E206" s="218"/>
      <c r="F206" s="218" t="s">
        <v>52</v>
      </c>
      <c r="G206" s="218"/>
      <c r="H206" s="218"/>
      <c r="I206" s="218"/>
      <c r="J206" s="218"/>
      <c r="K206" s="218"/>
      <c r="L206" s="218"/>
      <c r="M206" s="218"/>
      <c r="N206" s="218"/>
      <c r="O206" s="313">
        <f>+O57*(1+M189+M191)*(1+M199)</f>
        <v>0</v>
      </c>
    </row>
    <row r="207" spans="1:15" x14ac:dyDescent="0.25">
      <c r="A207" s="218"/>
      <c r="B207" s="218"/>
      <c r="C207" s="218"/>
      <c r="D207" s="218"/>
      <c r="E207" s="218"/>
      <c r="F207" s="218" t="s">
        <v>53</v>
      </c>
      <c r="G207" s="218"/>
      <c r="H207" s="218"/>
      <c r="I207" s="218"/>
      <c r="J207" s="218"/>
      <c r="K207" s="218"/>
      <c r="L207" s="218"/>
      <c r="M207" s="218"/>
      <c r="N207" s="218"/>
      <c r="O207" s="313">
        <f>+(O111+O163)*(1+M189+M191)*(1+M199)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54</v>
      </c>
      <c r="G208" s="218"/>
      <c r="H208" s="218"/>
      <c r="I208" s="218"/>
      <c r="J208" s="218"/>
      <c r="K208" s="218"/>
      <c r="L208" s="218"/>
      <c r="M208" s="218"/>
      <c r="N208" s="218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55</v>
      </c>
      <c r="G209" s="312"/>
      <c r="H209" s="312"/>
      <c r="I209" s="312"/>
      <c r="J209" s="312"/>
      <c r="K209" s="312"/>
      <c r="L209" s="312"/>
      <c r="M209" s="312"/>
      <c r="N209" s="312"/>
      <c r="O209" s="313">
        <f>G57</f>
        <v>0</v>
      </c>
    </row>
    <row r="210" spans="1:15" x14ac:dyDescent="0.25">
      <c r="A210" s="218"/>
      <c r="B210" s="218"/>
      <c r="C210" s="218"/>
      <c r="D210" s="218"/>
      <c r="E210" s="218"/>
      <c r="F210" s="311" t="s">
        <v>56</v>
      </c>
      <c r="G210" s="312"/>
      <c r="H210" s="312"/>
      <c r="I210" s="312"/>
      <c r="J210" s="312"/>
      <c r="K210" s="312"/>
      <c r="L210" s="312"/>
      <c r="M210" s="312"/>
      <c r="N210" s="312"/>
      <c r="O210" s="313">
        <f>+O209*6.16667</f>
        <v>0</v>
      </c>
    </row>
    <row r="211" spans="1:15" x14ac:dyDescent="0.25">
      <c r="A211" s="218"/>
      <c r="B211" s="218"/>
      <c r="C211" s="218"/>
      <c r="D211" s="218"/>
      <c r="E211" s="218"/>
      <c r="F211" s="218" t="s">
        <v>57</v>
      </c>
      <c r="G211" s="218"/>
      <c r="H211" s="218"/>
      <c r="I211" s="218"/>
      <c r="J211" s="218"/>
      <c r="K211" s="218"/>
      <c r="L211" s="218"/>
      <c r="M211" s="218"/>
      <c r="N211" s="218"/>
      <c r="O211" s="313" t="e">
        <f>+O201/O209</f>
        <v>#DIV/0!</v>
      </c>
    </row>
    <row r="212" spans="1:15" x14ac:dyDescent="0.25">
      <c r="A212" s="218"/>
      <c r="B212" s="218"/>
      <c r="C212" s="218"/>
      <c r="D212" s="218"/>
      <c r="E212" s="218"/>
      <c r="F212" s="218" t="s">
        <v>58</v>
      </c>
      <c r="G212" s="218"/>
      <c r="H212" s="218"/>
      <c r="I212" s="218"/>
      <c r="J212" s="218"/>
      <c r="K212" s="218"/>
      <c r="L212" s="218"/>
      <c r="M212" s="218"/>
      <c r="N212" s="218"/>
      <c r="O212" s="313" t="e">
        <f>+O201/O210</f>
        <v>#DIV/0!</v>
      </c>
    </row>
    <row r="213" spans="1:15" x14ac:dyDescent="0.25">
      <c r="O213" s="318"/>
    </row>
  </sheetData>
  <sheetProtection algorithmName="SHA-512" hashValue="N+UjuMjduba0OrXsWW26zwA+R1yY8w5YFEW2NOIu6VJaZS5q7yt4xWKcCuKFtnMIB5OFh5K1ZMn8yyq8hAq15A==" saltValue="N6AUwR3itE5ZanRcoXInig==" spinCount="100000" sheet="1" objects="1" scenarios="1" selectLockedCells="1"/>
  <mergeCells count="161">
    <mergeCell ref="A5:O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13:A114"/>
    <mergeCell ref="B113:B114"/>
    <mergeCell ref="O165:O166"/>
    <mergeCell ref="F165:F166"/>
    <mergeCell ref="G165:G166"/>
    <mergeCell ref="K165:K166"/>
    <mergeCell ref="M165:M166"/>
    <mergeCell ref="N165:N166"/>
    <mergeCell ref="C165:C166"/>
    <mergeCell ref="D165:D166"/>
    <mergeCell ref="E165:E166"/>
    <mergeCell ref="A118:B118"/>
    <mergeCell ref="A30:B30"/>
    <mergeCell ref="A31:B31"/>
    <mergeCell ref="A32:B32"/>
    <mergeCell ref="A33:B33"/>
    <mergeCell ref="A26:B26"/>
    <mergeCell ref="A27:B27"/>
    <mergeCell ref="A28:B28"/>
    <mergeCell ref="A29:B29"/>
    <mergeCell ref="A22:B22"/>
    <mergeCell ref="A23:B23"/>
    <mergeCell ref="A24:B24"/>
    <mergeCell ref="A45:B45"/>
    <mergeCell ref="A42:B42"/>
    <mergeCell ref="A43:B43"/>
    <mergeCell ref="A44:B44"/>
    <mergeCell ref="A37:B37"/>
    <mergeCell ref="A38:B38"/>
    <mergeCell ref="A39:B39"/>
    <mergeCell ref="A40:B40"/>
    <mergeCell ref="A34:B34"/>
    <mergeCell ref="A35:B35"/>
    <mergeCell ref="A36:B36"/>
    <mergeCell ref="A53:B53"/>
    <mergeCell ref="A54:B54"/>
    <mergeCell ref="A55:B55"/>
    <mergeCell ref="A56:B56"/>
    <mergeCell ref="A50:B50"/>
    <mergeCell ref="A51:B51"/>
    <mergeCell ref="A52:B52"/>
    <mergeCell ref="A46:B46"/>
    <mergeCell ref="A47:B47"/>
    <mergeCell ref="A48:B48"/>
    <mergeCell ref="A49:B49"/>
    <mergeCell ref="A68:B68"/>
    <mergeCell ref="A69:B69"/>
    <mergeCell ref="A70:B70"/>
    <mergeCell ref="A71:B71"/>
    <mergeCell ref="A72:B72"/>
    <mergeCell ref="A64:B64"/>
    <mergeCell ref="A65:B65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99:B99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119:B119"/>
    <mergeCell ref="A120:B120"/>
    <mergeCell ref="A121:B121"/>
    <mergeCell ref="A122:B122"/>
    <mergeCell ref="A123:B123"/>
    <mergeCell ref="A110:B110"/>
    <mergeCell ref="A7:B8"/>
    <mergeCell ref="A61:B62"/>
    <mergeCell ref="A116:B116"/>
    <mergeCell ref="A117:B117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4:B94"/>
    <mergeCell ref="A96:B96"/>
    <mergeCell ref="A97:B97"/>
    <mergeCell ref="A98:B98"/>
    <mergeCell ref="A129:B129"/>
    <mergeCell ref="A130:B130"/>
    <mergeCell ref="A132:B132"/>
    <mergeCell ref="A133:B133"/>
    <mergeCell ref="A134:B134"/>
    <mergeCell ref="A124:B124"/>
    <mergeCell ref="A125:B125"/>
    <mergeCell ref="A126:B126"/>
    <mergeCell ref="A127:B127"/>
    <mergeCell ref="A128:B128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51:B151"/>
    <mergeCell ref="A152:B152"/>
    <mergeCell ref="A153:B153"/>
    <mergeCell ref="A154:B154"/>
    <mergeCell ref="A155:B155"/>
    <mergeCell ref="A145:B145"/>
    <mergeCell ref="A146:B146"/>
    <mergeCell ref="A148:B148"/>
    <mergeCell ref="A149:B149"/>
    <mergeCell ref="A150:B150"/>
    <mergeCell ref="A161:B161"/>
    <mergeCell ref="A162:B162"/>
    <mergeCell ref="A165:B166"/>
    <mergeCell ref="A170:B171"/>
    <mergeCell ref="A156:B156"/>
    <mergeCell ref="A157:B157"/>
    <mergeCell ref="A158:B158"/>
    <mergeCell ref="A159:B159"/>
    <mergeCell ref="A160:B160"/>
    <mergeCell ref="A177:B178"/>
    <mergeCell ref="A179:B179"/>
    <mergeCell ref="A180:B180"/>
    <mergeCell ref="A181:B181"/>
    <mergeCell ref="A182:B182"/>
    <mergeCell ref="A183:B183"/>
    <mergeCell ref="A184:B184"/>
    <mergeCell ref="A167:B167"/>
    <mergeCell ref="A172:B172"/>
    <mergeCell ref="A174:B17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rowBreaks count="1" manualBreakCount="1">
    <brk id="11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D1BA-F006-4C05-9CC9-55DD7D83FF38}">
  <sheetPr>
    <tabColor theme="0"/>
  </sheetPr>
  <dimension ref="A1:O267"/>
  <sheetViews>
    <sheetView showGridLines="0" topLeftCell="A30" zoomScale="70" zoomScaleNormal="70" zoomScaleSheetLayoutView="70" workbookViewId="0">
      <selection activeCell="E74" sqref="E74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1.7109375" style="87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87" t="s">
        <v>205</v>
      </c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  <c r="N5" s="788"/>
      <c r="O5" s="789"/>
    </row>
    <row r="6" spans="1:15" s="153" customFormat="1" ht="26.25" x14ac:dyDescent="0.4">
      <c r="A6" s="259" t="s">
        <v>25</v>
      </c>
      <c r="B6" s="260"/>
      <c r="C6" s="378"/>
      <c r="D6" s="261"/>
      <c r="E6" s="261"/>
      <c r="F6" s="261"/>
      <c r="G6" s="261"/>
      <c r="H6" s="261"/>
      <c r="I6" s="261"/>
      <c r="J6" s="261"/>
      <c r="K6" s="262"/>
      <c r="L6" s="262"/>
      <c r="M6" s="262"/>
      <c r="N6" s="262"/>
      <c r="O6" s="263"/>
    </row>
    <row r="7" spans="1:15" x14ac:dyDescent="0.25">
      <c r="A7" s="790" t="s">
        <v>26</v>
      </c>
      <c r="B7" s="791"/>
      <c r="C7" s="379" t="s">
        <v>27</v>
      </c>
      <c r="D7" s="379" t="s">
        <v>28</v>
      </c>
      <c r="E7" s="379" t="s">
        <v>21</v>
      </c>
      <c r="F7" s="379" t="s">
        <v>29</v>
      </c>
      <c r="G7" s="379"/>
      <c r="H7" s="379" t="s">
        <v>177</v>
      </c>
      <c r="I7" s="379"/>
      <c r="J7" s="379" t="s">
        <v>178</v>
      </c>
      <c r="K7" s="379" t="s">
        <v>30</v>
      </c>
      <c r="L7" s="379" t="s">
        <v>23</v>
      </c>
      <c r="M7" s="379" t="s">
        <v>31</v>
      </c>
      <c r="N7" s="379" t="s">
        <v>0</v>
      </c>
      <c r="O7" s="380" t="s">
        <v>32</v>
      </c>
    </row>
    <row r="8" spans="1:15" x14ac:dyDescent="0.25">
      <c r="A8" s="775"/>
      <c r="B8" s="769"/>
      <c r="C8" s="266" t="s">
        <v>33</v>
      </c>
      <c r="D8" s="266" t="s">
        <v>5</v>
      </c>
      <c r="E8" s="266" t="s">
        <v>24</v>
      </c>
      <c r="F8" s="267" t="s">
        <v>34</v>
      </c>
      <c r="G8" s="266" t="s">
        <v>35</v>
      </c>
      <c r="H8" s="266" t="s">
        <v>180</v>
      </c>
      <c r="I8" s="266" t="s">
        <v>9</v>
      </c>
      <c r="J8" s="266" t="s">
        <v>179</v>
      </c>
      <c r="K8" s="266" t="s">
        <v>36</v>
      </c>
      <c r="L8" s="268" t="s">
        <v>37</v>
      </c>
      <c r="M8" s="266" t="s">
        <v>38</v>
      </c>
      <c r="N8" s="266" t="s">
        <v>39</v>
      </c>
      <c r="O8" s="269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Personal!G9+Personal!D36</f>
        <v>0</v>
      </c>
      <c r="L12" s="491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33" t="s">
        <v>183</v>
      </c>
      <c r="B13" s="733"/>
      <c r="C13" s="137">
        <v>6.1666699999999999</v>
      </c>
      <c r="D13" s="138">
        <v>1</v>
      </c>
      <c r="E13" s="701"/>
      <c r="F13" s="139">
        <f>Dies!$C$48</f>
        <v>95</v>
      </c>
      <c r="G13" s="273">
        <f>+F13*E13*D13</f>
        <v>0</v>
      </c>
      <c r="H13" s="273">
        <f>H12</f>
        <v>265</v>
      </c>
      <c r="I13" s="320">
        <f>G13/H13</f>
        <v>0</v>
      </c>
      <c r="J13" s="320">
        <f>G13/298</f>
        <v>0</v>
      </c>
      <c r="K13" s="320">
        <f>Personal!G12+Personal!D36</f>
        <v>0</v>
      </c>
      <c r="L13" s="491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s="240" customFormat="1" x14ac:dyDescent="0.25">
      <c r="A14" s="764" t="s">
        <v>89</v>
      </c>
      <c r="B14" s="764"/>
      <c r="C14" s="234"/>
      <c r="D14" s="241"/>
      <c r="E14" s="241"/>
      <c r="F14" s="241"/>
      <c r="G14" s="241"/>
      <c r="H14" s="241"/>
      <c r="I14" s="241"/>
      <c r="J14" s="241"/>
      <c r="K14" s="241"/>
      <c r="L14" s="241"/>
      <c r="M14" s="234"/>
      <c r="N14" s="234"/>
      <c r="O14" s="234"/>
    </row>
    <row r="15" spans="1:15" s="240" customFormat="1" x14ac:dyDescent="0.25">
      <c r="A15" s="733" t="s">
        <v>72</v>
      </c>
      <c r="B15" s="733"/>
      <c r="C15" s="137">
        <v>6.1666699999999999</v>
      </c>
      <c r="D15" s="138">
        <v>1</v>
      </c>
      <c r="E15" s="701"/>
      <c r="F15" s="139">
        <f>Dies!$C$48</f>
        <v>95</v>
      </c>
      <c r="G15" s="273">
        <f>+F15*E15*D15</f>
        <v>0</v>
      </c>
      <c r="H15" s="273">
        <f>$H$12</f>
        <v>265</v>
      </c>
      <c r="I15" s="320">
        <f>G15/H15</f>
        <v>0</v>
      </c>
      <c r="J15" s="320">
        <f>G15/298</f>
        <v>0</v>
      </c>
      <c r="K15" s="320">
        <f>$K$12</f>
        <v>0</v>
      </c>
      <c r="L15" s="491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s="240" customFormat="1" x14ac:dyDescent="0.25">
      <c r="A16" s="733" t="s">
        <v>183</v>
      </c>
      <c r="B16" s="733"/>
      <c r="C16" s="137">
        <v>6.1666699999999999</v>
      </c>
      <c r="D16" s="138">
        <v>1</v>
      </c>
      <c r="E16" s="701"/>
      <c r="F16" s="139">
        <f>Dies!$C$48</f>
        <v>95</v>
      </c>
      <c r="G16" s="273">
        <f>+F16*E16*D16</f>
        <v>0</v>
      </c>
      <c r="H16" s="273">
        <f>$H$12</f>
        <v>265</v>
      </c>
      <c r="I16" s="320">
        <f>G16/H16</f>
        <v>0</v>
      </c>
      <c r="J16" s="320">
        <f>G16/298</f>
        <v>0</v>
      </c>
      <c r="K16" s="320">
        <f>$K$13</f>
        <v>0</v>
      </c>
      <c r="L16" s="491">
        <f>+K16/C16</f>
        <v>0</v>
      </c>
      <c r="M16" s="238" t="s">
        <v>90</v>
      </c>
      <c r="N16" s="238" t="s">
        <v>42</v>
      </c>
      <c r="O16" s="239">
        <f>+K16*G16</f>
        <v>0</v>
      </c>
    </row>
    <row r="17" spans="1:15" s="153" customFormat="1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s="153" customFormat="1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s="240" customFormat="1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491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s="240" customFormat="1" x14ac:dyDescent="0.25">
      <c r="A20" s="733" t="s">
        <v>183</v>
      </c>
      <c r="B20" s="733"/>
      <c r="C20" s="137">
        <v>6.1666699999999999</v>
      </c>
      <c r="D20" s="7">
        <v>0.33333333333333337</v>
      </c>
      <c r="E20" s="701"/>
      <c r="F20" s="139">
        <f>Dies!$C$49</f>
        <v>20</v>
      </c>
      <c r="G20" s="273">
        <f>+F20*E20*D20</f>
        <v>0</v>
      </c>
      <c r="H20" s="273">
        <f>$H$12</f>
        <v>265</v>
      </c>
      <c r="I20" s="320">
        <f>G20/H20</f>
        <v>0</v>
      </c>
      <c r="J20" s="320">
        <f>G20/298</f>
        <v>0</v>
      </c>
      <c r="K20" s="320">
        <f>$K$13</f>
        <v>0</v>
      </c>
      <c r="L20" s="491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s="153" customFormat="1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s="240" customFormat="1" x14ac:dyDescent="0.25">
      <c r="A22" s="733" t="s">
        <v>72</v>
      </c>
      <c r="B22" s="733"/>
      <c r="C22" s="137">
        <v>6.1666699999999999</v>
      </c>
      <c r="D22" s="7">
        <v>0.33333333333333337</v>
      </c>
      <c r="E22" s="701"/>
      <c r="F22" s="139">
        <f>Dies!$C$49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</f>
        <v>0</v>
      </c>
      <c r="L22" s="491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s="240" customFormat="1" x14ac:dyDescent="0.25">
      <c r="A23" s="733" t="s">
        <v>183</v>
      </c>
      <c r="B23" s="733"/>
      <c r="C23" s="137">
        <v>6.1666699999999999</v>
      </c>
      <c r="D23" s="7">
        <v>0.33333333333333337</v>
      </c>
      <c r="E23" s="701"/>
      <c r="F23" s="139">
        <f>Dies!$C$49</f>
        <v>20</v>
      </c>
      <c r="G23" s="273">
        <f>+F23*E23*D23</f>
        <v>0</v>
      </c>
      <c r="H23" s="273">
        <f>$H$12</f>
        <v>265</v>
      </c>
      <c r="I23" s="320">
        <f>G23/H23</f>
        <v>0</v>
      </c>
      <c r="J23" s="320">
        <f>G23/298</f>
        <v>0</v>
      </c>
      <c r="K23" s="320">
        <f>$K$13</f>
        <v>0</v>
      </c>
      <c r="L23" s="491">
        <f>+K23/C23</f>
        <v>0</v>
      </c>
      <c r="M23" s="238" t="s">
        <v>90</v>
      </c>
      <c r="N23" s="238" t="s">
        <v>42</v>
      </c>
      <c r="O23" s="239">
        <f>+K23*G23</f>
        <v>0</v>
      </c>
    </row>
    <row r="24" spans="1:15" s="153" customFormat="1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s="153" customFormat="1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s="240" customFormat="1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139">
        <f>Dies!$C$50</f>
        <v>20</v>
      </c>
      <c r="G26" s="273">
        <f>+F26*E26*D26</f>
        <v>0</v>
      </c>
      <c r="H26" s="273">
        <f>$H$12</f>
        <v>265</v>
      </c>
      <c r="I26" s="320">
        <f>G26/H26</f>
        <v>0</v>
      </c>
      <c r="J26" s="320">
        <f>G26/298</f>
        <v>0</v>
      </c>
      <c r="K26" s="320">
        <f>$K$12+Personal!D38</f>
        <v>0</v>
      </c>
      <c r="L26" s="491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s="240" customFormat="1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139">
        <f>Dies!$C$50</f>
        <v>20</v>
      </c>
      <c r="G27" s="273">
        <f>+F27*E27*D27</f>
        <v>0</v>
      </c>
      <c r="H27" s="273">
        <f>$H$12</f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491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s="240" customFormat="1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s="240" customFormat="1" x14ac:dyDescent="0.25">
      <c r="A29" s="733" t="s">
        <v>72</v>
      </c>
      <c r="B29" s="733"/>
      <c r="C29" s="137">
        <v>6.1666699999999999</v>
      </c>
      <c r="D29" s="138">
        <v>0.66666666666666674</v>
      </c>
      <c r="E29" s="701"/>
      <c r="F29" s="139">
        <f>Dies!$C$50</f>
        <v>20</v>
      </c>
      <c r="G29" s="273">
        <f>+F29*E29*D29</f>
        <v>0</v>
      </c>
      <c r="H29" s="273">
        <f>$H$12</f>
        <v>265</v>
      </c>
      <c r="I29" s="320">
        <f>G29/H29</f>
        <v>0</v>
      </c>
      <c r="J29" s="320">
        <f>G29/298</f>
        <v>0</v>
      </c>
      <c r="K29" s="320">
        <f>$K$12+Personal!D38</f>
        <v>0</v>
      </c>
      <c r="L29" s="491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s="240" customFormat="1" x14ac:dyDescent="0.25">
      <c r="A30" s="733" t="s">
        <v>183</v>
      </c>
      <c r="B30" s="733"/>
      <c r="C30" s="137">
        <v>6.1666699999999999</v>
      </c>
      <c r="D30" s="138">
        <v>0.66666666666666674</v>
      </c>
      <c r="E30" s="701"/>
      <c r="F30" s="139">
        <f>Dies!$C$50</f>
        <v>20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491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240" customFormat="1" x14ac:dyDescent="0.25">
      <c r="A31" s="229" t="s">
        <v>199</v>
      </c>
      <c r="B31" s="242"/>
      <c r="C31" s="278"/>
      <c r="D31" s="278"/>
      <c r="E31" s="278"/>
      <c r="F31" s="245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 s="153" customFormat="1" x14ac:dyDescent="0.25">
      <c r="A32" s="782" t="s">
        <v>195</v>
      </c>
      <c r="B32" s="782"/>
      <c r="C32" s="241"/>
      <c r="D32" s="241"/>
      <c r="E32" s="241"/>
      <c r="F32" s="139"/>
      <c r="G32" s="234"/>
      <c r="H32" s="234"/>
      <c r="I32" s="236"/>
      <c r="J32" s="236"/>
      <c r="K32" s="241"/>
      <c r="L32" s="241"/>
      <c r="M32" s="234"/>
      <c r="N32" s="234"/>
      <c r="O32" s="234"/>
    </row>
    <row r="33" spans="1:15" s="153" customFormat="1" x14ac:dyDescent="0.25">
      <c r="A33" s="763" t="s">
        <v>88</v>
      </c>
      <c r="B33" s="763"/>
      <c r="C33" s="241"/>
      <c r="D33" s="241"/>
      <c r="E33" s="241"/>
      <c r="F33" s="139"/>
      <c r="G33" s="234"/>
      <c r="H33" s="234"/>
      <c r="I33" s="236"/>
      <c r="J33" s="236"/>
      <c r="K33" s="241"/>
      <c r="L33" s="241"/>
      <c r="M33" s="234"/>
      <c r="N33" s="234"/>
      <c r="O33" s="234"/>
    </row>
    <row r="34" spans="1:15" s="240" customFormat="1" x14ac:dyDescent="0.25">
      <c r="A34" s="733" t="s">
        <v>72</v>
      </c>
      <c r="B34" s="733"/>
      <c r="C34" s="137">
        <v>6.1666699999999999</v>
      </c>
      <c r="D34" s="138">
        <v>1</v>
      </c>
      <c r="E34" s="701"/>
      <c r="F34" s="139">
        <f>Dies!$C$53</f>
        <v>77</v>
      </c>
      <c r="G34" s="273">
        <f>+F34*E34*D34</f>
        <v>0</v>
      </c>
      <c r="H34" s="273">
        <f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491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s="240" customFormat="1" x14ac:dyDescent="0.25">
      <c r="A35" s="733" t="s">
        <v>183</v>
      </c>
      <c r="B35" s="733"/>
      <c r="C35" s="137">
        <v>6.1666699999999999</v>
      </c>
      <c r="D35" s="138">
        <v>1</v>
      </c>
      <c r="E35" s="701"/>
      <c r="F35" s="139">
        <f>Dies!$C$53</f>
        <v>77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$K$13</f>
        <v>0</v>
      </c>
      <c r="L35" s="491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s="153" customFormat="1" x14ac:dyDescent="0.25">
      <c r="A36" s="764" t="s">
        <v>89</v>
      </c>
      <c r="B36" s="764"/>
      <c r="C36" s="241"/>
      <c r="D36" s="241"/>
      <c r="E36" s="241"/>
      <c r="F36" s="241"/>
      <c r="G36" s="241"/>
      <c r="H36" s="241"/>
      <c r="I36" s="320"/>
      <c r="J36" s="320"/>
      <c r="K36" s="241"/>
      <c r="L36" s="241"/>
      <c r="M36" s="234"/>
      <c r="N36" s="234"/>
      <c r="O36" s="234"/>
    </row>
    <row r="37" spans="1:15" s="153" customFormat="1" x14ac:dyDescent="0.25">
      <c r="A37" s="733" t="s">
        <v>72</v>
      </c>
      <c r="B37" s="733"/>
      <c r="C37" s="137">
        <v>6.1666699999999999</v>
      </c>
      <c r="D37" s="138">
        <v>1</v>
      </c>
      <c r="E37" s="701"/>
      <c r="F37" s="139">
        <f>Dies!$C$53</f>
        <v>77</v>
      </c>
      <c r="G37" s="273">
        <f>+F37*E37*D37</f>
        <v>0</v>
      </c>
      <c r="H37" s="273">
        <f>$H$12</f>
        <v>265</v>
      </c>
      <c r="I37" s="320">
        <f>G37/H37</f>
        <v>0</v>
      </c>
      <c r="J37" s="320">
        <f>G37/298</f>
        <v>0</v>
      </c>
      <c r="K37" s="320">
        <f>$K$12</f>
        <v>0</v>
      </c>
      <c r="L37" s="491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s="240" customFormat="1" x14ac:dyDescent="0.25">
      <c r="A38" s="733" t="s">
        <v>183</v>
      </c>
      <c r="B38" s="733"/>
      <c r="C38" s="137">
        <v>6.1666699999999999</v>
      </c>
      <c r="D38" s="138">
        <v>1</v>
      </c>
      <c r="E38" s="701"/>
      <c r="F38" s="139">
        <f>Dies!$C$53</f>
        <v>77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$K$13</f>
        <v>0</v>
      </c>
      <c r="L38" s="491">
        <f>+K38/C38</f>
        <v>0</v>
      </c>
      <c r="M38" s="238" t="s">
        <v>90</v>
      </c>
      <c r="N38" s="238" t="s">
        <v>42</v>
      </c>
      <c r="O38" s="239">
        <f>+K38*G38</f>
        <v>0</v>
      </c>
    </row>
    <row r="39" spans="1:15" s="153" customFormat="1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s="153" customFormat="1" x14ac:dyDescent="0.25">
      <c r="A40" s="763" t="s">
        <v>88</v>
      </c>
      <c r="B40" s="763"/>
      <c r="C40" s="241"/>
      <c r="D40" s="241"/>
      <c r="E40" s="241"/>
      <c r="F40" s="241"/>
      <c r="G40" s="241"/>
      <c r="H40" s="241"/>
      <c r="I40" s="320"/>
      <c r="J40" s="320"/>
      <c r="K40" s="241"/>
      <c r="L40" s="241"/>
      <c r="M40" s="234"/>
      <c r="N40" s="234"/>
      <c r="O40" s="234"/>
    </row>
    <row r="41" spans="1:15" s="240" customFormat="1" x14ac:dyDescent="0.25">
      <c r="A41" s="733" t="s">
        <v>72</v>
      </c>
      <c r="B41" s="733"/>
      <c r="C41" s="137">
        <v>6.1666699999999999</v>
      </c>
      <c r="D41" s="7">
        <v>0.33333333333333337</v>
      </c>
      <c r="E41" s="701"/>
      <c r="F41" s="139">
        <f>Dies!$C$54</f>
        <v>15</v>
      </c>
      <c r="G41" s="273">
        <f>+F41*E41*D41</f>
        <v>0</v>
      </c>
      <c r="H41" s="273">
        <f>$H$12</f>
        <v>265</v>
      </c>
      <c r="I41" s="320">
        <f t="shared" ref="I41:I44" si="0">G41/H41</f>
        <v>0</v>
      </c>
      <c r="J41" s="320">
        <f>G41/298</f>
        <v>0</v>
      </c>
      <c r="K41" s="320">
        <f>$K$12</f>
        <v>0</v>
      </c>
      <c r="L41" s="491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s="240" customFormat="1" x14ac:dyDescent="0.25">
      <c r="A42" s="733" t="s">
        <v>183</v>
      </c>
      <c r="B42" s="733"/>
      <c r="C42" s="137">
        <v>6.1666699999999999</v>
      </c>
      <c r="D42" s="7">
        <v>0.33333333333333337</v>
      </c>
      <c r="E42" s="701"/>
      <c r="F42" s="139">
        <f>Dies!$C$54</f>
        <v>15</v>
      </c>
      <c r="G42" s="273">
        <f>+F42*E42*D42</f>
        <v>0</v>
      </c>
      <c r="H42" s="273">
        <f>$H$12</f>
        <v>265</v>
      </c>
      <c r="I42" s="320">
        <f>G42/H42</f>
        <v>0</v>
      </c>
      <c r="J42" s="320">
        <f>G42/298</f>
        <v>0</v>
      </c>
      <c r="K42" s="320">
        <f>$K$13</f>
        <v>0</v>
      </c>
      <c r="L42" s="491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s="153" customFormat="1" x14ac:dyDescent="0.25">
      <c r="A43" s="764" t="s">
        <v>89</v>
      </c>
      <c r="B43" s="764"/>
      <c r="C43" s="241"/>
      <c r="D43" s="241"/>
      <c r="E43" s="241"/>
      <c r="F43" s="241"/>
      <c r="G43" s="241"/>
      <c r="H43" s="241"/>
      <c r="I43" s="320"/>
      <c r="J43" s="320"/>
      <c r="K43" s="241"/>
      <c r="L43" s="241"/>
      <c r="M43" s="234"/>
      <c r="N43" s="234"/>
      <c r="O43" s="234"/>
    </row>
    <row r="44" spans="1:15" s="240" customFormat="1" x14ac:dyDescent="0.25">
      <c r="A44" s="733" t="s">
        <v>72</v>
      </c>
      <c r="B44" s="733"/>
      <c r="C44" s="137">
        <v>6.1666699999999999</v>
      </c>
      <c r="D44" s="7">
        <v>0.33333333333333337</v>
      </c>
      <c r="E44" s="701"/>
      <c r="F44" s="139">
        <f>Dies!$C$54</f>
        <v>15</v>
      </c>
      <c r="G44" s="273">
        <f>+F44*E44*D44</f>
        <v>0</v>
      </c>
      <c r="H44" s="273">
        <f>$H$12</f>
        <v>265</v>
      </c>
      <c r="I44" s="320">
        <f t="shared" si="0"/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s="240" customFormat="1" x14ac:dyDescent="0.25">
      <c r="A45" s="733" t="s">
        <v>183</v>
      </c>
      <c r="B45" s="733"/>
      <c r="C45" s="137">
        <v>6.1666699999999999</v>
      </c>
      <c r="D45" s="7">
        <v>0.33333333333333337</v>
      </c>
      <c r="E45" s="701"/>
      <c r="F45" s="139">
        <f>Dies!$C$54</f>
        <v>15</v>
      </c>
      <c r="G45" s="273">
        <f>+F45*E45*D45</f>
        <v>0</v>
      </c>
      <c r="H45" s="273">
        <f>$H$12</f>
        <v>265</v>
      </c>
      <c r="I45" s="320">
        <f>G45/H45</f>
        <v>0</v>
      </c>
      <c r="J45" s="320">
        <f>G45/298</f>
        <v>0</v>
      </c>
      <c r="K45" s="320">
        <f>$K$13</f>
        <v>0</v>
      </c>
      <c r="L45" s="491">
        <f>+K45/C45</f>
        <v>0</v>
      </c>
      <c r="M45" s="238" t="s">
        <v>90</v>
      </c>
      <c r="N45" s="238" t="s">
        <v>42</v>
      </c>
      <c r="O45" s="239">
        <f>+K45*G45</f>
        <v>0</v>
      </c>
    </row>
    <row r="46" spans="1:15" s="153" customFormat="1" x14ac:dyDescent="0.25">
      <c r="A46" s="762" t="s">
        <v>197</v>
      </c>
      <c r="B46" s="762"/>
      <c r="C46" s="241"/>
      <c r="D46" s="241"/>
      <c r="E46" s="241"/>
      <c r="F46" s="241"/>
      <c r="G46" s="241"/>
      <c r="H46" s="241"/>
      <c r="I46" s="320"/>
      <c r="J46" s="320"/>
      <c r="K46" s="241"/>
      <c r="L46" s="241"/>
      <c r="M46" s="234"/>
      <c r="N46" s="234"/>
      <c r="O46" s="234"/>
    </row>
    <row r="47" spans="1:15" s="240" customFormat="1" x14ac:dyDescent="0.25">
      <c r="A47" s="763" t="s">
        <v>88</v>
      </c>
      <c r="B47" s="763"/>
      <c r="C47" s="249"/>
      <c r="D47" s="241"/>
      <c r="E47" s="640"/>
      <c r="F47" s="241"/>
      <c r="G47" s="640"/>
      <c r="H47" s="640"/>
      <c r="I47" s="640"/>
      <c r="J47" s="640"/>
      <c r="K47" s="640"/>
      <c r="L47" s="640"/>
      <c r="M47" s="249"/>
      <c r="N47" s="249"/>
      <c r="O47" s="249"/>
    </row>
    <row r="48" spans="1:15" s="240" customFormat="1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139">
        <f>Dies!$C$55</f>
        <v>15</v>
      </c>
      <c r="G48" s="273">
        <f>+F48*E48*D48</f>
        <v>0</v>
      </c>
      <c r="H48" s="273">
        <f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491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s="240" customFormat="1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139">
        <f>Dies!$C$55</f>
        <v>15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491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64" t="s">
        <v>89</v>
      </c>
      <c r="B50" s="764"/>
      <c r="C50" s="249"/>
      <c r="D50" s="241"/>
      <c r="E50" s="640"/>
      <c r="F50" s="241"/>
      <c r="G50" s="640"/>
      <c r="H50" s="640"/>
      <c r="I50" s="640"/>
      <c r="J50" s="640"/>
      <c r="K50" s="640"/>
      <c r="L50" s="640"/>
      <c r="M50" s="249"/>
      <c r="N50" s="249"/>
      <c r="O50" s="249"/>
    </row>
    <row r="51" spans="1:15" s="240" customFormat="1" x14ac:dyDescent="0.25">
      <c r="A51" s="733" t="s">
        <v>72</v>
      </c>
      <c r="B51" s="733"/>
      <c r="C51" s="137">
        <v>6.1666699999999999</v>
      </c>
      <c r="D51" s="138">
        <v>0.66666666666666674</v>
      </c>
      <c r="E51" s="701"/>
      <c r="F51" s="139">
        <f>Dies!$C$55</f>
        <v>15</v>
      </c>
      <c r="G51" s="273">
        <f>+F51*E51*D51</f>
        <v>0</v>
      </c>
      <c r="H51" s="273">
        <f>$H$12</f>
        <v>265</v>
      </c>
      <c r="I51" s="320">
        <f t="shared" ref="I51" si="1">G51/H51</f>
        <v>0</v>
      </c>
      <c r="J51" s="320">
        <f>G51/298</f>
        <v>0</v>
      </c>
      <c r="K51" s="320">
        <f>$K$12+Personal!D38</f>
        <v>0</v>
      </c>
      <c r="L51" s="491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240" customFormat="1" x14ac:dyDescent="0.25">
      <c r="A52" s="733" t="s">
        <v>183</v>
      </c>
      <c r="B52" s="733"/>
      <c r="C52" s="137">
        <v>6.1666699999999999</v>
      </c>
      <c r="D52" s="138">
        <v>0.66666666666666674</v>
      </c>
      <c r="E52" s="701"/>
      <c r="F52" s="139">
        <f>Dies!$C$55</f>
        <v>15</v>
      </c>
      <c r="G52" s="273">
        <f>+F52*E52*D52</f>
        <v>0</v>
      </c>
      <c r="H52" s="273">
        <f>$H$12</f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491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s="240" customFormat="1" x14ac:dyDescent="0.25">
      <c r="A53" s="229" t="s">
        <v>326</v>
      </c>
      <c r="B53" s="242"/>
      <c r="C53" s="278"/>
      <c r="D53" s="278"/>
      <c r="E53" s="278"/>
      <c r="F53" s="245"/>
      <c r="G53" s="278"/>
      <c r="H53" s="278"/>
      <c r="I53" s="278"/>
      <c r="J53" s="278"/>
      <c r="K53" s="278"/>
      <c r="L53" s="278"/>
      <c r="M53" s="278"/>
      <c r="N53" s="278"/>
      <c r="O53" s="278"/>
    </row>
    <row r="54" spans="1:15" s="240" customFormat="1" x14ac:dyDescent="0.25">
      <c r="A54" s="782" t="s">
        <v>195</v>
      </c>
      <c r="B54" s="782"/>
      <c r="C54" s="137"/>
      <c r="D54" s="138"/>
      <c r="E54" s="139"/>
      <c r="F54" s="139"/>
      <c r="G54" s="273"/>
      <c r="H54" s="273"/>
      <c r="I54" s="320"/>
      <c r="J54" s="320"/>
      <c r="K54" s="320"/>
      <c r="L54" s="237"/>
      <c r="M54" s="238"/>
      <c r="N54" s="238"/>
      <c r="O54" s="239"/>
    </row>
    <row r="55" spans="1:15" s="240" customFormat="1" x14ac:dyDescent="0.25">
      <c r="A55" s="763" t="s">
        <v>88</v>
      </c>
      <c r="B55" s="763"/>
      <c r="C55" s="137"/>
      <c r="D55" s="138"/>
      <c r="E55" s="139"/>
      <c r="F55" s="139"/>
      <c r="G55" s="273"/>
      <c r="H55" s="273"/>
      <c r="I55" s="320"/>
      <c r="J55" s="320"/>
      <c r="K55" s="320"/>
      <c r="L55" s="237"/>
      <c r="M55" s="238"/>
      <c r="N55" s="238"/>
      <c r="O55" s="239"/>
    </row>
    <row r="56" spans="1:15" s="240" customFormat="1" x14ac:dyDescent="0.25">
      <c r="A56" s="733" t="s">
        <v>72</v>
      </c>
      <c r="B56" s="733"/>
      <c r="C56" s="137">
        <v>6.1666699999999999</v>
      </c>
      <c r="D56" s="138">
        <v>1</v>
      </c>
      <c r="E56" s="701"/>
      <c r="F56" s="139">
        <f>Dies!$C$58</f>
        <v>89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</f>
        <v>0</v>
      </c>
      <c r="L56" s="491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s="240" customFormat="1" x14ac:dyDescent="0.25">
      <c r="A57" s="733" t="s">
        <v>183</v>
      </c>
      <c r="B57" s="733"/>
      <c r="C57" s="137">
        <v>6.1666699999999999</v>
      </c>
      <c r="D57" s="138">
        <v>1</v>
      </c>
      <c r="E57" s="701"/>
      <c r="F57" s="139">
        <f>Dies!$C$58</f>
        <v>89</v>
      </c>
      <c r="G57" s="273">
        <f>+F57*E57*D57</f>
        <v>0</v>
      </c>
      <c r="H57" s="273">
        <f>$H$12</f>
        <v>265</v>
      </c>
      <c r="I57" s="320">
        <f>G57/H57</f>
        <v>0</v>
      </c>
      <c r="J57" s="320">
        <f>G57/298</f>
        <v>0</v>
      </c>
      <c r="K57" s="320">
        <f>$K$13</f>
        <v>0</v>
      </c>
      <c r="L57" s="491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s="240" customFormat="1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s="240" customFormat="1" x14ac:dyDescent="0.25">
      <c r="A59" s="733" t="s">
        <v>72</v>
      </c>
      <c r="B59" s="733"/>
      <c r="C59" s="137">
        <v>6.1666699999999999</v>
      </c>
      <c r="D59" s="138">
        <v>1</v>
      </c>
      <c r="E59" s="701"/>
      <c r="F59" s="139">
        <f>Dies!$C$58</f>
        <v>89</v>
      </c>
      <c r="G59" s="273">
        <f>+F59*E59*D59</f>
        <v>0</v>
      </c>
      <c r="H59" s="273">
        <f>$H$12</f>
        <v>265</v>
      </c>
      <c r="I59" s="320">
        <f>G59/H59</f>
        <v>0</v>
      </c>
      <c r="J59" s="320">
        <f>G59/298</f>
        <v>0</v>
      </c>
      <c r="K59" s="320">
        <f>$K$12</f>
        <v>0</v>
      </c>
      <c r="L59" s="491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s="240" customFormat="1" x14ac:dyDescent="0.25">
      <c r="A60" s="733" t="s">
        <v>183</v>
      </c>
      <c r="B60" s="733"/>
      <c r="C60" s="137">
        <v>6.1666699999999999</v>
      </c>
      <c r="D60" s="138">
        <v>1</v>
      </c>
      <c r="E60" s="701"/>
      <c r="F60" s="139">
        <f>Dies!$C$58</f>
        <v>89</v>
      </c>
      <c r="G60" s="273">
        <f>+F60*E60*D60</f>
        <v>0</v>
      </c>
      <c r="H60" s="273">
        <f>$H$12</f>
        <v>265</v>
      </c>
      <c r="I60" s="320">
        <f>G60/H60</f>
        <v>0</v>
      </c>
      <c r="J60" s="320">
        <f>G60/298</f>
        <v>0</v>
      </c>
      <c r="K60" s="320">
        <f>$K$13</f>
        <v>0</v>
      </c>
      <c r="L60" s="491">
        <f>+K60/C60</f>
        <v>0</v>
      </c>
      <c r="M60" s="238" t="s">
        <v>90</v>
      </c>
      <c r="N60" s="238" t="s">
        <v>42</v>
      </c>
      <c r="O60" s="239">
        <f>+K60*G60</f>
        <v>0</v>
      </c>
    </row>
    <row r="61" spans="1:15" s="240" customFormat="1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s="240" customFormat="1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s="240" customFormat="1" x14ac:dyDescent="0.25">
      <c r="A63" s="733" t="s">
        <v>72</v>
      </c>
      <c r="B63" s="733"/>
      <c r="C63" s="137">
        <v>6.1666699999999999</v>
      </c>
      <c r="D63" s="7">
        <v>0.33333333333333337</v>
      </c>
      <c r="E63" s="701"/>
      <c r="F63" s="139">
        <f>Dies!$C$59</f>
        <v>17</v>
      </c>
      <c r="G63" s="273">
        <f>+F63*E63*D63</f>
        <v>0</v>
      </c>
      <c r="H63" s="273">
        <f>$H$12</f>
        <v>265</v>
      </c>
      <c r="I63" s="320">
        <f t="shared" ref="I63" si="2">G63/H63</f>
        <v>0</v>
      </c>
      <c r="J63" s="320">
        <f>G63/298</f>
        <v>0</v>
      </c>
      <c r="K63" s="320">
        <f>$K$12</f>
        <v>0</v>
      </c>
      <c r="L63" s="491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s="240" customFormat="1" x14ac:dyDescent="0.25">
      <c r="A64" s="733" t="s">
        <v>183</v>
      </c>
      <c r="B64" s="733"/>
      <c r="C64" s="137">
        <v>6.1666699999999999</v>
      </c>
      <c r="D64" s="7">
        <v>0.33333333333333337</v>
      </c>
      <c r="E64" s="701"/>
      <c r="F64" s="139">
        <f>Dies!$C$59</f>
        <v>17</v>
      </c>
      <c r="G64" s="273">
        <f>+F64*E64*D64</f>
        <v>0</v>
      </c>
      <c r="H64" s="273">
        <f>$H$12</f>
        <v>265</v>
      </c>
      <c r="I64" s="320">
        <f>G64/H64</f>
        <v>0</v>
      </c>
      <c r="J64" s="320">
        <f>G64/298</f>
        <v>0</v>
      </c>
      <c r="K64" s="320">
        <f>$K$13</f>
        <v>0</v>
      </c>
      <c r="L64" s="491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s="240" customFormat="1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s="240" customFormat="1" x14ac:dyDescent="0.25">
      <c r="A66" s="733" t="s">
        <v>72</v>
      </c>
      <c r="B66" s="733"/>
      <c r="C66" s="137">
        <v>6.1666699999999999</v>
      </c>
      <c r="D66" s="7">
        <v>0.33333333333333337</v>
      </c>
      <c r="E66" s="701"/>
      <c r="F66" s="139">
        <f>Dies!$C$59</f>
        <v>17</v>
      </c>
      <c r="G66" s="273">
        <f>+F66*E66*D66</f>
        <v>0</v>
      </c>
      <c r="H66" s="273">
        <f>$H$12</f>
        <v>265</v>
      </c>
      <c r="I66" s="320">
        <f t="shared" ref="I66" si="3">G66/H66</f>
        <v>0</v>
      </c>
      <c r="J66" s="320">
        <f>G66/298</f>
        <v>0</v>
      </c>
      <c r="K66" s="320">
        <f>$K$12</f>
        <v>0</v>
      </c>
      <c r="L66" s="491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s="240" customFormat="1" x14ac:dyDescent="0.25">
      <c r="A67" s="733" t="s">
        <v>183</v>
      </c>
      <c r="B67" s="733"/>
      <c r="C67" s="137">
        <v>6.1666699999999999</v>
      </c>
      <c r="D67" s="7">
        <v>0.33333333333333337</v>
      </c>
      <c r="E67" s="701"/>
      <c r="F67" s="139">
        <f>Dies!$C$59</f>
        <v>17</v>
      </c>
      <c r="G67" s="273">
        <f>+F67*E67*D67</f>
        <v>0</v>
      </c>
      <c r="H67" s="273">
        <f>$H$12</f>
        <v>265</v>
      </c>
      <c r="I67" s="320">
        <f>G67/H67</f>
        <v>0</v>
      </c>
      <c r="J67" s="320">
        <f>G67/298</f>
        <v>0</v>
      </c>
      <c r="K67" s="320">
        <f>$K$13</f>
        <v>0</v>
      </c>
      <c r="L67" s="491">
        <f>+K67/C67</f>
        <v>0</v>
      </c>
      <c r="M67" s="238" t="s">
        <v>90</v>
      </c>
      <c r="N67" s="238" t="s">
        <v>42</v>
      </c>
      <c r="O67" s="239">
        <f>+K67*G67</f>
        <v>0</v>
      </c>
    </row>
    <row r="68" spans="1:15" s="240" customFormat="1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s="240" customFormat="1" x14ac:dyDescent="0.25">
      <c r="A69" s="763" t="s">
        <v>88</v>
      </c>
      <c r="B69" s="763"/>
      <c r="C69" s="249"/>
      <c r="D69" s="241"/>
      <c r="E69" s="640"/>
      <c r="F69" s="241"/>
      <c r="G69" s="640"/>
      <c r="H69" s="640"/>
      <c r="I69" s="640"/>
      <c r="J69" s="640"/>
      <c r="K69" s="640"/>
      <c r="L69" s="640"/>
      <c r="M69" s="249"/>
      <c r="N69" s="249"/>
      <c r="O69" s="249"/>
    </row>
    <row r="70" spans="1:15" s="240" customFormat="1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139">
        <f>Dies!$C$60</f>
        <v>17</v>
      </c>
      <c r="G70" s="273">
        <f>+F70*E70*D70</f>
        <v>0</v>
      </c>
      <c r="H70" s="273">
        <f>$H$12</f>
        <v>265</v>
      </c>
      <c r="I70" s="320">
        <f>G70/H70</f>
        <v>0</v>
      </c>
      <c r="J70" s="320">
        <f>G70/298</f>
        <v>0</v>
      </c>
      <c r="K70" s="320">
        <f>$K$12+Personal!D38</f>
        <v>0</v>
      </c>
      <c r="L70" s="491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s="240" customFormat="1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139">
        <f>Dies!$C$60</f>
        <v>17</v>
      </c>
      <c r="G71" s="273">
        <f>+F71*E71*D71</f>
        <v>0</v>
      </c>
      <c r="H71" s="273">
        <f>$H$12</f>
        <v>265</v>
      </c>
      <c r="I71" s="320">
        <f>G71/H71</f>
        <v>0</v>
      </c>
      <c r="J71" s="320">
        <f>G71/298</f>
        <v>0</v>
      </c>
      <c r="K71" s="320">
        <f>$K$13+Personal!D38</f>
        <v>0</v>
      </c>
      <c r="L71" s="491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s="240" customFormat="1" x14ac:dyDescent="0.25">
      <c r="A72" s="764" t="s">
        <v>89</v>
      </c>
      <c r="B72" s="764"/>
      <c r="C72" s="249"/>
      <c r="D72" s="241"/>
      <c r="E72" s="640"/>
      <c r="F72" s="241"/>
      <c r="G72" s="640"/>
      <c r="H72" s="640"/>
      <c r="I72" s="640"/>
      <c r="J72" s="640"/>
      <c r="K72" s="640"/>
      <c r="L72" s="640"/>
      <c r="M72" s="249"/>
      <c r="N72" s="249"/>
      <c r="O72" s="249"/>
    </row>
    <row r="73" spans="1:15" s="240" customFormat="1" x14ac:dyDescent="0.25">
      <c r="A73" s="733" t="s">
        <v>72</v>
      </c>
      <c r="B73" s="733"/>
      <c r="C73" s="137">
        <v>6.1666699999999999</v>
      </c>
      <c r="D73" s="138">
        <v>0.66666666666666674</v>
      </c>
      <c r="E73" s="701"/>
      <c r="F73" s="139">
        <f>Dies!$C$60</f>
        <v>17</v>
      </c>
      <c r="G73" s="273">
        <f>+F73*E73*D73</f>
        <v>0</v>
      </c>
      <c r="H73" s="273">
        <f>$H$12</f>
        <v>265</v>
      </c>
      <c r="I73" s="320">
        <f t="shared" ref="I73" si="4">G73/H73</f>
        <v>0</v>
      </c>
      <c r="J73" s="320">
        <f>G73/298</f>
        <v>0</v>
      </c>
      <c r="K73" s="320">
        <f>$K$12+Personal!D38</f>
        <v>0</v>
      </c>
      <c r="L73" s="491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s="240" customFormat="1" x14ac:dyDescent="0.25">
      <c r="A74" s="771" t="s">
        <v>183</v>
      </c>
      <c r="B74" s="771"/>
      <c r="C74" s="274">
        <v>6.1666699999999999</v>
      </c>
      <c r="D74" s="138">
        <v>0.66666666666666674</v>
      </c>
      <c r="E74" s="702"/>
      <c r="F74" s="641">
        <f>Dies!$C$60</f>
        <v>17</v>
      </c>
      <c r="G74" s="276">
        <f>+F74*E74*D74</f>
        <v>0</v>
      </c>
      <c r="H74" s="276">
        <f>$H$12</f>
        <v>265</v>
      </c>
      <c r="I74" s="362">
        <f>G74/H74</f>
        <v>0</v>
      </c>
      <c r="J74" s="362">
        <f>G74/298</f>
        <v>0</v>
      </c>
      <c r="K74" s="362">
        <f>$K$13+Personal!D38</f>
        <v>0</v>
      </c>
      <c r="L74" s="642">
        <f>+K74/C74</f>
        <v>0</v>
      </c>
      <c r="M74" s="252" t="s">
        <v>90</v>
      </c>
      <c r="N74" s="252" t="s">
        <v>42</v>
      </c>
      <c r="O74" s="253">
        <f>+K74*G74</f>
        <v>0</v>
      </c>
    </row>
    <row r="75" spans="1:15" x14ac:dyDescent="0.25">
      <c r="A75" s="321"/>
      <c r="B75" s="322"/>
      <c r="C75" s="322"/>
      <c r="D75" s="322"/>
      <c r="E75" s="323" t="s">
        <v>45</v>
      </c>
      <c r="F75" s="324"/>
      <c r="G75" s="324">
        <f>SUM(G12:G74)</f>
        <v>0</v>
      </c>
      <c r="H75" s="324"/>
      <c r="I75" s="324">
        <f>SUM(I12:I74)</f>
        <v>0</v>
      </c>
      <c r="J75" s="324">
        <f>SUM(J12:J74)</f>
        <v>0</v>
      </c>
      <c r="K75" s="322"/>
      <c r="L75" s="322"/>
      <c r="M75" s="322"/>
      <c r="N75" s="322"/>
      <c r="O75" s="325">
        <f>SUM(O10:O74)</f>
        <v>0</v>
      </c>
    </row>
    <row r="76" spans="1:15" x14ac:dyDescent="0.25">
      <c r="A76" s="326"/>
      <c r="B76" s="327"/>
      <c r="C76" s="327"/>
      <c r="D76" s="327"/>
      <c r="E76" s="328"/>
      <c r="F76" s="258" t="s">
        <v>303</v>
      </c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J13+J16+J20+J23+J27+J30+J35+J38+J42+J45+J49+J52+J57+J60+J64+J67+J71+J74</f>
        <v>0</v>
      </c>
      <c r="K76" s="327"/>
      <c r="L76" s="327"/>
      <c r="M76" s="327"/>
      <c r="N76" s="327"/>
      <c r="O76" s="329"/>
    </row>
    <row r="77" spans="1:15" x14ac:dyDescent="0.25">
      <c r="A77" s="331"/>
      <c r="B77" s="330"/>
      <c r="C77" s="330"/>
      <c r="D77" s="330"/>
      <c r="E77" s="332"/>
      <c r="F77" s="258" t="s">
        <v>298</v>
      </c>
      <c r="G77" s="324">
        <f>G12+G15+G19+G22+G26+G29+G34+G37+G41+G44+G48+G51+G56+G59+G63+G66+G70+G73</f>
        <v>0</v>
      </c>
      <c r="H77" s="324" t="s">
        <v>72</v>
      </c>
      <c r="I77" s="324">
        <f>I12+I15+I19+I22+I26+I29+I34+I37+I41+I44+I48+I51+I56+I59+I63+I66+I70+I73</f>
        <v>0</v>
      </c>
      <c r="J77" s="324">
        <f>J12+J15+J19+J22+J26+J29+J34+J37+J41+J44+J48+J51+J56+J59+J63+J66+J70+J73</f>
        <v>0</v>
      </c>
      <c r="K77" s="330"/>
      <c r="L77" s="330"/>
      <c r="M77" s="330"/>
      <c r="N77" s="330"/>
      <c r="O77" s="334"/>
    </row>
    <row r="78" spans="1:15" s="153" customFormat="1" ht="26.25" x14ac:dyDescent="0.4">
      <c r="A78" s="335" t="s">
        <v>211</v>
      </c>
      <c r="B78" s="336"/>
      <c r="C78" s="336"/>
      <c r="D78" s="337"/>
      <c r="E78" s="337"/>
      <c r="F78" s="337"/>
      <c r="G78" s="337"/>
      <c r="H78" s="337"/>
      <c r="I78" s="337"/>
      <c r="J78" s="337"/>
      <c r="K78" s="338"/>
      <c r="L78" s="338"/>
      <c r="M78" s="338"/>
      <c r="N78" s="338"/>
      <c r="O78" s="339"/>
    </row>
    <row r="79" spans="1:15" x14ac:dyDescent="0.25">
      <c r="A79" s="779" t="s">
        <v>20</v>
      </c>
      <c r="B79" s="768"/>
      <c r="C79" s="264" t="s">
        <v>27</v>
      </c>
      <c r="D79" s="264" t="s">
        <v>28</v>
      </c>
      <c r="E79" s="264" t="s">
        <v>21</v>
      </c>
      <c r="F79" s="264" t="s">
        <v>29</v>
      </c>
      <c r="G79" s="264"/>
      <c r="H79" s="264"/>
      <c r="I79" s="264"/>
      <c r="J79" s="264"/>
      <c r="K79" s="264" t="s">
        <v>30</v>
      </c>
      <c r="L79" s="264" t="s">
        <v>23</v>
      </c>
      <c r="M79" s="264" t="s">
        <v>31</v>
      </c>
      <c r="N79" s="264"/>
      <c r="O79" s="265" t="s">
        <v>32</v>
      </c>
    </row>
    <row r="80" spans="1:15" x14ac:dyDescent="0.25">
      <c r="A80" s="775"/>
      <c r="B80" s="769"/>
      <c r="C80" s="266" t="s">
        <v>44</v>
      </c>
      <c r="D80" s="266" t="s">
        <v>5</v>
      </c>
      <c r="E80" s="266" t="s">
        <v>24</v>
      </c>
      <c r="F80" s="267" t="s">
        <v>34</v>
      </c>
      <c r="G80" s="266" t="s">
        <v>35</v>
      </c>
      <c r="H80" s="266"/>
      <c r="I80" s="266"/>
      <c r="J80" s="266"/>
      <c r="K80" s="266" t="s">
        <v>36</v>
      </c>
      <c r="L80" s="268" t="s">
        <v>37</v>
      </c>
      <c r="M80" s="266" t="s">
        <v>38</v>
      </c>
      <c r="N80" s="266"/>
      <c r="O80" s="269" t="s">
        <v>40</v>
      </c>
    </row>
    <row r="81" spans="1:15" x14ac:dyDescent="0.25">
      <c r="A81" s="270" t="s">
        <v>198</v>
      </c>
      <c r="B81" s="340"/>
      <c r="C81" s="381"/>
      <c r="D81" s="381"/>
      <c r="E81" s="381"/>
      <c r="F81" s="382"/>
      <c r="G81" s="381"/>
      <c r="H81" s="381"/>
      <c r="I81" s="381"/>
      <c r="J81" s="381"/>
      <c r="K81" s="381"/>
      <c r="L81" s="383"/>
      <c r="M81" s="381"/>
      <c r="N81" s="381"/>
      <c r="O81" s="381"/>
    </row>
    <row r="82" spans="1:15" x14ac:dyDescent="0.25">
      <c r="A82" s="782" t="s">
        <v>195</v>
      </c>
      <c r="B82" s="782"/>
      <c r="C82" s="147"/>
      <c r="D82" s="147"/>
      <c r="E82" s="147"/>
      <c r="F82" s="384"/>
      <c r="G82" s="147"/>
      <c r="H82" s="147"/>
      <c r="I82" s="147"/>
      <c r="J82" s="147"/>
      <c r="K82" s="147"/>
      <c r="L82" s="385"/>
      <c r="M82" s="147"/>
      <c r="N82" s="147"/>
      <c r="O82" s="147"/>
    </row>
    <row r="83" spans="1:15" x14ac:dyDescent="0.25">
      <c r="A83" s="763" t="s">
        <v>88</v>
      </c>
      <c r="B83" s="763"/>
      <c r="C83" s="147"/>
      <c r="D83" s="147"/>
      <c r="E83" s="147"/>
      <c r="F83" s="384"/>
      <c r="G83" s="147"/>
      <c r="H83" s="147"/>
      <c r="I83" s="147"/>
      <c r="J83" s="147"/>
      <c r="K83" s="147"/>
      <c r="L83" s="385"/>
      <c r="M83" s="147"/>
      <c r="N83" s="147"/>
      <c r="O83" s="147"/>
    </row>
    <row r="84" spans="1:15" x14ac:dyDescent="0.25">
      <c r="A84" s="733" t="s">
        <v>427</v>
      </c>
      <c r="B84" s="733"/>
      <c r="C84" s="137">
        <v>6.1666699999999999</v>
      </c>
      <c r="D84" s="138">
        <v>1</v>
      </c>
      <c r="E84" s="139">
        <f>$E$12</f>
        <v>0</v>
      </c>
      <c r="F84" s="139">
        <f>Dies!$C$48</f>
        <v>95</v>
      </c>
      <c r="G84" s="273">
        <f>+D84*E84*F84</f>
        <v>0</v>
      </c>
      <c r="H84" s="273"/>
      <c r="I84" s="273"/>
      <c r="J84" s="273"/>
      <c r="K84" s="320">
        <f>'Seguro+combustible+reparacions'!F18</f>
        <v>0</v>
      </c>
      <c r="L84" s="491">
        <f>+K84/C84</f>
        <v>0</v>
      </c>
      <c r="M84" s="139" t="s">
        <v>41</v>
      </c>
      <c r="N84" s="238"/>
      <c r="O84" s="239">
        <f>+K84*G84</f>
        <v>0</v>
      </c>
    </row>
    <row r="85" spans="1:15" x14ac:dyDescent="0.25">
      <c r="A85" s="306" t="s">
        <v>246</v>
      </c>
      <c r="B85" s="306"/>
      <c r="C85" s="137">
        <v>6.1666699999999999</v>
      </c>
      <c r="D85" s="138">
        <v>1</v>
      </c>
      <c r="E85" s="139">
        <f>$E$13</f>
        <v>0</v>
      </c>
      <c r="F85" s="139">
        <f>Dies!$C$48</f>
        <v>95</v>
      </c>
      <c r="G85" s="273">
        <f>+D85*E85*F85</f>
        <v>0</v>
      </c>
      <c r="H85" s="273"/>
      <c r="I85" s="273"/>
      <c r="J85" s="273"/>
      <c r="K85" s="320">
        <f>'Seguro+combustible+reparacions'!F20</f>
        <v>0</v>
      </c>
      <c r="L85" s="491">
        <f>+K85/C85</f>
        <v>0</v>
      </c>
      <c r="M85" s="139" t="s">
        <v>41</v>
      </c>
      <c r="N85" s="238"/>
      <c r="O85" s="239">
        <f>+K85*G85</f>
        <v>0</v>
      </c>
    </row>
    <row r="86" spans="1:15" x14ac:dyDescent="0.25">
      <c r="A86" s="764" t="s">
        <v>89</v>
      </c>
      <c r="B86" s="764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34"/>
      <c r="O86" s="234"/>
    </row>
    <row r="87" spans="1:15" x14ac:dyDescent="0.25">
      <c r="A87" s="733" t="s">
        <v>427</v>
      </c>
      <c r="B87" s="733"/>
      <c r="C87" s="137">
        <v>6.1666699999999999</v>
      </c>
      <c r="D87" s="138">
        <v>1</v>
      </c>
      <c r="E87" s="139">
        <f>$E$15</f>
        <v>0</v>
      </c>
      <c r="F87" s="139">
        <f>Dies!$C$48</f>
        <v>95</v>
      </c>
      <c r="G87" s="273">
        <f>+D87*E87*F87</f>
        <v>0</v>
      </c>
      <c r="H87" s="273"/>
      <c r="I87" s="273"/>
      <c r="J87" s="273"/>
      <c r="K87" s="320">
        <f>$K$84</f>
        <v>0</v>
      </c>
      <c r="L87" s="491">
        <f>+K87/C87</f>
        <v>0</v>
      </c>
      <c r="M87" s="139" t="s">
        <v>90</v>
      </c>
      <c r="N87" s="238"/>
      <c r="O87" s="239">
        <f>+K87*G87</f>
        <v>0</v>
      </c>
    </row>
    <row r="88" spans="1:15" x14ac:dyDescent="0.25">
      <c r="A88" s="306" t="s">
        <v>246</v>
      </c>
      <c r="B88" s="306"/>
      <c r="C88" s="137">
        <v>6.1666699999999999</v>
      </c>
      <c r="D88" s="138">
        <v>1</v>
      </c>
      <c r="E88" s="139">
        <f>$E$16</f>
        <v>0</v>
      </c>
      <c r="F88" s="139">
        <f>Dies!$C$48</f>
        <v>95</v>
      </c>
      <c r="G88" s="273">
        <f>+D88*E88*F88</f>
        <v>0</v>
      </c>
      <c r="H88" s="273"/>
      <c r="I88" s="273"/>
      <c r="J88" s="273"/>
      <c r="K88" s="320">
        <f>$K$85</f>
        <v>0</v>
      </c>
      <c r="L88" s="491">
        <f>+K88/C88</f>
        <v>0</v>
      </c>
      <c r="M88" s="139" t="s">
        <v>90</v>
      </c>
      <c r="N88" s="238"/>
      <c r="O88" s="239">
        <f>+K88*G88</f>
        <v>0</v>
      </c>
    </row>
    <row r="89" spans="1:15" x14ac:dyDescent="0.25">
      <c r="A89" s="762" t="s">
        <v>196</v>
      </c>
      <c r="B89" s="762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34"/>
      <c r="O89" s="234"/>
    </row>
    <row r="90" spans="1:15" x14ac:dyDescent="0.25">
      <c r="A90" s="763" t="s">
        <v>88</v>
      </c>
      <c r="B90" s="763"/>
      <c r="C90" s="241"/>
      <c r="D90" s="241"/>
      <c r="E90" s="241"/>
      <c r="F90" s="241"/>
      <c r="G90" s="653"/>
      <c r="H90" s="241"/>
      <c r="I90" s="241"/>
      <c r="J90" s="241"/>
      <c r="K90" s="241"/>
      <c r="L90" s="241"/>
      <c r="M90" s="241"/>
      <c r="N90" s="234"/>
      <c r="O90" s="234"/>
    </row>
    <row r="91" spans="1:15" x14ac:dyDescent="0.25">
      <c r="A91" s="733" t="s">
        <v>427</v>
      </c>
      <c r="B91" s="733"/>
      <c r="C91" s="137">
        <v>6.1666699999999999</v>
      </c>
      <c r="D91" s="138">
        <v>1</v>
      </c>
      <c r="E91" s="139">
        <f>$E$19</f>
        <v>0</v>
      </c>
      <c r="F91" s="139">
        <f>Dies!$C$49</f>
        <v>20</v>
      </c>
      <c r="G91" s="273">
        <f>+D91*E91*F91</f>
        <v>0</v>
      </c>
      <c r="H91" s="273"/>
      <c r="I91" s="273"/>
      <c r="J91" s="273"/>
      <c r="K91" s="320">
        <f>$K$84</f>
        <v>0</v>
      </c>
      <c r="L91" s="491">
        <f>+K91/C91</f>
        <v>0</v>
      </c>
      <c r="M91" s="139" t="s">
        <v>41</v>
      </c>
      <c r="N91" s="238"/>
      <c r="O91" s="239">
        <f>+K91*G91</f>
        <v>0</v>
      </c>
    </row>
    <row r="92" spans="1:15" x14ac:dyDescent="0.25">
      <c r="A92" s="306" t="s">
        <v>246</v>
      </c>
      <c r="B92" s="306"/>
      <c r="C92" s="137">
        <v>6.1666699999999999</v>
      </c>
      <c r="D92" s="138">
        <v>1</v>
      </c>
      <c r="E92" s="139">
        <f>$E$20</f>
        <v>0</v>
      </c>
      <c r="F92" s="139">
        <f>Dies!$C$49</f>
        <v>20</v>
      </c>
      <c r="G92" s="273">
        <f>+D92*E92*F92</f>
        <v>0</v>
      </c>
      <c r="H92" s="273"/>
      <c r="I92" s="273"/>
      <c r="J92" s="273"/>
      <c r="K92" s="320">
        <f>$K$85</f>
        <v>0</v>
      </c>
      <c r="L92" s="491">
        <f>+K92/C92</f>
        <v>0</v>
      </c>
      <c r="M92" s="139" t="s">
        <v>41</v>
      </c>
      <c r="N92" s="238"/>
      <c r="O92" s="239">
        <f>+K92*G92</f>
        <v>0</v>
      </c>
    </row>
    <row r="93" spans="1:15" x14ac:dyDescent="0.25">
      <c r="A93" s="764" t="s">
        <v>89</v>
      </c>
      <c r="B93" s="764"/>
      <c r="C93" s="345"/>
      <c r="D93" s="345"/>
      <c r="E93" s="653"/>
      <c r="F93" s="241"/>
      <c r="G93" s="241"/>
      <c r="H93" s="653"/>
      <c r="I93" s="653"/>
      <c r="J93" s="653"/>
      <c r="K93" s="653"/>
      <c r="L93" s="653"/>
      <c r="M93" s="653"/>
      <c r="N93" s="345"/>
      <c r="O93" s="345"/>
    </row>
    <row r="94" spans="1:15" x14ac:dyDescent="0.25">
      <c r="A94" s="733" t="s">
        <v>427</v>
      </c>
      <c r="B94" s="733"/>
      <c r="C94" s="137">
        <v>6.1666699999999999</v>
      </c>
      <c r="D94" s="138">
        <v>1</v>
      </c>
      <c r="E94" s="139">
        <f>$E$22</f>
        <v>0</v>
      </c>
      <c r="F94" s="139">
        <f>Dies!$C$49</f>
        <v>20</v>
      </c>
      <c r="G94" s="273">
        <f>+D94*E94*F94</f>
        <v>0</v>
      </c>
      <c r="H94" s="273"/>
      <c r="I94" s="273"/>
      <c r="J94" s="273"/>
      <c r="K94" s="320">
        <f>$K$84</f>
        <v>0</v>
      </c>
      <c r="L94" s="491">
        <f>+K94/C94</f>
        <v>0</v>
      </c>
      <c r="M94" s="139" t="s">
        <v>90</v>
      </c>
      <c r="N94" s="238"/>
      <c r="O94" s="239">
        <f>+K94*G94</f>
        <v>0</v>
      </c>
    </row>
    <row r="95" spans="1:15" x14ac:dyDescent="0.25">
      <c r="A95" s="306" t="s">
        <v>246</v>
      </c>
      <c r="B95" s="306"/>
      <c r="C95" s="137">
        <v>6.1666699999999999</v>
      </c>
      <c r="D95" s="138">
        <v>1</v>
      </c>
      <c r="E95" s="139">
        <f>$E$23</f>
        <v>0</v>
      </c>
      <c r="F95" s="139">
        <f>Dies!$C$49</f>
        <v>20</v>
      </c>
      <c r="G95" s="273">
        <f>+D95*E95*F95</f>
        <v>0</v>
      </c>
      <c r="H95" s="273"/>
      <c r="I95" s="273"/>
      <c r="J95" s="273"/>
      <c r="K95" s="320">
        <f>$K$85</f>
        <v>0</v>
      </c>
      <c r="L95" s="491">
        <f>+K95/C95</f>
        <v>0</v>
      </c>
      <c r="M95" s="139" t="s">
        <v>90</v>
      </c>
      <c r="N95" s="238"/>
      <c r="O95" s="239">
        <f>+K95*G95</f>
        <v>0</v>
      </c>
    </row>
    <row r="96" spans="1:15" x14ac:dyDescent="0.25">
      <c r="A96" s="762" t="s">
        <v>197</v>
      </c>
      <c r="B96" s="762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34"/>
      <c r="O96" s="234"/>
    </row>
    <row r="97" spans="1:15" x14ac:dyDescent="0.25">
      <c r="A97" s="763" t="s">
        <v>88</v>
      </c>
      <c r="B97" s="763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34"/>
      <c r="O97" s="234"/>
    </row>
    <row r="98" spans="1:15" x14ac:dyDescent="0.25">
      <c r="A98" s="733" t="s">
        <v>427</v>
      </c>
      <c r="B98" s="733"/>
      <c r="C98" s="137">
        <v>6.1666699999999999</v>
      </c>
      <c r="D98" s="138">
        <v>1</v>
      </c>
      <c r="E98" s="139">
        <f>$E$26</f>
        <v>0</v>
      </c>
      <c r="F98" s="139">
        <f>Dies!$C$50</f>
        <v>20</v>
      </c>
      <c r="G98" s="273">
        <f>+D98*E98*F98</f>
        <v>0</v>
      </c>
      <c r="H98" s="273"/>
      <c r="I98" s="273"/>
      <c r="J98" s="273"/>
      <c r="K98" s="320">
        <f>$K$84</f>
        <v>0</v>
      </c>
      <c r="L98" s="491">
        <f>+K98/C98</f>
        <v>0</v>
      </c>
      <c r="M98" s="139" t="s">
        <v>41</v>
      </c>
      <c r="N98" s="238"/>
      <c r="O98" s="239">
        <f>+K98*G98</f>
        <v>0</v>
      </c>
    </row>
    <row r="99" spans="1:15" x14ac:dyDescent="0.25">
      <c r="A99" s="306" t="s">
        <v>246</v>
      </c>
      <c r="B99" s="306"/>
      <c r="C99" s="137">
        <v>6.1666699999999999</v>
      </c>
      <c r="D99" s="138">
        <v>1</v>
      </c>
      <c r="E99" s="139">
        <f>$E$27</f>
        <v>0</v>
      </c>
      <c r="F99" s="139">
        <f>Dies!$C$50</f>
        <v>20</v>
      </c>
      <c r="G99" s="273">
        <f>+D99*E99*F99</f>
        <v>0</v>
      </c>
      <c r="H99" s="273"/>
      <c r="I99" s="273"/>
      <c r="J99" s="273"/>
      <c r="K99" s="320">
        <f>$K$85</f>
        <v>0</v>
      </c>
      <c r="L99" s="491">
        <f>+K99/C99</f>
        <v>0</v>
      </c>
      <c r="M99" s="139" t="s">
        <v>41</v>
      </c>
      <c r="N99" s="238"/>
      <c r="O99" s="239">
        <f>+K99*G99</f>
        <v>0</v>
      </c>
    </row>
    <row r="100" spans="1:15" x14ac:dyDescent="0.25">
      <c r="A100" s="764" t="s">
        <v>89</v>
      </c>
      <c r="B100" s="764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34"/>
      <c r="O100" s="234"/>
    </row>
    <row r="101" spans="1:15" x14ac:dyDescent="0.25">
      <c r="A101" s="733" t="s">
        <v>427</v>
      </c>
      <c r="B101" s="733"/>
      <c r="C101" s="137">
        <v>6.1666699999999999</v>
      </c>
      <c r="D101" s="138">
        <v>1</v>
      </c>
      <c r="E101" s="139">
        <f>$E$29</f>
        <v>0</v>
      </c>
      <c r="F101" s="139">
        <f>Dies!$C$50</f>
        <v>20</v>
      </c>
      <c r="G101" s="273">
        <f>+D101*E101*F101</f>
        <v>0</v>
      </c>
      <c r="H101" s="273"/>
      <c r="I101" s="273"/>
      <c r="J101" s="273"/>
      <c r="K101" s="320">
        <f>$K$84</f>
        <v>0</v>
      </c>
      <c r="L101" s="491">
        <f>+K101/C101</f>
        <v>0</v>
      </c>
      <c r="M101" s="139" t="s">
        <v>90</v>
      </c>
      <c r="N101" s="238"/>
      <c r="O101" s="239">
        <f>+K101*G101</f>
        <v>0</v>
      </c>
    </row>
    <row r="102" spans="1:15" x14ac:dyDescent="0.25">
      <c r="A102" s="306" t="s">
        <v>246</v>
      </c>
      <c r="B102" s="306"/>
      <c r="C102" s="137">
        <v>6.1666699999999999</v>
      </c>
      <c r="D102" s="138">
        <v>1</v>
      </c>
      <c r="E102" s="139">
        <f>$E$30</f>
        <v>0</v>
      </c>
      <c r="F102" s="139">
        <f>Dies!$C$50</f>
        <v>20</v>
      </c>
      <c r="G102" s="273">
        <f>+D102*E102*F102</f>
        <v>0</v>
      </c>
      <c r="H102" s="273"/>
      <c r="I102" s="273"/>
      <c r="J102" s="273"/>
      <c r="K102" s="320">
        <f>$K$85</f>
        <v>0</v>
      </c>
      <c r="L102" s="491">
        <f>+K102/C102</f>
        <v>0</v>
      </c>
      <c r="M102" s="139" t="s">
        <v>90</v>
      </c>
      <c r="N102" s="238"/>
      <c r="O102" s="239">
        <f>+K102*G102</f>
        <v>0</v>
      </c>
    </row>
    <row r="103" spans="1:15" x14ac:dyDescent="0.25">
      <c r="A103" s="229" t="s">
        <v>199</v>
      </c>
      <c r="B103" s="242"/>
      <c r="C103" s="243"/>
      <c r="D103" s="244"/>
      <c r="E103" s="245"/>
      <c r="F103" s="245"/>
      <c r="G103" s="246"/>
      <c r="H103" s="246"/>
      <c r="I103" s="247"/>
      <c r="J103" s="247"/>
      <c r="K103" s="247"/>
      <c r="L103" s="247"/>
      <c r="M103" s="245"/>
      <c r="N103" s="245"/>
      <c r="O103" s="248"/>
    </row>
    <row r="104" spans="1:15" x14ac:dyDescent="0.25">
      <c r="A104" s="782" t="s">
        <v>195</v>
      </c>
      <c r="B104" s="782"/>
      <c r="C104" s="241"/>
      <c r="D104" s="241"/>
      <c r="E104" s="241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</row>
    <row r="105" spans="1:15" x14ac:dyDescent="0.25">
      <c r="A105" s="763" t="s">
        <v>88</v>
      </c>
      <c r="B105" s="763"/>
      <c r="C105" s="345"/>
      <c r="D105" s="345"/>
      <c r="E105" s="345"/>
      <c r="F105" s="234"/>
      <c r="G105" s="345"/>
      <c r="H105" s="345"/>
      <c r="I105" s="345"/>
      <c r="J105" s="345"/>
      <c r="K105" s="345"/>
      <c r="L105" s="345"/>
      <c r="M105" s="345"/>
      <c r="N105" s="345"/>
      <c r="O105" s="345"/>
    </row>
    <row r="106" spans="1:15" x14ac:dyDescent="0.25">
      <c r="A106" s="733" t="s">
        <v>427</v>
      </c>
      <c r="B106" s="733"/>
      <c r="C106" s="137">
        <v>6.1666699999999999</v>
      </c>
      <c r="D106" s="138">
        <v>1</v>
      </c>
      <c r="E106" s="139">
        <f>$E$34</f>
        <v>0</v>
      </c>
      <c r="F106" s="139">
        <f>Dies!$C$53</f>
        <v>77</v>
      </c>
      <c r="G106" s="273">
        <f>+D106*E106*F106</f>
        <v>0</v>
      </c>
      <c r="H106" s="273"/>
      <c r="I106" s="273"/>
      <c r="J106" s="273"/>
      <c r="K106" s="320">
        <f>$K$84</f>
        <v>0</v>
      </c>
      <c r="L106" s="491">
        <f>+K106/C106</f>
        <v>0</v>
      </c>
      <c r="M106" s="238" t="s">
        <v>41</v>
      </c>
      <c r="N106" s="238"/>
      <c r="O106" s="239">
        <f>+K106*G106</f>
        <v>0</v>
      </c>
    </row>
    <row r="107" spans="1:15" x14ac:dyDescent="0.25">
      <c r="A107" s="306" t="s">
        <v>246</v>
      </c>
      <c r="B107" s="306"/>
      <c r="C107" s="137">
        <v>6.1666699999999999</v>
      </c>
      <c r="D107" s="138">
        <v>1</v>
      </c>
      <c r="E107" s="139">
        <f>$E$35</f>
        <v>0</v>
      </c>
      <c r="F107" s="139">
        <f>Dies!$C$53</f>
        <v>77</v>
      </c>
      <c r="G107" s="273">
        <f>+D107*E107*F107</f>
        <v>0</v>
      </c>
      <c r="H107" s="273"/>
      <c r="I107" s="273"/>
      <c r="J107" s="273"/>
      <c r="K107" s="320">
        <f>$K$85</f>
        <v>0</v>
      </c>
      <c r="L107" s="491">
        <f>+K107/C107</f>
        <v>0</v>
      </c>
      <c r="M107" s="238" t="s">
        <v>41</v>
      </c>
      <c r="N107" s="238"/>
      <c r="O107" s="239">
        <f>+K107*G107</f>
        <v>0</v>
      </c>
    </row>
    <row r="108" spans="1:15" x14ac:dyDescent="0.25">
      <c r="A108" s="764" t="s">
        <v>89</v>
      </c>
      <c r="B108" s="764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34"/>
      <c r="N108" s="234"/>
      <c r="O108" s="234"/>
    </row>
    <row r="109" spans="1:15" x14ac:dyDescent="0.25">
      <c r="A109" s="733" t="s">
        <v>427</v>
      </c>
      <c r="B109" s="733"/>
      <c r="C109" s="137">
        <v>6.1666699999999999</v>
      </c>
      <c r="D109" s="138">
        <v>1</v>
      </c>
      <c r="E109" s="139">
        <f>$E$37</f>
        <v>0</v>
      </c>
      <c r="F109" s="139">
        <f>Dies!$C$53</f>
        <v>77</v>
      </c>
      <c r="G109" s="273">
        <f>+D109*E109*F109</f>
        <v>0</v>
      </c>
      <c r="H109" s="273"/>
      <c r="I109" s="273"/>
      <c r="J109" s="273"/>
      <c r="K109" s="320">
        <f>$K$84</f>
        <v>0</v>
      </c>
      <c r="L109" s="491">
        <f>+K109/C109</f>
        <v>0</v>
      </c>
      <c r="M109" s="238" t="s">
        <v>90</v>
      </c>
      <c r="N109" s="238"/>
      <c r="O109" s="239">
        <f>+K109*G109</f>
        <v>0</v>
      </c>
    </row>
    <row r="110" spans="1:15" x14ac:dyDescent="0.25">
      <c r="A110" s="306" t="s">
        <v>246</v>
      </c>
      <c r="B110" s="306"/>
      <c r="C110" s="137">
        <v>6.1666699999999999</v>
      </c>
      <c r="D110" s="138">
        <v>1</v>
      </c>
      <c r="E110" s="139">
        <f>$E$38</f>
        <v>0</v>
      </c>
      <c r="F110" s="139">
        <f>Dies!$C$53</f>
        <v>77</v>
      </c>
      <c r="G110" s="273">
        <f>+D110*E110*F110</f>
        <v>0</v>
      </c>
      <c r="H110" s="273"/>
      <c r="I110" s="273"/>
      <c r="J110" s="273"/>
      <c r="K110" s="320">
        <f>$K$85</f>
        <v>0</v>
      </c>
      <c r="L110" s="491">
        <f>+K110/C110</f>
        <v>0</v>
      </c>
      <c r="M110" s="238" t="s">
        <v>90</v>
      </c>
      <c r="N110" s="238"/>
      <c r="O110" s="239">
        <f>+K110*G110</f>
        <v>0</v>
      </c>
    </row>
    <row r="111" spans="1:15" x14ac:dyDescent="0.25">
      <c r="A111" s="762" t="s">
        <v>196</v>
      </c>
      <c r="B111" s="762"/>
      <c r="C111" s="241"/>
      <c r="D111" s="241"/>
      <c r="E111" s="147"/>
      <c r="F111" s="241"/>
      <c r="G111" s="147"/>
      <c r="H111" s="147"/>
      <c r="I111" s="147"/>
      <c r="J111" s="147"/>
      <c r="K111" s="147"/>
      <c r="L111" s="385"/>
      <c r="M111" s="234"/>
      <c r="N111" s="147"/>
      <c r="O111" s="147"/>
    </row>
    <row r="112" spans="1:15" x14ac:dyDescent="0.25">
      <c r="A112" s="763" t="s">
        <v>88</v>
      </c>
      <c r="B112" s="763"/>
      <c r="C112" s="241"/>
      <c r="D112" s="241"/>
      <c r="E112" s="147"/>
      <c r="F112" s="241"/>
      <c r="G112" s="147"/>
      <c r="H112" s="147"/>
      <c r="I112" s="147"/>
      <c r="J112" s="147"/>
      <c r="K112" s="147"/>
      <c r="L112" s="385"/>
      <c r="M112" s="234"/>
      <c r="N112" s="147"/>
      <c r="O112" s="147"/>
    </row>
    <row r="113" spans="1:15" x14ac:dyDescent="0.25">
      <c r="A113" s="733" t="s">
        <v>427</v>
      </c>
      <c r="B113" s="733"/>
      <c r="C113" s="137">
        <v>6.1666699999999999</v>
      </c>
      <c r="D113" s="138">
        <v>1</v>
      </c>
      <c r="E113" s="139">
        <f>$E$41</f>
        <v>0</v>
      </c>
      <c r="F113" s="139">
        <f>Dies!$C$54</f>
        <v>15</v>
      </c>
      <c r="G113" s="273">
        <f>+D113*E113*F113</f>
        <v>0</v>
      </c>
      <c r="H113" s="273"/>
      <c r="I113" s="273"/>
      <c r="J113" s="273"/>
      <c r="K113" s="320">
        <f>$K$84</f>
        <v>0</v>
      </c>
      <c r="L113" s="491">
        <f>+K113/C113</f>
        <v>0</v>
      </c>
      <c r="M113" s="238" t="s">
        <v>41</v>
      </c>
      <c r="N113" s="238"/>
      <c r="O113" s="239">
        <f>+K113*G113</f>
        <v>0</v>
      </c>
    </row>
    <row r="114" spans="1:15" x14ac:dyDescent="0.25">
      <c r="A114" s="306" t="s">
        <v>246</v>
      </c>
      <c r="B114" s="306"/>
      <c r="C114" s="137">
        <v>6.1666699999999999</v>
      </c>
      <c r="D114" s="138">
        <v>1</v>
      </c>
      <c r="E114" s="139">
        <f>$E$42</f>
        <v>0</v>
      </c>
      <c r="F114" s="139">
        <f>Dies!$C$54</f>
        <v>15</v>
      </c>
      <c r="G114" s="273">
        <f>+D114*E114*F114</f>
        <v>0</v>
      </c>
      <c r="H114" s="273"/>
      <c r="I114" s="273"/>
      <c r="J114" s="273"/>
      <c r="K114" s="320">
        <f>$K$85</f>
        <v>0</v>
      </c>
      <c r="L114" s="491">
        <f>+K114/C114</f>
        <v>0</v>
      </c>
      <c r="M114" s="238" t="s">
        <v>41</v>
      </c>
      <c r="N114" s="238"/>
      <c r="O114" s="239">
        <f>+K114*G114</f>
        <v>0</v>
      </c>
    </row>
    <row r="115" spans="1:15" x14ac:dyDescent="0.25">
      <c r="A115" s="764" t="s">
        <v>89</v>
      </c>
      <c r="B115" s="764"/>
      <c r="C115" s="345"/>
      <c r="D115" s="345"/>
      <c r="E115" s="147"/>
      <c r="F115" s="241"/>
      <c r="G115" s="147"/>
      <c r="H115" s="147"/>
      <c r="I115" s="147"/>
      <c r="J115" s="147"/>
      <c r="K115" s="147"/>
      <c r="L115" s="385"/>
      <c r="M115" s="345"/>
      <c r="N115" s="147"/>
      <c r="O115" s="147"/>
    </row>
    <row r="116" spans="1:15" x14ac:dyDescent="0.25">
      <c r="A116" s="733" t="s">
        <v>427</v>
      </c>
      <c r="B116" s="733"/>
      <c r="C116" s="137">
        <v>6.1666699999999999</v>
      </c>
      <c r="D116" s="138">
        <v>1</v>
      </c>
      <c r="E116" s="139">
        <f>$E$44</f>
        <v>0</v>
      </c>
      <c r="F116" s="139">
        <f>Dies!$C$54</f>
        <v>15</v>
      </c>
      <c r="G116" s="273">
        <f>+D116*E116*F116</f>
        <v>0</v>
      </c>
      <c r="H116" s="273"/>
      <c r="I116" s="273"/>
      <c r="J116" s="273"/>
      <c r="K116" s="320">
        <f>$K$84</f>
        <v>0</v>
      </c>
      <c r="L116" s="491">
        <f>+K116/C116</f>
        <v>0</v>
      </c>
      <c r="M116" s="238" t="s">
        <v>90</v>
      </c>
      <c r="N116" s="238"/>
      <c r="O116" s="239">
        <f>+K116*G116</f>
        <v>0</v>
      </c>
    </row>
    <row r="117" spans="1:15" x14ac:dyDescent="0.25">
      <c r="A117" s="306" t="s">
        <v>246</v>
      </c>
      <c r="B117" s="306"/>
      <c r="C117" s="137">
        <v>6.1666699999999999</v>
      </c>
      <c r="D117" s="138">
        <v>1</v>
      </c>
      <c r="E117" s="139">
        <f>$E$45</f>
        <v>0</v>
      </c>
      <c r="F117" s="139">
        <f>Dies!$C$54</f>
        <v>15</v>
      </c>
      <c r="G117" s="273">
        <f>+D117*E117*F117</f>
        <v>0</v>
      </c>
      <c r="H117" s="273"/>
      <c r="I117" s="273"/>
      <c r="J117" s="273"/>
      <c r="K117" s="320">
        <f>$K$85</f>
        <v>0</v>
      </c>
      <c r="L117" s="491">
        <f>+K117/C117</f>
        <v>0</v>
      </c>
      <c r="M117" s="238" t="s">
        <v>90</v>
      </c>
      <c r="N117" s="238"/>
      <c r="O117" s="239">
        <f>+K117*G117</f>
        <v>0</v>
      </c>
    </row>
    <row r="118" spans="1:15" x14ac:dyDescent="0.25">
      <c r="A118" s="762" t="s">
        <v>197</v>
      </c>
      <c r="B118" s="762"/>
      <c r="C118" s="241"/>
      <c r="D118" s="241"/>
      <c r="E118" s="147"/>
      <c r="F118" s="241"/>
      <c r="G118" s="147"/>
      <c r="H118" s="147"/>
      <c r="I118" s="147"/>
      <c r="J118" s="147"/>
      <c r="K118" s="147"/>
      <c r="L118" s="385"/>
      <c r="M118" s="234"/>
      <c r="N118" s="147"/>
      <c r="O118" s="147"/>
    </row>
    <row r="119" spans="1:15" x14ac:dyDescent="0.25">
      <c r="A119" s="763" t="s">
        <v>88</v>
      </c>
      <c r="B119" s="763"/>
      <c r="C119" s="241"/>
      <c r="D119" s="241"/>
      <c r="E119" s="147"/>
      <c r="F119" s="241"/>
      <c r="G119" s="147"/>
      <c r="H119" s="147"/>
      <c r="I119" s="147"/>
      <c r="J119" s="147"/>
      <c r="K119" s="147"/>
      <c r="L119" s="385"/>
      <c r="M119" s="234"/>
      <c r="N119" s="147"/>
      <c r="O119" s="147"/>
    </row>
    <row r="120" spans="1:15" x14ac:dyDescent="0.25">
      <c r="A120" s="733" t="s">
        <v>427</v>
      </c>
      <c r="B120" s="733"/>
      <c r="C120" s="137">
        <v>6.1666699999999999</v>
      </c>
      <c r="D120" s="138">
        <v>1</v>
      </c>
      <c r="E120" s="139">
        <f>$E$48</f>
        <v>0</v>
      </c>
      <c r="F120" s="139">
        <f>Dies!$C$55</f>
        <v>15</v>
      </c>
      <c r="G120" s="273">
        <f>+D120*E120*F120</f>
        <v>0</v>
      </c>
      <c r="H120" s="273"/>
      <c r="I120" s="273"/>
      <c r="J120" s="273"/>
      <c r="K120" s="320">
        <f>$K$84</f>
        <v>0</v>
      </c>
      <c r="L120" s="491">
        <f>+K120/C120</f>
        <v>0</v>
      </c>
      <c r="M120" s="238" t="s">
        <v>41</v>
      </c>
      <c r="N120" s="238"/>
      <c r="O120" s="239">
        <f>+K120*G120</f>
        <v>0</v>
      </c>
    </row>
    <row r="121" spans="1:15" x14ac:dyDescent="0.25">
      <c r="A121" s="306" t="s">
        <v>246</v>
      </c>
      <c r="B121" s="306"/>
      <c r="C121" s="137">
        <v>6.1666699999999999</v>
      </c>
      <c r="D121" s="138">
        <v>1</v>
      </c>
      <c r="E121" s="139">
        <f>$E$49</f>
        <v>0</v>
      </c>
      <c r="F121" s="139">
        <f>Dies!$C$55</f>
        <v>15</v>
      </c>
      <c r="G121" s="273">
        <f>+D121*E121*F121</f>
        <v>0</v>
      </c>
      <c r="H121" s="273"/>
      <c r="I121" s="273"/>
      <c r="J121" s="273"/>
      <c r="K121" s="320">
        <f>$K$85</f>
        <v>0</v>
      </c>
      <c r="L121" s="491">
        <f>+K121/C121</f>
        <v>0</v>
      </c>
      <c r="M121" s="238" t="s">
        <v>41</v>
      </c>
      <c r="N121" s="238"/>
      <c r="O121" s="239">
        <f>+K121*G121</f>
        <v>0</v>
      </c>
    </row>
    <row r="122" spans="1:15" x14ac:dyDescent="0.25">
      <c r="A122" s="764" t="s">
        <v>89</v>
      </c>
      <c r="B122" s="764"/>
      <c r="C122" s="241"/>
      <c r="D122" s="241"/>
      <c r="E122" s="147"/>
      <c r="F122" s="241"/>
      <c r="G122" s="147"/>
      <c r="H122" s="147"/>
      <c r="I122" s="147"/>
      <c r="J122" s="147"/>
      <c r="K122" s="147"/>
      <c r="L122" s="385"/>
      <c r="M122" s="234"/>
      <c r="N122" s="147"/>
      <c r="O122" s="147"/>
    </row>
    <row r="123" spans="1:15" x14ac:dyDescent="0.25">
      <c r="A123" s="733" t="s">
        <v>427</v>
      </c>
      <c r="B123" s="733"/>
      <c r="C123" s="137">
        <v>6.1666699999999999</v>
      </c>
      <c r="D123" s="138">
        <v>1</v>
      </c>
      <c r="E123" s="139">
        <f>$E$51</f>
        <v>0</v>
      </c>
      <c r="F123" s="139">
        <f>Dies!$C$55</f>
        <v>15</v>
      </c>
      <c r="G123" s="273">
        <f>+D123*E123*F123</f>
        <v>0</v>
      </c>
      <c r="H123" s="273"/>
      <c r="I123" s="273"/>
      <c r="J123" s="273"/>
      <c r="K123" s="320">
        <f>$K$84</f>
        <v>0</v>
      </c>
      <c r="L123" s="491">
        <f>+K123/C123</f>
        <v>0</v>
      </c>
      <c r="M123" s="238" t="s">
        <v>90</v>
      </c>
      <c r="N123" s="238"/>
      <c r="O123" s="239">
        <f>+K123*G123</f>
        <v>0</v>
      </c>
    </row>
    <row r="124" spans="1:15" x14ac:dyDescent="0.25">
      <c r="A124" s="306" t="s">
        <v>246</v>
      </c>
      <c r="B124" s="306"/>
      <c r="C124" s="137">
        <v>6.1666699999999999</v>
      </c>
      <c r="D124" s="138">
        <v>1</v>
      </c>
      <c r="E124" s="139">
        <f>$E$52</f>
        <v>0</v>
      </c>
      <c r="F124" s="139">
        <f>Dies!$C$55</f>
        <v>15</v>
      </c>
      <c r="G124" s="273">
        <f>+D124*E124*F124</f>
        <v>0</v>
      </c>
      <c r="H124" s="273"/>
      <c r="I124" s="273"/>
      <c r="J124" s="273"/>
      <c r="K124" s="320">
        <f>$K$85</f>
        <v>0</v>
      </c>
      <c r="L124" s="491">
        <f>+K124/C124</f>
        <v>0</v>
      </c>
      <c r="M124" s="238" t="s">
        <v>90</v>
      </c>
      <c r="N124" s="238"/>
      <c r="O124" s="239">
        <f>+K124*G124</f>
        <v>0</v>
      </c>
    </row>
    <row r="125" spans="1:15" x14ac:dyDescent="0.25">
      <c r="A125" s="229" t="s">
        <v>326</v>
      </c>
      <c r="B125" s="242"/>
      <c r="C125" s="278"/>
      <c r="D125" s="278"/>
      <c r="E125" s="278"/>
      <c r="F125" s="245"/>
      <c r="G125" s="278"/>
      <c r="H125" s="278"/>
      <c r="I125" s="278"/>
      <c r="J125" s="278"/>
      <c r="K125" s="278"/>
      <c r="L125" s="278"/>
      <c r="M125" s="278"/>
      <c r="N125" s="278"/>
      <c r="O125" s="278"/>
    </row>
    <row r="126" spans="1:15" x14ac:dyDescent="0.25">
      <c r="A126" s="782" t="s">
        <v>195</v>
      </c>
      <c r="B126" s="782"/>
      <c r="C126" s="147"/>
      <c r="D126" s="147"/>
      <c r="E126" s="147"/>
      <c r="F126" s="234"/>
      <c r="G126" s="147"/>
      <c r="H126" s="147"/>
      <c r="I126" s="147"/>
      <c r="J126" s="147"/>
      <c r="K126" s="147"/>
      <c r="L126" s="385"/>
      <c r="M126" s="147"/>
      <c r="N126" s="147"/>
      <c r="O126" s="147"/>
    </row>
    <row r="127" spans="1:15" x14ac:dyDescent="0.25">
      <c r="A127" s="763" t="s">
        <v>88</v>
      </c>
      <c r="B127" s="763"/>
      <c r="C127" s="147"/>
      <c r="D127" s="147"/>
      <c r="E127" s="147"/>
      <c r="F127" s="234"/>
      <c r="G127" s="147"/>
      <c r="H127" s="147"/>
      <c r="I127" s="147"/>
      <c r="J127" s="147"/>
      <c r="K127" s="147"/>
      <c r="L127" s="385"/>
      <c r="M127" s="147"/>
      <c r="N127" s="147"/>
      <c r="O127" s="147"/>
    </row>
    <row r="128" spans="1:15" x14ac:dyDescent="0.25">
      <c r="A128" s="733" t="s">
        <v>427</v>
      </c>
      <c r="B128" s="733"/>
      <c r="C128" s="137">
        <v>6.1666699999999999</v>
      </c>
      <c r="D128" s="138">
        <v>1</v>
      </c>
      <c r="E128" s="139">
        <f>$E$56</f>
        <v>0</v>
      </c>
      <c r="F128" s="139">
        <f>Dies!$C$58</f>
        <v>89</v>
      </c>
      <c r="G128" s="273">
        <f>+D128*E128*F128</f>
        <v>0</v>
      </c>
      <c r="H128" s="273"/>
      <c r="I128" s="273"/>
      <c r="J128" s="273"/>
      <c r="K128" s="320">
        <f>$K$84</f>
        <v>0</v>
      </c>
      <c r="L128" s="237">
        <f>+K128/C128</f>
        <v>0</v>
      </c>
      <c r="M128" s="238" t="s">
        <v>41</v>
      </c>
      <c r="N128" s="238"/>
      <c r="O128" s="239">
        <f>+K128*G128</f>
        <v>0</v>
      </c>
    </row>
    <row r="129" spans="1:15" x14ac:dyDescent="0.25">
      <c r="A129" s="306" t="s">
        <v>246</v>
      </c>
      <c r="B129" s="306"/>
      <c r="C129" s="137">
        <v>6.1666699999999999</v>
      </c>
      <c r="D129" s="138">
        <v>1</v>
      </c>
      <c r="E129" s="139">
        <f>$E$57</f>
        <v>0</v>
      </c>
      <c r="F129" s="139">
        <f>Dies!$C$58</f>
        <v>89</v>
      </c>
      <c r="G129" s="273">
        <f>+D129*E129*F129</f>
        <v>0</v>
      </c>
      <c r="H129" s="273"/>
      <c r="I129" s="273"/>
      <c r="J129" s="273"/>
      <c r="K129" s="320">
        <f>$K$85</f>
        <v>0</v>
      </c>
      <c r="L129" s="237">
        <f>+K129/C129</f>
        <v>0</v>
      </c>
      <c r="M129" s="238" t="s">
        <v>41</v>
      </c>
      <c r="N129" s="238"/>
      <c r="O129" s="239">
        <f>+K129*G129</f>
        <v>0</v>
      </c>
    </row>
    <row r="130" spans="1:15" x14ac:dyDescent="0.25">
      <c r="A130" s="764" t="s">
        <v>89</v>
      </c>
      <c r="B130" s="764"/>
      <c r="C130" s="241"/>
      <c r="D130" s="241"/>
      <c r="E130" s="147"/>
      <c r="F130" s="241"/>
      <c r="G130" s="147"/>
      <c r="H130" s="147"/>
      <c r="I130" s="147"/>
      <c r="J130" s="147"/>
      <c r="K130" s="147"/>
      <c r="L130" s="385"/>
      <c r="M130" s="234"/>
      <c r="N130" s="147"/>
      <c r="O130" s="147"/>
    </row>
    <row r="131" spans="1:15" x14ac:dyDescent="0.25">
      <c r="A131" s="733" t="s">
        <v>427</v>
      </c>
      <c r="B131" s="733"/>
      <c r="C131" s="137">
        <v>6.1666699999999999</v>
      </c>
      <c r="D131" s="138">
        <v>1</v>
      </c>
      <c r="E131" s="139">
        <f>$E$59</f>
        <v>0</v>
      </c>
      <c r="F131" s="139">
        <f>Dies!$C$58</f>
        <v>89</v>
      </c>
      <c r="G131" s="273">
        <f>+D131*E131*F131</f>
        <v>0</v>
      </c>
      <c r="H131" s="273"/>
      <c r="I131" s="273"/>
      <c r="J131" s="273"/>
      <c r="K131" s="320">
        <f>$K$84</f>
        <v>0</v>
      </c>
      <c r="L131" s="237">
        <f>+K131/C131</f>
        <v>0</v>
      </c>
      <c r="M131" s="238" t="s">
        <v>90</v>
      </c>
      <c r="N131" s="238"/>
      <c r="O131" s="239">
        <f>+K131*G131</f>
        <v>0</v>
      </c>
    </row>
    <row r="132" spans="1:15" x14ac:dyDescent="0.25">
      <c r="A132" s="306" t="s">
        <v>246</v>
      </c>
      <c r="B132" s="306"/>
      <c r="C132" s="137">
        <v>6.1666699999999999</v>
      </c>
      <c r="D132" s="138">
        <v>1</v>
      </c>
      <c r="E132" s="139">
        <f>$E$60</f>
        <v>0</v>
      </c>
      <c r="F132" s="139">
        <f>Dies!$C$58</f>
        <v>89</v>
      </c>
      <c r="G132" s="273">
        <f>+D132*E132*F132</f>
        <v>0</v>
      </c>
      <c r="H132" s="273"/>
      <c r="I132" s="273"/>
      <c r="J132" s="273"/>
      <c r="K132" s="320">
        <f>$K$85</f>
        <v>0</v>
      </c>
      <c r="L132" s="237">
        <f>+K132/C132</f>
        <v>0</v>
      </c>
      <c r="M132" s="238" t="s">
        <v>90</v>
      </c>
      <c r="N132" s="238"/>
      <c r="O132" s="239">
        <f>+K132*G132</f>
        <v>0</v>
      </c>
    </row>
    <row r="133" spans="1:15" x14ac:dyDescent="0.25">
      <c r="A133" s="762" t="s">
        <v>196</v>
      </c>
      <c r="B133" s="762"/>
      <c r="C133" s="241"/>
      <c r="D133" s="241"/>
      <c r="E133" s="147"/>
      <c r="F133" s="241"/>
      <c r="G133" s="147"/>
      <c r="H133" s="147"/>
      <c r="I133" s="147"/>
      <c r="J133" s="147"/>
      <c r="K133" s="147"/>
      <c r="L133" s="385"/>
      <c r="M133" s="234"/>
      <c r="N133" s="147"/>
      <c r="O133" s="147"/>
    </row>
    <row r="134" spans="1:15" x14ac:dyDescent="0.25">
      <c r="A134" s="763" t="s">
        <v>88</v>
      </c>
      <c r="B134" s="763"/>
      <c r="C134" s="241"/>
      <c r="D134" s="241"/>
      <c r="E134" s="147"/>
      <c r="F134" s="241"/>
      <c r="G134" s="147"/>
      <c r="H134" s="147"/>
      <c r="I134" s="147"/>
      <c r="J134" s="147"/>
      <c r="K134" s="147"/>
      <c r="L134" s="385"/>
      <c r="M134" s="234"/>
      <c r="N134" s="147"/>
      <c r="O134" s="147"/>
    </row>
    <row r="135" spans="1:15" x14ac:dyDescent="0.25">
      <c r="A135" s="733" t="s">
        <v>427</v>
      </c>
      <c r="B135" s="733"/>
      <c r="C135" s="137">
        <v>6.1666699999999999</v>
      </c>
      <c r="D135" s="138">
        <v>1</v>
      </c>
      <c r="E135" s="139">
        <f>$E$63</f>
        <v>0</v>
      </c>
      <c r="F135" s="139">
        <f>Dies!$C$59</f>
        <v>17</v>
      </c>
      <c r="G135" s="273">
        <f>+D135*E135*F135</f>
        <v>0</v>
      </c>
      <c r="H135" s="273"/>
      <c r="I135" s="273"/>
      <c r="J135" s="273"/>
      <c r="K135" s="320">
        <f>$K$84</f>
        <v>0</v>
      </c>
      <c r="L135" s="237">
        <f>+K135/C135</f>
        <v>0</v>
      </c>
      <c r="M135" s="238" t="s">
        <v>41</v>
      </c>
      <c r="N135" s="238"/>
      <c r="O135" s="239">
        <f>+K135*G135</f>
        <v>0</v>
      </c>
    </row>
    <row r="136" spans="1:15" x14ac:dyDescent="0.25">
      <c r="A136" s="306" t="s">
        <v>246</v>
      </c>
      <c r="B136" s="306"/>
      <c r="C136" s="137">
        <v>6.1666699999999999</v>
      </c>
      <c r="D136" s="138">
        <v>1</v>
      </c>
      <c r="E136" s="139">
        <f>$E$64</f>
        <v>0</v>
      </c>
      <c r="F136" s="139">
        <f>Dies!$C$59</f>
        <v>17</v>
      </c>
      <c r="G136" s="273">
        <f>+D136*E136*F136</f>
        <v>0</v>
      </c>
      <c r="H136" s="273"/>
      <c r="I136" s="273"/>
      <c r="J136" s="273"/>
      <c r="K136" s="320">
        <f>$K$85</f>
        <v>0</v>
      </c>
      <c r="L136" s="237">
        <f>+K136/C136</f>
        <v>0</v>
      </c>
      <c r="M136" s="238" t="s">
        <v>41</v>
      </c>
      <c r="N136" s="238"/>
      <c r="O136" s="239">
        <f>+K136*G136</f>
        <v>0</v>
      </c>
    </row>
    <row r="137" spans="1:15" x14ac:dyDescent="0.25">
      <c r="A137" s="764" t="s">
        <v>89</v>
      </c>
      <c r="B137" s="764"/>
      <c r="C137" s="345"/>
      <c r="D137" s="345"/>
      <c r="E137" s="147"/>
      <c r="F137" s="241"/>
      <c r="G137" s="147"/>
      <c r="H137" s="147"/>
      <c r="I137" s="147"/>
      <c r="J137" s="147"/>
      <c r="K137" s="147"/>
      <c r="L137" s="385"/>
      <c r="M137" s="345"/>
      <c r="N137" s="147"/>
      <c r="O137" s="147"/>
    </row>
    <row r="138" spans="1:15" x14ac:dyDescent="0.25">
      <c r="A138" s="733" t="s">
        <v>427</v>
      </c>
      <c r="B138" s="733"/>
      <c r="C138" s="137">
        <v>6.1666699999999999</v>
      </c>
      <c r="D138" s="138">
        <v>1</v>
      </c>
      <c r="E138" s="139">
        <f>$E$66</f>
        <v>0</v>
      </c>
      <c r="F138" s="139">
        <f>Dies!$C$59</f>
        <v>17</v>
      </c>
      <c r="G138" s="273">
        <f>+D138*E138*F138</f>
        <v>0</v>
      </c>
      <c r="H138" s="273"/>
      <c r="I138" s="273"/>
      <c r="J138" s="273"/>
      <c r="K138" s="320">
        <f>$K$84</f>
        <v>0</v>
      </c>
      <c r="L138" s="237">
        <f>+K138/C138</f>
        <v>0</v>
      </c>
      <c r="M138" s="238" t="s">
        <v>90</v>
      </c>
      <c r="N138" s="238"/>
      <c r="O138" s="239">
        <f>+K138*G138</f>
        <v>0</v>
      </c>
    </row>
    <row r="139" spans="1:15" x14ac:dyDescent="0.25">
      <c r="A139" s="306" t="s">
        <v>246</v>
      </c>
      <c r="B139" s="306"/>
      <c r="C139" s="137">
        <v>6.1666699999999999</v>
      </c>
      <c r="D139" s="138">
        <v>1</v>
      </c>
      <c r="E139" s="139">
        <f>$E$67</f>
        <v>0</v>
      </c>
      <c r="F139" s="139">
        <f>Dies!$C$59</f>
        <v>17</v>
      </c>
      <c r="G139" s="273">
        <f>+D139*E139*F139</f>
        <v>0</v>
      </c>
      <c r="H139" s="273"/>
      <c r="I139" s="273"/>
      <c r="J139" s="273"/>
      <c r="K139" s="320">
        <f>$K$85</f>
        <v>0</v>
      </c>
      <c r="L139" s="237">
        <f>+K139/C139</f>
        <v>0</v>
      </c>
      <c r="M139" s="238" t="s">
        <v>90</v>
      </c>
      <c r="N139" s="238"/>
      <c r="O139" s="239">
        <f>+K139*G139</f>
        <v>0</v>
      </c>
    </row>
    <row r="140" spans="1:15" x14ac:dyDescent="0.25">
      <c r="A140" s="762" t="s">
        <v>197</v>
      </c>
      <c r="B140" s="762"/>
      <c r="C140" s="241"/>
      <c r="D140" s="241"/>
      <c r="E140" s="147"/>
      <c r="F140" s="241"/>
      <c r="G140" s="147"/>
      <c r="H140" s="147"/>
      <c r="I140" s="147"/>
      <c r="J140" s="147"/>
      <c r="K140" s="147"/>
      <c r="L140" s="385"/>
      <c r="M140" s="234"/>
      <c r="N140" s="147"/>
      <c r="O140" s="147"/>
    </row>
    <row r="141" spans="1:15" x14ac:dyDescent="0.25">
      <c r="A141" s="763" t="s">
        <v>88</v>
      </c>
      <c r="B141" s="763"/>
      <c r="C141" s="241"/>
      <c r="D141" s="241"/>
      <c r="E141" s="147"/>
      <c r="F141" s="241"/>
      <c r="G141" s="147"/>
      <c r="H141" s="147"/>
      <c r="I141" s="147"/>
      <c r="J141" s="147"/>
      <c r="K141" s="147"/>
      <c r="L141" s="385"/>
      <c r="M141" s="234"/>
      <c r="N141" s="147"/>
      <c r="O141" s="147"/>
    </row>
    <row r="142" spans="1:15" s="153" customFormat="1" x14ac:dyDescent="0.25">
      <c r="A142" s="733" t="s">
        <v>427</v>
      </c>
      <c r="B142" s="733"/>
      <c r="C142" s="137">
        <v>6.1666699999999999</v>
      </c>
      <c r="D142" s="138">
        <v>1</v>
      </c>
      <c r="E142" s="139">
        <f>$E$70</f>
        <v>0</v>
      </c>
      <c r="F142" s="139">
        <f>Dies!$C$60</f>
        <v>17</v>
      </c>
      <c r="G142" s="273">
        <f>+D142*E142*F142</f>
        <v>0</v>
      </c>
      <c r="H142" s="273"/>
      <c r="I142" s="273"/>
      <c r="J142" s="273"/>
      <c r="K142" s="320">
        <f>$K$84</f>
        <v>0</v>
      </c>
      <c r="L142" s="237">
        <f>+K142/C142</f>
        <v>0</v>
      </c>
      <c r="M142" s="238" t="s">
        <v>41</v>
      </c>
      <c r="N142" s="238"/>
      <c r="O142" s="239">
        <f>+K142*G142</f>
        <v>0</v>
      </c>
    </row>
    <row r="143" spans="1:15" s="153" customFormat="1" x14ac:dyDescent="0.25">
      <c r="A143" s="306" t="s">
        <v>246</v>
      </c>
      <c r="B143" s="306"/>
      <c r="C143" s="137">
        <v>6.1666699999999999</v>
      </c>
      <c r="D143" s="138">
        <v>1</v>
      </c>
      <c r="E143" s="139">
        <f>$E$71</f>
        <v>0</v>
      </c>
      <c r="F143" s="139">
        <f>Dies!$C$60</f>
        <v>17</v>
      </c>
      <c r="G143" s="273">
        <f>+D143*E143*F143</f>
        <v>0</v>
      </c>
      <c r="H143" s="273"/>
      <c r="I143" s="273"/>
      <c r="J143" s="273"/>
      <c r="K143" s="320">
        <f>$K$85</f>
        <v>0</v>
      </c>
      <c r="L143" s="237">
        <f>+K143/C143</f>
        <v>0</v>
      </c>
      <c r="M143" s="238" t="s">
        <v>41</v>
      </c>
      <c r="N143" s="238"/>
      <c r="O143" s="239">
        <f>+K143*G143</f>
        <v>0</v>
      </c>
    </row>
    <row r="144" spans="1:15" s="153" customFormat="1" x14ac:dyDescent="0.25">
      <c r="A144" s="764" t="s">
        <v>89</v>
      </c>
      <c r="B144" s="764"/>
      <c r="C144" s="241"/>
      <c r="D144" s="241"/>
      <c r="E144" s="241"/>
      <c r="F144" s="241"/>
      <c r="G144" s="241"/>
      <c r="H144" s="241"/>
      <c r="I144" s="241"/>
      <c r="J144" s="241"/>
      <c r="K144" s="241"/>
      <c r="L144" s="234"/>
      <c r="M144" s="234"/>
      <c r="N144" s="234"/>
      <c r="O144" s="234"/>
    </row>
    <row r="145" spans="1:15" x14ac:dyDescent="0.25">
      <c r="A145" s="733" t="s">
        <v>427</v>
      </c>
      <c r="B145" s="733"/>
      <c r="C145" s="137">
        <v>6.1666699999999999</v>
      </c>
      <c r="D145" s="138">
        <v>1</v>
      </c>
      <c r="E145" s="641">
        <f>$E$73</f>
        <v>0</v>
      </c>
      <c r="F145" s="641">
        <f>Dies!$C$60</f>
        <v>17</v>
      </c>
      <c r="G145" s="276">
        <f>+D145*E145*F145</f>
        <v>0</v>
      </c>
      <c r="H145" s="276"/>
      <c r="I145" s="276"/>
      <c r="J145" s="276"/>
      <c r="K145" s="362">
        <f>$K$84</f>
        <v>0</v>
      </c>
      <c r="L145" s="251">
        <f>+K145/C145</f>
        <v>0</v>
      </c>
      <c r="M145" s="238" t="s">
        <v>90</v>
      </c>
      <c r="N145" s="252"/>
      <c r="O145" s="253">
        <f>+K145*G145</f>
        <v>0</v>
      </c>
    </row>
    <row r="146" spans="1:15" x14ac:dyDescent="0.25">
      <c r="A146" s="306" t="s">
        <v>246</v>
      </c>
      <c r="B146" s="306"/>
      <c r="C146" s="137">
        <v>6.1666699999999999</v>
      </c>
      <c r="D146" s="138">
        <v>1</v>
      </c>
      <c r="E146" s="641">
        <f>$E$74</f>
        <v>0</v>
      </c>
      <c r="F146" s="641">
        <f>Dies!$C$60</f>
        <v>17</v>
      </c>
      <c r="G146" s="276">
        <f>+D146*E146*F146</f>
        <v>0</v>
      </c>
      <c r="H146" s="665"/>
      <c r="I146" s="665"/>
      <c r="J146" s="665"/>
      <c r="K146" s="320">
        <f>$K$85</f>
        <v>0</v>
      </c>
      <c r="L146" s="251">
        <f>+K146/C146</f>
        <v>0</v>
      </c>
      <c r="M146" s="238" t="s">
        <v>90</v>
      </c>
      <c r="N146" s="386"/>
      <c r="O146" s="253">
        <f>+K146*G146</f>
        <v>0</v>
      </c>
    </row>
    <row r="147" spans="1:15" x14ac:dyDescent="0.25">
      <c r="A147" s="254"/>
      <c r="B147" s="255"/>
      <c r="C147" s="255"/>
      <c r="D147" s="255"/>
      <c r="E147" s="256" t="s">
        <v>46</v>
      </c>
      <c r="F147" s="255"/>
      <c r="G147" s="255"/>
      <c r="H147" s="255"/>
      <c r="I147" s="255"/>
      <c r="J147" s="255"/>
      <c r="K147" s="255"/>
      <c r="L147" s="255"/>
      <c r="M147" s="255"/>
      <c r="N147" s="255"/>
      <c r="O147" s="257">
        <f>SUM(O81:O146)</f>
        <v>0</v>
      </c>
    </row>
    <row r="148" spans="1:15" s="153" customFormat="1" ht="26.25" x14ac:dyDescent="0.4">
      <c r="A148" s="335" t="s">
        <v>212</v>
      </c>
      <c r="B148" s="336"/>
      <c r="C148" s="336"/>
      <c r="D148" s="337"/>
      <c r="E148" s="337"/>
      <c r="F148" s="337"/>
      <c r="G148" s="337"/>
      <c r="H148" s="337"/>
      <c r="I148" s="337"/>
      <c r="J148" s="337"/>
      <c r="K148" s="338"/>
      <c r="L148" s="338"/>
      <c r="M148" s="338"/>
      <c r="N148" s="338"/>
      <c r="O148" s="387"/>
    </row>
    <row r="149" spans="1:15" x14ac:dyDescent="0.25">
      <c r="A149" s="779" t="s">
        <v>20</v>
      </c>
      <c r="B149" s="768"/>
      <c r="C149" s="264" t="s">
        <v>27</v>
      </c>
      <c r="D149" s="264" t="s">
        <v>28</v>
      </c>
      <c r="E149" s="264" t="s">
        <v>21</v>
      </c>
      <c r="F149" s="264" t="s">
        <v>29</v>
      </c>
      <c r="G149" s="264"/>
      <c r="H149" s="264"/>
      <c r="I149" s="264"/>
      <c r="J149" s="264"/>
      <c r="K149" s="264" t="s">
        <v>30</v>
      </c>
      <c r="L149" s="264" t="s">
        <v>23</v>
      </c>
      <c r="M149" s="264" t="s">
        <v>31</v>
      </c>
      <c r="N149" s="264"/>
      <c r="O149" s="351" t="s">
        <v>32</v>
      </c>
    </row>
    <row r="150" spans="1:15" x14ac:dyDescent="0.25">
      <c r="A150" s="775"/>
      <c r="B150" s="769"/>
      <c r="C150" s="266" t="s">
        <v>44</v>
      </c>
      <c r="D150" s="266" t="s">
        <v>5</v>
      </c>
      <c r="E150" s="266" t="s">
        <v>24</v>
      </c>
      <c r="F150" s="267" t="s">
        <v>34</v>
      </c>
      <c r="G150" s="266" t="s">
        <v>35</v>
      </c>
      <c r="H150" s="266"/>
      <c r="I150" s="266"/>
      <c r="J150" s="266"/>
      <c r="K150" s="266" t="s">
        <v>36</v>
      </c>
      <c r="L150" s="268" t="s">
        <v>37</v>
      </c>
      <c r="M150" s="266" t="s">
        <v>38</v>
      </c>
      <c r="N150" s="266"/>
      <c r="O150" s="352" t="s">
        <v>40</v>
      </c>
    </row>
    <row r="151" spans="1:15" x14ac:dyDescent="0.25">
      <c r="A151" s="270" t="s">
        <v>198</v>
      </c>
      <c r="B151" s="340"/>
      <c r="C151" s="381"/>
      <c r="D151" s="381"/>
      <c r="E151" s="381"/>
      <c r="F151" s="382"/>
      <c r="G151" s="381"/>
      <c r="H151" s="381"/>
      <c r="I151" s="381"/>
      <c r="J151" s="381"/>
      <c r="K151" s="381"/>
      <c r="L151" s="383"/>
      <c r="M151" s="381"/>
      <c r="N151" s="381"/>
      <c r="O151" s="388"/>
    </row>
    <row r="152" spans="1:15" x14ac:dyDescent="0.25">
      <c r="A152" s="782" t="s">
        <v>195</v>
      </c>
      <c r="B152" s="782"/>
      <c r="C152" s="147"/>
      <c r="D152" s="147"/>
      <c r="E152" s="147"/>
      <c r="F152" s="384"/>
      <c r="G152" s="147"/>
      <c r="H152" s="147"/>
      <c r="I152" s="147"/>
      <c r="J152" s="147"/>
      <c r="K152" s="147"/>
      <c r="L152" s="385"/>
      <c r="M152" s="147"/>
      <c r="N152" s="147"/>
      <c r="O152" s="389"/>
    </row>
    <row r="153" spans="1:15" x14ac:dyDescent="0.25">
      <c r="A153" s="763" t="s">
        <v>88</v>
      </c>
      <c r="B153" s="763"/>
      <c r="C153" s="147"/>
      <c r="D153" s="147"/>
      <c r="E153" s="147"/>
      <c r="F153" s="384"/>
      <c r="G153" s="147"/>
      <c r="H153" s="147"/>
      <c r="I153" s="147"/>
      <c r="J153" s="147"/>
      <c r="K153" s="147"/>
      <c r="L153" s="385"/>
      <c r="M153" s="147"/>
      <c r="N153" s="147"/>
      <c r="O153" s="389"/>
    </row>
    <row r="154" spans="1:15" x14ac:dyDescent="0.25">
      <c r="A154" s="733" t="s">
        <v>427</v>
      </c>
      <c r="B154" s="733"/>
      <c r="C154" s="137">
        <v>6.1666699999999999</v>
      </c>
      <c r="D154" s="138">
        <v>1</v>
      </c>
      <c r="E154" s="139">
        <f>$E$12</f>
        <v>0</v>
      </c>
      <c r="F154" s="139">
        <f>Dies!$C$48</f>
        <v>95</v>
      </c>
      <c r="G154" s="273">
        <f>+D154*E154*F154</f>
        <v>0</v>
      </c>
      <c r="H154" s="273"/>
      <c r="I154" s="273"/>
      <c r="J154" s="273"/>
      <c r="K154" s="320">
        <f>'Seguro+combustible+reparacions'!G18</f>
        <v>0</v>
      </c>
      <c r="L154" s="491">
        <f>+K154/C154</f>
        <v>0</v>
      </c>
      <c r="M154" s="238" t="s">
        <v>41</v>
      </c>
      <c r="N154" s="238"/>
      <c r="O154" s="239">
        <f>+K154*G154</f>
        <v>0</v>
      </c>
    </row>
    <row r="155" spans="1:15" x14ac:dyDescent="0.25">
      <c r="A155" s="306" t="s">
        <v>246</v>
      </c>
      <c r="B155" s="306"/>
      <c r="C155" s="137">
        <v>6.1666699999999999</v>
      </c>
      <c r="D155" s="138">
        <v>1</v>
      </c>
      <c r="E155" s="139">
        <f>$E$13</f>
        <v>0</v>
      </c>
      <c r="F155" s="139">
        <f>Dies!$C$48</f>
        <v>95</v>
      </c>
      <c r="G155" s="273">
        <f>+D155*E155*F155</f>
        <v>0</v>
      </c>
      <c r="H155" s="273"/>
      <c r="I155" s="273"/>
      <c r="J155" s="273"/>
      <c r="K155" s="320">
        <f>'Seguro+combustible+reparacions'!G20</f>
        <v>0</v>
      </c>
      <c r="L155" s="491">
        <f>+K155/C155</f>
        <v>0</v>
      </c>
      <c r="M155" s="238" t="s">
        <v>41</v>
      </c>
      <c r="N155" s="238"/>
      <c r="O155" s="239">
        <f>+K155*G155</f>
        <v>0</v>
      </c>
    </row>
    <row r="156" spans="1:15" x14ac:dyDescent="0.25">
      <c r="A156" s="764" t="s">
        <v>89</v>
      </c>
      <c r="B156" s="764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34"/>
      <c r="N156" s="234"/>
      <c r="O156" s="234"/>
    </row>
    <row r="157" spans="1:15" x14ac:dyDescent="0.25">
      <c r="A157" s="733" t="s">
        <v>427</v>
      </c>
      <c r="B157" s="733"/>
      <c r="C157" s="137">
        <v>6.1666699999999999</v>
      </c>
      <c r="D157" s="138">
        <v>1</v>
      </c>
      <c r="E157" s="139">
        <f>$E$15</f>
        <v>0</v>
      </c>
      <c r="F157" s="139">
        <f>Dies!$C$48</f>
        <v>95</v>
      </c>
      <c r="G157" s="273">
        <f>+D157*E157*F157</f>
        <v>0</v>
      </c>
      <c r="H157" s="273"/>
      <c r="I157" s="273"/>
      <c r="J157" s="273"/>
      <c r="K157" s="320">
        <f>$K$154</f>
        <v>0</v>
      </c>
      <c r="L157" s="491">
        <f>+K157/C157</f>
        <v>0</v>
      </c>
      <c r="M157" s="238" t="s">
        <v>90</v>
      </c>
      <c r="N157" s="238"/>
      <c r="O157" s="239">
        <f>+K157*G157</f>
        <v>0</v>
      </c>
    </row>
    <row r="158" spans="1:15" x14ac:dyDescent="0.25">
      <c r="A158" s="306" t="s">
        <v>246</v>
      </c>
      <c r="B158" s="306"/>
      <c r="C158" s="137">
        <v>6.1666699999999999</v>
      </c>
      <c r="D158" s="138">
        <v>1</v>
      </c>
      <c r="E158" s="139">
        <f>$E$16</f>
        <v>0</v>
      </c>
      <c r="F158" s="139">
        <f>Dies!$C$48</f>
        <v>95</v>
      </c>
      <c r="G158" s="273">
        <f>+D158*E158*F158</f>
        <v>0</v>
      </c>
      <c r="H158" s="273"/>
      <c r="I158" s="273"/>
      <c r="J158" s="273"/>
      <c r="K158" s="320">
        <f>$K$155</f>
        <v>0</v>
      </c>
      <c r="L158" s="491">
        <f>+K158/C158</f>
        <v>0</v>
      </c>
      <c r="M158" s="238" t="s">
        <v>90</v>
      </c>
      <c r="N158" s="238"/>
      <c r="O158" s="239">
        <f>+K158*G158</f>
        <v>0</v>
      </c>
    </row>
    <row r="159" spans="1:15" x14ac:dyDescent="0.25">
      <c r="A159" s="762" t="s">
        <v>196</v>
      </c>
      <c r="B159" s="762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34"/>
      <c r="N159" s="234"/>
      <c r="O159" s="234"/>
    </row>
    <row r="160" spans="1:15" x14ac:dyDescent="0.25">
      <c r="A160" s="763" t="s">
        <v>88</v>
      </c>
      <c r="B160" s="763"/>
      <c r="C160" s="241"/>
      <c r="D160" s="241"/>
      <c r="E160" s="241"/>
      <c r="F160" s="241"/>
      <c r="G160" s="653"/>
      <c r="H160" s="653"/>
      <c r="I160" s="653"/>
      <c r="J160" s="653"/>
      <c r="K160" s="653"/>
      <c r="L160" s="653"/>
      <c r="M160" s="234"/>
      <c r="N160" s="345"/>
      <c r="O160" s="345"/>
    </row>
    <row r="161" spans="1:15" x14ac:dyDescent="0.25">
      <c r="A161" s="733" t="s">
        <v>427</v>
      </c>
      <c r="B161" s="733"/>
      <c r="C161" s="137">
        <v>6.1666699999999999</v>
      </c>
      <c r="D161" s="138">
        <v>1</v>
      </c>
      <c r="E161" s="139">
        <f>$E$19</f>
        <v>0</v>
      </c>
      <c r="F161" s="139">
        <f>Dies!$C$49</f>
        <v>20</v>
      </c>
      <c r="G161" s="273">
        <f>+D161*E161*F161</f>
        <v>0</v>
      </c>
      <c r="H161" s="273"/>
      <c r="I161" s="273"/>
      <c r="J161" s="273"/>
      <c r="K161" s="320">
        <f>$K$154</f>
        <v>0</v>
      </c>
      <c r="L161" s="491">
        <f>+K161/C161</f>
        <v>0</v>
      </c>
      <c r="M161" s="238" t="s">
        <v>41</v>
      </c>
      <c r="N161" s="238"/>
      <c r="O161" s="239">
        <f>+K161*G161</f>
        <v>0</v>
      </c>
    </row>
    <row r="162" spans="1:15" x14ac:dyDescent="0.25">
      <c r="A162" s="306" t="s">
        <v>246</v>
      </c>
      <c r="B162" s="306"/>
      <c r="C162" s="137">
        <v>6.1666699999999999</v>
      </c>
      <c r="D162" s="138">
        <v>1</v>
      </c>
      <c r="E162" s="139">
        <f>$E$20</f>
        <v>0</v>
      </c>
      <c r="F162" s="139">
        <f>Dies!$C$49</f>
        <v>20</v>
      </c>
      <c r="G162" s="273">
        <f>+D162*E162*F162</f>
        <v>0</v>
      </c>
      <c r="H162" s="273"/>
      <c r="I162" s="273"/>
      <c r="J162" s="273"/>
      <c r="K162" s="320">
        <f>$K$155</f>
        <v>0</v>
      </c>
      <c r="L162" s="491">
        <f>+K162/C162</f>
        <v>0</v>
      </c>
      <c r="M162" s="238" t="s">
        <v>41</v>
      </c>
      <c r="N162" s="238"/>
      <c r="O162" s="239">
        <f>+K162*G162</f>
        <v>0</v>
      </c>
    </row>
    <row r="163" spans="1:15" x14ac:dyDescent="0.25">
      <c r="A163" s="764" t="s">
        <v>89</v>
      </c>
      <c r="B163" s="764"/>
      <c r="C163" s="345"/>
      <c r="D163" s="345"/>
      <c r="E163" s="653"/>
      <c r="F163" s="241"/>
      <c r="G163" s="241"/>
      <c r="H163" s="241"/>
      <c r="I163" s="241"/>
      <c r="J163" s="241"/>
      <c r="K163" s="241"/>
      <c r="L163" s="241"/>
      <c r="M163" s="345"/>
      <c r="N163" s="234"/>
      <c r="O163" s="234"/>
    </row>
    <row r="164" spans="1:15" x14ac:dyDescent="0.25">
      <c r="A164" s="733" t="s">
        <v>427</v>
      </c>
      <c r="B164" s="733"/>
      <c r="C164" s="137">
        <v>6.1666699999999999</v>
      </c>
      <c r="D164" s="138">
        <v>1</v>
      </c>
      <c r="E164" s="139">
        <f>$E$22</f>
        <v>0</v>
      </c>
      <c r="F164" s="139">
        <f>Dies!$C$49</f>
        <v>20</v>
      </c>
      <c r="G164" s="273">
        <f>+D164*E164*F164</f>
        <v>0</v>
      </c>
      <c r="H164" s="273"/>
      <c r="I164" s="273"/>
      <c r="J164" s="273"/>
      <c r="K164" s="320">
        <f>$K$154</f>
        <v>0</v>
      </c>
      <c r="L164" s="491">
        <f>+K164/C164</f>
        <v>0</v>
      </c>
      <c r="M164" s="238" t="s">
        <v>90</v>
      </c>
      <c r="N164" s="238"/>
      <c r="O164" s="239">
        <f>+K164*G164</f>
        <v>0</v>
      </c>
    </row>
    <row r="165" spans="1:15" x14ac:dyDescent="0.25">
      <c r="A165" s="306" t="s">
        <v>246</v>
      </c>
      <c r="B165" s="306"/>
      <c r="C165" s="137">
        <v>6.1666699999999999</v>
      </c>
      <c r="D165" s="138">
        <v>1</v>
      </c>
      <c r="E165" s="139">
        <f>$E$23</f>
        <v>0</v>
      </c>
      <c r="F165" s="139">
        <f>Dies!$C$49</f>
        <v>20</v>
      </c>
      <c r="G165" s="273">
        <f>+D165*E165*F165</f>
        <v>0</v>
      </c>
      <c r="H165" s="273"/>
      <c r="I165" s="273"/>
      <c r="J165" s="273"/>
      <c r="K165" s="320">
        <f>$K$155</f>
        <v>0</v>
      </c>
      <c r="L165" s="491">
        <f>+K165/C165</f>
        <v>0</v>
      </c>
      <c r="M165" s="238" t="s">
        <v>90</v>
      </c>
      <c r="N165" s="238"/>
      <c r="O165" s="239">
        <f>+K165*G165</f>
        <v>0</v>
      </c>
    </row>
    <row r="166" spans="1:15" x14ac:dyDescent="0.25">
      <c r="A166" s="762" t="s">
        <v>197</v>
      </c>
      <c r="B166" s="762"/>
      <c r="C166" s="241"/>
      <c r="D166" s="241"/>
      <c r="E166" s="241"/>
      <c r="F166" s="241"/>
      <c r="G166" s="241"/>
      <c r="H166" s="241"/>
      <c r="I166" s="241"/>
      <c r="J166" s="241"/>
      <c r="K166" s="241"/>
      <c r="L166" s="664"/>
      <c r="M166" s="234"/>
      <c r="N166" s="234"/>
      <c r="O166" s="234"/>
    </row>
    <row r="167" spans="1:15" x14ac:dyDescent="0.25">
      <c r="A167" s="763" t="s">
        <v>88</v>
      </c>
      <c r="B167" s="763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34"/>
      <c r="N167" s="234"/>
      <c r="O167" s="234"/>
    </row>
    <row r="168" spans="1:15" x14ac:dyDescent="0.25">
      <c r="A168" s="733" t="s">
        <v>427</v>
      </c>
      <c r="B168" s="733"/>
      <c r="C168" s="137">
        <v>6.1666699999999999</v>
      </c>
      <c r="D168" s="138">
        <v>1</v>
      </c>
      <c r="E168" s="139">
        <f>$E$26</f>
        <v>0</v>
      </c>
      <c r="F168" s="139">
        <f>Dies!$C$50</f>
        <v>20</v>
      </c>
      <c r="G168" s="273">
        <f>+D168*E168*F168</f>
        <v>0</v>
      </c>
      <c r="H168" s="273"/>
      <c r="I168" s="273"/>
      <c r="J168" s="273"/>
      <c r="K168" s="320">
        <f>$K$154</f>
        <v>0</v>
      </c>
      <c r="L168" s="491">
        <f>+K168/C168</f>
        <v>0</v>
      </c>
      <c r="M168" s="238" t="s">
        <v>41</v>
      </c>
      <c r="N168" s="238"/>
      <c r="O168" s="239">
        <f>+K168*G168</f>
        <v>0</v>
      </c>
    </row>
    <row r="169" spans="1:15" x14ac:dyDescent="0.25">
      <c r="A169" s="306" t="s">
        <v>246</v>
      </c>
      <c r="B169" s="306"/>
      <c r="C169" s="137">
        <v>6.1666699999999999</v>
      </c>
      <c r="D169" s="138">
        <v>1</v>
      </c>
      <c r="E169" s="139">
        <f>$E$27</f>
        <v>0</v>
      </c>
      <c r="F169" s="139">
        <f>Dies!$C$50</f>
        <v>20</v>
      </c>
      <c r="G169" s="273">
        <f>+D169*E169*F169</f>
        <v>0</v>
      </c>
      <c r="H169" s="273"/>
      <c r="I169" s="273"/>
      <c r="J169" s="273"/>
      <c r="K169" s="320">
        <f>$K$155</f>
        <v>0</v>
      </c>
      <c r="L169" s="491">
        <f>+K169/C169</f>
        <v>0</v>
      </c>
      <c r="M169" s="238" t="s">
        <v>41</v>
      </c>
      <c r="N169" s="238"/>
      <c r="O169" s="239">
        <f>+K169*G169</f>
        <v>0</v>
      </c>
    </row>
    <row r="170" spans="1:15" x14ac:dyDescent="0.25">
      <c r="A170" s="764" t="s">
        <v>89</v>
      </c>
      <c r="B170" s="764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34"/>
      <c r="N170" s="234"/>
      <c r="O170" s="234"/>
    </row>
    <row r="171" spans="1:15" x14ac:dyDescent="0.25">
      <c r="A171" s="733" t="s">
        <v>427</v>
      </c>
      <c r="B171" s="733"/>
      <c r="C171" s="137">
        <v>6.1666699999999999</v>
      </c>
      <c r="D171" s="138">
        <v>1</v>
      </c>
      <c r="E171" s="139">
        <f>$E$29</f>
        <v>0</v>
      </c>
      <c r="F171" s="139">
        <f>Dies!$C$50</f>
        <v>20</v>
      </c>
      <c r="G171" s="273">
        <f>+D171*E171*F171</f>
        <v>0</v>
      </c>
      <c r="H171" s="273"/>
      <c r="I171" s="273"/>
      <c r="J171" s="273"/>
      <c r="K171" s="320">
        <f>$K$154</f>
        <v>0</v>
      </c>
      <c r="L171" s="491">
        <f>+K171/C171</f>
        <v>0</v>
      </c>
      <c r="M171" s="238" t="s">
        <v>90</v>
      </c>
      <c r="N171" s="238"/>
      <c r="O171" s="239">
        <f>+K171*G171</f>
        <v>0</v>
      </c>
    </row>
    <row r="172" spans="1:15" x14ac:dyDescent="0.25">
      <c r="A172" s="306" t="s">
        <v>246</v>
      </c>
      <c r="B172" s="306"/>
      <c r="C172" s="137">
        <v>6.1666699999999999</v>
      </c>
      <c r="D172" s="138">
        <v>1</v>
      </c>
      <c r="E172" s="139">
        <f>$E$30</f>
        <v>0</v>
      </c>
      <c r="F172" s="139">
        <f>Dies!$C$50</f>
        <v>20</v>
      </c>
      <c r="G172" s="273">
        <f>+D172*E172*F172</f>
        <v>0</v>
      </c>
      <c r="H172" s="273"/>
      <c r="I172" s="273"/>
      <c r="J172" s="273"/>
      <c r="K172" s="320">
        <f>$K$155</f>
        <v>0</v>
      </c>
      <c r="L172" s="491">
        <f>+K172/C172</f>
        <v>0</v>
      </c>
      <c r="M172" s="238" t="s">
        <v>90</v>
      </c>
      <c r="N172" s="238"/>
      <c r="O172" s="239">
        <f>+K172*G172</f>
        <v>0</v>
      </c>
    </row>
    <row r="173" spans="1:15" x14ac:dyDescent="0.25">
      <c r="A173" s="229" t="s">
        <v>199</v>
      </c>
      <c r="B173" s="242"/>
      <c r="C173" s="243"/>
      <c r="D173" s="244"/>
      <c r="E173" s="245"/>
      <c r="F173" s="245"/>
      <c r="G173" s="246"/>
      <c r="H173" s="246"/>
      <c r="I173" s="247"/>
      <c r="J173" s="247"/>
      <c r="K173" s="247"/>
      <c r="L173" s="247"/>
      <c r="M173" s="245"/>
      <c r="N173" s="245"/>
      <c r="O173" s="248"/>
    </row>
    <row r="174" spans="1:15" x14ac:dyDescent="0.25">
      <c r="A174" s="782" t="s">
        <v>195</v>
      </c>
      <c r="B174" s="782"/>
      <c r="C174" s="241"/>
      <c r="D174" s="241"/>
      <c r="E174" s="241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</row>
    <row r="175" spans="1:15" x14ac:dyDescent="0.25">
      <c r="A175" s="763" t="s">
        <v>88</v>
      </c>
      <c r="B175" s="763"/>
      <c r="C175" s="345"/>
      <c r="D175" s="345"/>
      <c r="E175" s="345"/>
      <c r="F175" s="234"/>
      <c r="G175" s="345"/>
      <c r="H175" s="345"/>
      <c r="I175" s="345"/>
      <c r="J175" s="345"/>
      <c r="K175" s="345"/>
      <c r="L175" s="345"/>
      <c r="M175" s="345"/>
      <c r="N175" s="345"/>
      <c r="O175" s="345"/>
    </row>
    <row r="176" spans="1:15" x14ac:dyDescent="0.25">
      <c r="A176" s="733" t="s">
        <v>427</v>
      </c>
      <c r="B176" s="733"/>
      <c r="C176" s="137">
        <v>6.1666699999999999</v>
      </c>
      <c r="D176" s="138">
        <v>1</v>
      </c>
      <c r="E176" s="139">
        <f>$E$34</f>
        <v>0</v>
      </c>
      <c r="F176" s="139">
        <f>Dies!$C$53</f>
        <v>77</v>
      </c>
      <c r="G176" s="273">
        <f>+D176*E176*F176</f>
        <v>0</v>
      </c>
      <c r="H176" s="273"/>
      <c r="I176" s="273"/>
      <c r="J176" s="273"/>
      <c r="K176" s="320">
        <f>$K$154</f>
        <v>0</v>
      </c>
      <c r="L176" s="237">
        <f>+K176/C176</f>
        <v>0</v>
      </c>
      <c r="M176" s="238" t="s">
        <v>41</v>
      </c>
      <c r="N176" s="238"/>
      <c r="O176" s="239">
        <f>+K176*G176</f>
        <v>0</v>
      </c>
    </row>
    <row r="177" spans="1:15" x14ac:dyDescent="0.25">
      <c r="A177" s="306" t="s">
        <v>246</v>
      </c>
      <c r="B177" s="306"/>
      <c r="C177" s="137">
        <v>6.1666699999999999</v>
      </c>
      <c r="D177" s="138">
        <v>1</v>
      </c>
      <c r="E177" s="139">
        <f>$E$35</f>
        <v>0</v>
      </c>
      <c r="F177" s="139">
        <f>Dies!$C$53</f>
        <v>77</v>
      </c>
      <c r="G177" s="273">
        <f>+D177*E177*F177</f>
        <v>0</v>
      </c>
      <c r="H177" s="273"/>
      <c r="I177" s="273"/>
      <c r="J177" s="273"/>
      <c r="K177" s="320">
        <f>$K$155</f>
        <v>0</v>
      </c>
      <c r="L177" s="237">
        <f>+K177/C177</f>
        <v>0</v>
      </c>
      <c r="M177" s="238" t="s">
        <v>41</v>
      </c>
      <c r="N177" s="238"/>
      <c r="O177" s="239">
        <f>+K177*G177</f>
        <v>0</v>
      </c>
    </row>
    <row r="178" spans="1:15" x14ac:dyDescent="0.25">
      <c r="A178" s="764" t="s">
        <v>89</v>
      </c>
      <c r="B178" s="764"/>
      <c r="C178" s="241"/>
      <c r="D178" s="241"/>
      <c r="E178" s="241"/>
      <c r="F178" s="241"/>
      <c r="G178" s="241"/>
      <c r="H178" s="241"/>
      <c r="I178" s="241"/>
      <c r="J178" s="241"/>
      <c r="K178" s="241"/>
      <c r="L178" s="234"/>
      <c r="M178" s="234"/>
      <c r="N178" s="234"/>
      <c r="O178" s="234"/>
    </row>
    <row r="179" spans="1:15" x14ac:dyDescent="0.25">
      <c r="A179" s="733" t="s">
        <v>427</v>
      </c>
      <c r="B179" s="733"/>
      <c r="C179" s="137">
        <v>6.1666699999999999</v>
      </c>
      <c r="D179" s="138">
        <v>1</v>
      </c>
      <c r="E179" s="139">
        <f>$E$37</f>
        <v>0</v>
      </c>
      <c r="F179" s="139">
        <f>Dies!$C$53</f>
        <v>77</v>
      </c>
      <c r="G179" s="273">
        <f>+D179*E179*F179</f>
        <v>0</v>
      </c>
      <c r="H179" s="273"/>
      <c r="I179" s="273"/>
      <c r="J179" s="273"/>
      <c r="K179" s="320">
        <f>$K$154</f>
        <v>0</v>
      </c>
      <c r="L179" s="237">
        <f>+K179/C179</f>
        <v>0</v>
      </c>
      <c r="M179" s="238" t="s">
        <v>90</v>
      </c>
      <c r="N179" s="238"/>
      <c r="O179" s="239">
        <f>+K179*G179</f>
        <v>0</v>
      </c>
    </row>
    <row r="180" spans="1:15" x14ac:dyDescent="0.25">
      <c r="A180" s="306" t="s">
        <v>246</v>
      </c>
      <c r="B180" s="306"/>
      <c r="C180" s="137">
        <v>6.1666699999999999</v>
      </c>
      <c r="D180" s="138">
        <v>1</v>
      </c>
      <c r="E180" s="139">
        <f>$E$38</f>
        <v>0</v>
      </c>
      <c r="F180" s="139">
        <f>Dies!$C$53</f>
        <v>77</v>
      </c>
      <c r="G180" s="273">
        <f>+D180*E180*F180</f>
        <v>0</v>
      </c>
      <c r="H180" s="273"/>
      <c r="I180" s="273"/>
      <c r="J180" s="273"/>
      <c r="K180" s="320">
        <f>$K$155</f>
        <v>0</v>
      </c>
      <c r="L180" s="237">
        <f>+K180/C180</f>
        <v>0</v>
      </c>
      <c r="M180" s="238" t="s">
        <v>90</v>
      </c>
      <c r="N180" s="238"/>
      <c r="O180" s="239">
        <f>+K180*G180</f>
        <v>0</v>
      </c>
    </row>
    <row r="181" spans="1:15" x14ac:dyDescent="0.25">
      <c r="A181" s="762" t="s">
        <v>196</v>
      </c>
      <c r="B181" s="762"/>
      <c r="C181" s="241"/>
      <c r="D181" s="241"/>
      <c r="E181" s="147"/>
      <c r="F181" s="241"/>
      <c r="G181" s="147"/>
      <c r="H181" s="241"/>
      <c r="I181" s="241"/>
      <c r="J181" s="241"/>
      <c r="K181" s="241"/>
      <c r="L181" s="234"/>
      <c r="M181" s="234"/>
      <c r="N181" s="234"/>
      <c r="O181" s="234"/>
    </row>
    <row r="182" spans="1:15" x14ac:dyDescent="0.25">
      <c r="A182" s="763" t="s">
        <v>88</v>
      </c>
      <c r="B182" s="763"/>
      <c r="C182" s="241"/>
      <c r="D182" s="241"/>
      <c r="E182" s="147"/>
      <c r="F182" s="241"/>
      <c r="G182" s="147"/>
      <c r="H182" s="653"/>
      <c r="I182" s="653"/>
      <c r="J182" s="653"/>
      <c r="K182" s="653"/>
      <c r="L182" s="345"/>
      <c r="M182" s="234"/>
      <c r="N182" s="345"/>
      <c r="O182" s="345"/>
    </row>
    <row r="183" spans="1:15" x14ac:dyDescent="0.25">
      <c r="A183" s="733" t="s">
        <v>427</v>
      </c>
      <c r="B183" s="733"/>
      <c r="C183" s="137">
        <v>6.1666699999999999</v>
      </c>
      <c r="D183" s="138">
        <v>1</v>
      </c>
      <c r="E183" s="139">
        <f>$E$41</f>
        <v>0</v>
      </c>
      <c r="F183" s="139">
        <f>Dies!$C$54</f>
        <v>15</v>
      </c>
      <c r="G183" s="273">
        <f>+D183*E183*F183</f>
        <v>0</v>
      </c>
      <c r="H183" s="273"/>
      <c r="I183" s="273"/>
      <c r="J183" s="273"/>
      <c r="K183" s="320">
        <f>$K$154</f>
        <v>0</v>
      </c>
      <c r="L183" s="237">
        <f>+K183/C183</f>
        <v>0</v>
      </c>
      <c r="M183" s="238" t="s">
        <v>41</v>
      </c>
      <c r="N183" s="238"/>
      <c r="O183" s="239">
        <f>+K183*G183</f>
        <v>0</v>
      </c>
    </row>
    <row r="184" spans="1:15" x14ac:dyDescent="0.25">
      <c r="A184" s="306" t="s">
        <v>246</v>
      </c>
      <c r="B184" s="306"/>
      <c r="C184" s="137">
        <v>6.1666699999999999</v>
      </c>
      <c r="D184" s="138">
        <v>1</v>
      </c>
      <c r="E184" s="139">
        <f>$E$42</f>
        <v>0</v>
      </c>
      <c r="F184" s="139">
        <f>Dies!$C$54</f>
        <v>15</v>
      </c>
      <c r="G184" s="273">
        <f>+D184*E184*F184</f>
        <v>0</v>
      </c>
      <c r="H184" s="273"/>
      <c r="I184" s="273"/>
      <c r="J184" s="273"/>
      <c r="K184" s="320">
        <f>$K$155</f>
        <v>0</v>
      </c>
      <c r="L184" s="237">
        <f>+K184/C184</f>
        <v>0</v>
      </c>
      <c r="M184" s="238" t="s">
        <v>41</v>
      </c>
      <c r="N184" s="238"/>
      <c r="O184" s="239">
        <f>+K184*G184</f>
        <v>0</v>
      </c>
    </row>
    <row r="185" spans="1:15" x14ac:dyDescent="0.25">
      <c r="A185" s="764" t="s">
        <v>89</v>
      </c>
      <c r="B185" s="764"/>
      <c r="C185" s="345"/>
      <c r="D185" s="345"/>
      <c r="E185" s="147"/>
      <c r="F185" s="241"/>
      <c r="G185" s="147"/>
      <c r="H185" s="241"/>
      <c r="I185" s="241"/>
      <c r="J185" s="241"/>
      <c r="K185" s="241"/>
      <c r="L185" s="234"/>
      <c r="M185" s="345"/>
      <c r="N185" s="234"/>
      <c r="O185" s="234"/>
    </row>
    <row r="186" spans="1:15" x14ac:dyDescent="0.25">
      <c r="A186" s="733" t="s">
        <v>427</v>
      </c>
      <c r="B186" s="733"/>
      <c r="C186" s="137">
        <v>6.1666699999999999</v>
      </c>
      <c r="D186" s="138">
        <v>1</v>
      </c>
      <c r="E186" s="139">
        <f>$E$44</f>
        <v>0</v>
      </c>
      <c r="F186" s="139">
        <f>Dies!$C$54</f>
        <v>15</v>
      </c>
      <c r="G186" s="273">
        <f>+D186*E186*F186</f>
        <v>0</v>
      </c>
      <c r="H186" s="273"/>
      <c r="I186" s="273"/>
      <c r="J186" s="273"/>
      <c r="K186" s="320">
        <f>$K$154</f>
        <v>0</v>
      </c>
      <c r="L186" s="237">
        <f>+K186/C186</f>
        <v>0</v>
      </c>
      <c r="M186" s="238" t="s">
        <v>90</v>
      </c>
      <c r="N186" s="238"/>
      <c r="O186" s="239">
        <f>+K186*G186</f>
        <v>0</v>
      </c>
    </row>
    <row r="187" spans="1:15" x14ac:dyDescent="0.25">
      <c r="A187" s="306" t="s">
        <v>246</v>
      </c>
      <c r="B187" s="306"/>
      <c r="C187" s="137">
        <v>6.1666699999999999</v>
      </c>
      <c r="D187" s="138">
        <v>1</v>
      </c>
      <c r="E187" s="139">
        <f>$E$45</f>
        <v>0</v>
      </c>
      <c r="F187" s="139">
        <f>Dies!$C$54</f>
        <v>15</v>
      </c>
      <c r="G187" s="273">
        <f>+D187*E187*F187</f>
        <v>0</v>
      </c>
      <c r="H187" s="273"/>
      <c r="I187" s="273"/>
      <c r="J187" s="273"/>
      <c r="K187" s="320">
        <f>$K$155</f>
        <v>0</v>
      </c>
      <c r="L187" s="237">
        <f>+K187/C187</f>
        <v>0</v>
      </c>
      <c r="M187" s="238" t="s">
        <v>90</v>
      </c>
      <c r="N187" s="238"/>
      <c r="O187" s="239">
        <f>+K187*G187</f>
        <v>0</v>
      </c>
    </row>
    <row r="188" spans="1:15" x14ac:dyDescent="0.25">
      <c r="A188" s="762" t="s">
        <v>197</v>
      </c>
      <c r="B188" s="762"/>
      <c r="C188" s="241"/>
      <c r="D188" s="241"/>
      <c r="E188" s="147"/>
      <c r="F188" s="241"/>
      <c r="G188" s="147"/>
      <c r="H188" s="241"/>
      <c r="I188" s="241"/>
      <c r="J188" s="241"/>
      <c r="K188" s="241"/>
      <c r="L188" s="180"/>
      <c r="M188" s="234"/>
      <c r="N188" s="234"/>
      <c r="O188" s="234"/>
    </row>
    <row r="189" spans="1:15" x14ac:dyDescent="0.25">
      <c r="A189" s="763" t="s">
        <v>88</v>
      </c>
      <c r="B189" s="763"/>
      <c r="C189" s="241"/>
      <c r="D189" s="241"/>
      <c r="E189" s="147"/>
      <c r="F189" s="241"/>
      <c r="G189" s="147"/>
      <c r="H189" s="241"/>
      <c r="I189" s="241"/>
      <c r="J189" s="241"/>
      <c r="K189" s="241"/>
      <c r="L189" s="234"/>
      <c r="M189" s="234"/>
      <c r="N189" s="234"/>
      <c r="O189" s="234"/>
    </row>
    <row r="190" spans="1:15" x14ac:dyDescent="0.25">
      <c r="A190" s="733" t="s">
        <v>427</v>
      </c>
      <c r="B190" s="733"/>
      <c r="C190" s="137">
        <v>6.1666699999999999</v>
      </c>
      <c r="D190" s="138">
        <v>1</v>
      </c>
      <c r="E190" s="139">
        <f>$E$48</f>
        <v>0</v>
      </c>
      <c r="F190" s="139">
        <f>Dies!$C$55</f>
        <v>15</v>
      </c>
      <c r="G190" s="273">
        <f>+D190*E190*F190</f>
        <v>0</v>
      </c>
      <c r="H190" s="273"/>
      <c r="I190" s="273"/>
      <c r="J190" s="273"/>
      <c r="K190" s="320">
        <f>$K$154</f>
        <v>0</v>
      </c>
      <c r="L190" s="237">
        <f>+K190/C190</f>
        <v>0</v>
      </c>
      <c r="M190" s="238" t="s">
        <v>41</v>
      </c>
      <c r="N190" s="238"/>
      <c r="O190" s="239">
        <f>+K190*G190</f>
        <v>0</v>
      </c>
    </row>
    <row r="191" spans="1:15" x14ac:dyDescent="0.25">
      <c r="A191" s="306" t="s">
        <v>246</v>
      </c>
      <c r="B191" s="306"/>
      <c r="C191" s="137">
        <v>6.1666699999999999</v>
      </c>
      <c r="D191" s="138">
        <v>1</v>
      </c>
      <c r="E191" s="139">
        <f>$E$49</f>
        <v>0</v>
      </c>
      <c r="F191" s="139">
        <f>Dies!$C$55</f>
        <v>15</v>
      </c>
      <c r="G191" s="273">
        <f>+D191*E191*F191</f>
        <v>0</v>
      </c>
      <c r="H191" s="273"/>
      <c r="I191" s="273"/>
      <c r="J191" s="273"/>
      <c r="K191" s="320">
        <f>$K$155</f>
        <v>0</v>
      </c>
      <c r="L191" s="237">
        <f>+K191/C191</f>
        <v>0</v>
      </c>
      <c r="M191" s="238" t="s">
        <v>41</v>
      </c>
      <c r="N191" s="238"/>
      <c r="O191" s="239">
        <f>+K191*G191</f>
        <v>0</v>
      </c>
    </row>
    <row r="192" spans="1:15" x14ac:dyDescent="0.25">
      <c r="A192" s="764" t="s">
        <v>89</v>
      </c>
      <c r="B192" s="764"/>
      <c r="C192" s="241"/>
      <c r="D192" s="241"/>
      <c r="E192" s="147"/>
      <c r="F192" s="241"/>
      <c r="G192" s="147"/>
      <c r="H192" s="241"/>
      <c r="I192" s="241"/>
      <c r="J192" s="241"/>
      <c r="K192" s="241"/>
      <c r="L192" s="234"/>
      <c r="M192" s="234"/>
      <c r="N192" s="234"/>
      <c r="O192" s="234"/>
    </row>
    <row r="193" spans="1:15" x14ac:dyDescent="0.25">
      <c r="A193" s="733" t="s">
        <v>427</v>
      </c>
      <c r="B193" s="733"/>
      <c r="C193" s="137">
        <v>6.1666699999999999</v>
      </c>
      <c r="D193" s="138">
        <v>1</v>
      </c>
      <c r="E193" s="139">
        <f>$E$51</f>
        <v>0</v>
      </c>
      <c r="F193" s="139">
        <f>Dies!$C$55</f>
        <v>15</v>
      </c>
      <c r="G193" s="273">
        <f>+D193*E193*F193</f>
        <v>0</v>
      </c>
      <c r="H193" s="273"/>
      <c r="I193" s="273"/>
      <c r="J193" s="273"/>
      <c r="K193" s="320">
        <f>$K$154</f>
        <v>0</v>
      </c>
      <c r="L193" s="237">
        <f>+K193/C193</f>
        <v>0</v>
      </c>
      <c r="M193" s="238" t="s">
        <v>90</v>
      </c>
      <c r="N193" s="238"/>
      <c r="O193" s="239">
        <f>+K193*G193</f>
        <v>0</v>
      </c>
    </row>
    <row r="194" spans="1:15" x14ac:dyDescent="0.25">
      <c r="A194" s="306" t="s">
        <v>246</v>
      </c>
      <c r="B194" s="306"/>
      <c r="C194" s="137">
        <v>6.1666699999999999</v>
      </c>
      <c r="D194" s="138">
        <v>1</v>
      </c>
      <c r="E194" s="139">
        <f>$E$52</f>
        <v>0</v>
      </c>
      <c r="F194" s="139">
        <f>Dies!$C$55</f>
        <v>15</v>
      </c>
      <c r="G194" s="273">
        <f>+D194*E194*F194</f>
        <v>0</v>
      </c>
      <c r="H194" s="273"/>
      <c r="I194" s="273"/>
      <c r="J194" s="273"/>
      <c r="K194" s="320">
        <f>$K$155</f>
        <v>0</v>
      </c>
      <c r="L194" s="237">
        <f>+K194/C194</f>
        <v>0</v>
      </c>
      <c r="M194" s="238" t="s">
        <v>90</v>
      </c>
      <c r="N194" s="238"/>
      <c r="O194" s="239">
        <f>+K194*G194</f>
        <v>0</v>
      </c>
    </row>
    <row r="195" spans="1:15" x14ac:dyDescent="0.25">
      <c r="A195" s="229" t="s">
        <v>326</v>
      </c>
      <c r="B195" s="242"/>
      <c r="C195" s="278"/>
      <c r="D195" s="278"/>
      <c r="E195" s="278"/>
      <c r="F195" s="245"/>
      <c r="G195" s="278"/>
      <c r="H195" s="278"/>
      <c r="I195" s="278"/>
      <c r="J195" s="278"/>
      <c r="K195" s="278"/>
      <c r="L195" s="278"/>
      <c r="M195" s="278"/>
      <c r="N195" s="278"/>
      <c r="O195" s="278"/>
    </row>
    <row r="196" spans="1:15" x14ac:dyDescent="0.25">
      <c r="A196" s="782" t="s">
        <v>195</v>
      </c>
      <c r="B196" s="782"/>
      <c r="C196" s="345"/>
      <c r="D196" s="345"/>
      <c r="E196" s="345"/>
      <c r="F196" s="234"/>
      <c r="G196" s="345"/>
      <c r="H196" s="345"/>
      <c r="I196" s="345"/>
      <c r="J196" s="345"/>
      <c r="K196" s="345"/>
      <c r="L196" s="345"/>
      <c r="M196" s="345"/>
      <c r="N196" s="345"/>
      <c r="O196" s="345"/>
    </row>
    <row r="197" spans="1:15" x14ac:dyDescent="0.25">
      <c r="A197" s="763" t="s">
        <v>88</v>
      </c>
      <c r="B197" s="763"/>
      <c r="C197" s="345"/>
      <c r="D197" s="345"/>
      <c r="E197" s="345"/>
      <c r="F197" s="234"/>
      <c r="G197" s="345"/>
      <c r="H197" s="345"/>
      <c r="I197" s="345"/>
      <c r="J197" s="345"/>
      <c r="K197" s="345"/>
      <c r="L197" s="345"/>
      <c r="M197" s="345"/>
      <c r="N197" s="345"/>
      <c r="O197" s="345"/>
    </row>
    <row r="198" spans="1:15" x14ac:dyDescent="0.25">
      <c r="A198" s="733" t="s">
        <v>427</v>
      </c>
      <c r="B198" s="733"/>
      <c r="C198" s="137">
        <v>6.1666699999999999</v>
      </c>
      <c r="D198" s="138">
        <v>1</v>
      </c>
      <c r="E198" s="139">
        <f>$E$56</f>
        <v>0</v>
      </c>
      <c r="F198" s="139">
        <f>Dies!$C$58</f>
        <v>89</v>
      </c>
      <c r="G198" s="273">
        <f>+D198*E198*F198</f>
        <v>0</v>
      </c>
      <c r="H198" s="273"/>
      <c r="I198" s="273"/>
      <c r="J198" s="273"/>
      <c r="K198" s="320">
        <f>$K$154</f>
        <v>0</v>
      </c>
      <c r="L198" s="237">
        <f>+K198/C198</f>
        <v>0</v>
      </c>
      <c r="M198" s="238" t="s">
        <v>41</v>
      </c>
      <c r="N198" s="238"/>
      <c r="O198" s="239">
        <f>+K198*G198</f>
        <v>0</v>
      </c>
    </row>
    <row r="199" spans="1:15" x14ac:dyDescent="0.25">
      <c r="A199" s="306" t="s">
        <v>246</v>
      </c>
      <c r="B199" s="306"/>
      <c r="C199" s="137">
        <v>6.1666699999999999</v>
      </c>
      <c r="D199" s="138">
        <v>1</v>
      </c>
      <c r="E199" s="139">
        <f>$E$57</f>
        <v>0</v>
      </c>
      <c r="F199" s="139">
        <f>Dies!$C$58</f>
        <v>89</v>
      </c>
      <c r="G199" s="273">
        <f>+D199*E199*F199</f>
        <v>0</v>
      </c>
      <c r="H199" s="273"/>
      <c r="I199" s="273"/>
      <c r="J199" s="273"/>
      <c r="K199" s="320">
        <f>$K$155</f>
        <v>0</v>
      </c>
      <c r="L199" s="237">
        <f>+K199/C199</f>
        <v>0</v>
      </c>
      <c r="M199" s="238" t="s">
        <v>41</v>
      </c>
      <c r="N199" s="238"/>
      <c r="O199" s="239">
        <f>+K199*G199</f>
        <v>0</v>
      </c>
    </row>
    <row r="200" spans="1:15" x14ac:dyDescent="0.25">
      <c r="A200" s="764" t="s">
        <v>89</v>
      </c>
      <c r="B200" s="764"/>
      <c r="C200" s="241"/>
      <c r="D200" s="241"/>
      <c r="E200" s="147"/>
      <c r="F200" s="241"/>
      <c r="G200" s="147"/>
      <c r="H200" s="241"/>
      <c r="I200" s="241"/>
      <c r="J200" s="241"/>
      <c r="K200" s="241"/>
      <c r="L200" s="234"/>
      <c r="M200" s="234"/>
      <c r="N200" s="234"/>
      <c r="O200" s="234"/>
    </row>
    <row r="201" spans="1:15" x14ac:dyDescent="0.25">
      <c r="A201" s="733" t="s">
        <v>427</v>
      </c>
      <c r="B201" s="733"/>
      <c r="C201" s="137">
        <v>6.1666699999999999</v>
      </c>
      <c r="D201" s="138">
        <v>1</v>
      </c>
      <c r="E201" s="139">
        <f>$E$59</f>
        <v>0</v>
      </c>
      <c r="F201" s="139">
        <f>Dies!$C$58</f>
        <v>89</v>
      </c>
      <c r="G201" s="273">
        <f>+D201*E201*F201</f>
        <v>0</v>
      </c>
      <c r="H201" s="273"/>
      <c r="I201" s="273"/>
      <c r="J201" s="273"/>
      <c r="K201" s="320">
        <f>$K$154</f>
        <v>0</v>
      </c>
      <c r="L201" s="237">
        <f>+K201/C201</f>
        <v>0</v>
      </c>
      <c r="M201" s="238" t="s">
        <v>90</v>
      </c>
      <c r="N201" s="238"/>
      <c r="O201" s="239">
        <f>+K201*G201</f>
        <v>0</v>
      </c>
    </row>
    <row r="202" spans="1:15" x14ac:dyDescent="0.25">
      <c r="A202" s="306" t="s">
        <v>246</v>
      </c>
      <c r="B202" s="306"/>
      <c r="C202" s="137">
        <v>6.1666699999999999</v>
      </c>
      <c r="D202" s="138">
        <v>1</v>
      </c>
      <c r="E202" s="139">
        <f>$E$60</f>
        <v>0</v>
      </c>
      <c r="F202" s="139">
        <f>Dies!$C$58</f>
        <v>89</v>
      </c>
      <c r="G202" s="273">
        <f>+D202*E202*F202</f>
        <v>0</v>
      </c>
      <c r="H202" s="273"/>
      <c r="I202" s="273"/>
      <c r="J202" s="273"/>
      <c r="K202" s="320">
        <f>$K$155</f>
        <v>0</v>
      </c>
      <c r="L202" s="237">
        <f>+K202/C202</f>
        <v>0</v>
      </c>
      <c r="M202" s="238" t="s">
        <v>90</v>
      </c>
      <c r="N202" s="238"/>
      <c r="O202" s="239">
        <f>+K202*G202</f>
        <v>0</v>
      </c>
    </row>
    <row r="203" spans="1:15" x14ac:dyDescent="0.25">
      <c r="A203" s="762" t="s">
        <v>196</v>
      </c>
      <c r="B203" s="762"/>
      <c r="C203" s="241"/>
      <c r="D203" s="241"/>
      <c r="E203" s="147"/>
      <c r="F203" s="241"/>
      <c r="G203" s="147"/>
      <c r="H203" s="241"/>
      <c r="I203" s="241"/>
      <c r="J203" s="241"/>
      <c r="K203" s="241"/>
      <c r="L203" s="234"/>
      <c r="M203" s="234"/>
      <c r="N203" s="234"/>
      <c r="O203" s="234"/>
    </row>
    <row r="204" spans="1:15" x14ac:dyDescent="0.25">
      <c r="A204" s="763" t="s">
        <v>88</v>
      </c>
      <c r="B204" s="763"/>
      <c r="C204" s="241"/>
      <c r="D204" s="241"/>
      <c r="E204" s="147"/>
      <c r="F204" s="241"/>
      <c r="G204" s="147"/>
      <c r="H204" s="653"/>
      <c r="I204" s="653"/>
      <c r="J204" s="653"/>
      <c r="K204" s="653"/>
      <c r="L204" s="345"/>
      <c r="M204" s="234"/>
      <c r="N204" s="345"/>
      <c r="O204" s="345"/>
    </row>
    <row r="205" spans="1:15" x14ac:dyDescent="0.25">
      <c r="A205" s="733" t="s">
        <v>427</v>
      </c>
      <c r="B205" s="733"/>
      <c r="C205" s="137">
        <v>6.1666699999999999</v>
      </c>
      <c r="D205" s="138">
        <v>1</v>
      </c>
      <c r="E205" s="139">
        <f>$E$63</f>
        <v>0</v>
      </c>
      <c r="F205" s="139">
        <f>Dies!$C$59</f>
        <v>17</v>
      </c>
      <c r="G205" s="273">
        <f>+D205*E205*F205</f>
        <v>0</v>
      </c>
      <c r="H205" s="273"/>
      <c r="I205" s="273"/>
      <c r="J205" s="273"/>
      <c r="K205" s="320">
        <f>$K$154</f>
        <v>0</v>
      </c>
      <c r="L205" s="237">
        <f>+K205/C205</f>
        <v>0</v>
      </c>
      <c r="M205" s="238" t="s">
        <v>41</v>
      </c>
      <c r="N205" s="238"/>
      <c r="O205" s="239">
        <f>+K205*G205</f>
        <v>0</v>
      </c>
    </row>
    <row r="206" spans="1:15" x14ac:dyDescent="0.25">
      <c r="A206" s="306" t="s">
        <v>246</v>
      </c>
      <c r="B206" s="306"/>
      <c r="C206" s="137">
        <v>6.1666699999999999</v>
      </c>
      <c r="D206" s="138">
        <v>1</v>
      </c>
      <c r="E206" s="139">
        <f>$E$64</f>
        <v>0</v>
      </c>
      <c r="F206" s="139">
        <f>Dies!$C$59</f>
        <v>17</v>
      </c>
      <c r="G206" s="273">
        <f>+D206*E206*F206</f>
        <v>0</v>
      </c>
      <c r="H206" s="273"/>
      <c r="I206" s="273"/>
      <c r="J206" s="273"/>
      <c r="K206" s="320">
        <f>$K$155</f>
        <v>0</v>
      </c>
      <c r="L206" s="237">
        <f>+K206/C206</f>
        <v>0</v>
      </c>
      <c r="M206" s="238" t="s">
        <v>41</v>
      </c>
      <c r="N206" s="238"/>
      <c r="O206" s="239">
        <f>+K206*G206</f>
        <v>0</v>
      </c>
    </row>
    <row r="207" spans="1:15" x14ac:dyDescent="0.25">
      <c r="A207" s="764" t="s">
        <v>89</v>
      </c>
      <c r="B207" s="764"/>
      <c r="C207" s="345"/>
      <c r="D207" s="345"/>
      <c r="E207" s="147"/>
      <c r="F207" s="241"/>
      <c r="G207" s="147"/>
      <c r="H207" s="241"/>
      <c r="I207" s="241"/>
      <c r="J207" s="241"/>
      <c r="K207" s="241"/>
      <c r="L207" s="234"/>
      <c r="M207" s="345"/>
      <c r="N207" s="234"/>
      <c r="O207" s="234"/>
    </row>
    <row r="208" spans="1:15" x14ac:dyDescent="0.25">
      <c r="A208" s="733" t="s">
        <v>427</v>
      </c>
      <c r="B208" s="733"/>
      <c r="C208" s="137">
        <v>6.1666699999999999</v>
      </c>
      <c r="D208" s="138">
        <v>1</v>
      </c>
      <c r="E208" s="139">
        <f>$E$66</f>
        <v>0</v>
      </c>
      <c r="F208" s="139">
        <f>Dies!$C$59</f>
        <v>17</v>
      </c>
      <c r="G208" s="273">
        <f>+D208*E208*F208</f>
        <v>0</v>
      </c>
      <c r="H208" s="273"/>
      <c r="I208" s="273"/>
      <c r="J208" s="273"/>
      <c r="K208" s="320">
        <f>$K$154</f>
        <v>0</v>
      </c>
      <c r="L208" s="237">
        <f>+K208/C208</f>
        <v>0</v>
      </c>
      <c r="M208" s="238" t="s">
        <v>90</v>
      </c>
      <c r="N208" s="238"/>
      <c r="O208" s="239">
        <f>+K208*G208</f>
        <v>0</v>
      </c>
    </row>
    <row r="209" spans="1:15" x14ac:dyDescent="0.25">
      <c r="A209" s="306" t="s">
        <v>246</v>
      </c>
      <c r="B209" s="306"/>
      <c r="C209" s="137">
        <v>6.1666699999999999</v>
      </c>
      <c r="D209" s="138">
        <v>1</v>
      </c>
      <c r="E209" s="139">
        <f>$E$67</f>
        <v>0</v>
      </c>
      <c r="F209" s="139">
        <f>Dies!$C$59</f>
        <v>17</v>
      </c>
      <c r="G209" s="273">
        <f>+D209*E209*F209</f>
        <v>0</v>
      </c>
      <c r="H209" s="273"/>
      <c r="I209" s="273"/>
      <c r="J209" s="273"/>
      <c r="K209" s="320">
        <f>$K$155</f>
        <v>0</v>
      </c>
      <c r="L209" s="237">
        <f>+K209/C209</f>
        <v>0</v>
      </c>
      <c r="M209" s="238" t="s">
        <v>90</v>
      </c>
      <c r="N209" s="238"/>
      <c r="O209" s="239">
        <f>+K209*G209</f>
        <v>0</v>
      </c>
    </row>
    <row r="210" spans="1:15" x14ac:dyDescent="0.25">
      <c r="A210" s="762" t="s">
        <v>197</v>
      </c>
      <c r="B210" s="762"/>
      <c r="C210" s="241"/>
      <c r="D210" s="241"/>
      <c r="E210" s="147"/>
      <c r="F210" s="241"/>
      <c r="G210" s="147"/>
      <c r="H210" s="241"/>
      <c r="I210" s="241"/>
      <c r="J210" s="241"/>
      <c r="K210" s="241"/>
      <c r="L210" s="180"/>
      <c r="M210" s="234"/>
      <c r="N210" s="234"/>
      <c r="O210" s="234"/>
    </row>
    <row r="211" spans="1:15" x14ac:dyDescent="0.25">
      <c r="A211" s="763" t="s">
        <v>88</v>
      </c>
      <c r="B211" s="763"/>
      <c r="C211" s="241"/>
      <c r="D211" s="241"/>
      <c r="E211" s="147"/>
      <c r="F211" s="241"/>
      <c r="G211" s="147"/>
      <c r="H211" s="241"/>
      <c r="I211" s="241"/>
      <c r="J211" s="241"/>
      <c r="K211" s="241"/>
      <c r="L211" s="234"/>
      <c r="M211" s="234"/>
      <c r="N211" s="234"/>
      <c r="O211" s="234"/>
    </row>
    <row r="212" spans="1:15" x14ac:dyDescent="0.25">
      <c r="A212" s="733" t="s">
        <v>427</v>
      </c>
      <c r="B212" s="733"/>
      <c r="C212" s="137">
        <v>6.1666699999999999</v>
      </c>
      <c r="D212" s="138">
        <v>1</v>
      </c>
      <c r="E212" s="139">
        <f>$E$70</f>
        <v>0</v>
      </c>
      <c r="F212" s="139">
        <f>Dies!$C$60</f>
        <v>17</v>
      </c>
      <c r="G212" s="273">
        <f>+D212*E212*F212</f>
        <v>0</v>
      </c>
      <c r="H212" s="273"/>
      <c r="I212" s="273"/>
      <c r="J212" s="273"/>
      <c r="K212" s="320">
        <f>$K$154</f>
        <v>0</v>
      </c>
      <c r="L212" s="237">
        <f>+K212/C212</f>
        <v>0</v>
      </c>
      <c r="M212" s="238" t="s">
        <v>41</v>
      </c>
      <c r="N212" s="238"/>
      <c r="O212" s="239">
        <f>+K212*G212</f>
        <v>0</v>
      </c>
    </row>
    <row r="213" spans="1:15" x14ac:dyDescent="0.25">
      <c r="A213" s="306" t="s">
        <v>246</v>
      </c>
      <c r="B213" s="306"/>
      <c r="C213" s="137">
        <v>6.1666699999999999</v>
      </c>
      <c r="D213" s="138">
        <v>1</v>
      </c>
      <c r="E213" s="139">
        <f>$E$71</f>
        <v>0</v>
      </c>
      <c r="F213" s="139">
        <f>Dies!$C$60</f>
        <v>17</v>
      </c>
      <c r="G213" s="273">
        <f>+D213*E213*F213</f>
        <v>0</v>
      </c>
      <c r="H213" s="273"/>
      <c r="I213" s="273"/>
      <c r="J213" s="273"/>
      <c r="K213" s="320">
        <f>$K$155</f>
        <v>0</v>
      </c>
      <c r="L213" s="237">
        <f>+K213/C213</f>
        <v>0</v>
      </c>
      <c r="M213" s="238" t="s">
        <v>41</v>
      </c>
      <c r="N213" s="238"/>
      <c r="O213" s="239">
        <f>+K213*G213</f>
        <v>0</v>
      </c>
    </row>
    <row r="214" spans="1:15" x14ac:dyDescent="0.25">
      <c r="A214" s="764" t="s">
        <v>89</v>
      </c>
      <c r="B214" s="764"/>
      <c r="C214" s="241"/>
      <c r="D214" s="241"/>
      <c r="E214" s="241"/>
      <c r="F214" s="241"/>
      <c r="G214" s="241"/>
      <c r="H214" s="241"/>
      <c r="I214" s="241"/>
      <c r="J214" s="241"/>
      <c r="K214" s="241"/>
      <c r="L214" s="234"/>
      <c r="M214" s="234"/>
      <c r="N214" s="234"/>
      <c r="O214" s="234"/>
    </row>
    <row r="215" spans="1:15" x14ac:dyDescent="0.25">
      <c r="A215" s="733" t="s">
        <v>427</v>
      </c>
      <c r="B215" s="733"/>
      <c r="C215" s="137">
        <v>6.1666699999999999</v>
      </c>
      <c r="D215" s="138">
        <v>1</v>
      </c>
      <c r="E215" s="641">
        <f>$E$73</f>
        <v>0</v>
      </c>
      <c r="F215" s="641">
        <f>Dies!$C$60</f>
        <v>17</v>
      </c>
      <c r="G215" s="276">
        <f>+D215*E215*F215</f>
        <v>0</v>
      </c>
      <c r="H215" s="276"/>
      <c r="I215" s="276"/>
      <c r="J215" s="276"/>
      <c r="K215" s="362">
        <f>$K$154</f>
        <v>0</v>
      </c>
      <c r="L215" s="251">
        <f>+K215/C215</f>
        <v>0</v>
      </c>
      <c r="M215" s="238" t="s">
        <v>90</v>
      </c>
      <c r="N215" s="252"/>
      <c r="O215" s="253">
        <f>+K215*G215</f>
        <v>0</v>
      </c>
    </row>
    <row r="216" spans="1:15" x14ac:dyDescent="0.25">
      <c r="A216" s="306" t="s">
        <v>246</v>
      </c>
      <c r="B216" s="306"/>
      <c r="C216" s="137">
        <v>6.1666699999999999</v>
      </c>
      <c r="D216" s="138">
        <v>1</v>
      </c>
      <c r="E216" s="641">
        <f>$E$74</f>
        <v>0</v>
      </c>
      <c r="F216" s="641">
        <f>Dies!$C$60</f>
        <v>17</v>
      </c>
      <c r="G216" s="276">
        <f>+D216*E216*F216</f>
        <v>0</v>
      </c>
      <c r="H216" s="665"/>
      <c r="I216" s="665"/>
      <c r="J216" s="665"/>
      <c r="K216" s="320">
        <f>$K$155</f>
        <v>0</v>
      </c>
      <c r="L216" s="251">
        <f>+K216/C216</f>
        <v>0</v>
      </c>
      <c r="M216" s="238" t="s">
        <v>90</v>
      </c>
      <c r="N216" s="386"/>
      <c r="O216" s="253">
        <f>+K216*G216</f>
        <v>0</v>
      </c>
    </row>
    <row r="217" spans="1:15" x14ac:dyDescent="0.25">
      <c r="A217" s="254"/>
      <c r="B217" s="255"/>
      <c r="C217" s="255"/>
      <c r="D217" s="255"/>
      <c r="E217" s="256" t="s">
        <v>47</v>
      </c>
      <c r="F217" s="255"/>
      <c r="G217" s="255"/>
      <c r="H217" s="255"/>
      <c r="I217" s="255"/>
      <c r="J217" s="255"/>
      <c r="K217" s="255"/>
      <c r="L217" s="255"/>
      <c r="M217" s="255"/>
      <c r="N217" s="255"/>
      <c r="O217" s="257">
        <f>SUM(O151:O216)</f>
        <v>0</v>
      </c>
    </row>
    <row r="218" spans="1:15" s="153" customFormat="1" ht="26.25" x14ac:dyDescent="0.4">
      <c r="A218" s="259" t="s">
        <v>272</v>
      </c>
      <c r="B218" s="336"/>
      <c r="C218" s="336"/>
      <c r="D218" s="337"/>
      <c r="E218" s="337"/>
      <c r="F218" s="337"/>
      <c r="G218" s="337"/>
      <c r="H218" s="337"/>
      <c r="I218" s="337"/>
      <c r="J218" s="337"/>
      <c r="K218" s="338"/>
      <c r="L218" s="338"/>
      <c r="M218" s="338"/>
      <c r="N218" s="338"/>
      <c r="O218" s="387"/>
    </row>
    <row r="219" spans="1:15" s="281" customFormat="1" x14ac:dyDescent="0.25">
      <c r="A219" s="779" t="s">
        <v>20</v>
      </c>
      <c r="B219" s="768"/>
      <c r="C219" s="768" t="s">
        <v>27</v>
      </c>
      <c r="D219" s="768" t="s">
        <v>28</v>
      </c>
      <c r="E219" s="768" t="s">
        <v>21</v>
      </c>
      <c r="F219" s="768" t="s">
        <v>23</v>
      </c>
      <c r="G219" s="768" t="s">
        <v>22</v>
      </c>
      <c r="H219" s="280"/>
      <c r="I219" s="280"/>
      <c r="J219" s="280"/>
      <c r="K219" s="768" t="s">
        <v>79</v>
      </c>
      <c r="L219" s="280"/>
      <c r="M219" s="768"/>
      <c r="N219" s="768" t="s">
        <v>80</v>
      </c>
      <c r="O219" s="766" t="s">
        <v>32</v>
      </c>
    </row>
    <row r="220" spans="1:15" s="281" customFormat="1" x14ac:dyDescent="0.25">
      <c r="A220" s="775"/>
      <c r="B220" s="769"/>
      <c r="C220" s="769" t="s">
        <v>44</v>
      </c>
      <c r="D220" s="769" t="s">
        <v>5</v>
      </c>
      <c r="E220" s="769" t="s">
        <v>24</v>
      </c>
      <c r="F220" s="769" t="s">
        <v>81</v>
      </c>
      <c r="G220" s="769" t="s">
        <v>82</v>
      </c>
      <c r="H220" s="282"/>
      <c r="I220" s="282"/>
      <c r="J220" s="282"/>
      <c r="K220" s="769" t="s">
        <v>28</v>
      </c>
      <c r="L220" s="282"/>
      <c r="M220" s="769"/>
      <c r="N220" s="769" t="s">
        <v>83</v>
      </c>
      <c r="O220" s="767" t="s">
        <v>40</v>
      </c>
    </row>
    <row r="221" spans="1:15" x14ac:dyDescent="0.25">
      <c r="A221" s="733" t="s">
        <v>426</v>
      </c>
      <c r="B221" s="733"/>
      <c r="C221" s="137">
        <v>6.1666699999999999</v>
      </c>
      <c r="D221" s="138">
        <v>1</v>
      </c>
      <c r="E221" s="139">
        <v>1</v>
      </c>
      <c r="F221" s="283">
        <f>Inversions!H11</f>
        <v>0</v>
      </c>
      <c r="G221" s="273">
        <v>8</v>
      </c>
      <c r="H221" s="273"/>
      <c r="I221" s="273"/>
      <c r="J221" s="273"/>
      <c r="K221" s="284">
        <f>Paràmetres!$C$4</f>
        <v>0</v>
      </c>
      <c r="L221" s="284"/>
      <c r="M221" s="139"/>
      <c r="N221" s="140">
        <f>-12*PMT(K221/12,G221*12,F221)</f>
        <v>0</v>
      </c>
      <c r="O221" s="144">
        <f>E221*N221</f>
        <v>0</v>
      </c>
    </row>
    <row r="222" spans="1:15" s="281" customFormat="1" x14ac:dyDescent="0.25">
      <c r="A222" s="254"/>
      <c r="B222" s="255"/>
      <c r="C222" s="255"/>
      <c r="D222" s="255"/>
      <c r="E222" s="256"/>
      <c r="F222" s="256" t="s">
        <v>84</v>
      </c>
      <c r="G222" s="255"/>
      <c r="H222" s="255"/>
      <c r="I222" s="255"/>
      <c r="J222" s="255"/>
      <c r="K222" s="255"/>
      <c r="L222" s="255"/>
      <c r="M222" s="255"/>
      <c r="N222" s="255"/>
      <c r="O222" s="257">
        <f>SUM(O221:O221)</f>
        <v>0</v>
      </c>
    </row>
    <row r="223" spans="1:15" s="5" customFormat="1" ht="26.25" x14ac:dyDescent="0.4">
      <c r="A223" s="390" t="s">
        <v>213</v>
      </c>
      <c r="B223" s="391"/>
      <c r="C223" s="391"/>
      <c r="D223" s="392"/>
      <c r="E223" s="392"/>
      <c r="F223" s="392"/>
      <c r="G223" s="392"/>
      <c r="H223" s="392"/>
      <c r="I223" s="392"/>
      <c r="J223" s="392"/>
      <c r="K223" s="393"/>
      <c r="L223" s="393"/>
      <c r="M223" s="393"/>
      <c r="N223" s="393"/>
      <c r="O223" s="394"/>
    </row>
    <row r="224" spans="1:15" s="281" customFormat="1" x14ac:dyDescent="0.25">
      <c r="A224" s="758" t="s">
        <v>20</v>
      </c>
      <c r="B224" s="759"/>
      <c r="C224" s="290" t="s">
        <v>27</v>
      </c>
      <c r="D224" s="290" t="s">
        <v>28</v>
      </c>
      <c r="E224" s="290" t="s">
        <v>21</v>
      </c>
      <c r="F224" s="290"/>
      <c r="G224" s="290"/>
      <c r="H224" s="290"/>
      <c r="I224" s="290"/>
      <c r="J224" s="290"/>
      <c r="K224" s="290" t="s">
        <v>100</v>
      </c>
      <c r="L224" s="290"/>
      <c r="M224" s="290"/>
      <c r="N224" s="290"/>
      <c r="O224" s="291" t="s">
        <v>32</v>
      </c>
    </row>
    <row r="225" spans="1:15" s="281" customFormat="1" x14ac:dyDescent="0.25">
      <c r="A225" s="760"/>
      <c r="B225" s="761"/>
      <c r="C225" s="292" t="s">
        <v>44</v>
      </c>
      <c r="D225" s="292" t="s">
        <v>5</v>
      </c>
      <c r="E225" s="292" t="s">
        <v>24</v>
      </c>
      <c r="F225" s="293"/>
      <c r="G225" s="292"/>
      <c r="H225" s="292"/>
      <c r="I225" s="292"/>
      <c r="J225" s="292"/>
      <c r="K225" s="292" t="s">
        <v>101</v>
      </c>
      <c r="L225" s="292"/>
      <c r="M225" s="292"/>
      <c r="N225" s="292"/>
      <c r="O225" s="294" t="s">
        <v>40</v>
      </c>
    </row>
    <row r="226" spans="1:15" s="281" customFormat="1" x14ac:dyDescent="0.25">
      <c r="A226" s="733" t="s">
        <v>426</v>
      </c>
      <c r="B226" s="733"/>
      <c r="C226" s="137">
        <v>6.1666699999999999</v>
      </c>
      <c r="D226" s="138">
        <v>1</v>
      </c>
      <c r="E226" s="372">
        <f>+E221</f>
        <v>1</v>
      </c>
      <c r="F226" s="302"/>
      <c r="G226" s="303"/>
      <c r="H226" s="303"/>
      <c r="I226" s="303"/>
      <c r="J226" s="303"/>
      <c r="K226" s="304">
        <f>'Seguro+combustible+reparacions'!E18*D226</f>
        <v>0</v>
      </c>
      <c r="L226" s="304"/>
      <c r="M226" s="303"/>
      <c r="N226" s="302"/>
      <c r="O226" s="239">
        <f>E226*K226</f>
        <v>0</v>
      </c>
    </row>
    <row r="227" spans="1:15" s="281" customFormat="1" x14ac:dyDescent="0.25">
      <c r="A227" s="306" t="s">
        <v>328</v>
      </c>
      <c r="B227" s="306"/>
      <c r="C227" s="137">
        <v>6.1666699999999999</v>
      </c>
      <c r="D227" s="138">
        <v>1</v>
      </c>
      <c r="E227" s="372">
        <v>1</v>
      </c>
      <c r="F227" s="302"/>
      <c r="G227" s="303"/>
      <c r="H227" s="303"/>
      <c r="I227" s="303"/>
      <c r="J227" s="303"/>
      <c r="K227" s="304">
        <f>'Seguro+combustible+reparacions'!E17*D227</f>
        <v>0</v>
      </c>
      <c r="L227" s="304"/>
      <c r="M227" s="303"/>
      <c r="N227" s="302"/>
      <c r="O227" s="239">
        <f>E227*K227</f>
        <v>0</v>
      </c>
    </row>
    <row r="228" spans="1:15" s="281" customFormat="1" x14ac:dyDescent="0.25">
      <c r="A228" s="254"/>
      <c r="B228" s="255"/>
      <c r="C228" s="255"/>
      <c r="D228" s="255"/>
      <c r="E228" s="256"/>
      <c r="F228" s="256" t="s">
        <v>85</v>
      </c>
      <c r="G228" s="255"/>
      <c r="H228" s="255"/>
      <c r="I228" s="255"/>
      <c r="J228" s="255"/>
      <c r="K228" s="255"/>
      <c r="L228" s="255"/>
      <c r="M228" s="255"/>
      <c r="N228" s="255"/>
      <c r="O228" s="257">
        <f>SUM(O226:O227)</f>
        <v>0</v>
      </c>
    </row>
    <row r="229" spans="1:15" s="281" customFormat="1" ht="26.25" x14ac:dyDescent="0.4">
      <c r="A229" s="285" t="s">
        <v>420</v>
      </c>
      <c r="B229" s="286"/>
      <c r="C229" s="286"/>
      <c r="D229" s="287"/>
      <c r="E229" s="287"/>
      <c r="F229" s="287"/>
      <c r="G229" s="287"/>
      <c r="H229" s="287"/>
      <c r="I229" s="287"/>
      <c r="J229" s="287"/>
      <c r="K229" s="288"/>
      <c r="L229" s="288"/>
      <c r="M229" s="288"/>
      <c r="N229" s="288"/>
      <c r="O229" s="289"/>
    </row>
    <row r="230" spans="1:15" s="281" customFormat="1" x14ac:dyDescent="0.25">
      <c r="A230" s="758" t="s">
        <v>225</v>
      </c>
      <c r="B230" s="759"/>
      <c r="C230" s="290"/>
      <c r="D230" s="290" t="s">
        <v>28</v>
      </c>
      <c r="E230" s="290"/>
      <c r="F230" s="290"/>
      <c r="G230" s="290"/>
      <c r="H230" s="290"/>
      <c r="I230" s="290"/>
      <c r="J230" s="290"/>
      <c r="K230" s="290" t="s">
        <v>100</v>
      </c>
      <c r="L230" s="290"/>
      <c r="M230" s="290"/>
      <c r="N230" s="290"/>
      <c r="O230" s="291" t="s">
        <v>32</v>
      </c>
    </row>
    <row r="231" spans="1:15" s="281" customFormat="1" x14ac:dyDescent="0.25">
      <c r="A231" s="760"/>
      <c r="B231" s="761"/>
      <c r="C231" s="292"/>
      <c r="D231" s="292" t="s">
        <v>5</v>
      </c>
      <c r="E231" s="290" t="s">
        <v>21</v>
      </c>
      <c r="F231" s="293"/>
      <c r="G231" s="292"/>
      <c r="H231" s="292"/>
      <c r="I231" s="292"/>
      <c r="J231" s="292"/>
      <c r="K231" s="292" t="s">
        <v>238</v>
      </c>
      <c r="L231" s="292"/>
      <c r="M231" s="292"/>
      <c r="N231" s="292"/>
      <c r="O231" s="294" t="s">
        <v>40</v>
      </c>
    </row>
    <row r="232" spans="1:15" s="281" customFormat="1" x14ac:dyDescent="0.25">
      <c r="A232" s="733" t="s">
        <v>245</v>
      </c>
      <c r="B232" s="733"/>
      <c r="C232" s="137"/>
      <c r="D232" s="138">
        <v>1</v>
      </c>
      <c r="E232" s="650">
        <f>I75</f>
        <v>0</v>
      </c>
      <c r="F232" s="302"/>
      <c r="G232" s="303"/>
      <c r="H232" s="303"/>
      <c r="I232" s="303"/>
      <c r="J232" s="303"/>
      <c r="K232" s="650">
        <f>Consumibles!E46</f>
        <v>0</v>
      </c>
      <c r="L232" s="304"/>
      <c r="M232" s="303"/>
      <c r="N232" s="302"/>
      <c r="O232" s="239">
        <f>E232*K232</f>
        <v>0</v>
      </c>
    </row>
    <row r="233" spans="1:15" s="281" customFormat="1" x14ac:dyDescent="0.25">
      <c r="A233" s="733" t="s">
        <v>226</v>
      </c>
      <c r="B233" s="733"/>
      <c r="C233" s="137"/>
      <c r="D233" s="138">
        <v>1</v>
      </c>
      <c r="E233" s="650">
        <v>1000</v>
      </c>
      <c r="F233" s="302"/>
      <c r="G233" s="303"/>
      <c r="H233" s="303"/>
      <c r="I233" s="303"/>
      <c r="J233" s="303"/>
      <c r="K233" s="650">
        <f>Consumibles!E21</f>
        <v>0</v>
      </c>
      <c r="L233" s="304"/>
      <c r="M233" s="303"/>
      <c r="N233" s="302"/>
      <c r="O233" s="239">
        <f t="shared" ref="O233:O238" si="5">E233*K233</f>
        <v>0</v>
      </c>
    </row>
    <row r="234" spans="1:15" s="281" customFormat="1" x14ac:dyDescent="0.25">
      <c r="A234" s="733" t="s">
        <v>237</v>
      </c>
      <c r="B234" s="733"/>
      <c r="C234" s="137"/>
      <c r="D234" s="138">
        <v>1</v>
      </c>
      <c r="E234" s="372">
        <v>0</v>
      </c>
      <c r="F234" s="302"/>
      <c r="G234" s="303"/>
      <c r="H234" s="303"/>
      <c r="I234" s="303"/>
      <c r="J234" s="303"/>
      <c r="K234" s="650">
        <f>Consumibles!E22</f>
        <v>0</v>
      </c>
      <c r="L234" s="304"/>
      <c r="M234" s="303"/>
      <c r="N234" s="302"/>
      <c r="O234" s="239">
        <f t="shared" si="5"/>
        <v>0</v>
      </c>
    </row>
    <row r="235" spans="1:15" s="281" customFormat="1" x14ac:dyDescent="0.25">
      <c r="A235" s="733" t="s">
        <v>234</v>
      </c>
      <c r="B235" s="733"/>
      <c r="C235" s="137"/>
      <c r="D235" s="138">
        <v>1</v>
      </c>
      <c r="E235" s="372">
        <v>50</v>
      </c>
      <c r="F235" s="302"/>
      <c r="G235" s="303"/>
      <c r="H235" s="303"/>
      <c r="I235" s="303"/>
      <c r="J235" s="303"/>
      <c r="K235" s="650">
        <f>Consumibles!E23</f>
        <v>0</v>
      </c>
      <c r="L235" s="304"/>
      <c r="M235" s="303"/>
      <c r="N235" s="302"/>
      <c r="O235" s="239">
        <f t="shared" si="5"/>
        <v>0</v>
      </c>
    </row>
    <row r="236" spans="1:15" s="281" customFormat="1" x14ac:dyDescent="0.25">
      <c r="A236" s="733" t="s">
        <v>235</v>
      </c>
      <c r="B236" s="733"/>
      <c r="C236" s="137"/>
      <c r="D236" s="138">
        <v>1</v>
      </c>
      <c r="E236" s="372">
        <v>80</v>
      </c>
      <c r="F236" s="302"/>
      <c r="G236" s="303"/>
      <c r="H236" s="303"/>
      <c r="I236" s="303"/>
      <c r="J236" s="303"/>
      <c r="K236" s="650">
        <f>Consumibles!E24</f>
        <v>0</v>
      </c>
      <c r="L236" s="304"/>
      <c r="M236" s="303"/>
      <c r="N236" s="302"/>
      <c r="O236" s="239">
        <f t="shared" si="5"/>
        <v>0</v>
      </c>
    </row>
    <row r="237" spans="1:15" s="281" customFormat="1" x14ac:dyDescent="0.25">
      <c r="A237" s="733" t="s">
        <v>236</v>
      </c>
      <c r="B237" s="733"/>
      <c r="C237" s="137"/>
      <c r="D237" s="138">
        <v>1</v>
      </c>
      <c r="E237" s="372">
        <v>20</v>
      </c>
      <c r="F237" s="302"/>
      <c r="G237" s="303"/>
      <c r="H237" s="303"/>
      <c r="I237" s="303"/>
      <c r="J237" s="303"/>
      <c r="K237" s="650">
        <f>Consumibles!E25</f>
        <v>0</v>
      </c>
      <c r="L237" s="304"/>
      <c r="M237" s="303"/>
      <c r="N237" s="302"/>
      <c r="O237" s="239">
        <f t="shared" si="5"/>
        <v>0</v>
      </c>
    </row>
    <row r="238" spans="1:15" s="281" customFormat="1" x14ac:dyDescent="0.25">
      <c r="A238" s="306" t="s">
        <v>231</v>
      </c>
      <c r="B238" s="306"/>
      <c r="C238" s="137"/>
      <c r="D238" s="138">
        <v>1</v>
      </c>
      <c r="E238" s="372">
        <v>1</v>
      </c>
      <c r="F238" s="302"/>
      <c r="G238" s="303"/>
      <c r="H238" s="303"/>
      <c r="I238" s="303"/>
      <c r="J238" s="303"/>
      <c r="K238" s="650">
        <f>Consumibles!E8</f>
        <v>0</v>
      </c>
      <c r="L238" s="304"/>
      <c r="M238" s="303"/>
      <c r="N238" s="302"/>
      <c r="O238" s="239">
        <f t="shared" si="5"/>
        <v>0</v>
      </c>
    </row>
    <row r="239" spans="1:15" s="281" customFormat="1" x14ac:dyDescent="0.25">
      <c r="A239" s="254"/>
      <c r="B239" s="255"/>
      <c r="C239" s="255"/>
      <c r="D239" s="255"/>
      <c r="E239" s="256"/>
      <c r="F239" s="256" t="s">
        <v>224</v>
      </c>
      <c r="G239" s="255"/>
      <c r="H239" s="255"/>
      <c r="I239" s="255"/>
      <c r="J239" s="255"/>
      <c r="K239" s="255"/>
      <c r="L239" s="255"/>
      <c r="M239" s="255"/>
      <c r="N239" s="255"/>
      <c r="O239" s="257">
        <f>SUM(O232:O238)</f>
        <v>0</v>
      </c>
    </row>
    <row r="240" spans="1:15" x14ac:dyDescent="0.25">
      <c r="A240" s="218"/>
      <c r="B240" s="218"/>
      <c r="C240" s="218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</row>
    <row r="241" spans="1:15" x14ac:dyDescent="0.25">
      <c r="A241" s="218"/>
      <c r="B241" s="218"/>
      <c r="C241" s="218"/>
      <c r="D241" s="218"/>
      <c r="E241" s="218"/>
      <c r="F241" s="307" t="s">
        <v>271</v>
      </c>
      <c r="G241" s="308"/>
      <c r="H241" s="308"/>
      <c r="I241" s="308"/>
      <c r="J241" s="308"/>
      <c r="K241" s="308"/>
      <c r="L241" s="308"/>
      <c r="M241" s="316"/>
      <c r="N241" s="316"/>
      <c r="O241" s="317">
        <f>+O75+O147+O217+O228+O239</f>
        <v>0</v>
      </c>
    </row>
    <row r="242" spans="1:15" ht="6" customHeight="1" x14ac:dyDescent="0.25">
      <c r="A242" s="218"/>
      <c r="B242" s="218"/>
      <c r="C242" s="218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310"/>
    </row>
    <row r="243" spans="1:15" x14ac:dyDescent="0.25">
      <c r="A243" s="218"/>
      <c r="B243" s="218"/>
      <c r="C243" s="218"/>
      <c r="D243" s="218"/>
      <c r="E243" s="218"/>
      <c r="F243" s="311" t="s">
        <v>3</v>
      </c>
      <c r="G243" s="312"/>
      <c r="H243" s="312"/>
      <c r="I243" s="312"/>
      <c r="J243" s="312"/>
      <c r="K243" s="312"/>
      <c r="L243" s="312"/>
      <c r="M243" s="652">
        <f>Paràmetres!C6</f>
        <v>0</v>
      </c>
      <c r="N243" s="312"/>
      <c r="O243" s="313">
        <f>+O241*M243</f>
        <v>0</v>
      </c>
    </row>
    <row r="244" spans="1:15" x14ac:dyDescent="0.25">
      <c r="A244" s="218"/>
      <c r="B244" s="218"/>
      <c r="C244" s="218"/>
      <c r="D244" s="218"/>
      <c r="E244" s="218"/>
      <c r="F244" s="312"/>
      <c r="G244" s="312"/>
      <c r="H244" s="312"/>
      <c r="I244" s="312"/>
      <c r="J244" s="312"/>
      <c r="K244" s="312"/>
      <c r="L244" s="312"/>
      <c r="M244" s="314"/>
      <c r="N244" s="312"/>
      <c r="O244" s="313"/>
    </row>
    <row r="245" spans="1:15" x14ac:dyDescent="0.25">
      <c r="A245" s="218"/>
      <c r="B245" s="218"/>
      <c r="C245" s="218"/>
      <c r="D245" s="218"/>
      <c r="E245" s="218"/>
      <c r="F245" s="311" t="s">
        <v>2</v>
      </c>
      <c r="G245" s="312"/>
      <c r="H245" s="312"/>
      <c r="I245" s="312"/>
      <c r="J245" s="312"/>
      <c r="K245" s="312"/>
      <c r="L245" s="312"/>
      <c r="M245" s="652">
        <f>Paràmetres!C5</f>
        <v>0</v>
      </c>
      <c r="N245" s="312"/>
      <c r="O245" s="313">
        <f>+O241*M245</f>
        <v>0</v>
      </c>
    </row>
    <row r="246" spans="1:15" x14ac:dyDescent="0.25">
      <c r="A246" s="218"/>
      <c r="B246" s="218"/>
      <c r="C246" s="218"/>
      <c r="D246" s="218"/>
      <c r="E246" s="218"/>
      <c r="F246" s="312"/>
      <c r="G246" s="312"/>
      <c r="H246" s="312"/>
      <c r="I246" s="312"/>
      <c r="J246" s="312"/>
      <c r="K246" s="312"/>
      <c r="L246" s="312"/>
      <c r="M246" s="314"/>
      <c r="N246" s="312"/>
      <c r="O246" s="313"/>
    </row>
    <row r="247" spans="1:15" x14ac:dyDescent="0.25">
      <c r="A247" s="218"/>
      <c r="B247" s="218"/>
      <c r="C247" s="218"/>
      <c r="D247" s="218"/>
      <c r="E247" s="218"/>
      <c r="F247" s="311" t="s">
        <v>48</v>
      </c>
      <c r="G247" s="312"/>
      <c r="H247" s="312"/>
      <c r="I247" s="312"/>
      <c r="J247" s="312"/>
      <c r="K247" s="312"/>
      <c r="L247" s="312"/>
      <c r="M247" s="314"/>
      <c r="N247" s="312"/>
      <c r="O247" s="313">
        <f>+O241*M247</f>
        <v>0</v>
      </c>
    </row>
    <row r="248" spans="1:15" x14ac:dyDescent="0.25">
      <c r="A248" s="218"/>
      <c r="B248" s="218"/>
      <c r="C248" s="218"/>
      <c r="D248" s="218"/>
      <c r="E248" s="218"/>
      <c r="F248" s="312"/>
      <c r="G248" s="312"/>
      <c r="H248" s="312"/>
      <c r="I248" s="312"/>
      <c r="J248" s="312"/>
      <c r="K248" s="312"/>
      <c r="L248" s="312"/>
      <c r="M248" s="314"/>
      <c r="N248" s="312"/>
      <c r="O248" s="313"/>
    </row>
    <row r="249" spans="1:15" x14ac:dyDescent="0.25">
      <c r="A249" s="218"/>
      <c r="B249" s="218"/>
      <c r="C249" s="218"/>
      <c r="D249" s="218"/>
      <c r="E249" s="218"/>
      <c r="F249" s="311" t="s">
        <v>76</v>
      </c>
      <c r="G249" s="312"/>
      <c r="H249" s="312"/>
      <c r="I249" s="312"/>
      <c r="J249" s="312"/>
      <c r="K249" s="312"/>
      <c r="L249" s="312"/>
      <c r="M249" s="314"/>
      <c r="N249" s="312"/>
      <c r="O249" s="313">
        <f>+O241*M249</f>
        <v>0</v>
      </c>
    </row>
    <row r="250" spans="1:15" x14ac:dyDescent="0.25">
      <c r="A250" s="218"/>
      <c r="B250" s="218"/>
      <c r="C250" s="218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310"/>
    </row>
    <row r="251" spans="1:15" x14ac:dyDescent="0.25">
      <c r="A251" s="218"/>
      <c r="B251" s="218"/>
      <c r="C251" s="218"/>
      <c r="D251" s="218"/>
      <c r="E251" s="218"/>
      <c r="F251" s="315" t="s">
        <v>270</v>
      </c>
      <c r="G251" s="316"/>
      <c r="H251" s="316"/>
      <c r="I251" s="316"/>
      <c r="J251" s="316"/>
      <c r="K251" s="316"/>
      <c r="L251" s="316"/>
      <c r="M251" s="316"/>
      <c r="N251" s="316"/>
      <c r="O251" s="317">
        <f>SUM(O241:O249)+O222</f>
        <v>0</v>
      </c>
    </row>
    <row r="252" spans="1:15" x14ac:dyDescent="0.25">
      <c r="A252" s="218"/>
      <c r="B252" s="218"/>
      <c r="C252" s="218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310"/>
    </row>
    <row r="253" spans="1:15" x14ac:dyDescent="0.25">
      <c r="A253" s="218"/>
      <c r="B253" s="218"/>
      <c r="C253" s="218"/>
      <c r="D253" s="218"/>
      <c r="E253" s="218"/>
      <c r="F253" s="311" t="s">
        <v>4</v>
      </c>
      <c r="G253" s="312"/>
      <c r="H253" s="312"/>
      <c r="I253" s="312"/>
      <c r="J253" s="312"/>
      <c r="K253" s="312"/>
      <c r="L253" s="312"/>
      <c r="M253" s="314">
        <v>0.1</v>
      </c>
      <c r="N253" s="312"/>
      <c r="O253" s="313">
        <f>+O251*M253</f>
        <v>0</v>
      </c>
    </row>
    <row r="254" spans="1:15" x14ac:dyDescent="0.25">
      <c r="A254" s="218"/>
      <c r="B254" s="218"/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310"/>
    </row>
    <row r="255" spans="1:15" x14ac:dyDescent="0.25">
      <c r="A255" s="218"/>
      <c r="B255" s="218"/>
      <c r="C255" s="218"/>
      <c r="D255" s="218"/>
      <c r="E255" s="218"/>
      <c r="F255" s="315" t="s">
        <v>49</v>
      </c>
      <c r="G255" s="316"/>
      <c r="H255" s="316"/>
      <c r="I255" s="316"/>
      <c r="J255" s="316"/>
      <c r="K255" s="316"/>
      <c r="L255" s="316"/>
      <c r="M255" s="316"/>
      <c r="N255" s="316"/>
      <c r="O255" s="317">
        <f>+O251+O253</f>
        <v>0</v>
      </c>
    </row>
    <row r="256" spans="1:15" x14ac:dyDescent="0.25">
      <c r="A256" s="218"/>
      <c r="B256" s="218"/>
      <c r="C256" s="218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</row>
    <row r="257" spans="1:15" x14ac:dyDescent="0.25">
      <c r="A257" s="218"/>
      <c r="B257" s="218"/>
      <c r="C257" s="218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</row>
    <row r="258" spans="1:15" x14ac:dyDescent="0.25">
      <c r="A258" s="218"/>
      <c r="B258" s="218"/>
      <c r="C258" s="218"/>
      <c r="D258" s="218"/>
      <c r="E258" s="218"/>
      <c r="F258" s="315" t="s">
        <v>50</v>
      </c>
      <c r="G258" s="316"/>
      <c r="H258" s="316"/>
      <c r="I258" s="316"/>
      <c r="J258" s="316"/>
      <c r="K258" s="316"/>
      <c r="L258" s="316"/>
      <c r="M258" s="316"/>
      <c r="N258" s="316"/>
      <c r="O258" s="317" t="s">
        <v>51</v>
      </c>
    </row>
    <row r="259" spans="1:15" x14ac:dyDescent="0.25">
      <c r="A259" s="218"/>
      <c r="B259" s="218"/>
      <c r="C259" s="218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</row>
    <row r="260" spans="1:15" x14ac:dyDescent="0.25">
      <c r="A260" s="218"/>
      <c r="B260" s="218"/>
      <c r="C260" s="218"/>
      <c r="D260" s="218"/>
      <c r="E260" s="218"/>
      <c r="F260" s="218" t="s">
        <v>52</v>
      </c>
      <c r="G260" s="218"/>
      <c r="H260" s="218"/>
      <c r="I260" s="218"/>
      <c r="J260" s="218"/>
      <c r="K260" s="218"/>
      <c r="L260" s="218"/>
      <c r="M260" s="218"/>
      <c r="N260" s="218"/>
      <c r="O260" s="313">
        <f>+O75*(1+M243+M245)*(1+M253)</f>
        <v>0</v>
      </c>
    </row>
    <row r="261" spans="1:15" x14ac:dyDescent="0.25">
      <c r="A261" s="218"/>
      <c r="B261" s="218"/>
      <c r="C261" s="218"/>
      <c r="D261" s="218"/>
      <c r="E261" s="218"/>
      <c r="F261" s="218" t="s">
        <v>53</v>
      </c>
      <c r="G261" s="218"/>
      <c r="H261" s="218"/>
      <c r="I261" s="218"/>
      <c r="J261" s="218"/>
      <c r="K261" s="218"/>
      <c r="L261" s="218"/>
      <c r="M261" s="218"/>
      <c r="N261" s="218"/>
      <c r="O261" s="313">
        <f>+(O147+O217)*(1+M243+M245)*(1+M253)</f>
        <v>0</v>
      </c>
    </row>
    <row r="262" spans="1:15" x14ac:dyDescent="0.25">
      <c r="A262" s="218"/>
      <c r="B262" s="218"/>
      <c r="C262" s="218"/>
      <c r="D262" s="218"/>
      <c r="E262" s="218"/>
      <c r="F262" s="218" t="s">
        <v>54</v>
      </c>
      <c r="G262" s="218"/>
      <c r="H262" s="218"/>
      <c r="I262" s="218"/>
      <c r="J262" s="218"/>
      <c r="K262" s="218"/>
      <c r="L262" s="218"/>
      <c r="M262" s="218"/>
      <c r="N262" s="218"/>
      <c r="O262" s="313"/>
    </row>
    <row r="263" spans="1:15" x14ac:dyDescent="0.25">
      <c r="A263" s="218"/>
      <c r="B263" s="218"/>
      <c r="C263" s="218"/>
      <c r="D263" s="218"/>
      <c r="E263" s="218"/>
      <c r="F263" s="311" t="s">
        <v>55</v>
      </c>
      <c r="G263" s="312"/>
      <c r="H263" s="312"/>
      <c r="I263" s="312"/>
      <c r="J263" s="312"/>
      <c r="K263" s="312"/>
      <c r="L263" s="312"/>
      <c r="M263" s="312"/>
      <c r="N263" s="312"/>
      <c r="O263" s="313">
        <f>G75</f>
        <v>0</v>
      </c>
    </row>
    <row r="264" spans="1:15" x14ac:dyDescent="0.25">
      <c r="A264" s="218"/>
      <c r="B264" s="218"/>
      <c r="C264" s="218"/>
      <c r="D264" s="218"/>
      <c r="E264" s="218"/>
      <c r="F264" s="311" t="s">
        <v>56</v>
      </c>
      <c r="G264" s="312"/>
      <c r="H264" s="312"/>
      <c r="I264" s="312"/>
      <c r="J264" s="312"/>
      <c r="K264" s="312"/>
      <c r="L264" s="312"/>
      <c r="M264" s="312"/>
      <c r="N264" s="312"/>
      <c r="O264" s="313">
        <f>+O263*6.16667</f>
        <v>0</v>
      </c>
    </row>
    <row r="265" spans="1:15" x14ac:dyDescent="0.25">
      <c r="A265" s="218"/>
      <c r="B265" s="218"/>
      <c r="C265" s="218"/>
      <c r="D265" s="218"/>
      <c r="E265" s="218"/>
      <c r="F265" s="218" t="s">
        <v>57</v>
      </c>
      <c r="G265" s="218"/>
      <c r="H265" s="218"/>
      <c r="I265" s="218"/>
      <c r="J265" s="218"/>
      <c r="K265" s="218"/>
      <c r="L265" s="218"/>
      <c r="M265" s="218"/>
      <c r="N265" s="218"/>
      <c r="O265" s="313" t="e">
        <f>+O255/O263</f>
        <v>#DIV/0!</v>
      </c>
    </row>
    <row r="266" spans="1:15" x14ac:dyDescent="0.25">
      <c r="A266" s="218"/>
      <c r="B266" s="218"/>
      <c r="C266" s="218"/>
      <c r="D266" s="218"/>
      <c r="E266" s="218"/>
      <c r="F266" s="218" t="s">
        <v>58</v>
      </c>
      <c r="G266" s="218"/>
      <c r="H266" s="218"/>
      <c r="I266" s="218"/>
      <c r="J266" s="218"/>
      <c r="K266" s="218"/>
      <c r="L266" s="218"/>
      <c r="M266" s="218"/>
      <c r="N266" s="218"/>
      <c r="O266" s="313" t="e">
        <f>+O255/O264</f>
        <v>#DIV/0!</v>
      </c>
    </row>
    <row r="267" spans="1:15" x14ac:dyDescent="0.25">
      <c r="O267" s="318"/>
    </row>
  </sheetData>
  <sheetProtection algorithmName="SHA-512" hashValue="yBiICBJbnknk0G839HBaEa8jp9R+v27aYy5+560lKEDv4xCciQa6a3iUobi1UBwaXittibSzbq7ZmFfx9LpSNg==" saltValue="4sh622f0/TPN//nRa9gM5g==" spinCount="100000" sheet="1" objects="1" scenarios="1" selectLockedCells="1"/>
  <mergeCells count="177">
    <mergeCell ref="A5:O5"/>
    <mergeCell ref="E219:E220"/>
    <mergeCell ref="F219:F220"/>
    <mergeCell ref="G219:G220"/>
    <mergeCell ref="M219:M220"/>
    <mergeCell ref="N219:N220"/>
    <mergeCell ref="O219:O220"/>
    <mergeCell ref="A7:B8"/>
    <mergeCell ref="C219:C220"/>
    <mergeCell ref="D219:D220"/>
    <mergeCell ref="K219:K220"/>
    <mergeCell ref="A25:B25"/>
    <mergeCell ref="A26:B26"/>
    <mergeCell ref="A27:B27"/>
    <mergeCell ref="A28:B28"/>
    <mergeCell ref="A29:B29"/>
    <mergeCell ref="A79:B80"/>
    <mergeCell ref="A10:B10"/>
    <mergeCell ref="A11:B11"/>
    <mergeCell ref="A12:B12"/>
    <mergeCell ref="A13:B13"/>
    <mergeCell ref="A14:B14"/>
    <mergeCell ref="A15:B15"/>
    <mergeCell ref="A16:B16"/>
    <mergeCell ref="A126:B126"/>
    <mergeCell ref="A123:B123"/>
    <mergeCell ref="A127:B127"/>
    <mergeCell ref="A128:B128"/>
    <mergeCell ref="A130:B130"/>
    <mergeCell ref="A131:B131"/>
    <mergeCell ref="A226:B226"/>
    <mergeCell ref="A144:B144"/>
    <mergeCell ref="A145:B145"/>
    <mergeCell ref="A138:B138"/>
    <mergeCell ref="A140:B140"/>
    <mergeCell ref="A141:B141"/>
    <mergeCell ref="A142:B142"/>
    <mergeCell ref="A133:B133"/>
    <mergeCell ref="A134:B134"/>
    <mergeCell ref="A135:B135"/>
    <mergeCell ref="A137:B137"/>
    <mergeCell ref="A174:B174"/>
    <mergeCell ref="A175:B175"/>
    <mergeCell ref="A190:B190"/>
    <mergeCell ref="A192:B192"/>
    <mergeCell ref="A219:B220"/>
    <mergeCell ref="A224:B225"/>
    <mergeCell ref="A149:B150"/>
    <mergeCell ref="A166:B166"/>
    <mergeCell ref="A167:B167"/>
    <mergeCell ref="A152:B152"/>
    <mergeCell ref="A176:B176"/>
    <mergeCell ref="A178:B178"/>
    <mergeCell ref="A179:B179"/>
    <mergeCell ref="A181:B181"/>
    <mergeCell ref="A182:B182"/>
    <mergeCell ref="A168:B168"/>
    <mergeCell ref="A170:B170"/>
    <mergeCell ref="A171:B171"/>
    <mergeCell ref="A153:B153"/>
    <mergeCell ref="A154:B154"/>
    <mergeCell ref="A156:B156"/>
    <mergeCell ref="A157:B157"/>
    <mergeCell ref="A159:B159"/>
    <mergeCell ref="A160:B160"/>
    <mergeCell ref="A161:B161"/>
    <mergeCell ref="A163:B163"/>
    <mergeCell ref="A164:B164"/>
    <mergeCell ref="A17:B17"/>
    <mergeCell ref="A18:B18"/>
    <mergeCell ref="A19:B19"/>
    <mergeCell ref="A20:B20"/>
    <mergeCell ref="A21:B21"/>
    <mergeCell ref="A22:B22"/>
    <mergeCell ref="A23:B23"/>
    <mergeCell ref="A24:B24"/>
    <mergeCell ref="A36:B36"/>
    <mergeCell ref="A37:B37"/>
    <mergeCell ref="A38:B38"/>
    <mergeCell ref="A39:B39"/>
    <mergeCell ref="A40:B40"/>
    <mergeCell ref="A30:B30"/>
    <mergeCell ref="A32:B32"/>
    <mergeCell ref="A33:B33"/>
    <mergeCell ref="A34:B34"/>
    <mergeCell ref="A35:B35"/>
    <mergeCell ref="A51:B51"/>
    <mergeCell ref="A52:B52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54:B54"/>
    <mergeCell ref="A55:B55"/>
    <mergeCell ref="A56:B5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87:B87"/>
    <mergeCell ref="A89:B89"/>
    <mergeCell ref="A90:B90"/>
    <mergeCell ref="A91:B91"/>
    <mergeCell ref="A82:B82"/>
    <mergeCell ref="A83:B83"/>
    <mergeCell ref="A84:B84"/>
    <mergeCell ref="A86:B86"/>
    <mergeCell ref="A72:B72"/>
    <mergeCell ref="A73:B73"/>
    <mergeCell ref="A74:B74"/>
    <mergeCell ref="A104:B104"/>
    <mergeCell ref="A105:B105"/>
    <mergeCell ref="A106:B106"/>
    <mergeCell ref="A97:B97"/>
    <mergeCell ref="A98:B98"/>
    <mergeCell ref="A100:B100"/>
    <mergeCell ref="A101:B101"/>
    <mergeCell ref="A93:B93"/>
    <mergeCell ref="A94:B94"/>
    <mergeCell ref="A96:B96"/>
    <mergeCell ref="A118:B118"/>
    <mergeCell ref="A119:B119"/>
    <mergeCell ref="A120:B120"/>
    <mergeCell ref="A122:B122"/>
    <mergeCell ref="A113:B113"/>
    <mergeCell ref="A115:B115"/>
    <mergeCell ref="A116:B116"/>
    <mergeCell ref="A108:B108"/>
    <mergeCell ref="A109:B109"/>
    <mergeCell ref="A111:B111"/>
    <mergeCell ref="A112:B112"/>
    <mergeCell ref="A193:B193"/>
    <mergeCell ref="A196:B196"/>
    <mergeCell ref="A197:B197"/>
    <mergeCell ref="A183:B183"/>
    <mergeCell ref="A185:B185"/>
    <mergeCell ref="A186:B186"/>
    <mergeCell ref="A188:B188"/>
    <mergeCell ref="A189:B189"/>
    <mergeCell ref="A212:B212"/>
    <mergeCell ref="A205:B205"/>
    <mergeCell ref="A207:B207"/>
    <mergeCell ref="A208:B208"/>
    <mergeCell ref="A210:B210"/>
    <mergeCell ref="A211:B211"/>
    <mergeCell ref="A198:B198"/>
    <mergeCell ref="A200:B200"/>
    <mergeCell ref="A201:B201"/>
    <mergeCell ref="A203:B203"/>
    <mergeCell ref="A204:B204"/>
    <mergeCell ref="A230:B231"/>
    <mergeCell ref="A232:B232"/>
    <mergeCell ref="A233:B233"/>
    <mergeCell ref="A234:B234"/>
    <mergeCell ref="A235:B235"/>
    <mergeCell ref="A236:B236"/>
    <mergeCell ref="A237:B237"/>
    <mergeCell ref="A214:B214"/>
    <mergeCell ref="A215:B215"/>
    <mergeCell ref="A221:B2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9" fitToHeight="2" orientation="portrait" r:id="rId1"/>
  <rowBreaks count="1" manualBreakCount="1">
    <brk id="14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7E2B-B976-415E-91B3-8271C6BED162}">
  <sheetPr>
    <tabColor theme="0"/>
  </sheetPr>
  <dimension ref="A1:O233"/>
  <sheetViews>
    <sheetView showGridLines="0" topLeftCell="A12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206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361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33" t="s">
        <v>183</v>
      </c>
      <c r="B13" s="733"/>
      <c r="C13" s="137">
        <v>6.1666699999999999</v>
      </c>
      <c r="D13" s="138">
        <v>1</v>
      </c>
      <c r="E13" s="701"/>
      <c r="F13" s="139">
        <f>Dies!$C$48</f>
        <v>95</v>
      </c>
      <c r="G13" s="273">
        <f>+F13*E13*D13</f>
        <v>0</v>
      </c>
      <c r="H13" s="273">
        <f>H12</f>
        <v>265</v>
      </c>
      <c r="I13" s="320">
        <f>G13/H13</f>
        <v>0</v>
      </c>
      <c r="J13" s="320">
        <f>G13/298</f>
        <v>0</v>
      </c>
      <c r="K13" s="320">
        <f>Personal!G12</f>
        <v>0</v>
      </c>
      <c r="L13" s="237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s="240" customFormat="1" x14ac:dyDescent="0.25">
      <c r="A14" s="764" t="s">
        <v>89</v>
      </c>
      <c r="B14" s="764"/>
      <c r="C14" s="234"/>
      <c r="D14" s="241"/>
      <c r="E14" s="241"/>
      <c r="F14" s="241"/>
      <c r="G14" s="241"/>
      <c r="H14" s="241"/>
      <c r="I14" s="241"/>
      <c r="J14" s="241"/>
      <c r="K14" s="241"/>
      <c r="L14" s="234"/>
      <c r="M14" s="234"/>
      <c r="N14" s="234"/>
      <c r="O14" s="234"/>
    </row>
    <row r="15" spans="1:15" s="240" customFormat="1" x14ac:dyDescent="0.25">
      <c r="A15" s="733" t="s">
        <v>72</v>
      </c>
      <c r="B15" s="733"/>
      <c r="C15" s="137">
        <v>6.1666699999999999</v>
      </c>
      <c r="D15" s="138">
        <v>1</v>
      </c>
      <c r="E15" s="701"/>
      <c r="F15" s="139">
        <f>Dies!$C$48</f>
        <v>95</v>
      </c>
      <c r="G15" s="273">
        <f>+F15*E15*D15</f>
        <v>0</v>
      </c>
      <c r="H15" s="273">
        <f>$H$12</f>
        <v>265</v>
      </c>
      <c r="I15" s="320">
        <f>G15/H15</f>
        <v>0</v>
      </c>
      <c r="J15" s="320">
        <f>G15/298</f>
        <v>0</v>
      </c>
      <c r="K15" s="320">
        <f>$K$12</f>
        <v>0</v>
      </c>
      <c r="L15" s="237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s="240" customFormat="1" x14ac:dyDescent="0.25">
      <c r="A16" s="733" t="s">
        <v>183</v>
      </c>
      <c r="B16" s="733"/>
      <c r="C16" s="137">
        <v>6.1666699999999999</v>
      </c>
      <c r="D16" s="138">
        <v>1</v>
      </c>
      <c r="E16" s="701"/>
      <c r="F16" s="139">
        <f>Dies!$C$48</f>
        <v>95</v>
      </c>
      <c r="G16" s="273">
        <f>+F16*E16*D16</f>
        <v>0</v>
      </c>
      <c r="H16" s="273">
        <f>$H$12</f>
        <v>265</v>
      </c>
      <c r="I16" s="320">
        <f>G16/H16</f>
        <v>0</v>
      </c>
      <c r="J16" s="320">
        <f>G16/298</f>
        <v>0</v>
      </c>
      <c r="K16" s="320">
        <f>$K$13</f>
        <v>0</v>
      </c>
      <c r="L16" s="237">
        <f>+K16/C16</f>
        <v>0</v>
      </c>
      <c r="M16" s="238" t="s">
        <v>90</v>
      </c>
      <c r="N16" s="238" t="s">
        <v>42</v>
      </c>
      <c r="O16" s="239">
        <f>+K16*G16</f>
        <v>0</v>
      </c>
    </row>
    <row r="17" spans="1:15" s="153" customFormat="1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s="153" customFormat="1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s="240" customFormat="1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s="240" customFormat="1" x14ac:dyDescent="0.25">
      <c r="A20" s="733" t="s">
        <v>183</v>
      </c>
      <c r="B20" s="733"/>
      <c r="C20" s="137">
        <v>6.1666699999999999</v>
      </c>
      <c r="D20" s="7">
        <v>0.33333333333333337</v>
      </c>
      <c r="E20" s="701"/>
      <c r="F20" s="139">
        <f>Dies!$C$49</f>
        <v>20</v>
      </c>
      <c r="G20" s="273">
        <f>+F20*E20*D20</f>
        <v>0</v>
      </c>
      <c r="H20" s="273">
        <f>$H$12</f>
        <v>265</v>
      </c>
      <c r="I20" s="320">
        <f>G20/H20</f>
        <v>0</v>
      </c>
      <c r="J20" s="320">
        <f>G20/298</f>
        <v>0</v>
      </c>
      <c r="K20" s="320">
        <f>$K$13</f>
        <v>0</v>
      </c>
      <c r="L20" s="237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s="153" customFormat="1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s="240" customFormat="1" x14ac:dyDescent="0.25">
      <c r="A22" s="733" t="s">
        <v>72</v>
      </c>
      <c r="B22" s="733"/>
      <c r="C22" s="137">
        <v>6.1666699999999999</v>
      </c>
      <c r="D22" s="7">
        <v>0.33333333333333337</v>
      </c>
      <c r="E22" s="701"/>
      <c r="F22" s="139">
        <f>Dies!$C$49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</f>
        <v>0</v>
      </c>
      <c r="L22" s="237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s="240" customFormat="1" x14ac:dyDescent="0.25">
      <c r="A23" s="733" t="s">
        <v>183</v>
      </c>
      <c r="B23" s="733"/>
      <c r="C23" s="137">
        <v>6.1666699999999999</v>
      </c>
      <c r="D23" s="7">
        <v>0.33333333333333337</v>
      </c>
      <c r="E23" s="701"/>
      <c r="F23" s="139">
        <f>Dies!$C$49</f>
        <v>20</v>
      </c>
      <c r="G23" s="273">
        <f>+F23*E23*D23</f>
        <v>0</v>
      </c>
      <c r="H23" s="273">
        <f>$H$12</f>
        <v>265</v>
      </c>
      <c r="I23" s="320">
        <f>G23/H23</f>
        <v>0</v>
      </c>
      <c r="J23" s="320">
        <f>G23/298</f>
        <v>0</v>
      </c>
      <c r="K23" s="320">
        <f>$K$13</f>
        <v>0</v>
      </c>
      <c r="L23" s="237">
        <f>+K23/C23</f>
        <v>0</v>
      </c>
      <c r="M23" s="238" t="s">
        <v>90</v>
      </c>
      <c r="N23" s="238" t="s">
        <v>42</v>
      </c>
      <c r="O23" s="239">
        <f>+K23*G23</f>
        <v>0</v>
      </c>
    </row>
    <row r="24" spans="1:15" s="153" customFormat="1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s="153" customFormat="1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s="240" customFormat="1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139">
        <f>Dies!$C$50</f>
        <v>20</v>
      </c>
      <c r="G26" s="273">
        <f>+F26*E26*D26</f>
        <v>0</v>
      </c>
      <c r="H26" s="273">
        <f>$H$12</f>
        <v>265</v>
      </c>
      <c r="I26" s="320">
        <f>G26/H26</f>
        <v>0</v>
      </c>
      <c r="J26" s="320">
        <f>G26/298</f>
        <v>0</v>
      </c>
      <c r="K26" s="320">
        <f>$K$12+Personal!D38</f>
        <v>0</v>
      </c>
      <c r="L26" s="237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s="240" customFormat="1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139">
        <f>Dies!$C$50</f>
        <v>20</v>
      </c>
      <c r="G27" s="273">
        <f>+F27*E27*D27</f>
        <v>0</v>
      </c>
      <c r="H27" s="273">
        <f>$H$12</f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237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s="240" customFormat="1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s="240" customFormat="1" x14ac:dyDescent="0.25">
      <c r="A29" s="733" t="s">
        <v>72</v>
      </c>
      <c r="B29" s="733"/>
      <c r="C29" s="137">
        <v>6.1666699999999999</v>
      </c>
      <c r="D29" s="138">
        <v>0.66666666666666674</v>
      </c>
      <c r="E29" s="701"/>
      <c r="F29" s="139">
        <f>Dies!$C$50</f>
        <v>20</v>
      </c>
      <c r="G29" s="273">
        <f>+F29*E29*D29</f>
        <v>0</v>
      </c>
      <c r="H29" s="273">
        <f>$H$12</f>
        <v>265</v>
      </c>
      <c r="I29" s="320">
        <f>G29/H29</f>
        <v>0</v>
      </c>
      <c r="J29" s="320">
        <f>G29/298</f>
        <v>0</v>
      </c>
      <c r="K29" s="320">
        <f>$K$12+Personal!D38</f>
        <v>0</v>
      </c>
      <c r="L29" s="237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s="240" customFormat="1" x14ac:dyDescent="0.25">
      <c r="A30" s="733" t="s">
        <v>183</v>
      </c>
      <c r="B30" s="733"/>
      <c r="C30" s="137">
        <v>6.1666699999999999</v>
      </c>
      <c r="D30" s="138">
        <v>0.66666666666666674</v>
      </c>
      <c r="E30" s="701"/>
      <c r="F30" s="139">
        <f>Dies!$C$50</f>
        <v>20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229" t="s">
        <v>199</v>
      </c>
      <c r="B31" s="242"/>
      <c r="C31" s="278"/>
      <c r="D31" s="278"/>
      <c r="E31" s="278"/>
      <c r="F31" s="245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 s="153" customFormat="1" x14ac:dyDescent="0.25">
      <c r="A32" s="782" t="s">
        <v>195</v>
      </c>
      <c r="B32" s="782"/>
      <c r="C32" s="241"/>
      <c r="D32" s="241"/>
      <c r="E32" s="241"/>
      <c r="F32" s="139"/>
      <c r="G32" s="234"/>
      <c r="H32" s="234"/>
      <c r="I32" s="236"/>
      <c r="J32" s="236"/>
      <c r="K32" s="241"/>
      <c r="L32" s="241"/>
      <c r="M32" s="234"/>
      <c r="N32" s="234"/>
      <c r="O32" s="234"/>
    </row>
    <row r="33" spans="1:15" s="240" customFormat="1" x14ac:dyDescent="0.25">
      <c r="A33" s="763" t="s">
        <v>88</v>
      </c>
      <c r="B33" s="763"/>
      <c r="C33" s="249"/>
      <c r="D33" s="249"/>
      <c r="E33" s="249"/>
      <c r="F33" s="139"/>
      <c r="G33" s="249"/>
      <c r="H33" s="249"/>
      <c r="I33" s="249"/>
      <c r="J33" s="249"/>
      <c r="K33" s="249"/>
      <c r="L33" s="249"/>
      <c r="M33" s="249"/>
      <c r="N33" s="249"/>
      <c r="O33" s="249"/>
    </row>
    <row r="34" spans="1:15" s="240" customFormat="1" x14ac:dyDescent="0.25">
      <c r="A34" s="733" t="s">
        <v>72</v>
      </c>
      <c r="B34" s="733"/>
      <c r="C34" s="137">
        <v>6.1666699999999999</v>
      </c>
      <c r="D34" s="138">
        <v>1</v>
      </c>
      <c r="E34" s="701"/>
      <c r="F34" s="139">
        <f>Dies!$C$53</f>
        <v>77</v>
      </c>
      <c r="G34" s="273">
        <f>+F34*E34*D34</f>
        <v>0</v>
      </c>
      <c r="H34" s="273">
        <f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237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s="153" customFormat="1" x14ac:dyDescent="0.25">
      <c r="A35" s="733" t="s">
        <v>183</v>
      </c>
      <c r="B35" s="733"/>
      <c r="C35" s="137">
        <v>6.1666699999999999</v>
      </c>
      <c r="D35" s="138">
        <v>1</v>
      </c>
      <c r="E35" s="701"/>
      <c r="F35" s="139">
        <f>Dies!$C$53</f>
        <v>77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$K$13</f>
        <v>0</v>
      </c>
      <c r="L35" s="237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s="153" customFormat="1" x14ac:dyDescent="0.25">
      <c r="A36" s="764" t="s">
        <v>89</v>
      </c>
      <c r="B36" s="764"/>
      <c r="C36" s="180"/>
      <c r="D36" s="241"/>
      <c r="E36" s="703"/>
      <c r="F36" s="241"/>
      <c r="G36" s="664"/>
      <c r="H36" s="664"/>
      <c r="I36" s="664"/>
      <c r="J36" s="664"/>
      <c r="K36" s="664"/>
      <c r="L36" s="180"/>
      <c r="M36" s="180"/>
      <c r="N36" s="180"/>
      <c r="O36" s="180"/>
    </row>
    <row r="37" spans="1:15" s="240" customFormat="1" x14ac:dyDescent="0.25">
      <c r="A37" s="733" t="s">
        <v>72</v>
      </c>
      <c r="B37" s="733"/>
      <c r="C37" s="137">
        <v>6.1666699999999999</v>
      </c>
      <c r="D37" s="138">
        <v>1</v>
      </c>
      <c r="E37" s="701"/>
      <c r="F37" s="139">
        <f>Dies!$C$53</f>
        <v>77</v>
      </c>
      <c r="G37" s="273">
        <f>+F37*E37*D37</f>
        <v>0</v>
      </c>
      <c r="H37" s="273">
        <f>$H$12</f>
        <v>265</v>
      </c>
      <c r="I37" s="320">
        <f>G37/H37</f>
        <v>0</v>
      </c>
      <c r="J37" s="320">
        <f>G37/298</f>
        <v>0</v>
      </c>
      <c r="K37" s="320">
        <f>$K$12</f>
        <v>0</v>
      </c>
      <c r="L37" s="237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s="153" customFormat="1" x14ac:dyDescent="0.25">
      <c r="A38" s="733" t="s">
        <v>183</v>
      </c>
      <c r="B38" s="733"/>
      <c r="C38" s="137">
        <v>6.1666699999999999</v>
      </c>
      <c r="D38" s="138">
        <v>1</v>
      </c>
      <c r="E38" s="701"/>
      <c r="F38" s="139">
        <f>Dies!$C$53</f>
        <v>77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$K$13</f>
        <v>0</v>
      </c>
      <c r="L38" s="237">
        <f>+K38/C38</f>
        <v>0</v>
      </c>
      <c r="M38" s="238" t="s">
        <v>90</v>
      </c>
      <c r="N38" s="238" t="s">
        <v>42</v>
      </c>
      <c r="O38" s="239">
        <f>+K38*G38</f>
        <v>0</v>
      </c>
    </row>
    <row r="39" spans="1:15" s="153" customFormat="1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s="240" customFormat="1" x14ac:dyDescent="0.25">
      <c r="A40" s="763" t="s">
        <v>88</v>
      </c>
      <c r="B40" s="763"/>
      <c r="C40" s="249"/>
      <c r="D40" s="241"/>
      <c r="E40" s="640"/>
      <c r="F40" s="241"/>
      <c r="G40" s="640"/>
      <c r="H40" s="640"/>
      <c r="I40" s="640"/>
      <c r="J40" s="640"/>
      <c r="K40" s="640"/>
      <c r="L40" s="249"/>
      <c r="M40" s="249"/>
      <c r="N40" s="249"/>
      <c r="O40" s="249"/>
    </row>
    <row r="41" spans="1:15" s="240" customFormat="1" x14ac:dyDescent="0.25">
      <c r="A41" s="733" t="s">
        <v>72</v>
      </c>
      <c r="B41" s="733"/>
      <c r="C41" s="137">
        <v>6.1666699999999999</v>
      </c>
      <c r="D41" s="7">
        <v>0.33333333333333337</v>
      </c>
      <c r="E41" s="701"/>
      <c r="F41" s="139">
        <f>Dies!$C$54</f>
        <v>15</v>
      </c>
      <c r="G41" s="273">
        <f>+F41*E41*D41</f>
        <v>0</v>
      </c>
      <c r="H41" s="273">
        <f>$H$12</f>
        <v>265</v>
      </c>
      <c r="I41" s="320">
        <f>G41/H41</f>
        <v>0</v>
      </c>
      <c r="J41" s="320">
        <f>G41/298</f>
        <v>0</v>
      </c>
      <c r="K41" s="320">
        <f>$K$12</f>
        <v>0</v>
      </c>
      <c r="L41" s="237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s="153" customFormat="1" x14ac:dyDescent="0.25">
      <c r="A42" s="733" t="s">
        <v>183</v>
      </c>
      <c r="B42" s="733"/>
      <c r="C42" s="137">
        <v>6.1666699999999999</v>
      </c>
      <c r="D42" s="7">
        <v>0.33333333333333337</v>
      </c>
      <c r="E42" s="701"/>
      <c r="F42" s="139">
        <f>Dies!$C$54</f>
        <v>15</v>
      </c>
      <c r="G42" s="273">
        <f>+F42*E42*D42</f>
        <v>0</v>
      </c>
      <c r="H42" s="273">
        <f>$H$12</f>
        <v>265</v>
      </c>
      <c r="I42" s="320">
        <f>G42/H42</f>
        <v>0</v>
      </c>
      <c r="J42" s="320">
        <f>G42/298</f>
        <v>0</v>
      </c>
      <c r="K42" s="320">
        <f>$K$13</f>
        <v>0</v>
      </c>
      <c r="L42" s="237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s="240" customFormat="1" x14ac:dyDescent="0.25">
      <c r="A43" s="764" t="s">
        <v>89</v>
      </c>
      <c r="B43" s="764"/>
      <c r="C43" s="249"/>
      <c r="D43" s="241"/>
      <c r="E43" s="640"/>
      <c r="F43" s="241"/>
      <c r="G43" s="640"/>
      <c r="H43" s="640"/>
      <c r="I43" s="640"/>
      <c r="J43" s="640"/>
      <c r="K43" s="640"/>
      <c r="L43" s="249"/>
      <c r="M43" s="249"/>
      <c r="N43" s="249"/>
      <c r="O43" s="249"/>
    </row>
    <row r="44" spans="1:15" s="240" customFormat="1" x14ac:dyDescent="0.25">
      <c r="A44" s="733" t="s">
        <v>72</v>
      </c>
      <c r="B44" s="733"/>
      <c r="C44" s="137">
        <v>6.1666699999999999</v>
      </c>
      <c r="D44" s="7">
        <v>0.33333333333333337</v>
      </c>
      <c r="E44" s="701"/>
      <c r="F44" s="139">
        <f>Dies!$C$54</f>
        <v>15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s="153" customFormat="1" x14ac:dyDescent="0.25">
      <c r="A45" s="733" t="s">
        <v>183</v>
      </c>
      <c r="B45" s="733"/>
      <c r="C45" s="137">
        <v>6.1666699999999999</v>
      </c>
      <c r="D45" s="7">
        <v>0.33333333333333337</v>
      </c>
      <c r="E45" s="701"/>
      <c r="F45" s="139">
        <f>Dies!$C$54</f>
        <v>15</v>
      </c>
      <c r="G45" s="273">
        <f>+F45*E45*D45</f>
        <v>0</v>
      </c>
      <c r="H45" s="273">
        <f>$H$12</f>
        <v>265</v>
      </c>
      <c r="I45" s="320">
        <f>G45/H45</f>
        <v>0</v>
      </c>
      <c r="J45" s="320">
        <f>G45/298</f>
        <v>0</v>
      </c>
      <c r="K45" s="320">
        <f>$K$13</f>
        <v>0</v>
      </c>
      <c r="L45" s="237">
        <f>+K45/C45</f>
        <v>0</v>
      </c>
      <c r="M45" s="238" t="s">
        <v>90</v>
      </c>
      <c r="N45" s="238" t="s">
        <v>42</v>
      </c>
      <c r="O45" s="239">
        <f>+K45*G45</f>
        <v>0</v>
      </c>
    </row>
    <row r="46" spans="1:15" s="240" customFormat="1" x14ac:dyDescent="0.25">
      <c r="A46" s="762" t="s">
        <v>197</v>
      </c>
      <c r="B46" s="762"/>
      <c r="C46" s="249"/>
      <c r="D46" s="241"/>
      <c r="E46" s="640"/>
      <c r="F46" s="241"/>
      <c r="G46" s="640"/>
      <c r="H46" s="640"/>
      <c r="I46" s="640"/>
      <c r="J46" s="640"/>
      <c r="K46" s="640"/>
      <c r="L46" s="249"/>
      <c r="M46" s="249"/>
      <c r="N46" s="249"/>
      <c r="O46" s="249"/>
    </row>
    <row r="47" spans="1:15" s="240" customFormat="1" x14ac:dyDescent="0.25">
      <c r="A47" s="763" t="s">
        <v>88</v>
      </c>
      <c r="B47" s="763"/>
      <c r="C47" s="249"/>
      <c r="D47" s="241"/>
      <c r="E47" s="640"/>
      <c r="F47" s="241"/>
      <c r="G47" s="640"/>
      <c r="H47" s="640"/>
      <c r="I47" s="640"/>
      <c r="J47" s="640"/>
      <c r="K47" s="640"/>
      <c r="L47" s="249"/>
      <c r="M47" s="249"/>
      <c r="N47" s="249"/>
      <c r="O47" s="249"/>
    </row>
    <row r="48" spans="1:15" s="240" customFormat="1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139">
        <f>Dies!$C$55</f>
        <v>15</v>
      </c>
      <c r="G48" s="273">
        <f>+F48*E48*D48</f>
        <v>0</v>
      </c>
      <c r="H48" s="273">
        <f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237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s="240" customFormat="1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139">
        <f>Dies!$C$55</f>
        <v>15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64" t="s">
        <v>89</v>
      </c>
      <c r="B50" s="764"/>
      <c r="C50" s="249"/>
      <c r="D50" s="241"/>
      <c r="E50" s="640"/>
      <c r="F50" s="241"/>
      <c r="G50" s="640"/>
      <c r="H50" s="640"/>
      <c r="I50" s="640"/>
      <c r="J50" s="640"/>
      <c r="K50" s="640"/>
      <c r="L50" s="249"/>
      <c r="M50" s="249"/>
      <c r="N50" s="249"/>
      <c r="O50" s="249"/>
    </row>
    <row r="51" spans="1:15" s="240" customFormat="1" x14ac:dyDescent="0.25">
      <c r="A51" s="733" t="s">
        <v>72</v>
      </c>
      <c r="B51" s="733"/>
      <c r="C51" s="137">
        <v>6.1666699999999999</v>
      </c>
      <c r="D51" s="138">
        <v>0.66666666666666674</v>
      </c>
      <c r="E51" s="701"/>
      <c r="F51" s="139">
        <f>Dies!$C$55</f>
        <v>15</v>
      </c>
      <c r="G51" s="273">
        <f>+F51*E51*D51</f>
        <v>0</v>
      </c>
      <c r="H51" s="273">
        <f>$H$12</f>
        <v>265</v>
      </c>
      <c r="I51" s="320">
        <f t="shared" ref="I51" si="0">G51/H51</f>
        <v>0</v>
      </c>
      <c r="J51" s="320">
        <f t="shared" ref="J51" si="1">G51/298</f>
        <v>0</v>
      </c>
      <c r="K51" s="320">
        <f>$K$12+Personal!D38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240" customFormat="1" x14ac:dyDescent="0.25">
      <c r="A52" s="733" t="s">
        <v>183</v>
      </c>
      <c r="B52" s="733"/>
      <c r="C52" s="137">
        <v>6.1666699999999999</v>
      </c>
      <c r="D52" s="138">
        <v>0.66666666666666674</v>
      </c>
      <c r="E52" s="701"/>
      <c r="F52" s="139">
        <f>Dies!$C$55</f>
        <v>15</v>
      </c>
      <c r="G52" s="273">
        <f>+F52*E52*D52</f>
        <v>0</v>
      </c>
      <c r="H52" s="273">
        <f>$H$12</f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237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s="240" customFormat="1" x14ac:dyDescent="0.25">
      <c r="A53" s="229" t="s">
        <v>326</v>
      </c>
      <c r="B53" s="242"/>
      <c r="C53" s="278"/>
      <c r="D53" s="278"/>
      <c r="E53" s="278"/>
      <c r="F53" s="245"/>
      <c r="G53" s="278"/>
      <c r="H53" s="278"/>
      <c r="I53" s="278"/>
      <c r="J53" s="278"/>
      <c r="K53" s="278"/>
      <c r="L53" s="278"/>
      <c r="M53" s="278"/>
      <c r="N53" s="278"/>
      <c r="O53" s="278"/>
    </row>
    <row r="54" spans="1:15" s="240" customFormat="1" x14ac:dyDescent="0.25">
      <c r="A54" s="782" t="s">
        <v>195</v>
      </c>
      <c r="B54" s="782"/>
      <c r="C54" s="137"/>
      <c r="D54" s="138"/>
      <c r="E54" s="139"/>
      <c r="F54" s="139"/>
      <c r="G54" s="235"/>
      <c r="H54" s="235"/>
      <c r="I54" s="236"/>
      <c r="J54" s="236"/>
      <c r="K54" s="320"/>
      <c r="L54" s="237"/>
      <c r="M54" s="238"/>
      <c r="N54" s="238"/>
      <c r="O54" s="239"/>
    </row>
    <row r="55" spans="1:15" s="240" customFormat="1" x14ac:dyDescent="0.25">
      <c r="A55" s="763" t="s">
        <v>88</v>
      </c>
      <c r="B55" s="763"/>
      <c r="C55" s="137"/>
      <c r="D55" s="138"/>
      <c r="E55" s="139"/>
      <c r="F55" s="139"/>
      <c r="G55" s="235"/>
      <c r="H55" s="235"/>
      <c r="I55" s="236"/>
      <c r="J55" s="236"/>
      <c r="K55" s="320"/>
      <c r="L55" s="237"/>
      <c r="M55" s="238"/>
      <c r="N55" s="238"/>
      <c r="O55" s="239"/>
    </row>
    <row r="56" spans="1:15" s="240" customFormat="1" x14ac:dyDescent="0.25">
      <c r="A56" s="733" t="s">
        <v>72</v>
      </c>
      <c r="B56" s="733"/>
      <c r="C56" s="137">
        <v>6.1666699999999999</v>
      </c>
      <c r="D56" s="138">
        <v>1</v>
      </c>
      <c r="E56" s="701"/>
      <c r="F56" s="139">
        <f>Dies!$C$58</f>
        <v>89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 t="shared" ref="J56" si="2">G56/298</f>
        <v>0</v>
      </c>
      <c r="K56" s="320">
        <f>$K$12</f>
        <v>0</v>
      </c>
      <c r="L56" s="237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s="240" customFormat="1" x14ac:dyDescent="0.25">
      <c r="A57" s="733" t="s">
        <v>183</v>
      </c>
      <c r="B57" s="733"/>
      <c r="C57" s="137">
        <v>6.1666699999999999</v>
      </c>
      <c r="D57" s="138">
        <v>1</v>
      </c>
      <c r="E57" s="701"/>
      <c r="F57" s="139">
        <f>Dies!$C$58</f>
        <v>89</v>
      </c>
      <c r="G57" s="273">
        <f>+F57*E57*D57</f>
        <v>0</v>
      </c>
      <c r="H57" s="273">
        <f>$H$12</f>
        <v>265</v>
      </c>
      <c r="I57" s="320">
        <f>G57/H57</f>
        <v>0</v>
      </c>
      <c r="J57" s="320">
        <f>G57/298</f>
        <v>0</v>
      </c>
      <c r="K57" s="320">
        <f>$K$13</f>
        <v>0</v>
      </c>
      <c r="L57" s="237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s="240" customFormat="1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s="240" customFormat="1" x14ac:dyDescent="0.25">
      <c r="A59" s="733" t="s">
        <v>72</v>
      </c>
      <c r="B59" s="733"/>
      <c r="C59" s="137">
        <v>6.1666699999999999</v>
      </c>
      <c r="D59" s="138">
        <v>1</v>
      </c>
      <c r="E59" s="701"/>
      <c r="F59" s="139">
        <f>Dies!$C$58</f>
        <v>89</v>
      </c>
      <c r="G59" s="273">
        <f>+F59*E59*D59</f>
        <v>0</v>
      </c>
      <c r="H59" s="273">
        <f>$H$12</f>
        <v>265</v>
      </c>
      <c r="I59" s="320">
        <f>G59/H59</f>
        <v>0</v>
      </c>
      <c r="J59" s="320">
        <f t="shared" ref="J59" si="3">G59/298</f>
        <v>0</v>
      </c>
      <c r="K59" s="320">
        <f>$K$12</f>
        <v>0</v>
      </c>
      <c r="L59" s="237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s="240" customFormat="1" x14ac:dyDescent="0.25">
      <c r="A60" s="733" t="s">
        <v>183</v>
      </c>
      <c r="B60" s="733"/>
      <c r="C60" s="137">
        <v>6.1666699999999999</v>
      </c>
      <c r="D60" s="138">
        <v>1</v>
      </c>
      <c r="E60" s="701"/>
      <c r="F60" s="139">
        <f>Dies!$C$58</f>
        <v>89</v>
      </c>
      <c r="G60" s="273">
        <f>+F60*E60*D60</f>
        <v>0</v>
      </c>
      <c r="H60" s="273">
        <f>$H$12</f>
        <v>265</v>
      </c>
      <c r="I60" s="320">
        <f>G60/H60</f>
        <v>0</v>
      </c>
      <c r="J60" s="320">
        <f>G60/298</f>
        <v>0</v>
      </c>
      <c r="K60" s="320">
        <f>$K$13</f>
        <v>0</v>
      </c>
      <c r="L60" s="237">
        <f>+K60/C60</f>
        <v>0</v>
      </c>
      <c r="M60" s="238" t="s">
        <v>90</v>
      </c>
      <c r="N60" s="238" t="s">
        <v>42</v>
      </c>
      <c r="O60" s="239">
        <f>+K60*G60</f>
        <v>0</v>
      </c>
    </row>
    <row r="61" spans="1:15" s="240" customFormat="1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s="240" customFormat="1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s="240" customFormat="1" x14ac:dyDescent="0.25">
      <c r="A63" s="733" t="s">
        <v>72</v>
      </c>
      <c r="B63" s="733"/>
      <c r="C63" s="137">
        <v>6.1666699999999999</v>
      </c>
      <c r="D63" s="7">
        <v>0.33333333333333337</v>
      </c>
      <c r="E63" s="701"/>
      <c r="F63" s="139">
        <f>Dies!$C$59</f>
        <v>17</v>
      </c>
      <c r="G63" s="273">
        <f>+F63*E63*D63</f>
        <v>0</v>
      </c>
      <c r="H63" s="273">
        <f>$H$12</f>
        <v>265</v>
      </c>
      <c r="I63" s="320">
        <f t="shared" ref="I63" si="4">G63/H63</f>
        <v>0</v>
      </c>
      <c r="J63" s="320">
        <f t="shared" ref="J63" si="5">G63/298</f>
        <v>0</v>
      </c>
      <c r="K63" s="320">
        <f>$K$12</f>
        <v>0</v>
      </c>
      <c r="L63" s="237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s="240" customFormat="1" x14ac:dyDescent="0.25">
      <c r="A64" s="733" t="s">
        <v>183</v>
      </c>
      <c r="B64" s="733"/>
      <c r="C64" s="137">
        <v>6.1666699999999999</v>
      </c>
      <c r="D64" s="7">
        <v>0.33333333333333337</v>
      </c>
      <c r="E64" s="701"/>
      <c r="F64" s="139">
        <f>Dies!$C$59</f>
        <v>17</v>
      </c>
      <c r="G64" s="273">
        <f>+F64*E64*D64</f>
        <v>0</v>
      </c>
      <c r="H64" s="273">
        <f>$H$12</f>
        <v>265</v>
      </c>
      <c r="I64" s="320">
        <f>G64/H64</f>
        <v>0</v>
      </c>
      <c r="J64" s="320">
        <f>G64/298</f>
        <v>0</v>
      </c>
      <c r="K64" s="320">
        <f>$K$13</f>
        <v>0</v>
      </c>
      <c r="L64" s="237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s="240" customFormat="1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s="240" customFormat="1" x14ac:dyDescent="0.25">
      <c r="A66" s="733" t="s">
        <v>72</v>
      </c>
      <c r="B66" s="733"/>
      <c r="C66" s="137">
        <v>6.1666699999999999</v>
      </c>
      <c r="D66" s="7">
        <v>0.33333333333333337</v>
      </c>
      <c r="E66" s="701"/>
      <c r="F66" s="139">
        <f>Dies!$C$59</f>
        <v>17</v>
      </c>
      <c r="G66" s="273">
        <f>+F66*E66*D66</f>
        <v>0</v>
      </c>
      <c r="H66" s="273">
        <f>$H$12</f>
        <v>265</v>
      </c>
      <c r="I66" s="320">
        <f t="shared" ref="I66" si="6">G66/H66</f>
        <v>0</v>
      </c>
      <c r="J66" s="320">
        <f t="shared" ref="J66" si="7">G66/298</f>
        <v>0</v>
      </c>
      <c r="K66" s="320">
        <f>$K$12</f>
        <v>0</v>
      </c>
      <c r="L66" s="237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s="240" customFormat="1" x14ac:dyDescent="0.25">
      <c r="A67" s="733" t="s">
        <v>183</v>
      </c>
      <c r="B67" s="733"/>
      <c r="C67" s="137">
        <v>6.1666699999999999</v>
      </c>
      <c r="D67" s="7">
        <v>0.33333333333333337</v>
      </c>
      <c r="E67" s="701"/>
      <c r="F67" s="139">
        <f>Dies!$C$59</f>
        <v>17</v>
      </c>
      <c r="G67" s="273">
        <f>+F67*E67*D67</f>
        <v>0</v>
      </c>
      <c r="H67" s="273">
        <f>$H$12</f>
        <v>265</v>
      </c>
      <c r="I67" s="320">
        <f>G67/H67</f>
        <v>0</v>
      </c>
      <c r="J67" s="320">
        <f>G67/298</f>
        <v>0</v>
      </c>
      <c r="K67" s="320">
        <f>$K$13</f>
        <v>0</v>
      </c>
      <c r="L67" s="237">
        <f>+K67/C67</f>
        <v>0</v>
      </c>
      <c r="M67" s="238" t="s">
        <v>90</v>
      </c>
      <c r="N67" s="238" t="s">
        <v>42</v>
      </c>
      <c r="O67" s="239">
        <f>+K67*G67</f>
        <v>0</v>
      </c>
    </row>
    <row r="68" spans="1:15" s="240" customFormat="1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s="240" customFormat="1" x14ac:dyDescent="0.25">
      <c r="A69" s="763" t="s">
        <v>88</v>
      </c>
      <c r="B69" s="763"/>
      <c r="C69" s="249"/>
      <c r="D69" s="241"/>
      <c r="E69" s="640"/>
      <c r="F69" s="241"/>
      <c r="G69" s="640"/>
      <c r="H69" s="640"/>
      <c r="I69" s="640"/>
      <c r="J69" s="640"/>
      <c r="K69" s="640"/>
      <c r="L69" s="249"/>
      <c r="M69" s="249"/>
      <c r="N69" s="249"/>
      <c r="O69" s="249"/>
    </row>
    <row r="70" spans="1:15" s="240" customFormat="1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139">
        <f>Dies!$C$60</f>
        <v>17</v>
      </c>
      <c r="G70" s="273">
        <f>+F70*E70*D70</f>
        <v>0</v>
      </c>
      <c r="H70" s="273">
        <f>$H$12</f>
        <v>265</v>
      </c>
      <c r="I70" s="320">
        <f>G70/H70</f>
        <v>0</v>
      </c>
      <c r="J70" s="320">
        <f>G70/298</f>
        <v>0</v>
      </c>
      <c r="K70" s="320">
        <f>$K$12</f>
        <v>0</v>
      </c>
      <c r="L70" s="237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s="240" customFormat="1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139">
        <f>Dies!$C$60</f>
        <v>17</v>
      </c>
      <c r="G71" s="273">
        <f>+F71*E71*D71</f>
        <v>0</v>
      </c>
      <c r="H71" s="273">
        <f>$H$12</f>
        <v>265</v>
      </c>
      <c r="I71" s="320">
        <f>G71/H71</f>
        <v>0</v>
      </c>
      <c r="J71" s="320">
        <f>G71/298</f>
        <v>0</v>
      </c>
      <c r="K71" s="320">
        <f>$K$13</f>
        <v>0</v>
      </c>
      <c r="L71" s="237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s="240" customFormat="1" x14ac:dyDescent="0.25">
      <c r="A72" s="764" t="s">
        <v>89</v>
      </c>
      <c r="B72" s="764"/>
      <c r="C72" s="249"/>
      <c r="D72" s="241"/>
      <c r="E72" s="640"/>
      <c r="F72" s="241"/>
      <c r="G72" s="640"/>
      <c r="H72" s="640"/>
      <c r="I72" s="640"/>
      <c r="J72" s="640"/>
      <c r="K72" s="640"/>
      <c r="L72" s="249"/>
      <c r="M72" s="249"/>
      <c r="N72" s="249"/>
      <c r="O72" s="249"/>
    </row>
    <row r="73" spans="1:15" s="240" customFormat="1" x14ac:dyDescent="0.25">
      <c r="A73" s="733" t="s">
        <v>72</v>
      </c>
      <c r="B73" s="733"/>
      <c r="C73" s="137">
        <v>6.1666699999999999</v>
      </c>
      <c r="D73" s="138">
        <v>0.66666666666666674</v>
      </c>
      <c r="E73" s="701"/>
      <c r="F73" s="139">
        <f>Dies!$C$60</f>
        <v>17</v>
      </c>
      <c r="G73" s="273">
        <f>+F73*E73*D73</f>
        <v>0</v>
      </c>
      <c r="H73" s="273">
        <f>$H$12</f>
        <v>265</v>
      </c>
      <c r="I73" s="320">
        <f t="shared" ref="I73" si="8">G73/H73</f>
        <v>0</v>
      </c>
      <c r="J73" s="320">
        <f t="shared" ref="J73" si="9">G73/298</f>
        <v>0</v>
      </c>
      <c r="K73" s="320">
        <f>$K$12</f>
        <v>0</v>
      </c>
      <c r="L73" s="237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s="240" customFormat="1" x14ac:dyDescent="0.25">
      <c r="A74" s="733" t="s">
        <v>183</v>
      </c>
      <c r="B74" s="733"/>
      <c r="C74" s="137">
        <v>6.1666699999999999</v>
      </c>
      <c r="D74" s="138">
        <v>0.66666666666666674</v>
      </c>
      <c r="E74" s="701"/>
      <c r="F74" s="139">
        <f>Dies!$C$60</f>
        <v>17</v>
      </c>
      <c r="G74" s="273">
        <f>+F74*E74*D74</f>
        <v>0</v>
      </c>
      <c r="H74" s="273">
        <f>$H$12</f>
        <v>265</v>
      </c>
      <c r="I74" s="320">
        <f>G74/H74</f>
        <v>0</v>
      </c>
      <c r="J74" s="320">
        <f>G74/298</f>
        <v>0</v>
      </c>
      <c r="K74" s="320">
        <f>$K$13</f>
        <v>0</v>
      </c>
      <c r="L74" s="237">
        <f>+K74/C74</f>
        <v>0</v>
      </c>
      <c r="M74" s="238" t="s">
        <v>90</v>
      </c>
      <c r="N74" s="238" t="s">
        <v>42</v>
      </c>
      <c r="O74" s="239">
        <f>+K74*G74</f>
        <v>0</v>
      </c>
    </row>
    <row r="75" spans="1:15" x14ac:dyDescent="0.25">
      <c r="A75" s="395"/>
      <c r="B75" s="396"/>
      <c r="C75" s="396"/>
      <c r="D75" s="396"/>
      <c r="E75" s="397" t="s">
        <v>45</v>
      </c>
      <c r="F75" s="396"/>
      <c r="G75" s="396">
        <f>SUM(G12:G74)</f>
        <v>0</v>
      </c>
      <c r="H75" s="398"/>
      <c r="I75" s="324">
        <f>SUM(I12:I74)</f>
        <v>0</v>
      </c>
      <c r="J75" s="324">
        <f>SUM(J12:J74)</f>
        <v>0</v>
      </c>
      <c r="K75" s="396"/>
      <c r="L75" s="396"/>
      <c r="M75" s="396"/>
      <c r="N75" s="396"/>
      <c r="O75" s="399">
        <f>SUM(O12:O74)</f>
        <v>0</v>
      </c>
    </row>
    <row r="76" spans="1:15" x14ac:dyDescent="0.25">
      <c r="A76" s="400"/>
      <c r="B76" s="327"/>
      <c r="C76" s="327"/>
      <c r="D76" s="327"/>
      <c r="E76" s="328"/>
      <c r="F76" s="327"/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J13+J16+J20+J23+J27+J30+J35+J38+J42+J45+J49+J52+J57+J60+J64+J67+J71+J74</f>
        <v>0</v>
      </c>
      <c r="K76" s="327"/>
      <c r="L76" s="327"/>
      <c r="M76" s="327"/>
      <c r="N76" s="327"/>
      <c r="O76" s="401"/>
    </row>
    <row r="77" spans="1:15" x14ac:dyDescent="0.25">
      <c r="A77" s="400"/>
      <c r="B77" s="327"/>
      <c r="C77" s="327"/>
      <c r="D77" s="327"/>
      <c r="E77" s="328"/>
      <c r="F77" s="258" t="s">
        <v>301</v>
      </c>
      <c r="G77" s="324">
        <f>G13+G16+G20+G23+G35+G38+G42+G45+G57+G60+G64+G67</f>
        <v>0</v>
      </c>
      <c r="H77" s="324"/>
      <c r="I77" s="324"/>
      <c r="J77" s="324"/>
      <c r="K77" s="327"/>
      <c r="L77" s="327"/>
      <c r="M77" s="327"/>
      <c r="N77" s="327"/>
      <c r="O77" s="401"/>
    </row>
    <row r="78" spans="1:15" x14ac:dyDescent="0.25">
      <c r="A78" s="400"/>
      <c r="B78" s="327"/>
      <c r="C78" s="327"/>
      <c r="D78" s="327"/>
      <c r="E78" s="328"/>
      <c r="F78" s="258" t="s">
        <v>302</v>
      </c>
      <c r="G78" s="324">
        <f>G27+G30+G49+G52+G71+G74</f>
        <v>0</v>
      </c>
      <c r="H78" s="324"/>
      <c r="I78" s="324"/>
      <c r="J78" s="324"/>
      <c r="K78" s="327"/>
      <c r="L78" s="327">
        <f>G77+G78</f>
        <v>0</v>
      </c>
      <c r="M78" s="327"/>
      <c r="N78" s="327"/>
      <c r="O78" s="401"/>
    </row>
    <row r="79" spans="1:15" x14ac:dyDescent="0.25">
      <c r="A79" s="400"/>
      <c r="B79" s="327"/>
      <c r="C79" s="327"/>
      <c r="D79" s="327"/>
      <c r="E79" s="328"/>
      <c r="F79" s="327"/>
      <c r="G79" s="324">
        <f>G12+G15+G19+G22+G26+G29+G34+G37+G41+G44+G48++G51+G56+G59+G63+G66+G70+G73</f>
        <v>0</v>
      </c>
      <c r="H79" s="324" t="s">
        <v>72</v>
      </c>
      <c r="I79" s="324">
        <f>I12+I15+I19+I22+I26+I29+I34+I37+I41+I44+I48++I51+I56+I59+I63+I66+I70+I73</f>
        <v>0</v>
      </c>
      <c r="J79" s="324">
        <f>J12+J15+J19+J22+J26+J29+J34+J37++J41+J44+J48+J51+J56+J59+J63+J66+J70+J73</f>
        <v>0</v>
      </c>
      <c r="K79" s="327"/>
      <c r="L79" s="327"/>
      <c r="M79" s="327"/>
      <c r="N79" s="327"/>
      <c r="O79" s="401"/>
    </row>
    <row r="80" spans="1:15" x14ac:dyDescent="0.25">
      <c r="A80" s="400"/>
      <c r="B80" s="327"/>
      <c r="C80" s="327"/>
      <c r="D80" s="327"/>
      <c r="E80" s="328"/>
      <c r="F80" s="258" t="s">
        <v>301</v>
      </c>
      <c r="G80" s="324">
        <f>G12+G15+G19+G22+G34+G37+G41+G44+G56+G59+G63+G66</f>
        <v>0</v>
      </c>
      <c r="H80" s="327"/>
      <c r="I80" s="327"/>
      <c r="J80" s="327"/>
      <c r="K80" s="327"/>
      <c r="L80" s="327"/>
      <c r="M80" s="327"/>
      <c r="N80" s="327"/>
      <c r="O80" s="401"/>
    </row>
    <row r="81" spans="1:15" x14ac:dyDescent="0.25">
      <c r="A81" s="400"/>
      <c r="B81" s="327"/>
      <c r="C81" s="327"/>
      <c r="D81" s="327"/>
      <c r="E81" s="328"/>
      <c r="F81" s="258" t="s">
        <v>302</v>
      </c>
      <c r="G81" s="324">
        <f>G26+G29+G48+G51+G70+G73</f>
        <v>0</v>
      </c>
      <c r="H81" s="327"/>
      <c r="I81" s="327"/>
      <c r="J81" s="327"/>
      <c r="K81" s="327"/>
      <c r="L81" s="327"/>
      <c r="M81" s="327"/>
      <c r="N81" s="327"/>
      <c r="O81" s="401"/>
    </row>
    <row r="82" spans="1:15" s="153" customFormat="1" ht="26.25" x14ac:dyDescent="0.4">
      <c r="A82" s="220" t="s">
        <v>211</v>
      </c>
      <c r="B82" s="221"/>
      <c r="C82" s="221"/>
      <c r="D82" s="223"/>
      <c r="E82" s="223"/>
      <c r="F82" s="223"/>
      <c r="G82" s="223"/>
      <c r="H82" s="223"/>
      <c r="I82" s="223"/>
      <c r="J82" s="223"/>
      <c r="K82" s="224"/>
      <c r="L82" s="224"/>
      <c r="M82" s="224"/>
      <c r="N82" s="224"/>
      <c r="O82" s="224"/>
    </row>
    <row r="83" spans="1:15" x14ac:dyDescent="0.25">
      <c r="A83" s="773" t="s">
        <v>20</v>
      </c>
      <c r="B83" s="773"/>
      <c r="C83" s="225" t="s">
        <v>27</v>
      </c>
      <c r="D83" s="225" t="s">
        <v>28</v>
      </c>
      <c r="E83" s="225" t="s">
        <v>21</v>
      </c>
      <c r="F83" s="225" t="s">
        <v>29</v>
      </c>
      <c r="G83" s="225"/>
      <c r="H83" s="225"/>
      <c r="I83" s="225"/>
      <c r="J83" s="225"/>
      <c r="K83" s="225" t="s">
        <v>30</v>
      </c>
      <c r="L83" s="225" t="s">
        <v>23</v>
      </c>
      <c r="M83" s="225" t="s">
        <v>31</v>
      </c>
      <c r="N83" s="225"/>
      <c r="O83" s="225" t="s">
        <v>32</v>
      </c>
    </row>
    <row r="84" spans="1:15" x14ac:dyDescent="0.25">
      <c r="A84" s="768"/>
      <c r="B84" s="768"/>
      <c r="C84" s="226" t="s">
        <v>44</v>
      </c>
      <c r="D84" s="226" t="s">
        <v>5</v>
      </c>
      <c r="E84" s="226" t="s">
        <v>24</v>
      </c>
      <c r="F84" s="227" t="s">
        <v>34</v>
      </c>
      <c r="G84" s="226" t="s">
        <v>35</v>
      </c>
      <c r="H84" s="226"/>
      <c r="I84" s="226"/>
      <c r="J84" s="226"/>
      <c r="K84" s="226" t="s">
        <v>36</v>
      </c>
      <c r="L84" s="228" t="s">
        <v>37</v>
      </c>
      <c r="M84" s="226" t="s">
        <v>38</v>
      </c>
      <c r="N84" s="226"/>
      <c r="O84" s="226" t="s">
        <v>40</v>
      </c>
    </row>
    <row r="85" spans="1:15" s="153" customFormat="1" x14ac:dyDescent="0.25">
      <c r="A85" s="229" t="s">
        <v>198</v>
      </c>
      <c r="B85" s="230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</row>
    <row r="86" spans="1:15" s="153" customFormat="1" x14ac:dyDescent="0.25">
      <c r="A86" s="782" t="s">
        <v>195</v>
      </c>
      <c r="B86" s="782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</row>
    <row r="87" spans="1:15" s="153" customFormat="1" x14ac:dyDescent="0.25">
      <c r="A87" s="763" t="s">
        <v>88</v>
      </c>
      <c r="B87" s="763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</row>
    <row r="88" spans="1:15" s="153" customFormat="1" x14ac:dyDescent="0.25">
      <c r="A88" s="733" t="s">
        <v>67</v>
      </c>
      <c r="B88" s="733"/>
      <c r="C88" s="137">
        <v>6.1666699999999999</v>
      </c>
      <c r="D88" s="138">
        <v>1</v>
      </c>
      <c r="E88" s="139">
        <f>$E$12</f>
        <v>0</v>
      </c>
      <c r="F88" s="139">
        <f>Dies!$C$48</f>
        <v>95</v>
      </c>
      <c r="G88" s="273">
        <f>+D88*E88*F88</f>
        <v>0</v>
      </c>
      <c r="H88" s="273"/>
      <c r="I88" s="273"/>
      <c r="J88" s="273"/>
      <c r="K88" s="320">
        <f>'Seguro+combustible+reparacions'!F10</f>
        <v>0</v>
      </c>
      <c r="L88" s="237">
        <f>+K88/C88</f>
        <v>0</v>
      </c>
      <c r="M88" s="238" t="str">
        <f>+M12</f>
        <v>Matí</v>
      </c>
      <c r="N88" s="238"/>
      <c r="O88" s="239">
        <f>+K88*G88</f>
        <v>0</v>
      </c>
    </row>
    <row r="89" spans="1:15" s="153" customFormat="1" x14ac:dyDescent="0.25">
      <c r="A89" s="764" t="s">
        <v>89</v>
      </c>
      <c r="B89" s="764"/>
      <c r="C89" s="241"/>
      <c r="D89" s="241"/>
      <c r="E89" s="241"/>
      <c r="F89" s="241"/>
      <c r="G89" s="241"/>
      <c r="H89" s="241"/>
      <c r="I89" s="241"/>
      <c r="J89" s="241"/>
      <c r="K89" s="241"/>
      <c r="L89" s="234"/>
      <c r="M89" s="234"/>
      <c r="N89" s="234"/>
      <c r="O89" s="234"/>
    </row>
    <row r="90" spans="1:15" s="153" customFormat="1" x14ac:dyDescent="0.25">
      <c r="A90" s="733" t="s">
        <v>67</v>
      </c>
      <c r="B90" s="733"/>
      <c r="C90" s="137">
        <v>6.1666699999999999</v>
      </c>
      <c r="D90" s="138">
        <v>1</v>
      </c>
      <c r="E90" s="139">
        <f>$E$15</f>
        <v>0</v>
      </c>
      <c r="F90" s="139">
        <f>Dies!$C$48</f>
        <v>95</v>
      </c>
      <c r="G90" s="273">
        <f>+D90*E90*F90</f>
        <v>0</v>
      </c>
      <c r="H90" s="273"/>
      <c r="I90" s="273"/>
      <c r="J90" s="273"/>
      <c r="K90" s="320">
        <f>$K$88</f>
        <v>0</v>
      </c>
      <c r="L90" s="237">
        <f>+K90/C90</f>
        <v>0</v>
      </c>
      <c r="M90" s="238" t="str">
        <f>+M15</f>
        <v>Tarda</v>
      </c>
      <c r="N90" s="238"/>
      <c r="O90" s="239">
        <f>+K90*G90</f>
        <v>0</v>
      </c>
    </row>
    <row r="91" spans="1:15" s="153" customFormat="1" x14ac:dyDescent="0.25">
      <c r="A91" s="762" t="s">
        <v>196</v>
      </c>
      <c r="B91" s="762"/>
      <c r="C91" s="241"/>
      <c r="D91" s="241"/>
      <c r="E91" s="241"/>
      <c r="F91" s="241"/>
      <c r="G91" s="241"/>
      <c r="H91" s="241"/>
      <c r="I91" s="241"/>
      <c r="J91" s="241"/>
      <c r="K91" s="241"/>
      <c r="L91" s="234"/>
      <c r="M91" s="234"/>
      <c r="N91" s="234"/>
      <c r="O91" s="234"/>
    </row>
    <row r="92" spans="1:15" s="153" customFormat="1" x14ac:dyDescent="0.25">
      <c r="A92" s="763" t="s">
        <v>88</v>
      </c>
      <c r="B92" s="763"/>
      <c r="C92" s="241"/>
      <c r="D92" s="241"/>
      <c r="E92" s="241"/>
      <c r="F92" s="241"/>
      <c r="G92" s="241"/>
      <c r="H92" s="241"/>
      <c r="I92" s="241"/>
      <c r="J92" s="241"/>
      <c r="K92" s="241"/>
      <c r="L92" s="234"/>
      <c r="M92" s="234"/>
      <c r="N92" s="234"/>
      <c r="O92" s="234"/>
    </row>
    <row r="93" spans="1:15" s="153" customFormat="1" x14ac:dyDescent="0.25">
      <c r="A93" s="733" t="s">
        <v>67</v>
      </c>
      <c r="B93" s="733"/>
      <c r="C93" s="137">
        <v>6.1666699999999999</v>
      </c>
      <c r="D93" s="138">
        <v>1</v>
      </c>
      <c r="E93" s="139">
        <f>$E$19</f>
        <v>0</v>
      </c>
      <c r="F93" s="139">
        <f>Dies!$C$49</f>
        <v>20</v>
      </c>
      <c r="G93" s="273">
        <f>+D93*E93*F93</f>
        <v>0</v>
      </c>
      <c r="H93" s="273"/>
      <c r="I93" s="273"/>
      <c r="J93" s="273"/>
      <c r="K93" s="320">
        <f>$K$88</f>
        <v>0</v>
      </c>
      <c r="L93" s="237">
        <f>+K93/C93</f>
        <v>0</v>
      </c>
      <c r="M93" s="238" t="str">
        <f>+M19</f>
        <v>Matí</v>
      </c>
      <c r="N93" s="238"/>
      <c r="O93" s="239">
        <f>+K93*G93</f>
        <v>0</v>
      </c>
    </row>
    <row r="94" spans="1:15" s="153" customFormat="1" x14ac:dyDescent="0.25">
      <c r="A94" s="764" t="s">
        <v>89</v>
      </c>
      <c r="B94" s="764"/>
      <c r="C94" s="180"/>
      <c r="D94" s="180"/>
      <c r="E94" s="653"/>
      <c r="F94" s="241"/>
      <c r="G94" s="664"/>
      <c r="H94" s="664"/>
      <c r="I94" s="664"/>
      <c r="J94" s="664"/>
      <c r="K94" s="664"/>
      <c r="L94" s="180"/>
      <c r="M94" s="180"/>
      <c r="N94" s="180"/>
      <c r="O94" s="180"/>
    </row>
    <row r="95" spans="1:15" s="153" customFormat="1" x14ac:dyDescent="0.25">
      <c r="A95" s="733" t="s">
        <v>67</v>
      </c>
      <c r="B95" s="733"/>
      <c r="C95" s="137">
        <v>6.1666699999999999</v>
      </c>
      <c r="D95" s="138">
        <v>1</v>
      </c>
      <c r="E95" s="139">
        <f>$E$22</f>
        <v>0</v>
      </c>
      <c r="F95" s="139">
        <f>Dies!$C$49</f>
        <v>20</v>
      </c>
      <c r="G95" s="273">
        <f>+D95*E95*F95</f>
        <v>0</v>
      </c>
      <c r="H95" s="273"/>
      <c r="I95" s="273"/>
      <c r="J95" s="273"/>
      <c r="K95" s="320">
        <f>$K$88</f>
        <v>0</v>
      </c>
      <c r="L95" s="237">
        <f>+K95/C95</f>
        <v>0</v>
      </c>
      <c r="M95" s="238" t="str">
        <f>+M22</f>
        <v>Tarda</v>
      </c>
      <c r="N95" s="238"/>
      <c r="O95" s="239">
        <f>+K95*G95</f>
        <v>0</v>
      </c>
    </row>
    <row r="96" spans="1:15" s="153" customFormat="1" x14ac:dyDescent="0.25">
      <c r="A96" s="762" t="s">
        <v>197</v>
      </c>
      <c r="B96" s="762"/>
      <c r="C96" s="180"/>
      <c r="D96" s="180"/>
      <c r="E96" s="241"/>
      <c r="F96" s="241"/>
      <c r="G96" s="664"/>
      <c r="H96" s="664"/>
      <c r="I96" s="664"/>
      <c r="J96" s="664"/>
      <c r="K96" s="664"/>
      <c r="L96" s="180"/>
      <c r="M96" s="180"/>
      <c r="N96" s="180"/>
      <c r="O96" s="180"/>
    </row>
    <row r="97" spans="1:15" s="153" customFormat="1" x14ac:dyDescent="0.25">
      <c r="A97" s="763" t="s">
        <v>88</v>
      </c>
      <c r="B97" s="763"/>
      <c r="C97" s="180"/>
      <c r="D97" s="180"/>
      <c r="E97" s="241"/>
      <c r="F97" s="241"/>
      <c r="G97" s="664"/>
      <c r="H97" s="664"/>
      <c r="I97" s="664"/>
      <c r="J97" s="664"/>
      <c r="K97" s="664"/>
      <c r="L97" s="180"/>
      <c r="M97" s="180"/>
      <c r="N97" s="180"/>
      <c r="O97" s="180"/>
    </row>
    <row r="98" spans="1:15" s="153" customFormat="1" x14ac:dyDescent="0.25">
      <c r="A98" s="733" t="s">
        <v>67</v>
      </c>
      <c r="B98" s="733"/>
      <c r="C98" s="137">
        <v>6.1666699999999999</v>
      </c>
      <c r="D98" s="138">
        <v>1</v>
      </c>
      <c r="E98" s="139">
        <f>$E$26</f>
        <v>0</v>
      </c>
      <c r="F98" s="139">
        <f>Dies!$C$50</f>
        <v>20</v>
      </c>
      <c r="G98" s="273">
        <f>+D98*E98*F98</f>
        <v>0</v>
      </c>
      <c r="H98" s="273"/>
      <c r="I98" s="273"/>
      <c r="J98" s="273"/>
      <c r="K98" s="320">
        <f>$K$88</f>
        <v>0</v>
      </c>
      <c r="L98" s="237">
        <f>+K98/C98</f>
        <v>0</v>
      </c>
      <c r="M98" s="238" t="str">
        <f>+M26</f>
        <v>Matí</v>
      </c>
      <c r="N98" s="238"/>
      <c r="O98" s="239">
        <f>+K98*G98</f>
        <v>0</v>
      </c>
    </row>
    <row r="99" spans="1:15" s="153" customFormat="1" x14ac:dyDescent="0.25">
      <c r="A99" s="764" t="s">
        <v>89</v>
      </c>
      <c r="B99" s="764"/>
      <c r="C99" s="241"/>
      <c r="D99" s="241"/>
      <c r="E99" s="241"/>
      <c r="F99" s="241"/>
      <c r="G99" s="241"/>
      <c r="H99" s="241"/>
      <c r="I99" s="241"/>
      <c r="J99" s="241"/>
      <c r="K99" s="241"/>
      <c r="L99" s="234"/>
      <c r="M99" s="234"/>
      <c r="N99" s="234"/>
      <c r="O99" s="234"/>
    </row>
    <row r="100" spans="1:15" s="153" customFormat="1" x14ac:dyDescent="0.25">
      <c r="A100" s="733" t="s">
        <v>67</v>
      </c>
      <c r="B100" s="733"/>
      <c r="C100" s="137">
        <v>6.1666699999999999</v>
      </c>
      <c r="D100" s="138">
        <v>1</v>
      </c>
      <c r="E100" s="139">
        <f>$E$29</f>
        <v>0</v>
      </c>
      <c r="F100" s="139">
        <f>Dies!$C$50</f>
        <v>20</v>
      </c>
      <c r="G100" s="273">
        <f>+D100*E100*F100</f>
        <v>0</v>
      </c>
      <c r="H100" s="273"/>
      <c r="I100" s="273"/>
      <c r="J100" s="273"/>
      <c r="K100" s="320">
        <f>$K$88</f>
        <v>0</v>
      </c>
      <c r="L100" s="237">
        <f>+K100/C100</f>
        <v>0</v>
      </c>
      <c r="M100" s="238" t="str">
        <f>+M29</f>
        <v>Tarda</v>
      </c>
      <c r="N100" s="238"/>
      <c r="O100" s="239">
        <f>+K100*G100</f>
        <v>0</v>
      </c>
    </row>
    <row r="101" spans="1:15" s="153" customFormat="1" x14ac:dyDescent="0.25">
      <c r="A101" s="229" t="s">
        <v>199</v>
      </c>
      <c r="B101" s="242"/>
      <c r="C101" s="243"/>
      <c r="D101" s="244"/>
      <c r="E101" s="245"/>
      <c r="F101" s="245"/>
      <c r="G101" s="246"/>
      <c r="H101" s="246"/>
      <c r="I101" s="247"/>
      <c r="J101" s="247"/>
      <c r="K101" s="247"/>
      <c r="L101" s="247"/>
      <c r="M101" s="245"/>
      <c r="N101" s="245"/>
      <c r="O101" s="248"/>
    </row>
    <row r="102" spans="1:15" s="153" customFormat="1" x14ac:dyDescent="0.25">
      <c r="A102" s="782" t="s">
        <v>195</v>
      </c>
      <c r="B102" s="782"/>
      <c r="C102" s="137"/>
      <c r="D102" s="138"/>
      <c r="E102" s="139"/>
      <c r="F102" s="234"/>
      <c r="G102" s="235"/>
      <c r="H102" s="235"/>
      <c r="I102" s="235"/>
      <c r="J102" s="235"/>
      <c r="K102" s="320"/>
      <c r="L102" s="237"/>
      <c r="M102" s="238"/>
      <c r="N102" s="238"/>
      <c r="O102" s="239"/>
    </row>
    <row r="103" spans="1:15" s="153" customFormat="1" x14ac:dyDescent="0.25">
      <c r="A103" s="763" t="s">
        <v>88</v>
      </c>
      <c r="B103" s="763"/>
      <c r="C103" s="137"/>
      <c r="D103" s="138"/>
      <c r="E103" s="139"/>
      <c r="F103" s="234"/>
      <c r="G103" s="235"/>
      <c r="H103" s="235"/>
      <c r="I103" s="235"/>
      <c r="J103" s="235"/>
      <c r="K103" s="236"/>
      <c r="L103" s="236"/>
      <c r="M103" s="238"/>
      <c r="N103" s="238"/>
      <c r="O103" s="239"/>
    </row>
    <row r="104" spans="1:15" s="153" customFormat="1" x14ac:dyDescent="0.25">
      <c r="A104" s="733" t="s">
        <v>67</v>
      </c>
      <c r="B104" s="733"/>
      <c r="C104" s="137">
        <v>6.1666699999999999</v>
      </c>
      <c r="D104" s="138">
        <v>1</v>
      </c>
      <c r="E104" s="139">
        <f>$E$34</f>
        <v>0</v>
      </c>
      <c r="F104" s="139">
        <f>Dies!$C$53</f>
        <v>77</v>
      </c>
      <c r="G104" s="273">
        <f>+D104*E104*F104</f>
        <v>0</v>
      </c>
      <c r="H104" s="273"/>
      <c r="I104" s="273"/>
      <c r="J104" s="273"/>
      <c r="K104" s="320">
        <f>$K$88</f>
        <v>0</v>
      </c>
      <c r="L104" s="237">
        <f>+K104/C104</f>
        <v>0</v>
      </c>
      <c r="M104" s="238" t="str">
        <f>+M34</f>
        <v>Matí</v>
      </c>
      <c r="N104" s="238"/>
      <c r="O104" s="239">
        <f>+K104*G104</f>
        <v>0</v>
      </c>
    </row>
    <row r="105" spans="1:15" s="153" customFormat="1" x14ac:dyDescent="0.25">
      <c r="A105" s="764" t="s">
        <v>89</v>
      </c>
      <c r="B105" s="764"/>
      <c r="C105" s="180"/>
      <c r="D105" s="180"/>
      <c r="E105" s="241"/>
      <c r="F105" s="241"/>
      <c r="G105" s="664"/>
      <c r="H105" s="664"/>
      <c r="I105" s="664"/>
      <c r="J105" s="664"/>
      <c r="K105" s="664"/>
      <c r="L105" s="180"/>
      <c r="M105" s="180"/>
      <c r="N105" s="180"/>
      <c r="O105" s="180"/>
    </row>
    <row r="106" spans="1:15" s="153" customFormat="1" x14ac:dyDescent="0.25">
      <c r="A106" s="733" t="s">
        <v>67</v>
      </c>
      <c r="B106" s="733"/>
      <c r="C106" s="137">
        <v>6.1666699999999999</v>
      </c>
      <c r="D106" s="138">
        <v>1</v>
      </c>
      <c r="E106" s="139">
        <f>$E$37</f>
        <v>0</v>
      </c>
      <c r="F106" s="139">
        <f>Dies!$C$53</f>
        <v>77</v>
      </c>
      <c r="G106" s="273">
        <f>+D106*E106*F106</f>
        <v>0</v>
      </c>
      <c r="H106" s="273"/>
      <c r="I106" s="273"/>
      <c r="J106" s="273"/>
      <c r="K106" s="320">
        <f>$K$88</f>
        <v>0</v>
      </c>
      <c r="L106" s="237">
        <f>+K106/C106</f>
        <v>0</v>
      </c>
      <c r="M106" s="238" t="str">
        <f>+M37</f>
        <v>Tarda</v>
      </c>
      <c r="N106" s="238"/>
      <c r="O106" s="239">
        <f>+K106*G106</f>
        <v>0</v>
      </c>
    </row>
    <row r="107" spans="1:15" s="153" customFormat="1" x14ac:dyDescent="0.25">
      <c r="A107" s="762" t="s">
        <v>196</v>
      </c>
      <c r="B107" s="762"/>
      <c r="C107" s="137"/>
      <c r="D107" s="138"/>
      <c r="E107" s="147"/>
      <c r="F107" s="241"/>
      <c r="G107" s="273"/>
      <c r="H107" s="273"/>
      <c r="I107" s="273"/>
      <c r="J107" s="273"/>
      <c r="K107" s="320"/>
      <c r="L107" s="237"/>
      <c r="M107" s="238"/>
      <c r="N107" s="238"/>
      <c r="O107" s="239"/>
    </row>
    <row r="108" spans="1:15" s="153" customFormat="1" x14ac:dyDescent="0.25">
      <c r="A108" s="763" t="s">
        <v>88</v>
      </c>
      <c r="B108" s="763"/>
      <c r="C108" s="241"/>
      <c r="D108" s="241"/>
      <c r="E108" s="147"/>
      <c r="F108" s="241"/>
      <c r="G108" s="241"/>
      <c r="H108" s="241"/>
      <c r="I108" s="241"/>
      <c r="J108" s="241"/>
      <c r="K108" s="241"/>
      <c r="L108" s="234"/>
      <c r="M108" s="234"/>
      <c r="N108" s="234"/>
      <c r="O108" s="234"/>
    </row>
    <row r="109" spans="1:15" s="153" customFormat="1" x14ac:dyDescent="0.25">
      <c r="A109" s="733" t="s">
        <v>67</v>
      </c>
      <c r="B109" s="733"/>
      <c r="C109" s="137">
        <v>6.1666699999999999</v>
      </c>
      <c r="D109" s="138">
        <v>1</v>
      </c>
      <c r="E109" s="139">
        <f>$E$41</f>
        <v>0</v>
      </c>
      <c r="F109" s="139">
        <f>Dies!$C$54</f>
        <v>15</v>
      </c>
      <c r="G109" s="273">
        <f>+D109*E109*F109</f>
        <v>0</v>
      </c>
      <c r="H109" s="273"/>
      <c r="I109" s="273"/>
      <c r="J109" s="273"/>
      <c r="K109" s="320">
        <f>$K$88</f>
        <v>0</v>
      </c>
      <c r="L109" s="237">
        <f>+K109/C109</f>
        <v>0</v>
      </c>
      <c r="M109" s="238" t="str">
        <f>+M41</f>
        <v>Matí</v>
      </c>
      <c r="N109" s="238"/>
      <c r="O109" s="239">
        <f>+K109*G109</f>
        <v>0</v>
      </c>
    </row>
    <row r="110" spans="1:15" s="153" customFormat="1" x14ac:dyDescent="0.25">
      <c r="A110" s="764" t="s">
        <v>89</v>
      </c>
      <c r="B110" s="764"/>
      <c r="C110" s="180"/>
      <c r="D110" s="180"/>
      <c r="E110" s="147"/>
      <c r="F110" s="241"/>
      <c r="G110" s="664"/>
      <c r="H110" s="664"/>
      <c r="I110" s="664"/>
      <c r="J110" s="664"/>
      <c r="K110" s="664"/>
      <c r="L110" s="180"/>
      <c r="M110" s="180"/>
      <c r="N110" s="180"/>
      <c r="O110" s="180"/>
    </row>
    <row r="111" spans="1:15" s="153" customFormat="1" x14ac:dyDescent="0.25">
      <c r="A111" s="733" t="s">
        <v>67</v>
      </c>
      <c r="B111" s="733"/>
      <c r="C111" s="137">
        <v>6.1666699999999999</v>
      </c>
      <c r="D111" s="138">
        <v>1</v>
      </c>
      <c r="E111" s="139">
        <f>$E$44</f>
        <v>0</v>
      </c>
      <c r="F111" s="139">
        <f>Dies!$C$54</f>
        <v>15</v>
      </c>
      <c r="G111" s="273">
        <f>+D111*E111*F111</f>
        <v>0</v>
      </c>
      <c r="H111" s="273"/>
      <c r="I111" s="273"/>
      <c r="J111" s="273"/>
      <c r="K111" s="320">
        <f>$K$88</f>
        <v>0</v>
      </c>
      <c r="L111" s="237">
        <f>+K111/C111</f>
        <v>0</v>
      </c>
      <c r="M111" s="238" t="str">
        <f>+M44</f>
        <v>Tarda</v>
      </c>
      <c r="N111" s="238"/>
      <c r="O111" s="239">
        <f>+K111*G111</f>
        <v>0</v>
      </c>
    </row>
    <row r="112" spans="1:15" s="153" customFormat="1" x14ac:dyDescent="0.25">
      <c r="A112" s="762" t="s">
        <v>197</v>
      </c>
      <c r="B112" s="762"/>
      <c r="C112" s="180"/>
      <c r="D112" s="180"/>
      <c r="E112" s="147"/>
      <c r="F112" s="241"/>
      <c r="G112" s="664"/>
      <c r="H112" s="664"/>
      <c r="I112" s="664"/>
      <c r="J112" s="664"/>
      <c r="K112" s="664"/>
      <c r="L112" s="180"/>
      <c r="M112" s="180"/>
      <c r="N112" s="180"/>
      <c r="O112" s="180"/>
    </row>
    <row r="113" spans="1:15" s="153" customFormat="1" x14ac:dyDescent="0.25">
      <c r="A113" s="763" t="s">
        <v>88</v>
      </c>
      <c r="B113" s="763"/>
      <c r="C113" s="180"/>
      <c r="D113" s="180"/>
      <c r="E113" s="147"/>
      <c r="F113" s="241"/>
      <c r="G113" s="664"/>
      <c r="H113" s="664"/>
      <c r="I113" s="664"/>
      <c r="J113" s="664"/>
      <c r="K113" s="664"/>
      <c r="L113" s="180"/>
      <c r="M113" s="180"/>
      <c r="N113" s="180"/>
      <c r="O113" s="180"/>
    </row>
    <row r="114" spans="1:15" s="153" customFormat="1" x14ac:dyDescent="0.25">
      <c r="A114" s="733" t="s">
        <v>67</v>
      </c>
      <c r="B114" s="733"/>
      <c r="C114" s="137">
        <v>6.1666699999999999</v>
      </c>
      <c r="D114" s="138">
        <v>1</v>
      </c>
      <c r="E114" s="139">
        <f>$E$48</f>
        <v>0</v>
      </c>
      <c r="F114" s="139">
        <f>Dies!$C$55</f>
        <v>15</v>
      </c>
      <c r="G114" s="273">
        <f>+D114*E114*F114</f>
        <v>0</v>
      </c>
      <c r="H114" s="273"/>
      <c r="I114" s="273"/>
      <c r="J114" s="273"/>
      <c r="K114" s="320">
        <f>$K$88</f>
        <v>0</v>
      </c>
      <c r="L114" s="237">
        <f>+K114/C114</f>
        <v>0</v>
      </c>
      <c r="M114" s="238" t="str">
        <f>+M48</f>
        <v>Matí</v>
      </c>
      <c r="N114" s="238"/>
      <c r="O114" s="239">
        <f>+K114*G114</f>
        <v>0</v>
      </c>
    </row>
    <row r="115" spans="1:15" s="153" customFormat="1" x14ac:dyDescent="0.25">
      <c r="A115" s="764" t="s">
        <v>89</v>
      </c>
      <c r="B115" s="764"/>
      <c r="C115" s="180"/>
      <c r="D115" s="180"/>
      <c r="E115" s="147"/>
      <c r="F115" s="241"/>
      <c r="G115" s="664"/>
      <c r="H115" s="664"/>
      <c r="I115" s="664"/>
      <c r="J115" s="664"/>
      <c r="K115" s="664"/>
      <c r="L115" s="180"/>
      <c r="M115" s="180"/>
      <c r="N115" s="180"/>
      <c r="O115" s="180"/>
    </row>
    <row r="116" spans="1:15" s="153" customFormat="1" x14ac:dyDescent="0.25">
      <c r="A116" s="733" t="s">
        <v>67</v>
      </c>
      <c r="B116" s="733"/>
      <c r="C116" s="137">
        <v>6.1666699999999999</v>
      </c>
      <c r="D116" s="138">
        <v>1</v>
      </c>
      <c r="E116" s="139">
        <f>$E$51</f>
        <v>0</v>
      </c>
      <c r="F116" s="139">
        <f>Dies!$C$55</f>
        <v>15</v>
      </c>
      <c r="G116" s="273">
        <f>+D116*E116*F116</f>
        <v>0</v>
      </c>
      <c r="H116" s="273"/>
      <c r="I116" s="273"/>
      <c r="J116" s="273"/>
      <c r="K116" s="320">
        <f>$K$88</f>
        <v>0</v>
      </c>
      <c r="L116" s="237">
        <f>+K116/C116</f>
        <v>0</v>
      </c>
      <c r="M116" s="238" t="str">
        <f>+M51</f>
        <v>Tarda</v>
      </c>
      <c r="N116" s="238"/>
      <c r="O116" s="239">
        <f>+K116*G116</f>
        <v>0</v>
      </c>
    </row>
    <row r="117" spans="1:15" s="153" customFormat="1" x14ac:dyDescent="0.25">
      <c r="A117" s="229" t="s">
        <v>326</v>
      </c>
      <c r="B117" s="242"/>
      <c r="C117" s="278"/>
      <c r="D117" s="278"/>
      <c r="E117" s="278"/>
      <c r="F117" s="245"/>
      <c r="G117" s="278"/>
      <c r="H117" s="278"/>
      <c r="I117" s="278"/>
      <c r="J117" s="278"/>
      <c r="K117" s="278"/>
      <c r="L117" s="278"/>
      <c r="M117" s="278"/>
      <c r="N117" s="278"/>
      <c r="O117" s="278"/>
    </row>
    <row r="118" spans="1:15" s="153" customFormat="1" x14ac:dyDescent="0.25">
      <c r="A118" s="782" t="s">
        <v>195</v>
      </c>
      <c r="B118" s="782"/>
      <c r="C118" s="180"/>
      <c r="D118" s="180"/>
      <c r="E118" s="180"/>
      <c r="F118" s="234"/>
      <c r="G118" s="180"/>
      <c r="H118" s="180"/>
      <c r="I118" s="180"/>
      <c r="J118" s="180"/>
      <c r="K118" s="180"/>
      <c r="L118" s="180"/>
      <c r="M118" s="180"/>
      <c r="N118" s="180"/>
      <c r="O118" s="180"/>
    </row>
    <row r="119" spans="1:15" s="153" customFormat="1" x14ac:dyDescent="0.25">
      <c r="A119" s="763" t="s">
        <v>88</v>
      </c>
      <c r="B119" s="763"/>
      <c r="C119" s="180"/>
      <c r="D119" s="180"/>
      <c r="E119" s="180"/>
      <c r="F119" s="234"/>
      <c r="G119" s="180"/>
      <c r="H119" s="180"/>
      <c r="I119" s="180"/>
      <c r="J119" s="180"/>
      <c r="K119" s="180"/>
      <c r="L119" s="180"/>
      <c r="M119" s="180"/>
      <c r="N119" s="180"/>
      <c r="O119" s="180"/>
    </row>
    <row r="120" spans="1:15" s="153" customFormat="1" x14ac:dyDescent="0.25">
      <c r="A120" s="733" t="s">
        <v>67</v>
      </c>
      <c r="B120" s="733"/>
      <c r="C120" s="137">
        <v>6.1666699999999999</v>
      </c>
      <c r="D120" s="138">
        <v>1</v>
      </c>
      <c r="E120" s="139">
        <f>$E$56</f>
        <v>0</v>
      </c>
      <c r="F120" s="139">
        <f>Dies!$C$58</f>
        <v>89</v>
      </c>
      <c r="G120" s="273">
        <f>+D120*E120*F120</f>
        <v>0</v>
      </c>
      <c r="H120" s="273"/>
      <c r="I120" s="273"/>
      <c r="J120" s="273"/>
      <c r="K120" s="320">
        <f>$K$88</f>
        <v>0</v>
      </c>
      <c r="L120" s="237">
        <f>+K120/C120</f>
        <v>0</v>
      </c>
      <c r="M120" s="238" t="str">
        <f>+M56</f>
        <v>Matí</v>
      </c>
      <c r="N120" s="238"/>
      <c r="O120" s="239">
        <f>+K120*G120</f>
        <v>0</v>
      </c>
    </row>
    <row r="121" spans="1:15" s="153" customFormat="1" x14ac:dyDescent="0.25">
      <c r="A121" s="764" t="s">
        <v>89</v>
      </c>
      <c r="B121" s="764"/>
      <c r="C121" s="180"/>
      <c r="D121" s="180"/>
      <c r="E121" s="147"/>
      <c r="F121" s="241"/>
      <c r="G121" s="664"/>
      <c r="H121" s="664"/>
      <c r="I121" s="664"/>
      <c r="J121" s="664"/>
      <c r="K121" s="664"/>
      <c r="L121" s="180"/>
      <c r="M121" s="180"/>
      <c r="N121" s="180"/>
      <c r="O121" s="180"/>
    </row>
    <row r="122" spans="1:15" s="153" customFormat="1" x14ac:dyDescent="0.25">
      <c r="A122" s="733" t="s">
        <v>67</v>
      </c>
      <c r="B122" s="733"/>
      <c r="C122" s="137">
        <v>6.1666699999999999</v>
      </c>
      <c r="D122" s="138">
        <v>1</v>
      </c>
      <c r="E122" s="139">
        <f>$E$59</f>
        <v>0</v>
      </c>
      <c r="F122" s="139">
        <f>Dies!$C$58</f>
        <v>89</v>
      </c>
      <c r="G122" s="273">
        <f>+D122*E122*F122</f>
        <v>0</v>
      </c>
      <c r="H122" s="273"/>
      <c r="I122" s="273"/>
      <c r="J122" s="273"/>
      <c r="K122" s="320">
        <f>$K$88</f>
        <v>0</v>
      </c>
      <c r="L122" s="237">
        <f>+K122/C122</f>
        <v>0</v>
      </c>
      <c r="M122" s="238" t="str">
        <f>+M59</f>
        <v>Tarda</v>
      </c>
      <c r="N122" s="238"/>
      <c r="O122" s="239">
        <f>+K122*G122</f>
        <v>0</v>
      </c>
    </row>
    <row r="123" spans="1:15" s="153" customFormat="1" x14ac:dyDescent="0.25">
      <c r="A123" s="762" t="s">
        <v>196</v>
      </c>
      <c r="B123" s="762"/>
      <c r="C123" s="234"/>
      <c r="D123" s="234"/>
      <c r="E123" s="147"/>
      <c r="F123" s="241"/>
      <c r="G123" s="241"/>
      <c r="H123" s="241"/>
      <c r="I123" s="241"/>
      <c r="J123" s="241"/>
      <c r="K123" s="241"/>
      <c r="L123" s="234"/>
      <c r="M123" s="234"/>
      <c r="N123" s="234"/>
      <c r="O123" s="234"/>
    </row>
    <row r="124" spans="1:15" s="153" customFormat="1" x14ac:dyDescent="0.25">
      <c r="A124" s="763" t="s">
        <v>88</v>
      </c>
      <c r="B124" s="763"/>
      <c r="C124" s="234"/>
      <c r="D124" s="234"/>
      <c r="E124" s="147"/>
      <c r="F124" s="241"/>
      <c r="G124" s="241"/>
      <c r="H124" s="241"/>
      <c r="I124" s="241"/>
      <c r="J124" s="241"/>
      <c r="K124" s="241"/>
      <c r="L124" s="234"/>
      <c r="M124" s="234"/>
      <c r="N124" s="234"/>
      <c r="O124" s="234"/>
    </row>
    <row r="125" spans="1:15" s="153" customFormat="1" x14ac:dyDescent="0.25">
      <c r="A125" s="733" t="s">
        <v>67</v>
      </c>
      <c r="B125" s="733"/>
      <c r="C125" s="137">
        <v>6.1666699999999999</v>
      </c>
      <c r="D125" s="138">
        <v>1</v>
      </c>
      <c r="E125" s="139">
        <f>$E$63</f>
        <v>0</v>
      </c>
      <c r="F125" s="139">
        <f>Dies!$C$59</f>
        <v>17</v>
      </c>
      <c r="G125" s="273">
        <f>+D125*E125*F125</f>
        <v>0</v>
      </c>
      <c r="H125" s="273"/>
      <c r="I125" s="273"/>
      <c r="J125" s="273"/>
      <c r="K125" s="320">
        <f>$K$88</f>
        <v>0</v>
      </c>
      <c r="L125" s="237">
        <f>+K125/C125</f>
        <v>0</v>
      </c>
      <c r="M125" s="238" t="str">
        <f>+M63</f>
        <v>Matí</v>
      </c>
      <c r="N125" s="238"/>
      <c r="O125" s="239">
        <f>+K125*G125</f>
        <v>0</v>
      </c>
    </row>
    <row r="126" spans="1:15" s="153" customFormat="1" x14ac:dyDescent="0.25">
      <c r="A126" s="764" t="s">
        <v>89</v>
      </c>
      <c r="B126" s="764"/>
      <c r="C126" s="234"/>
      <c r="D126" s="234"/>
      <c r="E126" s="147"/>
      <c r="F126" s="241"/>
      <c r="G126" s="241"/>
      <c r="H126" s="241"/>
      <c r="I126" s="241"/>
      <c r="J126" s="241"/>
      <c r="K126" s="241"/>
      <c r="L126" s="234"/>
      <c r="M126" s="234"/>
      <c r="N126" s="234"/>
      <c r="O126" s="234"/>
    </row>
    <row r="127" spans="1:15" s="153" customFormat="1" x14ac:dyDescent="0.25">
      <c r="A127" s="733" t="s">
        <v>67</v>
      </c>
      <c r="B127" s="733"/>
      <c r="C127" s="137">
        <v>6.1666699999999999</v>
      </c>
      <c r="D127" s="138">
        <v>1</v>
      </c>
      <c r="E127" s="139">
        <f>$E$66</f>
        <v>0</v>
      </c>
      <c r="F127" s="139">
        <f>Dies!$C$59</f>
        <v>17</v>
      </c>
      <c r="G127" s="273">
        <f>+D127*E127*F127</f>
        <v>0</v>
      </c>
      <c r="H127" s="273"/>
      <c r="I127" s="273"/>
      <c r="J127" s="273"/>
      <c r="K127" s="320">
        <f>$K$88</f>
        <v>0</v>
      </c>
      <c r="L127" s="237">
        <f>+K127/C127</f>
        <v>0</v>
      </c>
      <c r="M127" s="238" t="str">
        <f>+M66</f>
        <v>Tarda</v>
      </c>
      <c r="N127" s="238"/>
      <c r="O127" s="239">
        <f>+K127*G127</f>
        <v>0</v>
      </c>
    </row>
    <row r="128" spans="1:15" s="153" customFormat="1" x14ac:dyDescent="0.25">
      <c r="A128" s="762" t="s">
        <v>197</v>
      </c>
      <c r="B128" s="762"/>
      <c r="C128" s="234"/>
      <c r="D128" s="234"/>
      <c r="E128" s="147"/>
      <c r="F128" s="241"/>
      <c r="G128" s="241"/>
      <c r="H128" s="241"/>
      <c r="I128" s="241"/>
      <c r="J128" s="241"/>
      <c r="K128" s="241"/>
      <c r="L128" s="234"/>
      <c r="M128" s="234"/>
      <c r="N128" s="234"/>
      <c r="O128" s="234"/>
    </row>
    <row r="129" spans="1:15" s="153" customFormat="1" x14ac:dyDescent="0.25">
      <c r="A129" s="763" t="s">
        <v>88</v>
      </c>
      <c r="B129" s="763"/>
      <c r="C129" s="234"/>
      <c r="D129" s="234"/>
      <c r="E129" s="147"/>
      <c r="F129" s="241"/>
      <c r="G129" s="241"/>
      <c r="H129" s="241"/>
      <c r="I129" s="241"/>
      <c r="J129" s="241"/>
      <c r="K129" s="241"/>
      <c r="L129" s="234"/>
      <c r="M129" s="234"/>
      <c r="N129" s="234"/>
      <c r="O129" s="234"/>
    </row>
    <row r="130" spans="1:15" s="153" customFormat="1" x14ac:dyDescent="0.25">
      <c r="A130" s="733" t="s">
        <v>67</v>
      </c>
      <c r="B130" s="733"/>
      <c r="C130" s="137">
        <v>6.1666699999999999</v>
      </c>
      <c r="D130" s="138">
        <v>1</v>
      </c>
      <c r="E130" s="139">
        <f>$E$70</f>
        <v>0</v>
      </c>
      <c r="F130" s="139">
        <f>Dies!$C$60</f>
        <v>17</v>
      </c>
      <c r="G130" s="273">
        <f>+D130*E130*F130</f>
        <v>0</v>
      </c>
      <c r="H130" s="273"/>
      <c r="I130" s="273"/>
      <c r="J130" s="273"/>
      <c r="K130" s="320">
        <f>$K$88</f>
        <v>0</v>
      </c>
      <c r="L130" s="237">
        <f>+K130/C130</f>
        <v>0</v>
      </c>
      <c r="M130" s="238" t="str">
        <f>+M70</f>
        <v>Matí</v>
      </c>
      <c r="N130" s="238"/>
      <c r="O130" s="239">
        <f>+K130*G130</f>
        <v>0</v>
      </c>
    </row>
    <row r="131" spans="1:15" s="153" customFormat="1" x14ac:dyDescent="0.25">
      <c r="A131" s="764" t="s">
        <v>89</v>
      </c>
      <c r="B131" s="764"/>
      <c r="C131" s="180"/>
      <c r="D131" s="180"/>
      <c r="E131" s="241"/>
      <c r="F131" s="241"/>
      <c r="G131" s="664"/>
      <c r="H131" s="664"/>
      <c r="I131" s="664"/>
      <c r="J131" s="664"/>
      <c r="K131" s="664"/>
      <c r="L131" s="180"/>
      <c r="M131" s="180"/>
      <c r="N131" s="180"/>
      <c r="O131" s="180"/>
    </row>
    <row r="132" spans="1:15" s="153" customFormat="1" x14ac:dyDescent="0.25">
      <c r="A132" s="733" t="s">
        <v>67</v>
      </c>
      <c r="B132" s="733"/>
      <c r="C132" s="137">
        <v>6.1666699999999999</v>
      </c>
      <c r="D132" s="138">
        <v>1</v>
      </c>
      <c r="E132" s="139">
        <f>$E$73</f>
        <v>0</v>
      </c>
      <c r="F132" s="139">
        <f>Dies!$C$60</f>
        <v>17</v>
      </c>
      <c r="G132" s="273">
        <f>+D132*E132*F132</f>
        <v>0</v>
      </c>
      <c r="H132" s="273"/>
      <c r="I132" s="273"/>
      <c r="J132" s="273"/>
      <c r="K132" s="320">
        <f>$K$88</f>
        <v>0</v>
      </c>
      <c r="L132" s="237">
        <f>+K132/C132</f>
        <v>0</v>
      </c>
      <c r="M132" s="238" t="str">
        <f>+M73</f>
        <v>Tarda</v>
      </c>
      <c r="N132" s="238"/>
      <c r="O132" s="239">
        <f>+K132*G132</f>
        <v>0</v>
      </c>
    </row>
    <row r="133" spans="1:15" x14ac:dyDescent="0.25">
      <c r="A133" s="402"/>
      <c r="B133" s="324"/>
      <c r="C133" s="324"/>
      <c r="D133" s="324"/>
      <c r="E133" s="323" t="s">
        <v>46</v>
      </c>
      <c r="F133" s="324"/>
      <c r="G133" s="324"/>
      <c r="H133" s="324"/>
      <c r="I133" s="324"/>
      <c r="J133" s="324"/>
      <c r="K133" s="324"/>
      <c r="L133" s="324"/>
      <c r="M133" s="324"/>
      <c r="N133" s="324"/>
      <c r="O133" s="403">
        <f>SUM(O88:O132)</f>
        <v>0</v>
      </c>
    </row>
    <row r="134" spans="1:15" s="153" customFormat="1" ht="26.25" x14ac:dyDescent="0.4">
      <c r="A134" s="220" t="s">
        <v>212</v>
      </c>
      <c r="B134" s="221"/>
      <c r="C134" s="221"/>
      <c r="D134" s="223"/>
      <c r="E134" s="223"/>
      <c r="F134" s="223"/>
      <c r="G134" s="223"/>
      <c r="H134" s="223"/>
      <c r="I134" s="223"/>
      <c r="J134" s="223"/>
      <c r="K134" s="224"/>
      <c r="L134" s="224"/>
      <c r="M134" s="224"/>
      <c r="N134" s="224"/>
      <c r="O134" s="404"/>
    </row>
    <row r="135" spans="1:15" x14ac:dyDescent="0.25">
      <c r="A135" s="773" t="s">
        <v>20</v>
      </c>
      <c r="B135" s="773"/>
      <c r="C135" s="225" t="s">
        <v>27</v>
      </c>
      <c r="D135" s="225" t="s">
        <v>28</v>
      </c>
      <c r="E135" s="225" t="s">
        <v>21</v>
      </c>
      <c r="F135" s="225" t="s">
        <v>29</v>
      </c>
      <c r="G135" s="225"/>
      <c r="H135" s="225"/>
      <c r="I135" s="225"/>
      <c r="J135" s="225"/>
      <c r="K135" s="225" t="s">
        <v>30</v>
      </c>
      <c r="L135" s="225" t="s">
        <v>23</v>
      </c>
      <c r="M135" s="225" t="s">
        <v>31</v>
      </c>
      <c r="N135" s="225"/>
      <c r="O135" s="405" t="s">
        <v>32</v>
      </c>
    </row>
    <row r="136" spans="1:15" ht="15.75" thickBot="1" x14ac:dyDescent="0.3">
      <c r="A136" s="793"/>
      <c r="B136" s="793"/>
      <c r="C136" s="406" t="s">
        <v>44</v>
      </c>
      <c r="D136" s="406" t="s">
        <v>5</v>
      </c>
      <c r="E136" s="406" t="s">
        <v>24</v>
      </c>
      <c r="F136" s="407" t="s">
        <v>34</v>
      </c>
      <c r="G136" s="406" t="s">
        <v>35</v>
      </c>
      <c r="H136" s="406"/>
      <c r="I136" s="406"/>
      <c r="J136" s="406"/>
      <c r="K136" s="406" t="s">
        <v>36</v>
      </c>
      <c r="L136" s="408" t="s">
        <v>37</v>
      </c>
      <c r="M136" s="406" t="s">
        <v>38</v>
      </c>
      <c r="N136" s="406"/>
      <c r="O136" s="409" t="s">
        <v>40</v>
      </c>
    </row>
    <row r="137" spans="1:15" s="153" customFormat="1" x14ac:dyDescent="0.25">
      <c r="A137" s="229" t="s">
        <v>198</v>
      </c>
      <c r="B137" s="230"/>
      <c r="C137" s="27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</row>
    <row r="138" spans="1:15" s="153" customFormat="1" x14ac:dyDescent="0.25">
      <c r="A138" s="782" t="s">
        <v>195</v>
      </c>
      <c r="B138" s="782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</row>
    <row r="139" spans="1:15" s="153" customFormat="1" x14ac:dyDescent="0.25">
      <c r="A139" s="763" t="s">
        <v>88</v>
      </c>
      <c r="B139" s="763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</row>
    <row r="140" spans="1:15" s="153" customFormat="1" x14ac:dyDescent="0.25">
      <c r="A140" s="733" t="s">
        <v>67</v>
      </c>
      <c r="B140" s="733"/>
      <c r="C140" s="137">
        <v>6.1666699999999999</v>
      </c>
      <c r="D140" s="138">
        <v>1</v>
      </c>
      <c r="E140" s="139">
        <f>$E$12</f>
        <v>0</v>
      </c>
      <c r="F140" s="139">
        <f>Dies!$C$48</f>
        <v>95</v>
      </c>
      <c r="G140" s="273">
        <f>+D140*E140*F140</f>
        <v>0</v>
      </c>
      <c r="H140" s="273"/>
      <c r="I140" s="273"/>
      <c r="J140" s="273"/>
      <c r="K140" s="320">
        <f>'Seguro+combustible+reparacions'!G10</f>
        <v>0</v>
      </c>
      <c r="L140" s="237">
        <f>+K140/C140</f>
        <v>0</v>
      </c>
      <c r="M140" s="238" t="str">
        <f>+M88</f>
        <v>Matí</v>
      </c>
      <c r="N140" s="238"/>
      <c r="O140" s="239">
        <f>+K140*G140</f>
        <v>0</v>
      </c>
    </row>
    <row r="141" spans="1:15" s="153" customFormat="1" x14ac:dyDescent="0.25">
      <c r="A141" s="764" t="s">
        <v>89</v>
      </c>
      <c r="B141" s="764"/>
      <c r="C141" s="241"/>
      <c r="D141" s="241"/>
      <c r="E141" s="241"/>
      <c r="F141" s="241"/>
      <c r="G141" s="241"/>
      <c r="H141" s="241"/>
      <c r="I141" s="241"/>
      <c r="J141" s="241"/>
      <c r="K141" s="241"/>
      <c r="L141" s="234"/>
      <c r="M141" s="234"/>
      <c r="N141" s="234"/>
      <c r="O141" s="234"/>
    </row>
    <row r="142" spans="1:15" s="153" customFormat="1" x14ac:dyDescent="0.25">
      <c r="A142" s="733" t="s">
        <v>67</v>
      </c>
      <c r="B142" s="733"/>
      <c r="C142" s="137">
        <v>6.1666699999999999</v>
      </c>
      <c r="D142" s="138">
        <v>1</v>
      </c>
      <c r="E142" s="139">
        <f>$E$15</f>
        <v>0</v>
      </c>
      <c r="F142" s="139">
        <f>Dies!$C$48</f>
        <v>95</v>
      </c>
      <c r="G142" s="273">
        <f>+D142*E142*F142</f>
        <v>0</v>
      </c>
      <c r="H142" s="273"/>
      <c r="I142" s="273"/>
      <c r="J142" s="273"/>
      <c r="K142" s="320">
        <f>$K$140</f>
        <v>0</v>
      </c>
      <c r="L142" s="237">
        <f>+K142/C142</f>
        <v>0</v>
      </c>
      <c r="M142" s="238" t="str">
        <f>+M90</f>
        <v>Tarda</v>
      </c>
      <c r="N142" s="238"/>
      <c r="O142" s="239">
        <f>+K142*G142</f>
        <v>0</v>
      </c>
    </row>
    <row r="143" spans="1:15" s="153" customFormat="1" x14ac:dyDescent="0.25">
      <c r="A143" s="762" t="s">
        <v>196</v>
      </c>
      <c r="B143" s="762"/>
      <c r="C143" s="241"/>
      <c r="D143" s="241"/>
      <c r="E143" s="241"/>
      <c r="F143" s="241"/>
      <c r="G143" s="241"/>
      <c r="H143" s="241"/>
      <c r="I143" s="241"/>
      <c r="J143" s="241"/>
      <c r="K143" s="241"/>
      <c r="L143" s="234"/>
      <c r="M143" s="234"/>
      <c r="N143" s="234"/>
      <c r="O143" s="234"/>
    </row>
    <row r="144" spans="1:15" s="153" customFormat="1" x14ac:dyDescent="0.25">
      <c r="A144" s="763" t="s">
        <v>88</v>
      </c>
      <c r="B144" s="763"/>
      <c r="C144" s="241"/>
      <c r="D144" s="241"/>
      <c r="E144" s="241"/>
      <c r="F144" s="241"/>
      <c r="G144" s="241"/>
      <c r="H144" s="241"/>
      <c r="I144" s="241"/>
      <c r="J144" s="241"/>
      <c r="K144" s="241"/>
      <c r="L144" s="234"/>
      <c r="M144" s="234"/>
      <c r="N144" s="234"/>
      <c r="O144" s="234"/>
    </row>
    <row r="145" spans="1:15" s="153" customFormat="1" x14ac:dyDescent="0.25">
      <c r="A145" s="733" t="s">
        <v>67</v>
      </c>
      <c r="B145" s="733"/>
      <c r="C145" s="137">
        <v>6.1666699999999999</v>
      </c>
      <c r="D145" s="138">
        <v>1</v>
      </c>
      <c r="E145" s="139">
        <f>$E$19</f>
        <v>0</v>
      </c>
      <c r="F145" s="139">
        <f>Dies!$C$49</f>
        <v>20</v>
      </c>
      <c r="G145" s="273">
        <f>+D145*E145*F145</f>
        <v>0</v>
      </c>
      <c r="H145" s="273"/>
      <c r="I145" s="273"/>
      <c r="J145" s="273"/>
      <c r="K145" s="320">
        <f>$K$140</f>
        <v>0</v>
      </c>
      <c r="L145" s="237">
        <f>+K145/C145</f>
        <v>0</v>
      </c>
      <c r="M145" s="238" t="str">
        <f>+M93</f>
        <v>Matí</v>
      </c>
      <c r="N145" s="238"/>
      <c r="O145" s="239">
        <f>+K145*G145</f>
        <v>0</v>
      </c>
    </row>
    <row r="146" spans="1:15" s="153" customFormat="1" x14ac:dyDescent="0.25">
      <c r="A146" s="764" t="s">
        <v>89</v>
      </c>
      <c r="B146" s="764"/>
      <c r="C146" s="180"/>
      <c r="D146" s="180"/>
      <c r="E146" s="653"/>
      <c r="F146" s="241"/>
      <c r="G146" s="664"/>
      <c r="H146" s="664"/>
      <c r="I146" s="664"/>
      <c r="J146" s="664"/>
      <c r="K146" s="664"/>
      <c r="L146" s="180"/>
      <c r="M146" s="180"/>
      <c r="N146" s="180"/>
      <c r="O146" s="180"/>
    </row>
    <row r="147" spans="1:15" s="153" customFormat="1" x14ac:dyDescent="0.25">
      <c r="A147" s="733" t="s">
        <v>67</v>
      </c>
      <c r="B147" s="733"/>
      <c r="C147" s="137">
        <v>6.1666699999999999</v>
      </c>
      <c r="D147" s="138">
        <v>1</v>
      </c>
      <c r="E147" s="139">
        <f>$E$22</f>
        <v>0</v>
      </c>
      <c r="F147" s="139">
        <f>Dies!$C$49</f>
        <v>20</v>
      </c>
      <c r="G147" s="273">
        <f>+D147*E147*F147</f>
        <v>0</v>
      </c>
      <c r="H147" s="273"/>
      <c r="I147" s="273"/>
      <c r="J147" s="273"/>
      <c r="K147" s="320">
        <f>$K$140</f>
        <v>0</v>
      </c>
      <c r="L147" s="237">
        <f>+K147/C147</f>
        <v>0</v>
      </c>
      <c r="M147" s="238" t="str">
        <f>+M95</f>
        <v>Tarda</v>
      </c>
      <c r="N147" s="238"/>
      <c r="O147" s="239">
        <f>+K147*G147</f>
        <v>0</v>
      </c>
    </row>
    <row r="148" spans="1:15" s="153" customFormat="1" x14ac:dyDescent="0.25">
      <c r="A148" s="762" t="s">
        <v>197</v>
      </c>
      <c r="B148" s="762"/>
      <c r="C148" s="180"/>
      <c r="D148" s="180"/>
      <c r="E148" s="241"/>
      <c r="F148" s="241"/>
      <c r="G148" s="664"/>
      <c r="H148" s="664"/>
      <c r="I148" s="664"/>
      <c r="J148" s="664"/>
      <c r="K148" s="664"/>
      <c r="L148" s="180"/>
      <c r="M148" s="180"/>
      <c r="N148" s="180"/>
      <c r="O148" s="180"/>
    </row>
    <row r="149" spans="1:15" s="153" customFormat="1" x14ac:dyDescent="0.25">
      <c r="A149" s="763" t="s">
        <v>88</v>
      </c>
      <c r="B149" s="763"/>
      <c r="C149" s="180"/>
      <c r="D149" s="180"/>
      <c r="E149" s="241"/>
      <c r="F149" s="241"/>
      <c r="G149" s="664"/>
      <c r="H149" s="664"/>
      <c r="I149" s="664"/>
      <c r="J149" s="664"/>
      <c r="K149" s="664"/>
      <c r="L149" s="180"/>
      <c r="M149" s="180"/>
      <c r="N149" s="180"/>
      <c r="O149" s="180"/>
    </row>
    <row r="150" spans="1:15" s="153" customFormat="1" x14ac:dyDescent="0.25">
      <c r="A150" s="733" t="s">
        <v>67</v>
      </c>
      <c r="B150" s="733"/>
      <c r="C150" s="137">
        <v>6.1666699999999999</v>
      </c>
      <c r="D150" s="138">
        <v>1</v>
      </c>
      <c r="E150" s="139">
        <f>$E$26</f>
        <v>0</v>
      </c>
      <c r="F150" s="139">
        <f>Dies!$C$50</f>
        <v>20</v>
      </c>
      <c r="G150" s="273">
        <f>+D150*E150*F150</f>
        <v>0</v>
      </c>
      <c r="H150" s="273"/>
      <c r="I150" s="273"/>
      <c r="J150" s="273"/>
      <c r="K150" s="320">
        <f>$K$140</f>
        <v>0</v>
      </c>
      <c r="L150" s="237">
        <f>+K150/C150</f>
        <v>0</v>
      </c>
      <c r="M150" s="238" t="str">
        <f>+M98</f>
        <v>Matí</v>
      </c>
      <c r="N150" s="238"/>
      <c r="O150" s="239">
        <f>+K150*G150</f>
        <v>0</v>
      </c>
    </row>
    <row r="151" spans="1:15" s="153" customFormat="1" x14ac:dyDescent="0.25">
      <c r="A151" s="764" t="s">
        <v>89</v>
      </c>
      <c r="B151" s="764"/>
      <c r="C151" s="241"/>
      <c r="D151" s="241"/>
      <c r="E151" s="241"/>
      <c r="F151" s="241"/>
      <c r="G151" s="241"/>
      <c r="H151" s="241"/>
      <c r="I151" s="241"/>
      <c r="J151" s="241"/>
      <c r="K151" s="241"/>
      <c r="L151" s="234"/>
      <c r="M151" s="234"/>
      <c r="N151" s="234"/>
      <c r="O151" s="234"/>
    </row>
    <row r="152" spans="1:15" s="153" customFormat="1" x14ac:dyDescent="0.25">
      <c r="A152" s="733" t="s">
        <v>67</v>
      </c>
      <c r="B152" s="733"/>
      <c r="C152" s="137">
        <v>6.1666699999999999</v>
      </c>
      <c r="D152" s="138">
        <v>1</v>
      </c>
      <c r="E152" s="139">
        <f>$E$29</f>
        <v>0</v>
      </c>
      <c r="F152" s="139">
        <f>Dies!$C$50</f>
        <v>20</v>
      </c>
      <c r="G152" s="273">
        <f>+D152*E152*F152</f>
        <v>0</v>
      </c>
      <c r="H152" s="273"/>
      <c r="I152" s="273"/>
      <c r="J152" s="273"/>
      <c r="K152" s="320">
        <f>$K$140</f>
        <v>0</v>
      </c>
      <c r="L152" s="237">
        <f>+K152/C152</f>
        <v>0</v>
      </c>
      <c r="M152" s="238" t="str">
        <f>+M100</f>
        <v>Tarda</v>
      </c>
      <c r="N152" s="238"/>
      <c r="O152" s="239">
        <f>+K152*G152</f>
        <v>0</v>
      </c>
    </row>
    <row r="153" spans="1:15" s="153" customFormat="1" x14ac:dyDescent="0.25">
      <c r="A153" s="229" t="s">
        <v>199</v>
      </c>
      <c r="B153" s="242"/>
      <c r="C153" s="243"/>
      <c r="D153" s="244"/>
      <c r="E153" s="245"/>
      <c r="F153" s="245"/>
      <c r="G153" s="246"/>
      <c r="H153" s="246"/>
      <c r="I153" s="247"/>
      <c r="J153" s="247"/>
      <c r="K153" s="247"/>
      <c r="L153" s="247"/>
      <c r="M153" s="245"/>
      <c r="N153" s="245"/>
      <c r="O153" s="248"/>
    </row>
    <row r="154" spans="1:15" s="153" customFormat="1" x14ac:dyDescent="0.25">
      <c r="A154" s="782" t="s">
        <v>195</v>
      </c>
      <c r="B154" s="782"/>
      <c r="C154" s="137"/>
      <c r="D154" s="138"/>
      <c r="E154" s="139"/>
      <c r="F154" s="234"/>
      <c r="G154" s="235"/>
      <c r="H154" s="235"/>
      <c r="I154" s="235"/>
      <c r="J154" s="235"/>
      <c r="K154" s="320"/>
      <c r="L154" s="237"/>
      <c r="M154" s="238"/>
      <c r="N154" s="238"/>
      <c r="O154" s="239"/>
    </row>
    <row r="155" spans="1:15" s="153" customFormat="1" x14ac:dyDescent="0.25">
      <c r="A155" s="763" t="s">
        <v>88</v>
      </c>
      <c r="B155" s="763"/>
      <c r="C155" s="137"/>
      <c r="D155" s="138"/>
      <c r="E155" s="139"/>
      <c r="F155" s="234"/>
      <c r="G155" s="235"/>
      <c r="H155" s="235"/>
      <c r="I155" s="235"/>
      <c r="J155" s="235"/>
      <c r="K155" s="236"/>
      <c r="L155" s="236"/>
      <c r="M155" s="238"/>
      <c r="N155" s="238"/>
      <c r="O155" s="239"/>
    </row>
    <row r="156" spans="1:15" s="153" customFormat="1" x14ac:dyDescent="0.25">
      <c r="A156" s="733" t="s">
        <v>67</v>
      </c>
      <c r="B156" s="733"/>
      <c r="C156" s="137">
        <v>6.1666699999999999</v>
      </c>
      <c r="D156" s="138">
        <v>1</v>
      </c>
      <c r="E156" s="139">
        <f>$E$34</f>
        <v>0</v>
      </c>
      <c r="F156" s="139">
        <f>Dies!$C$53</f>
        <v>77</v>
      </c>
      <c r="G156" s="273">
        <f>+D156*E156*F156</f>
        <v>0</v>
      </c>
      <c r="H156" s="273"/>
      <c r="I156" s="273"/>
      <c r="J156" s="273"/>
      <c r="K156" s="320">
        <f>$K$140</f>
        <v>0</v>
      </c>
      <c r="L156" s="237">
        <f>+K156/C156</f>
        <v>0</v>
      </c>
      <c r="M156" s="238" t="str">
        <f>+M104</f>
        <v>Matí</v>
      </c>
      <c r="N156" s="238"/>
      <c r="O156" s="239">
        <f>+K156*G156</f>
        <v>0</v>
      </c>
    </row>
    <row r="157" spans="1:15" s="153" customFormat="1" x14ac:dyDescent="0.25">
      <c r="A157" s="764" t="s">
        <v>89</v>
      </c>
      <c r="B157" s="764"/>
      <c r="C157" s="180"/>
      <c r="D157" s="180"/>
      <c r="E157" s="241"/>
      <c r="F157" s="241"/>
      <c r="G157" s="664"/>
      <c r="H157" s="664"/>
      <c r="I157" s="664"/>
      <c r="J157" s="664"/>
      <c r="K157" s="664"/>
      <c r="L157" s="180"/>
      <c r="M157" s="180"/>
      <c r="N157" s="180"/>
      <c r="O157" s="180"/>
    </row>
    <row r="158" spans="1:15" s="153" customFormat="1" x14ac:dyDescent="0.25">
      <c r="A158" s="733" t="s">
        <v>67</v>
      </c>
      <c r="B158" s="733"/>
      <c r="C158" s="137">
        <v>6.1666699999999999</v>
      </c>
      <c r="D158" s="138">
        <v>1</v>
      </c>
      <c r="E158" s="139">
        <f>$E$37</f>
        <v>0</v>
      </c>
      <c r="F158" s="139">
        <f>Dies!$C$53</f>
        <v>77</v>
      </c>
      <c r="G158" s="273">
        <f>+D158*E158*F158</f>
        <v>0</v>
      </c>
      <c r="H158" s="273"/>
      <c r="I158" s="273"/>
      <c r="J158" s="273"/>
      <c r="K158" s="320">
        <f>$K$140</f>
        <v>0</v>
      </c>
      <c r="L158" s="237">
        <f>+K158/C158</f>
        <v>0</v>
      </c>
      <c r="M158" s="238" t="str">
        <f>+M106</f>
        <v>Tarda</v>
      </c>
      <c r="N158" s="238"/>
      <c r="O158" s="239">
        <f>+K158*G158</f>
        <v>0</v>
      </c>
    </row>
    <row r="159" spans="1:15" s="153" customFormat="1" x14ac:dyDescent="0.25">
      <c r="A159" s="762" t="s">
        <v>196</v>
      </c>
      <c r="B159" s="762"/>
      <c r="C159" s="137"/>
      <c r="D159" s="138"/>
      <c r="E159" s="147"/>
      <c r="F159" s="241"/>
      <c r="G159" s="273"/>
      <c r="H159" s="273"/>
      <c r="I159" s="273"/>
      <c r="J159" s="273"/>
      <c r="K159" s="320"/>
      <c r="L159" s="237"/>
      <c r="M159" s="238"/>
      <c r="N159" s="238"/>
      <c r="O159" s="239"/>
    </row>
    <row r="160" spans="1:15" s="153" customFormat="1" x14ac:dyDescent="0.25">
      <c r="A160" s="763" t="s">
        <v>88</v>
      </c>
      <c r="B160" s="763"/>
      <c r="C160" s="241"/>
      <c r="D160" s="241"/>
      <c r="E160" s="147"/>
      <c r="F160" s="241"/>
      <c r="G160" s="241"/>
      <c r="H160" s="241"/>
      <c r="I160" s="241"/>
      <c r="J160" s="241"/>
      <c r="K160" s="241"/>
      <c r="L160" s="234"/>
      <c r="M160" s="234"/>
      <c r="N160" s="234"/>
      <c r="O160" s="234"/>
    </row>
    <row r="161" spans="1:15" s="153" customFormat="1" x14ac:dyDescent="0.25">
      <c r="A161" s="733" t="s">
        <v>67</v>
      </c>
      <c r="B161" s="733"/>
      <c r="C161" s="137">
        <v>6.1666699999999999</v>
      </c>
      <c r="D161" s="138">
        <v>1</v>
      </c>
      <c r="E161" s="139">
        <f>$E$41</f>
        <v>0</v>
      </c>
      <c r="F161" s="139">
        <f>Dies!$C$54</f>
        <v>15</v>
      </c>
      <c r="G161" s="273">
        <f>+D161*E161*F161</f>
        <v>0</v>
      </c>
      <c r="H161" s="273"/>
      <c r="I161" s="273"/>
      <c r="J161" s="273"/>
      <c r="K161" s="320">
        <f>$K$140</f>
        <v>0</v>
      </c>
      <c r="L161" s="237">
        <f>+K161/C161</f>
        <v>0</v>
      </c>
      <c r="M161" s="238" t="str">
        <f>+M109</f>
        <v>Matí</v>
      </c>
      <c r="N161" s="238"/>
      <c r="O161" s="239">
        <f>+K161*G161</f>
        <v>0</v>
      </c>
    </row>
    <row r="162" spans="1:15" s="153" customFormat="1" x14ac:dyDescent="0.25">
      <c r="A162" s="764" t="s">
        <v>89</v>
      </c>
      <c r="B162" s="764"/>
      <c r="C162" s="180"/>
      <c r="D162" s="180"/>
      <c r="E162" s="147"/>
      <c r="F162" s="241"/>
      <c r="G162" s="664"/>
      <c r="H162" s="664"/>
      <c r="I162" s="664"/>
      <c r="J162" s="664"/>
      <c r="K162" s="664"/>
      <c r="L162" s="180"/>
      <c r="M162" s="180"/>
      <c r="N162" s="180"/>
      <c r="O162" s="180"/>
    </row>
    <row r="163" spans="1:15" s="153" customFormat="1" x14ac:dyDescent="0.25">
      <c r="A163" s="733" t="s">
        <v>67</v>
      </c>
      <c r="B163" s="733"/>
      <c r="C163" s="137">
        <v>6.1666699999999999</v>
      </c>
      <c r="D163" s="138">
        <v>1</v>
      </c>
      <c r="E163" s="139">
        <f>$E$44</f>
        <v>0</v>
      </c>
      <c r="F163" s="139">
        <f>Dies!$C$54</f>
        <v>15</v>
      </c>
      <c r="G163" s="273">
        <f>+D163*E163*F163</f>
        <v>0</v>
      </c>
      <c r="H163" s="273"/>
      <c r="I163" s="273"/>
      <c r="J163" s="273"/>
      <c r="K163" s="320">
        <f>$K$140</f>
        <v>0</v>
      </c>
      <c r="L163" s="237">
        <f>+K163/C163</f>
        <v>0</v>
      </c>
      <c r="M163" s="238" t="str">
        <f>+M111</f>
        <v>Tarda</v>
      </c>
      <c r="N163" s="238"/>
      <c r="O163" s="239">
        <f>+K163*G163</f>
        <v>0</v>
      </c>
    </row>
    <row r="164" spans="1:15" s="153" customFormat="1" x14ac:dyDescent="0.25">
      <c r="A164" s="762" t="s">
        <v>197</v>
      </c>
      <c r="B164" s="762"/>
      <c r="C164" s="180"/>
      <c r="D164" s="180"/>
      <c r="E164" s="147"/>
      <c r="F164" s="241"/>
      <c r="G164" s="664"/>
      <c r="H164" s="664"/>
      <c r="I164" s="664"/>
      <c r="J164" s="664"/>
      <c r="K164" s="664"/>
      <c r="L164" s="180"/>
      <c r="M164" s="180"/>
      <c r="N164" s="180"/>
      <c r="O164" s="180"/>
    </row>
    <row r="165" spans="1:15" s="153" customFormat="1" x14ac:dyDescent="0.25">
      <c r="A165" s="763" t="s">
        <v>88</v>
      </c>
      <c r="B165" s="763"/>
      <c r="C165" s="180"/>
      <c r="D165" s="180"/>
      <c r="E165" s="147"/>
      <c r="F165" s="241"/>
      <c r="G165" s="664"/>
      <c r="H165" s="664"/>
      <c r="I165" s="664"/>
      <c r="J165" s="664"/>
      <c r="K165" s="664"/>
      <c r="L165" s="180"/>
      <c r="M165" s="180"/>
      <c r="N165" s="180"/>
      <c r="O165" s="180"/>
    </row>
    <row r="166" spans="1:15" s="153" customFormat="1" x14ac:dyDescent="0.25">
      <c r="A166" s="733" t="s">
        <v>67</v>
      </c>
      <c r="B166" s="733"/>
      <c r="C166" s="137">
        <v>6.1666699999999999</v>
      </c>
      <c r="D166" s="138">
        <v>1</v>
      </c>
      <c r="E166" s="139">
        <f>$E$48</f>
        <v>0</v>
      </c>
      <c r="F166" s="139">
        <f>Dies!$C$55</f>
        <v>15</v>
      </c>
      <c r="G166" s="273">
        <f>+D166*E166*F166</f>
        <v>0</v>
      </c>
      <c r="H166" s="273"/>
      <c r="I166" s="273"/>
      <c r="J166" s="273"/>
      <c r="K166" s="320">
        <f>$K$140</f>
        <v>0</v>
      </c>
      <c r="L166" s="237">
        <f>+K166/C166</f>
        <v>0</v>
      </c>
      <c r="M166" s="238" t="str">
        <f>+M114</f>
        <v>Matí</v>
      </c>
      <c r="N166" s="238"/>
      <c r="O166" s="239">
        <f>+K166*G166</f>
        <v>0</v>
      </c>
    </row>
    <row r="167" spans="1:15" s="153" customFormat="1" x14ac:dyDescent="0.25">
      <c r="A167" s="764" t="s">
        <v>89</v>
      </c>
      <c r="B167" s="764"/>
      <c r="C167" s="180"/>
      <c r="D167" s="180"/>
      <c r="E167" s="147"/>
      <c r="F167" s="241"/>
      <c r="G167" s="664"/>
      <c r="H167" s="664"/>
      <c r="I167" s="664"/>
      <c r="J167" s="664"/>
      <c r="K167" s="664"/>
      <c r="L167" s="180"/>
      <c r="M167" s="180"/>
      <c r="N167" s="180"/>
      <c r="O167" s="180"/>
    </row>
    <row r="168" spans="1:15" s="153" customFormat="1" x14ac:dyDescent="0.25">
      <c r="A168" s="733" t="s">
        <v>67</v>
      </c>
      <c r="B168" s="733"/>
      <c r="C168" s="137">
        <v>6.1666699999999999</v>
      </c>
      <c r="D168" s="138">
        <v>1</v>
      </c>
      <c r="E168" s="139">
        <f>$E$51</f>
        <v>0</v>
      </c>
      <c r="F168" s="139">
        <f>Dies!$C$55</f>
        <v>15</v>
      </c>
      <c r="G168" s="273">
        <f>+D168*E168*F168</f>
        <v>0</v>
      </c>
      <c r="H168" s="273"/>
      <c r="I168" s="273"/>
      <c r="J168" s="273"/>
      <c r="K168" s="320">
        <f>$K$140</f>
        <v>0</v>
      </c>
      <c r="L168" s="237">
        <f>+K168/C168</f>
        <v>0</v>
      </c>
      <c r="M168" s="238" t="str">
        <f>+M116</f>
        <v>Tarda</v>
      </c>
      <c r="N168" s="238"/>
      <c r="O168" s="239">
        <f>+K168*G168</f>
        <v>0</v>
      </c>
    </row>
    <row r="169" spans="1:15" s="153" customFormat="1" x14ac:dyDescent="0.25">
      <c r="A169" s="229" t="s">
        <v>326</v>
      </c>
      <c r="B169" s="242"/>
      <c r="C169" s="278"/>
      <c r="D169" s="278"/>
      <c r="E169" s="278"/>
      <c r="F169" s="245"/>
      <c r="G169" s="278"/>
      <c r="H169" s="278"/>
      <c r="I169" s="278"/>
      <c r="J169" s="278"/>
      <c r="K169" s="278"/>
      <c r="L169" s="278"/>
      <c r="M169" s="278"/>
      <c r="N169" s="278"/>
      <c r="O169" s="278"/>
    </row>
    <row r="170" spans="1:15" s="153" customFormat="1" x14ac:dyDescent="0.25">
      <c r="A170" s="782" t="s">
        <v>195</v>
      </c>
      <c r="B170" s="782"/>
      <c r="C170" s="180"/>
      <c r="D170" s="180"/>
      <c r="E170" s="180"/>
      <c r="F170" s="234"/>
      <c r="G170" s="180"/>
      <c r="H170" s="180"/>
      <c r="I170" s="180"/>
      <c r="J170" s="180"/>
      <c r="K170" s="180"/>
      <c r="L170" s="180"/>
      <c r="M170" s="180"/>
      <c r="N170" s="180"/>
      <c r="O170" s="180"/>
    </row>
    <row r="171" spans="1:15" s="153" customFormat="1" x14ac:dyDescent="0.25">
      <c r="A171" s="763" t="s">
        <v>88</v>
      </c>
      <c r="B171" s="763"/>
      <c r="C171" s="180"/>
      <c r="D171" s="180"/>
      <c r="E171" s="180"/>
      <c r="F171" s="234"/>
      <c r="G171" s="180"/>
      <c r="H171" s="180"/>
      <c r="I171" s="180"/>
      <c r="J171" s="180"/>
      <c r="K171" s="180"/>
      <c r="L171" s="180"/>
      <c r="M171" s="180"/>
      <c r="N171" s="180"/>
      <c r="O171" s="180"/>
    </row>
    <row r="172" spans="1:15" s="153" customFormat="1" x14ac:dyDescent="0.25">
      <c r="A172" s="733" t="s">
        <v>67</v>
      </c>
      <c r="B172" s="733"/>
      <c r="C172" s="137">
        <v>6.1666699999999999</v>
      </c>
      <c r="D172" s="138">
        <v>1</v>
      </c>
      <c r="E172" s="139">
        <f>$E$56</f>
        <v>0</v>
      </c>
      <c r="F172" s="139">
        <f>Dies!$C$58</f>
        <v>89</v>
      </c>
      <c r="G172" s="273">
        <f>+D172*E172*F172</f>
        <v>0</v>
      </c>
      <c r="H172" s="273"/>
      <c r="I172" s="273"/>
      <c r="J172" s="273"/>
      <c r="K172" s="320">
        <f>$K$140</f>
        <v>0</v>
      </c>
      <c r="L172" s="237">
        <f>+K172/C172</f>
        <v>0</v>
      </c>
      <c r="M172" s="238" t="str">
        <f>+M120</f>
        <v>Matí</v>
      </c>
      <c r="N172" s="238"/>
      <c r="O172" s="239">
        <f>+K172*G172</f>
        <v>0</v>
      </c>
    </row>
    <row r="173" spans="1:15" s="153" customFormat="1" x14ac:dyDescent="0.25">
      <c r="A173" s="764" t="s">
        <v>89</v>
      </c>
      <c r="B173" s="764"/>
      <c r="C173" s="180"/>
      <c r="D173" s="180"/>
      <c r="E173" s="147"/>
      <c r="F173" s="241"/>
      <c r="G173" s="664"/>
      <c r="H173" s="664"/>
      <c r="I173" s="664"/>
      <c r="J173" s="664"/>
      <c r="K173" s="664"/>
      <c r="L173" s="180"/>
      <c r="M173" s="180"/>
      <c r="N173" s="180"/>
      <c r="O173" s="180"/>
    </row>
    <row r="174" spans="1:15" s="153" customFormat="1" x14ac:dyDescent="0.25">
      <c r="A174" s="733" t="s">
        <v>67</v>
      </c>
      <c r="B174" s="733"/>
      <c r="C174" s="137">
        <v>6.1666699999999999</v>
      </c>
      <c r="D174" s="138">
        <v>1</v>
      </c>
      <c r="E174" s="139">
        <f>$E$59</f>
        <v>0</v>
      </c>
      <c r="F174" s="139">
        <f>Dies!$C$58</f>
        <v>89</v>
      </c>
      <c r="G174" s="273">
        <f>+D174*E174*F174</f>
        <v>0</v>
      </c>
      <c r="H174" s="273"/>
      <c r="I174" s="273"/>
      <c r="J174" s="273"/>
      <c r="K174" s="320">
        <f>$K$140</f>
        <v>0</v>
      </c>
      <c r="L174" s="237">
        <f>+K174/C174</f>
        <v>0</v>
      </c>
      <c r="M174" s="238" t="str">
        <f>+M122</f>
        <v>Tarda</v>
      </c>
      <c r="N174" s="238"/>
      <c r="O174" s="239">
        <f>+K174*G174</f>
        <v>0</v>
      </c>
    </row>
    <row r="175" spans="1:15" s="153" customFormat="1" x14ac:dyDescent="0.25">
      <c r="A175" s="762" t="s">
        <v>196</v>
      </c>
      <c r="B175" s="762"/>
      <c r="C175" s="234"/>
      <c r="D175" s="234"/>
      <c r="E175" s="147"/>
      <c r="F175" s="241"/>
      <c r="G175" s="241"/>
      <c r="H175" s="241"/>
      <c r="I175" s="241"/>
      <c r="J175" s="241"/>
      <c r="K175" s="241"/>
      <c r="L175" s="234"/>
      <c r="M175" s="234"/>
      <c r="N175" s="234"/>
      <c r="O175" s="234"/>
    </row>
    <row r="176" spans="1:15" s="153" customFormat="1" x14ac:dyDescent="0.25">
      <c r="A176" s="763" t="s">
        <v>88</v>
      </c>
      <c r="B176" s="763"/>
      <c r="C176" s="234"/>
      <c r="D176" s="234"/>
      <c r="E176" s="147"/>
      <c r="F176" s="241"/>
      <c r="G176" s="241"/>
      <c r="H176" s="241"/>
      <c r="I176" s="241"/>
      <c r="J176" s="241"/>
      <c r="K176" s="241"/>
      <c r="L176" s="234"/>
      <c r="M176" s="234"/>
      <c r="N176" s="234"/>
      <c r="O176" s="234"/>
    </row>
    <row r="177" spans="1:15" s="153" customFormat="1" x14ac:dyDescent="0.25">
      <c r="A177" s="733" t="s">
        <v>67</v>
      </c>
      <c r="B177" s="733"/>
      <c r="C177" s="137">
        <v>6.1666699999999999</v>
      </c>
      <c r="D177" s="138">
        <v>1</v>
      </c>
      <c r="E177" s="139">
        <f>$E$63</f>
        <v>0</v>
      </c>
      <c r="F177" s="139">
        <f>Dies!$C$59</f>
        <v>17</v>
      </c>
      <c r="G177" s="273">
        <f>+D177*E177*F177</f>
        <v>0</v>
      </c>
      <c r="H177" s="273"/>
      <c r="I177" s="273"/>
      <c r="J177" s="273"/>
      <c r="K177" s="320">
        <f>$K$140</f>
        <v>0</v>
      </c>
      <c r="L177" s="237">
        <f>+K177/C177</f>
        <v>0</v>
      </c>
      <c r="M177" s="238" t="str">
        <f>+M125</f>
        <v>Matí</v>
      </c>
      <c r="N177" s="238"/>
      <c r="O177" s="239">
        <f>+K177*G177</f>
        <v>0</v>
      </c>
    </row>
    <row r="178" spans="1:15" s="153" customFormat="1" x14ac:dyDescent="0.25">
      <c r="A178" s="764" t="s">
        <v>89</v>
      </c>
      <c r="B178" s="764"/>
      <c r="C178" s="234"/>
      <c r="D178" s="234"/>
      <c r="E178" s="147"/>
      <c r="F178" s="241"/>
      <c r="G178" s="241"/>
      <c r="H178" s="241"/>
      <c r="I178" s="241"/>
      <c r="J178" s="241"/>
      <c r="K178" s="241"/>
      <c r="L178" s="234"/>
      <c r="M178" s="234"/>
      <c r="N178" s="234"/>
      <c r="O178" s="234"/>
    </row>
    <row r="179" spans="1:15" s="153" customFormat="1" x14ac:dyDescent="0.25">
      <c r="A179" s="733" t="s">
        <v>67</v>
      </c>
      <c r="B179" s="733"/>
      <c r="C179" s="137">
        <v>6.1666699999999999</v>
      </c>
      <c r="D179" s="138">
        <v>1</v>
      </c>
      <c r="E179" s="139">
        <f>$E$66</f>
        <v>0</v>
      </c>
      <c r="F179" s="139">
        <f>Dies!$C$59</f>
        <v>17</v>
      </c>
      <c r="G179" s="273">
        <f>+D179*E179*F179</f>
        <v>0</v>
      </c>
      <c r="H179" s="273"/>
      <c r="I179" s="273"/>
      <c r="J179" s="273"/>
      <c r="K179" s="320">
        <f>$K$140</f>
        <v>0</v>
      </c>
      <c r="L179" s="237">
        <f>+K179/C179</f>
        <v>0</v>
      </c>
      <c r="M179" s="238" t="str">
        <f>+M127</f>
        <v>Tarda</v>
      </c>
      <c r="N179" s="238"/>
      <c r="O179" s="239">
        <f>+K179*G179</f>
        <v>0</v>
      </c>
    </row>
    <row r="180" spans="1:15" s="153" customFormat="1" x14ac:dyDescent="0.25">
      <c r="A180" s="762" t="s">
        <v>197</v>
      </c>
      <c r="B180" s="762"/>
      <c r="C180" s="234"/>
      <c r="D180" s="234"/>
      <c r="E180" s="147"/>
      <c r="F180" s="241"/>
      <c r="G180" s="241"/>
      <c r="H180" s="241"/>
      <c r="I180" s="241"/>
      <c r="J180" s="241"/>
      <c r="K180" s="241"/>
      <c r="L180" s="234"/>
      <c r="M180" s="234"/>
      <c r="N180" s="234"/>
      <c r="O180" s="234"/>
    </row>
    <row r="181" spans="1:15" s="153" customFormat="1" x14ac:dyDescent="0.25">
      <c r="A181" s="763" t="s">
        <v>88</v>
      </c>
      <c r="B181" s="763"/>
      <c r="C181" s="234"/>
      <c r="D181" s="234"/>
      <c r="E181" s="147"/>
      <c r="F181" s="241"/>
      <c r="G181" s="241"/>
      <c r="H181" s="241"/>
      <c r="I181" s="241"/>
      <c r="J181" s="241"/>
      <c r="K181" s="241"/>
      <c r="L181" s="234"/>
      <c r="M181" s="234"/>
      <c r="N181" s="234"/>
      <c r="O181" s="234"/>
    </row>
    <row r="182" spans="1:15" s="153" customFormat="1" x14ac:dyDescent="0.25">
      <c r="A182" s="733" t="s">
        <v>67</v>
      </c>
      <c r="B182" s="733"/>
      <c r="C182" s="137">
        <v>6.1666699999999999</v>
      </c>
      <c r="D182" s="138">
        <v>1</v>
      </c>
      <c r="E182" s="139">
        <f>$E$70</f>
        <v>0</v>
      </c>
      <c r="F182" s="139">
        <f>Dies!$C$60</f>
        <v>17</v>
      </c>
      <c r="G182" s="273">
        <f>+D182*E182*F182</f>
        <v>0</v>
      </c>
      <c r="H182" s="273"/>
      <c r="I182" s="273"/>
      <c r="J182" s="273"/>
      <c r="K182" s="320">
        <f>$K$140</f>
        <v>0</v>
      </c>
      <c r="L182" s="237">
        <f>+K182/C182</f>
        <v>0</v>
      </c>
      <c r="M182" s="238" t="str">
        <f>+M130</f>
        <v>Matí</v>
      </c>
      <c r="N182" s="238"/>
      <c r="O182" s="239">
        <f>+K182*G182</f>
        <v>0</v>
      </c>
    </row>
    <row r="183" spans="1:15" s="153" customFormat="1" x14ac:dyDescent="0.25">
      <c r="A183" s="764" t="s">
        <v>89</v>
      </c>
      <c r="B183" s="764"/>
      <c r="C183" s="180"/>
      <c r="D183" s="180"/>
      <c r="E183" s="241"/>
      <c r="F183" s="241"/>
      <c r="G183" s="664"/>
      <c r="H183" s="664"/>
      <c r="I183" s="664"/>
      <c r="J183" s="664"/>
      <c r="K183" s="664"/>
      <c r="L183" s="180"/>
      <c r="M183" s="180"/>
      <c r="N183" s="180"/>
      <c r="O183" s="180"/>
    </row>
    <row r="184" spans="1:15" s="153" customFormat="1" x14ac:dyDescent="0.25">
      <c r="A184" s="733" t="s">
        <v>67</v>
      </c>
      <c r="B184" s="733"/>
      <c r="C184" s="137">
        <v>6.1666699999999999</v>
      </c>
      <c r="D184" s="138">
        <v>1</v>
      </c>
      <c r="E184" s="139">
        <f>$E$73</f>
        <v>0</v>
      </c>
      <c r="F184" s="139">
        <f>Dies!$C$60</f>
        <v>17</v>
      </c>
      <c r="G184" s="273">
        <f>+D184*E184*F184</f>
        <v>0</v>
      </c>
      <c r="H184" s="273"/>
      <c r="I184" s="273"/>
      <c r="J184" s="273"/>
      <c r="K184" s="320">
        <f>$K$140</f>
        <v>0</v>
      </c>
      <c r="L184" s="237">
        <f>+K184/C184</f>
        <v>0</v>
      </c>
      <c r="M184" s="238" t="str">
        <f>+M132</f>
        <v>Tarda</v>
      </c>
      <c r="N184" s="238"/>
      <c r="O184" s="239">
        <f>+K184*G184</f>
        <v>0</v>
      </c>
    </row>
    <row r="185" spans="1:15" x14ac:dyDescent="0.25">
      <c r="A185" s="410"/>
      <c r="B185" s="411"/>
      <c r="C185" s="411"/>
      <c r="D185" s="411"/>
      <c r="E185" s="412" t="s">
        <v>47</v>
      </c>
      <c r="F185" s="411"/>
      <c r="G185" s="411"/>
      <c r="H185" s="411"/>
      <c r="I185" s="411"/>
      <c r="J185" s="411"/>
      <c r="K185" s="411"/>
      <c r="L185" s="411"/>
      <c r="M185" s="411"/>
      <c r="N185" s="411"/>
      <c r="O185" s="413">
        <f>SUM(O140:O184)</f>
        <v>0</v>
      </c>
    </row>
    <row r="186" spans="1:15" s="153" customFormat="1" ht="26.25" x14ac:dyDescent="0.4">
      <c r="A186" s="259" t="s">
        <v>272</v>
      </c>
      <c r="B186" s="221"/>
      <c r="C186" s="221"/>
      <c r="D186" s="223"/>
      <c r="E186" s="223"/>
      <c r="F186" s="223"/>
      <c r="G186" s="223"/>
      <c r="H186" s="223"/>
      <c r="I186" s="223"/>
      <c r="J186" s="223"/>
      <c r="K186" s="224"/>
      <c r="L186" s="224"/>
      <c r="M186" s="224"/>
      <c r="N186" s="224"/>
      <c r="O186" s="404"/>
    </row>
    <row r="187" spans="1:15" s="281" customFormat="1" x14ac:dyDescent="0.25">
      <c r="A187" s="773" t="s">
        <v>20</v>
      </c>
      <c r="B187" s="773"/>
      <c r="C187" s="414" t="s">
        <v>27</v>
      </c>
      <c r="D187" s="414" t="s">
        <v>28</v>
      </c>
      <c r="E187" s="414" t="s">
        <v>21</v>
      </c>
      <c r="F187" s="414" t="s">
        <v>23</v>
      </c>
      <c r="G187" s="414" t="s">
        <v>22</v>
      </c>
      <c r="H187" s="414"/>
      <c r="I187" s="414"/>
      <c r="J187" s="414"/>
      <c r="K187" s="773" t="s">
        <v>79</v>
      </c>
      <c r="L187" s="414"/>
      <c r="M187" s="773"/>
      <c r="N187" s="773" t="s">
        <v>80</v>
      </c>
      <c r="O187" s="414" t="s">
        <v>32</v>
      </c>
    </row>
    <row r="188" spans="1:15" s="281" customFormat="1" x14ac:dyDescent="0.25">
      <c r="A188" s="768"/>
      <c r="B188" s="768"/>
      <c r="C188" s="280" t="s">
        <v>44</v>
      </c>
      <c r="D188" s="280" t="s">
        <v>5</v>
      </c>
      <c r="E188" s="280" t="s">
        <v>24</v>
      </c>
      <c r="F188" s="280" t="s">
        <v>81</v>
      </c>
      <c r="G188" s="280" t="s">
        <v>82</v>
      </c>
      <c r="H188" s="280"/>
      <c r="I188" s="280"/>
      <c r="J188" s="280"/>
      <c r="K188" s="769" t="s">
        <v>28</v>
      </c>
      <c r="L188" s="280"/>
      <c r="M188" s="769"/>
      <c r="N188" s="769" t="s">
        <v>83</v>
      </c>
      <c r="O188" s="280" t="s">
        <v>40</v>
      </c>
    </row>
    <row r="189" spans="1:15" x14ac:dyDescent="0.25">
      <c r="A189" s="729" t="s">
        <v>329</v>
      </c>
      <c r="B189" s="730"/>
      <c r="C189" s="137">
        <v>6.1666699999999999</v>
      </c>
      <c r="D189" s="138">
        <v>1</v>
      </c>
      <c r="E189" s="139">
        <v>1</v>
      </c>
      <c r="F189" s="283">
        <f>Inversions!H12</f>
        <v>0</v>
      </c>
      <c r="G189" s="273">
        <v>8</v>
      </c>
      <c r="H189" s="273"/>
      <c r="I189" s="273"/>
      <c r="J189" s="273"/>
      <c r="K189" s="284">
        <f>Paràmetres!$C$4</f>
        <v>0</v>
      </c>
      <c r="L189" s="284"/>
      <c r="M189" s="139"/>
      <c r="N189" s="140">
        <f>-12*PMT(K189/12,G189*12,F189)</f>
        <v>0</v>
      </c>
      <c r="O189" s="144">
        <f>E189*N189*D189</f>
        <v>0</v>
      </c>
    </row>
    <row r="190" spans="1:15" s="281" customFormat="1" x14ac:dyDescent="0.25">
      <c r="A190" s="410"/>
      <c r="B190" s="411"/>
      <c r="C190" s="411"/>
      <c r="D190" s="411"/>
      <c r="E190" s="412"/>
      <c r="F190" s="412" t="s">
        <v>84</v>
      </c>
      <c r="G190" s="411"/>
      <c r="H190" s="411"/>
      <c r="I190" s="411"/>
      <c r="J190" s="411"/>
      <c r="K190" s="411"/>
      <c r="L190" s="411"/>
      <c r="M190" s="411"/>
      <c r="N190" s="411"/>
      <c r="O190" s="413">
        <f>SUM(O189:O189)</f>
        <v>0</v>
      </c>
    </row>
    <row r="191" spans="1:15" s="5" customFormat="1" ht="26.25" x14ac:dyDescent="0.4">
      <c r="A191" s="415" t="s">
        <v>213</v>
      </c>
      <c r="B191" s="416"/>
      <c r="C191" s="416"/>
      <c r="D191" s="417"/>
      <c r="E191" s="417"/>
      <c r="F191" s="417"/>
      <c r="G191" s="417"/>
      <c r="H191" s="417"/>
      <c r="I191" s="417"/>
      <c r="J191" s="417"/>
      <c r="K191" s="418"/>
      <c r="L191" s="418"/>
      <c r="M191" s="418"/>
      <c r="N191" s="418"/>
      <c r="O191" s="419"/>
    </row>
    <row r="192" spans="1:15" s="281" customFormat="1" x14ac:dyDescent="0.25">
      <c r="A192" s="792" t="s">
        <v>20</v>
      </c>
      <c r="B192" s="792"/>
      <c r="C192" s="420" t="s">
        <v>27</v>
      </c>
      <c r="D192" s="420" t="s">
        <v>28</v>
      </c>
      <c r="E192" s="420" t="s">
        <v>21</v>
      </c>
      <c r="F192" s="420"/>
      <c r="G192" s="420"/>
      <c r="H192" s="420"/>
      <c r="I192" s="420"/>
      <c r="J192" s="420"/>
      <c r="K192" s="420" t="s">
        <v>100</v>
      </c>
      <c r="L192" s="420"/>
      <c r="M192" s="420"/>
      <c r="N192" s="420"/>
      <c r="O192" s="421" t="s">
        <v>32</v>
      </c>
    </row>
    <row r="193" spans="1:15" s="281" customFormat="1" x14ac:dyDescent="0.25">
      <c r="A193" s="759"/>
      <c r="B193" s="759"/>
      <c r="C193" s="422" t="s">
        <v>44</v>
      </c>
      <c r="D193" s="422" t="s">
        <v>5</v>
      </c>
      <c r="E193" s="422" t="s">
        <v>24</v>
      </c>
      <c r="F193" s="423"/>
      <c r="G193" s="422"/>
      <c r="H193" s="422"/>
      <c r="I193" s="422"/>
      <c r="J193" s="422"/>
      <c r="K193" s="422" t="s">
        <v>101</v>
      </c>
      <c r="L193" s="422"/>
      <c r="M193" s="422"/>
      <c r="N193" s="422"/>
      <c r="O193" s="424" t="s">
        <v>40</v>
      </c>
    </row>
    <row r="194" spans="1:15" s="281" customFormat="1" x14ac:dyDescent="0.25">
      <c r="A194" s="729" t="s">
        <v>329</v>
      </c>
      <c r="B194" s="730"/>
      <c r="C194" s="137">
        <v>6.1666699999999999</v>
      </c>
      <c r="D194" s="138">
        <v>1</v>
      </c>
      <c r="E194" s="372">
        <f>+E189</f>
        <v>1</v>
      </c>
      <c r="F194" s="302"/>
      <c r="G194" s="303"/>
      <c r="H194" s="303"/>
      <c r="I194" s="303"/>
      <c r="J194" s="303"/>
      <c r="K194" s="304">
        <f>'Seguro+combustible+reparacions'!E10*D194</f>
        <v>0</v>
      </c>
      <c r="L194" s="304"/>
      <c r="M194" s="303"/>
      <c r="N194" s="302"/>
      <c r="O194" s="239">
        <f>E194*K194*D194</f>
        <v>0</v>
      </c>
    </row>
    <row r="195" spans="1:15" s="281" customFormat="1" x14ac:dyDescent="0.25">
      <c r="A195" s="410"/>
      <c r="B195" s="411"/>
      <c r="C195" s="411"/>
      <c r="D195" s="411"/>
      <c r="E195" s="412"/>
      <c r="F195" s="412" t="s">
        <v>85</v>
      </c>
      <c r="G195" s="411"/>
      <c r="H195" s="411"/>
      <c r="I195" s="411"/>
      <c r="J195" s="411"/>
      <c r="K195" s="411"/>
      <c r="L195" s="411"/>
      <c r="M195" s="411"/>
      <c r="N195" s="411"/>
      <c r="O195" s="413">
        <f>SUM(O194:O194)</f>
        <v>0</v>
      </c>
    </row>
    <row r="196" spans="1:15" s="281" customFormat="1" ht="26.25" x14ac:dyDescent="0.4">
      <c r="A196" s="285" t="s">
        <v>420</v>
      </c>
      <c r="B196" s="286"/>
      <c r="C196" s="286"/>
      <c r="D196" s="287"/>
      <c r="E196" s="287"/>
      <c r="F196" s="287"/>
      <c r="G196" s="287"/>
      <c r="H196" s="287"/>
      <c r="I196" s="287"/>
      <c r="J196" s="287"/>
      <c r="K196" s="288"/>
      <c r="L196" s="288"/>
      <c r="M196" s="288"/>
      <c r="N196" s="288"/>
      <c r="O196" s="289"/>
    </row>
    <row r="197" spans="1:15" s="281" customFormat="1" x14ac:dyDescent="0.25">
      <c r="A197" s="758" t="s">
        <v>225</v>
      </c>
      <c r="B197" s="759"/>
      <c r="C197" s="290"/>
      <c r="D197" s="290" t="s">
        <v>28</v>
      </c>
      <c r="E197" s="290"/>
      <c r="F197" s="290"/>
      <c r="G197" s="290"/>
      <c r="H197" s="290"/>
      <c r="I197" s="290"/>
      <c r="J197" s="290"/>
      <c r="K197" s="290" t="s">
        <v>100</v>
      </c>
      <c r="L197" s="290"/>
      <c r="M197" s="290"/>
      <c r="N197" s="290"/>
      <c r="O197" s="291" t="s">
        <v>32</v>
      </c>
    </row>
    <row r="198" spans="1:15" s="281" customFormat="1" x14ac:dyDescent="0.25">
      <c r="A198" s="760"/>
      <c r="B198" s="761"/>
      <c r="C198" s="292"/>
      <c r="D198" s="292" t="s">
        <v>5</v>
      </c>
      <c r="E198" s="290" t="s">
        <v>21</v>
      </c>
      <c r="F198" s="293"/>
      <c r="G198" s="292"/>
      <c r="H198" s="292"/>
      <c r="I198" s="292"/>
      <c r="J198" s="292"/>
      <c r="K198" s="292" t="s">
        <v>238</v>
      </c>
      <c r="L198" s="292"/>
      <c r="M198" s="292"/>
      <c r="N198" s="292"/>
      <c r="O198" s="294" t="s">
        <v>40</v>
      </c>
    </row>
    <row r="199" spans="1:15" s="281" customFormat="1" x14ac:dyDescent="0.25">
      <c r="A199" s="733" t="s">
        <v>245</v>
      </c>
      <c r="B199" s="733"/>
      <c r="C199" s="137"/>
      <c r="D199" s="138">
        <v>1</v>
      </c>
      <c r="E199" s="650">
        <f>I75</f>
        <v>0</v>
      </c>
      <c r="F199" s="302"/>
      <c r="G199" s="303"/>
      <c r="H199" s="303"/>
      <c r="I199" s="303"/>
      <c r="J199" s="303"/>
      <c r="K199" s="650">
        <f>Consumibles!E46</f>
        <v>0</v>
      </c>
      <c r="L199" s="304"/>
      <c r="M199" s="303"/>
      <c r="N199" s="302"/>
      <c r="O199" s="239">
        <f>E199*K199</f>
        <v>0</v>
      </c>
    </row>
    <row r="200" spans="1:15" s="281" customFormat="1" x14ac:dyDescent="0.25">
      <c r="A200" s="733" t="s">
        <v>226</v>
      </c>
      <c r="B200" s="733"/>
      <c r="C200" s="137"/>
      <c r="D200" s="138">
        <v>1</v>
      </c>
      <c r="E200" s="650">
        <v>1500</v>
      </c>
      <c r="F200" s="302"/>
      <c r="G200" s="303"/>
      <c r="H200" s="303"/>
      <c r="I200" s="303"/>
      <c r="J200" s="303"/>
      <c r="K200" s="650">
        <f>Consumibles!E21</f>
        <v>0</v>
      </c>
      <c r="L200" s="304"/>
      <c r="M200" s="303"/>
      <c r="N200" s="302"/>
      <c r="O200" s="239">
        <f>E200*K200</f>
        <v>0</v>
      </c>
    </row>
    <row r="201" spans="1:15" s="281" customFormat="1" x14ac:dyDescent="0.25">
      <c r="A201" s="733" t="s">
        <v>237</v>
      </c>
      <c r="B201" s="733"/>
      <c r="C201" s="137"/>
      <c r="D201" s="138">
        <v>1</v>
      </c>
      <c r="E201" s="372">
        <v>0</v>
      </c>
      <c r="F201" s="302"/>
      <c r="G201" s="303"/>
      <c r="H201" s="303"/>
      <c r="I201" s="303"/>
      <c r="J201" s="303"/>
      <c r="K201" s="650">
        <f>Consumibles!E22</f>
        <v>0</v>
      </c>
      <c r="L201" s="304"/>
      <c r="M201" s="303"/>
      <c r="N201" s="302"/>
      <c r="O201" s="239">
        <f t="shared" ref="O201:O204" si="10">E201*K201</f>
        <v>0</v>
      </c>
    </row>
    <row r="202" spans="1:15" s="281" customFormat="1" x14ac:dyDescent="0.25">
      <c r="A202" s="733" t="s">
        <v>234</v>
      </c>
      <c r="B202" s="733"/>
      <c r="C202" s="137"/>
      <c r="D202" s="138">
        <v>1</v>
      </c>
      <c r="E202" s="372">
        <v>50</v>
      </c>
      <c r="F202" s="302"/>
      <c r="G202" s="303"/>
      <c r="H202" s="303"/>
      <c r="I202" s="303"/>
      <c r="J202" s="303"/>
      <c r="K202" s="650">
        <f>Consumibles!E23</f>
        <v>0</v>
      </c>
      <c r="L202" s="304"/>
      <c r="M202" s="303"/>
      <c r="N202" s="302"/>
      <c r="O202" s="239">
        <f t="shared" si="10"/>
        <v>0</v>
      </c>
    </row>
    <row r="203" spans="1:15" s="281" customFormat="1" x14ac:dyDescent="0.25">
      <c r="A203" s="733" t="s">
        <v>235</v>
      </c>
      <c r="B203" s="733"/>
      <c r="C203" s="137"/>
      <c r="D203" s="138">
        <v>1</v>
      </c>
      <c r="E203" s="372">
        <v>100</v>
      </c>
      <c r="F203" s="302"/>
      <c r="G203" s="303"/>
      <c r="H203" s="303"/>
      <c r="I203" s="303"/>
      <c r="J203" s="303"/>
      <c r="K203" s="650">
        <f>Consumibles!E24</f>
        <v>0</v>
      </c>
      <c r="L203" s="304"/>
      <c r="M203" s="303"/>
      <c r="N203" s="302"/>
      <c r="O203" s="239">
        <f t="shared" si="10"/>
        <v>0</v>
      </c>
    </row>
    <row r="204" spans="1:15" s="281" customFormat="1" x14ac:dyDescent="0.25">
      <c r="A204" s="733" t="s">
        <v>236</v>
      </c>
      <c r="B204" s="733"/>
      <c r="C204" s="137"/>
      <c r="D204" s="138">
        <v>1</v>
      </c>
      <c r="E204" s="372">
        <v>20</v>
      </c>
      <c r="F204" s="302"/>
      <c r="G204" s="303"/>
      <c r="H204" s="303"/>
      <c r="I204" s="303"/>
      <c r="J204" s="303"/>
      <c r="K204" s="650">
        <f>Consumibles!E25</f>
        <v>0</v>
      </c>
      <c r="L204" s="304"/>
      <c r="M204" s="303"/>
      <c r="N204" s="302"/>
      <c r="O204" s="239">
        <f t="shared" si="10"/>
        <v>0</v>
      </c>
    </row>
    <row r="205" spans="1:15" s="281" customFormat="1" x14ac:dyDescent="0.25">
      <c r="A205" s="254"/>
      <c r="B205" s="255"/>
      <c r="C205" s="255"/>
      <c r="D205" s="255"/>
      <c r="E205" s="256"/>
      <c r="F205" s="256" t="s">
        <v>224</v>
      </c>
      <c r="G205" s="255"/>
      <c r="H205" s="255"/>
      <c r="I205" s="255"/>
      <c r="J205" s="255"/>
      <c r="K205" s="255"/>
      <c r="L205" s="255"/>
      <c r="M205" s="255"/>
      <c r="N205" s="255"/>
      <c r="O205" s="257">
        <f>SUM(O199:O204)</f>
        <v>0</v>
      </c>
    </row>
    <row r="206" spans="1:15" x14ac:dyDescent="0.25">
      <c r="A206" s="218"/>
      <c r="B206" s="218"/>
      <c r="C206" s="218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</row>
    <row r="207" spans="1:15" x14ac:dyDescent="0.25">
      <c r="A207" s="218"/>
      <c r="B207" s="218"/>
      <c r="C207" s="218"/>
      <c r="D207" s="218"/>
      <c r="E207" s="218"/>
      <c r="F207" s="307" t="s">
        <v>271</v>
      </c>
      <c r="G207" s="308"/>
      <c r="H207" s="308"/>
      <c r="I207" s="308"/>
      <c r="J207" s="308"/>
      <c r="K207" s="308"/>
      <c r="L207" s="308"/>
      <c r="M207" s="316"/>
      <c r="N207" s="316"/>
      <c r="O207" s="317">
        <f>+O75+O133+O185+O195+O205</f>
        <v>0</v>
      </c>
    </row>
    <row r="208" spans="1:15" x14ac:dyDescent="0.25">
      <c r="A208" s="218"/>
      <c r="B208" s="218"/>
      <c r="C208" s="218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310"/>
    </row>
    <row r="209" spans="1:15" x14ac:dyDescent="0.25">
      <c r="A209" s="218"/>
      <c r="B209" s="218"/>
      <c r="C209" s="218"/>
      <c r="D209" s="218"/>
      <c r="E209" s="218"/>
      <c r="F209" s="311" t="s">
        <v>3</v>
      </c>
      <c r="G209" s="312"/>
      <c r="H209" s="312"/>
      <c r="I209" s="312"/>
      <c r="J209" s="312"/>
      <c r="K209" s="312"/>
      <c r="L209" s="312"/>
      <c r="M209" s="652">
        <f>Paràmetres!C6</f>
        <v>0</v>
      </c>
      <c r="N209" s="312"/>
      <c r="O209" s="313">
        <f>+O207*M209</f>
        <v>0</v>
      </c>
    </row>
    <row r="210" spans="1:15" x14ac:dyDescent="0.25">
      <c r="A210" s="218"/>
      <c r="B210" s="218"/>
      <c r="C210" s="218"/>
      <c r="D210" s="218"/>
      <c r="E210" s="218"/>
      <c r="F210" s="312"/>
      <c r="G210" s="312"/>
      <c r="H210" s="312"/>
      <c r="I210" s="312"/>
      <c r="J210" s="312"/>
      <c r="K210" s="312"/>
      <c r="L210" s="312"/>
      <c r="M210" s="314"/>
      <c r="N210" s="312"/>
      <c r="O210" s="313"/>
    </row>
    <row r="211" spans="1:15" x14ac:dyDescent="0.25">
      <c r="A211" s="218"/>
      <c r="B211" s="218"/>
      <c r="C211" s="218"/>
      <c r="D211" s="218"/>
      <c r="E211" s="218"/>
      <c r="F211" s="311" t="s">
        <v>2</v>
      </c>
      <c r="G211" s="312"/>
      <c r="H211" s="312"/>
      <c r="I211" s="312"/>
      <c r="J211" s="312"/>
      <c r="K211" s="312"/>
      <c r="L211" s="312"/>
      <c r="M211" s="652">
        <f>Paràmetres!C5</f>
        <v>0</v>
      </c>
      <c r="N211" s="312"/>
      <c r="O211" s="313">
        <f>+O207*M211</f>
        <v>0</v>
      </c>
    </row>
    <row r="212" spans="1:15" x14ac:dyDescent="0.25">
      <c r="A212" s="218"/>
      <c r="B212" s="218"/>
      <c r="C212" s="218"/>
      <c r="D212" s="218"/>
      <c r="E212" s="218"/>
      <c r="F212" s="312"/>
      <c r="G212" s="312"/>
      <c r="H212" s="312"/>
      <c r="I212" s="312"/>
      <c r="J212" s="312"/>
      <c r="K212" s="312"/>
      <c r="L212" s="312"/>
      <c r="M212" s="314"/>
      <c r="N212" s="312"/>
      <c r="O212" s="313"/>
    </row>
    <row r="213" spans="1:15" x14ac:dyDescent="0.25">
      <c r="A213" s="218"/>
      <c r="B213" s="218"/>
      <c r="C213" s="218"/>
      <c r="D213" s="218"/>
      <c r="E213" s="218"/>
      <c r="F213" s="311" t="s">
        <v>48</v>
      </c>
      <c r="G213" s="312"/>
      <c r="H213" s="312"/>
      <c r="I213" s="312"/>
      <c r="J213" s="312"/>
      <c r="K213" s="312"/>
      <c r="L213" s="312"/>
      <c r="M213" s="314"/>
      <c r="N213" s="312"/>
      <c r="O213" s="313">
        <f>+O207*M213</f>
        <v>0</v>
      </c>
    </row>
    <row r="214" spans="1:15" x14ac:dyDescent="0.25">
      <c r="A214" s="218"/>
      <c r="B214" s="218"/>
      <c r="C214" s="218"/>
      <c r="D214" s="218"/>
      <c r="E214" s="218"/>
      <c r="F214" s="312"/>
      <c r="G214" s="312"/>
      <c r="H214" s="312"/>
      <c r="I214" s="312"/>
      <c r="J214" s="312"/>
      <c r="K214" s="312"/>
      <c r="L214" s="312"/>
      <c r="M214" s="314"/>
      <c r="N214" s="312"/>
      <c r="O214" s="313"/>
    </row>
    <row r="215" spans="1:15" x14ac:dyDescent="0.25">
      <c r="A215" s="218"/>
      <c r="B215" s="218"/>
      <c r="C215" s="218"/>
      <c r="D215" s="218"/>
      <c r="E215" s="218"/>
      <c r="F215" s="311" t="s">
        <v>76</v>
      </c>
      <c r="G215" s="312"/>
      <c r="H215" s="312"/>
      <c r="I215" s="312"/>
      <c r="J215" s="312"/>
      <c r="K215" s="312"/>
      <c r="L215" s="312"/>
      <c r="M215" s="314"/>
      <c r="N215" s="312"/>
      <c r="O215" s="313">
        <f>+O207*M215</f>
        <v>0</v>
      </c>
    </row>
    <row r="216" spans="1:15" x14ac:dyDescent="0.25">
      <c r="A216" s="218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310"/>
    </row>
    <row r="217" spans="1:15" x14ac:dyDescent="0.25">
      <c r="A217" s="218"/>
      <c r="B217" s="218"/>
      <c r="C217" s="218"/>
      <c r="D217" s="218"/>
      <c r="E217" s="218"/>
      <c r="F217" s="315" t="s">
        <v>270</v>
      </c>
      <c r="G217" s="316"/>
      <c r="H217" s="316"/>
      <c r="I217" s="316"/>
      <c r="J217" s="316"/>
      <c r="K217" s="316"/>
      <c r="L217" s="316"/>
      <c r="M217" s="316"/>
      <c r="N217" s="316"/>
      <c r="O217" s="317">
        <f>SUM(O207:O215)+O190</f>
        <v>0</v>
      </c>
    </row>
    <row r="218" spans="1:15" x14ac:dyDescent="0.25">
      <c r="A218" s="218"/>
      <c r="B218" s="218"/>
      <c r="C218" s="218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310"/>
    </row>
    <row r="219" spans="1:15" x14ac:dyDescent="0.25">
      <c r="A219" s="218"/>
      <c r="B219" s="218"/>
      <c r="C219" s="218"/>
      <c r="D219" s="218"/>
      <c r="E219" s="218"/>
      <c r="F219" s="311" t="s">
        <v>4</v>
      </c>
      <c r="G219" s="312"/>
      <c r="H219" s="312"/>
      <c r="I219" s="312"/>
      <c r="J219" s="312"/>
      <c r="K219" s="312"/>
      <c r="L219" s="312"/>
      <c r="M219" s="314">
        <v>0.1</v>
      </c>
      <c r="N219" s="312"/>
      <c r="O219" s="313">
        <f>+O217*M219</f>
        <v>0</v>
      </c>
    </row>
    <row r="220" spans="1:15" x14ac:dyDescent="0.25">
      <c r="A220" s="218"/>
      <c r="B220" s="218"/>
      <c r="C220" s="218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310"/>
    </row>
    <row r="221" spans="1:15" x14ac:dyDescent="0.25">
      <c r="A221" s="218"/>
      <c r="B221" s="218"/>
      <c r="C221" s="218"/>
      <c r="D221" s="218"/>
      <c r="E221" s="218"/>
      <c r="F221" s="315" t="s">
        <v>49</v>
      </c>
      <c r="G221" s="316"/>
      <c r="H221" s="316"/>
      <c r="I221" s="316"/>
      <c r="J221" s="316"/>
      <c r="K221" s="316"/>
      <c r="L221" s="316"/>
      <c r="M221" s="316"/>
      <c r="N221" s="316"/>
      <c r="O221" s="317">
        <f>+O217+O219</f>
        <v>0</v>
      </c>
    </row>
    <row r="222" spans="1:15" x14ac:dyDescent="0.25">
      <c r="A222" s="218"/>
      <c r="B222" s="218"/>
      <c r="C222" s="218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</row>
    <row r="223" spans="1:15" x14ac:dyDescent="0.25">
      <c r="A223" s="218"/>
      <c r="B223" s="218"/>
      <c r="C223" s="218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</row>
    <row r="224" spans="1:15" x14ac:dyDescent="0.25">
      <c r="A224" s="218"/>
      <c r="B224" s="218"/>
      <c r="C224" s="218"/>
      <c r="D224" s="218"/>
      <c r="E224" s="218"/>
      <c r="F224" s="315" t="s">
        <v>50</v>
      </c>
      <c r="G224" s="316"/>
      <c r="H224" s="316"/>
      <c r="I224" s="316"/>
      <c r="J224" s="316"/>
      <c r="K224" s="316"/>
      <c r="L224" s="316"/>
      <c r="M224" s="316"/>
      <c r="N224" s="316"/>
      <c r="O224" s="317" t="s">
        <v>51</v>
      </c>
    </row>
    <row r="225" spans="1:15" x14ac:dyDescent="0.25">
      <c r="A225" s="218"/>
      <c r="B225" s="218"/>
      <c r="C225" s="218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</row>
    <row r="226" spans="1:15" x14ac:dyDescent="0.25">
      <c r="A226" s="218"/>
      <c r="B226" s="218"/>
      <c r="C226" s="218"/>
      <c r="D226" s="218"/>
      <c r="E226" s="218"/>
      <c r="F226" s="218" t="s">
        <v>52</v>
      </c>
      <c r="G226" s="218"/>
      <c r="H226" s="218"/>
      <c r="I226" s="218"/>
      <c r="J226" s="218"/>
      <c r="K226" s="218"/>
      <c r="L226" s="218"/>
      <c r="M226" s="218"/>
      <c r="N226" s="218"/>
      <c r="O226" s="313">
        <f>+O75*(1+M209+M211)*(1+M219)</f>
        <v>0</v>
      </c>
    </row>
    <row r="227" spans="1:15" x14ac:dyDescent="0.25">
      <c r="A227" s="218"/>
      <c r="B227" s="218"/>
      <c r="C227" s="218"/>
      <c r="D227" s="218"/>
      <c r="E227" s="218"/>
      <c r="F227" s="218" t="s">
        <v>53</v>
      </c>
      <c r="G227" s="218"/>
      <c r="H227" s="218"/>
      <c r="I227" s="218"/>
      <c r="J227" s="218"/>
      <c r="K227" s="218"/>
      <c r="L227" s="218"/>
      <c r="M227" s="218"/>
      <c r="N227" s="218"/>
      <c r="O227" s="313">
        <f>+(O133+O185)*(1+M209+M211)*(1+M219)</f>
        <v>0</v>
      </c>
    </row>
    <row r="228" spans="1:15" x14ac:dyDescent="0.25">
      <c r="A228" s="218"/>
      <c r="B228" s="218"/>
      <c r="C228" s="218"/>
      <c r="D228" s="218"/>
      <c r="E228" s="218"/>
      <c r="F228" s="218" t="s">
        <v>54</v>
      </c>
      <c r="G228" s="218"/>
      <c r="H228" s="218"/>
      <c r="I228" s="218"/>
      <c r="J228" s="218"/>
      <c r="K228" s="218"/>
      <c r="L228" s="218"/>
      <c r="M228" s="218"/>
      <c r="N228" s="218"/>
      <c r="O228" s="313"/>
    </row>
    <row r="229" spans="1:15" x14ac:dyDescent="0.25">
      <c r="A229" s="218"/>
      <c r="B229" s="218"/>
      <c r="C229" s="218"/>
      <c r="D229" s="218"/>
      <c r="E229" s="218"/>
      <c r="F229" s="311" t="s">
        <v>55</v>
      </c>
      <c r="G229" s="312"/>
      <c r="H229" s="312"/>
      <c r="I229" s="312"/>
      <c r="J229" s="312"/>
      <c r="K229" s="312"/>
      <c r="L229" s="312"/>
      <c r="M229" s="312"/>
      <c r="N229" s="312"/>
      <c r="O229" s="313">
        <f>G75</f>
        <v>0</v>
      </c>
    </row>
    <row r="230" spans="1:15" x14ac:dyDescent="0.25">
      <c r="A230" s="218"/>
      <c r="B230" s="218"/>
      <c r="C230" s="218"/>
      <c r="D230" s="218"/>
      <c r="E230" s="218"/>
      <c r="F230" s="311" t="s">
        <v>56</v>
      </c>
      <c r="G230" s="312"/>
      <c r="H230" s="312"/>
      <c r="I230" s="312"/>
      <c r="J230" s="312"/>
      <c r="K230" s="312"/>
      <c r="L230" s="312"/>
      <c r="M230" s="312"/>
      <c r="N230" s="312"/>
      <c r="O230" s="313">
        <f>+O229*6.16667</f>
        <v>0</v>
      </c>
    </row>
    <row r="231" spans="1:15" x14ac:dyDescent="0.25">
      <c r="A231" s="218"/>
      <c r="B231" s="218"/>
      <c r="C231" s="218"/>
      <c r="D231" s="218"/>
      <c r="E231" s="218"/>
      <c r="F231" s="218" t="s">
        <v>57</v>
      </c>
      <c r="G231" s="218"/>
      <c r="H231" s="218"/>
      <c r="I231" s="218"/>
      <c r="J231" s="218"/>
      <c r="K231" s="218"/>
      <c r="L231" s="218"/>
      <c r="M231" s="218"/>
      <c r="N231" s="218"/>
      <c r="O231" s="313" t="e">
        <f>+O221/O229</f>
        <v>#DIV/0!</v>
      </c>
    </row>
    <row r="232" spans="1:15" x14ac:dyDescent="0.25">
      <c r="A232" s="218"/>
      <c r="B232" s="218"/>
      <c r="C232" s="218"/>
      <c r="D232" s="218"/>
      <c r="E232" s="218"/>
      <c r="F232" s="218" t="s">
        <v>58</v>
      </c>
      <c r="G232" s="218"/>
      <c r="H232" s="218"/>
      <c r="I232" s="218"/>
      <c r="J232" s="218"/>
      <c r="K232" s="218"/>
      <c r="L232" s="218"/>
      <c r="M232" s="218"/>
      <c r="N232" s="218"/>
      <c r="O232" s="313" t="e">
        <f>+O221/O230</f>
        <v>#DIV/0!</v>
      </c>
    </row>
    <row r="233" spans="1:15" x14ac:dyDescent="0.25">
      <c r="O233" s="318"/>
    </row>
  </sheetData>
  <sheetProtection algorithmName="SHA-512" hashValue="11DsQDGCPtuwnO8qqwIkvI7y3jY0/bux49+YFz16DOdpMMMUQhWPAt5mUVfevwIK4btZ+GWlQqKGJbagVIHAsg==" saltValue="7UU6YiqZAbcrCncoAkfpbg==" spinCount="100000" sheet="1" objects="1" scenarios="1" selectLockedCells="1"/>
  <mergeCells count="171">
    <mergeCell ref="K187:K188"/>
    <mergeCell ref="M187:M188"/>
    <mergeCell ref="N187:N188"/>
    <mergeCell ref="A187:B18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7:B27"/>
    <mergeCell ref="A22:B22"/>
    <mergeCell ref="A23:B23"/>
    <mergeCell ref="A24:B24"/>
    <mergeCell ref="A25:B25"/>
    <mergeCell ref="A26:B26"/>
    <mergeCell ref="A19:B19"/>
    <mergeCell ref="A20:B20"/>
    <mergeCell ref="A21:B21"/>
    <mergeCell ref="A43:B43"/>
    <mergeCell ref="A44:B44"/>
    <mergeCell ref="A5:O5"/>
    <mergeCell ref="A33:B33"/>
    <mergeCell ref="A34:B34"/>
    <mergeCell ref="A35:B35"/>
    <mergeCell ref="A36:B36"/>
    <mergeCell ref="A37:B37"/>
    <mergeCell ref="A28:B28"/>
    <mergeCell ref="A29:B29"/>
    <mergeCell ref="A30:B30"/>
    <mergeCell ref="A32:B32"/>
    <mergeCell ref="A45:B45"/>
    <mergeCell ref="A46:B46"/>
    <mergeCell ref="A47:B47"/>
    <mergeCell ref="A38:B38"/>
    <mergeCell ref="A39:B39"/>
    <mergeCell ref="A40:B40"/>
    <mergeCell ref="A41:B41"/>
    <mergeCell ref="A42:B42"/>
    <mergeCell ref="A54:B54"/>
    <mergeCell ref="A55:B55"/>
    <mergeCell ref="A56:B56"/>
    <mergeCell ref="A57:B57"/>
    <mergeCell ref="A58:B58"/>
    <mergeCell ref="A48:B48"/>
    <mergeCell ref="A49:B49"/>
    <mergeCell ref="A50:B50"/>
    <mergeCell ref="A51:B51"/>
    <mergeCell ref="A52:B52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98:B98"/>
    <mergeCell ref="A99:B99"/>
    <mergeCell ref="A100:B100"/>
    <mergeCell ref="A110:B110"/>
    <mergeCell ref="A69:B69"/>
    <mergeCell ref="A70:B70"/>
    <mergeCell ref="A71:B71"/>
    <mergeCell ref="A72:B72"/>
    <mergeCell ref="A73:B73"/>
    <mergeCell ref="A94:B94"/>
    <mergeCell ref="A95:B95"/>
    <mergeCell ref="A96:B96"/>
    <mergeCell ref="A97:B97"/>
    <mergeCell ref="A74:B74"/>
    <mergeCell ref="A86:B86"/>
    <mergeCell ref="A87:B87"/>
    <mergeCell ref="A88:B88"/>
    <mergeCell ref="A89:B89"/>
    <mergeCell ref="A90:B90"/>
    <mergeCell ref="A91:B91"/>
    <mergeCell ref="A111:B111"/>
    <mergeCell ref="A112:B112"/>
    <mergeCell ref="A106:B106"/>
    <mergeCell ref="A107:B107"/>
    <mergeCell ref="A108:B108"/>
    <mergeCell ref="A109:B109"/>
    <mergeCell ref="A118:B118"/>
    <mergeCell ref="A102:B102"/>
    <mergeCell ref="A103:B103"/>
    <mergeCell ref="A104:B104"/>
    <mergeCell ref="A105:B105"/>
    <mergeCell ref="A132:B132"/>
    <mergeCell ref="A138:B138"/>
    <mergeCell ref="A128:B128"/>
    <mergeCell ref="A129:B129"/>
    <mergeCell ref="A130:B130"/>
    <mergeCell ref="A131:B131"/>
    <mergeCell ref="A7:B8"/>
    <mergeCell ref="A83:B84"/>
    <mergeCell ref="A135:B136"/>
    <mergeCell ref="A119:B119"/>
    <mergeCell ref="A120:B120"/>
    <mergeCell ref="A113:B113"/>
    <mergeCell ref="A114:B114"/>
    <mergeCell ref="A115:B115"/>
    <mergeCell ref="A116:B116"/>
    <mergeCell ref="A125:B125"/>
    <mergeCell ref="A126:B126"/>
    <mergeCell ref="A127:B127"/>
    <mergeCell ref="A121:B121"/>
    <mergeCell ref="A122:B122"/>
    <mergeCell ref="A123:B123"/>
    <mergeCell ref="A124:B124"/>
    <mergeCell ref="A92:B92"/>
    <mergeCell ref="A93:B93"/>
    <mergeCell ref="A144:B144"/>
    <mergeCell ref="A145:B145"/>
    <mergeCell ref="A182:B182"/>
    <mergeCell ref="A171:B171"/>
    <mergeCell ref="A172:B172"/>
    <mergeCell ref="A173:B173"/>
    <mergeCell ref="A174:B174"/>
    <mergeCell ref="A159:B159"/>
    <mergeCell ref="A160:B160"/>
    <mergeCell ref="A161:B161"/>
    <mergeCell ref="A162:B162"/>
    <mergeCell ref="A178:B178"/>
    <mergeCell ref="A179:B179"/>
    <mergeCell ref="A180:B180"/>
    <mergeCell ref="A181:B181"/>
    <mergeCell ref="A175:B175"/>
    <mergeCell ref="A176:B176"/>
    <mergeCell ref="A177:B177"/>
    <mergeCell ref="A139:B139"/>
    <mergeCell ref="A140:B140"/>
    <mergeCell ref="A146:B146"/>
    <mergeCell ref="A142:B142"/>
    <mergeCell ref="A143:B143"/>
    <mergeCell ref="A149:B149"/>
    <mergeCell ref="A150:B150"/>
    <mergeCell ref="A170:B170"/>
    <mergeCell ref="A163:B163"/>
    <mergeCell ref="A164:B164"/>
    <mergeCell ref="A165:B165"/>
    <mergeCell ref="A166:B166"/>
    <mergeCell ref="A155:B155"/>
    <mergeCell ref="A148:B148"/>
    <mergeCell ref="A156:B156"/>
    <mergeCell ref="A157:B157"/>
    <mergeCell ref="A158:B158"/>
    <mergeCell ref="A167:B167"/>
    <mergeCell ref="A168:B168"/>
    <mergeCell ref="A147:B147"/>
    <mergeCell ref="A141:B141"/>
    <mergeCell ref="A151:B151"/>
    <mergeCell ref="A152:B152"/>
    <mergeCell ref="A154:B154"/>
    <mergeCell ref="A197:B198"/>
    <mergeCell ref="A199:B199"/>
    <mergeCell ref="A200:B200"/>
    <mergeCell ref="A201:B201"/>
    <mergeCell ref="A202:B202"/>
    <mergeCell ref="A203:B203"/>
    <mergeCell ref="A204:B204"/>
    <mergeCell ref="A183:B183"/>
    <mergeCell ref="A184:B184"/>
    <mergeCell ref="A189:B189"/>
    <mergeCell ref="A194:B194"/>
    <mergeCell ref="A192:B19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5" fitToHeight="2" orientation="portrait" r:id="rId1"/>
  <rowBreaks count="1" manualBreakCount="1">
    <brk id="133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6151-16E5-4A21-877B-25CC56A8DE18}">
  <sheetPr>
    <tabColor theme="0"/>
  </sheetPr>
  <dimension ref="A1:O229"/>
  <sheetViews>
    <sheetView showGridLines="0" topLeftCell="A17" zoomScale="70" zoomScaleNormal="70" zoomScaleSheetLayoutView="70" workbookViewId="0">
      <selection activeCell="E67" sqref="E67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94" t="s">
        <v>207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6"/>
    </row>
    <row r="6" spans="1:15" s="153" customFormat="1" ht="26.25" x14ac:dyDescent="0.4">
      <c r="A6" s="425" t="s">
        <v>25</v>
      </c>
      <c r="B6" s="221"/>
      <c r="C6" s="426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427"/>
    </row>
    <row r="7" spans="1:15" x14ac:dyDescent="0.25">
      <c r="A7" s="797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428" t="s">
        <v>32</v>
      </c>
    </row>
    <row r="8" spans="1:15" ht="15.75" thickBot="1" x14ac:dyDescent="0.3">
      <c r="A8" s="798"/>
      <c r="B8" s="793"/>
      <c r="C8" s="406" t="s">
        <v>33</v>
      </c>
      <c r="D8" s="406" t="s">
        <v>5</v>
      </c>
      <c r="E8" s="406" t="s">
        <v>24</v>
      </c>
      <c r="F8" s="407" t="s">
        <v>34</v>
      </c>
      <c r="G8" s="406" t="s">
        <v>35</v>
      </c>
      <c r="H8" s="406" t="s">
        <v>180</v>
      </c>
      <c r="I8" s="406" t="s">
        <v>9</v>
      </c>
      <c r="J8" s="406" t="s">
        <v>179</v>
      </c>
      <c r="K8" s="406" t="s">
        <v>36</v>
      </c>
      <c r="L8" s="408" t="s">
        <v>37</v>
      </c>
      <c r="M8" s="406" t="s">
        <v>38</v>
      </c>
      <c r="N8" s="406" t="s">
        <v>39</v>
      </c>
      <c r="O8" s="429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33" t="s">
        <v>183</v>
      </c>
      <c r="B13" s="733"/>
      <c r="C13" s="137">
        <v>6.1666699999999999</v>
      </c>
      <c r="D13" s="138">
        <v>1</v>
      </c>
      <c r="E13" s="701"/>
      <c r="F13" s="139">
        <f>Dies!$C$48</f>
        <v>95</v>
      </c>
      <c r="G13" s="273">
        <f>+F13*E13*D13</f>
        <v>0</v>
      </c>
      <c r="H13" s="273">
        <f>$H$12</f>
        <v>265</v>
      </c>
      <c r="I13" s="320">
        <f>G13/H13</f>
        <v>0</v>
      </c>
      <c r="J13" s="320">
        <f>G13/298</f>
        <v>0</v>
      </c>
      <c r="K13" s="320">
        <f>Personal!G12</f>
        <v>0</v>
      </c>
      <c r="L13" s="237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s="240" customFormat="1" x14ac:dyDescent="0.25">
      <c r="A14" s="764" t="s">
        <v>89</v>
      </c>
      <c r="B14" s="764"/>
      <c r="C14" s="234"/>
      <c r="D14" s="241"/>
      <c r="E14" s="241"/>
      <c r="F14" s="241"/>
      <c r="G14" s="241"/>
      <c r="H14" s="241"/>
      <c r="I14" s="241"/>
      <c r="J14" s="241"/>
      <c r="K14" s="241"/>
      <c r="L14" s="234"/>
      <c r="M14" s="234"/>
      <c r="N14" s="234"/>
      <c r="O14" s="234"/>
    </row>
    <row r="15" spans="1:15" s="240" customFormat="1" x14ac:dyDescent="0.25">
      <c r="A15" s="733" t="s">
        <v>72</v>
      </c>
      <c r="B15" s="733"/>
      <c r="C15" s="137">
        <v>6.1666699999999999</v>
      </c>
      <c r="D15" s="138">
        <v>1</v>
      </c>
      <c r="E15" s="701"/>
      <c r="F15" s="139">
        <f>Dies!$C$48</f>
        <v>95</v>
      </c>
      <c r="G15" s="273">
        <f>+F15*E15*D15</f>
        <v>0</v>
      </c>
      <c r="H15" s="273">
        <f>$H$12</f>
        <v>265</v>
      </c>
      <c r="I15" s="320">
        <f>G15/H15</f>
        <v>0</v>
      </c>
      <c r="J15" s="320">
        <f>G15/298</f>
        <v>0</v>
      </c>
      <c r="K15" s="320">
        <f>$K$12</f>
        <v>0</v>
      </c>
      <c r="L15" s="237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s="240" customFormat="1" x14ac:dyDescent="0.25">
      <c r="A16" s="733" t="s">
        <v>183</v>
      </c>
      <c r="B16" s="733"/>
      <c r="C16" s="137">
        <v>6.1666699999999999</v>
      </c>
      <c r="D16" s="138">
        <v>1</v>
      </c>
      <c r="E16" s="701"/>
      <c r="F16" s="139">
        <f>Dies!$C$48</f>
        <v>95</v>
      </c>
      <c r="G16" s="273">
        <f>+F16*E16*D16</f>
        <v>0</v>
      </c>
      <c r="H16" s="273">
        <f>$H$12</f>
        <v>265</v>
      </c>
      <c r="I16" s="320">
        <f>G16/H16</f>
        <v>0</v>
      </c>
      <c r="J16" s="320">
        <f>G16/298</f>
        <v>0</v>
      </c>
      <c r="K16" s="320">
        <f>$K$13</f>
        <v>0</v>
      </c>
      <c r="L16" s="237">
        <f>+K16/C16</f>
        <v>0</v>
      </c>
      <c r="M16" s="238" t="s">
        <v>90</v>
      </c>
      <c r="N16" s="238" t="s">
        <v>42</v>
      </c>
      <c r="O16" s="239">
        <f>+K16*G16</f>
        <v>0</v>
      </c>
    </row>
    <row r="17" spans="1:15" s="153" customFormat="1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s="153" customFormat="1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s="240" customFormat="1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 t="shared" ref="J19:J26" si="0">G19/298</f>
        <v>0</v>
      </c>
      <c r="K19" s="320">
        <f>$K$12</f>
        <v>0</v>
      </c>
      <c r="L19" s="237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s="240" customFormat="1" x14ac:dyDescent="0.25">
      <c r="A20" s="733" t="s">
        <v>183</v>
      </c>
      <c r="B20" s="733"/>
      <c r="C20" s="137">
        <v>6.1666699999999999</v>
      </c>
      <c r="D20" s="7">
        <v>0.33333333333333337</v>
      </c>
      <c r="E20" s="701"/>
      <c r="F20" s="139">
        <f>Dies!$C$49</f>
        <v>20</v>
      </c>
      <c r="G20" s="273">
        <f>+F20*E20*D20</f>
        <v>0</v>
      </c>
      <c r="H20" s="273">
        <f>$H$12</f>
        <v>265</v>
      </c>
      <c r="I20" s="320">
        <f>G20/H20</f>
        <v>0</v>
      </c>
      <c r="J20" s="320">
        <f>G20/298</f>
        <v>0</v>
      </c>
      <c r="K20" s="320">
        <f>$K$13</f>
        <v>0</v>
      </c>
      <c r="L20" s="237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s="153" customFormat="1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s="240" customFormat="1" x14ac:dyDescent="0.25">
      <c r="A22" s="733" t="s">
        <v>72</v>
      </c>
      <c r="B22" s="733"/>
      <c r="C22" s="137">
        <v>6.1666699999999999</v>
      </c>
      <c r="D22" s="7">
        <v>0.33333333333333337</v>
      </c>
      <c r="E22" s="701"/>
      <c r="F22" s="139">
        <f>Dies!$C$49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 t="shared" si="0"/>
        <v>0</v>
      </c>
      <c r="K22" s="320">
        <f>$K$12</f>
        <v>0</v>
      </c>
      <c r="L22" s="237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s="240" customFormat="1" x14ac:dyDescent="0.25">
      <c r="A23" s="733" t="s">
        <v>183</v>
      </c>
      <c r="B23" s="733"/>
      <c r="C23" s="137">
        <v>6.1666699999999999</v>
      </c>
      <c r="D23" s="7">
        <v>0.33333333333333337</v>
      </c>
      <c r="E23" s="701"/>
      <c r="F23" s="139">
        <f>Dies!$C$49</f>
        <v>20</v>
      </c>
      <c r="G23" s="273">
        <f>+F23*E23*D23</f>
        <v>0</v>
      </c>
      <c r="H23" s="273">
        <f>$H$12</f>
        <v>265</v>
      </c>
      <c r="I23" s="320">
        <f>G23/H23</f>
        <v>0</v>
      </c>
      <c r="J23" s="320">
        <f>G23/298</f>
        <v>0</v>
      </c>
      <c r="K23" s="320">
        <f>$K$13</f>
        <v>0</v>
      </c>
      <c r="L23" s="237">
        <f>+K23/C23</f>
        <v>0</v>
      </c>
      <c r="M23" s="238" t="s">
        <v>90</v>
      </c>
      <c r="N23" s="238" t="s">
        <v>42</v>
      </c>
      <c r="O23" s="239">
        <f>+K23*G23</f>
        <v>0</v>
      </c>
    </row>
    <row r="24" spans="1:15" s="153" customFormat="1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s="153" customFormat="1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s="240" customFormat="1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139">
        <f>Dies!$C$50</f>
        <v>20</v>
      </c>
      <c r="G26" s="273">
        <f>+F26*E26*D26</f>
        <v>0</v>
      </c>
      <c r="H26" s="273">
        <f>$H$12</f>
        <v>265</v>
      </c>
      <c r="I26" s="320">
        <f>G26/H26</f>
        <v>0</v>
      </c>
      <c r="J26" s="320">
        <f t="shared" si="0"/>
        <v>0</v>
      </c>
      <c r="K26" s="320">
        <f>$K$12+Personal!D38</f>
        <v>0</v>
      </c>
      <c r="L26" s="237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s="240" customFormat="1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139">
        <f>Dies!$C$50</f>
        <v>20</v>
      </c>
      <c r="G27" s="273">
        <f>+F27*E27*D27</f>
        <v>0</v>
      </c>
      <c r="H27" s="273">
        <f>$H$12</f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237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s="240" customFormat="1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s="240" customFormat="1" x14ac:dyDescent="0.25">
      <c r="A29" s="733" t="s">
        <v>72</v>
      </c>
      <c r="B29" s="733"/>
      <c r="C29" s="137">
        <v>6.1666699999999999</v>
      </c>
      <c r="D29" s="138">
        <v>0.66666666666666674</v>
      </c>
      <c r="E29" s="701"/>
      <c r="F29" s="139">
        <f>Dies!$C$50</f>
        <v>20</v>
      </c>
      <c r="G29" s="273">
        <f>+F29*E29*D29</f>
        <v>0</v>
      </c>
      <c r="H29" s="273">
        <f>$H$12</f>
        <v>265</v>
      </c>
      <c r="I29" s="320">
        <f>G29/H29</f>
        <v>0</v>
      </c>
      <c r="J29" s="320">
        <f t="shared" ref="J29" si="1">G29/298</f>
        <v>0</v>
      </c>
      <c r="K29" s="320">
        <f>$K$12+Personal!D38</f>
        <v>0</v>
      </c>
      <c r="L29" s="237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s="240" customFormat="1" x14ac:dyDescent="0.25">
      <c r="A30" s="733" t="s">
        <v>183</v>
      </c>
      <c r="B30" s="733"/>
      <c r="C30" s="137">
        <v>6.1666699999999999</v>
      </c>
      <c r="D30" s="138">
        <v>0.66666666666666674</v>
      </c>
      <c r="E30" s="701"/>
      <c r="F30" s="139">
        <f>Dies!$C$50</f>
        <v>20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229" t="s">
        <v>199</v>
      </c>
      <c r="B31" s="242"/>
      <c r="C31" s="278"/>
      <c r="D31" s="278"/>
      <c r="E31" s="278"/>
      <c r="F31" s="245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 s="153" customFormat="1" x14ac:dyDescent="0.25">
      <c r="A32" s="782" t="s">
        <v>195</v>
      </c>
      <c r="B32" s="782"/>
      <c r="C32" s="241"/>
      <c r="D32" s="241"/>
      <c r="E32" s="241"/>
      <c r="F32" s="139"/>
      <c r="G32" s="234"/>
      <c r="H32" s="234"/>
      <c r="I32" s="236"/>
      <c r="J32" s="236"/>
      <c r="K32" s="241"/>
      <c r="L32" s="241"/>
      <c r="M32" s="234"/>
      <c r="N32" s="234"/>
      <c r="O32" s="234"/>
    </row>
    <row r="33" spans="1:15" s="240" customFormat="1" x14ac:dyDescent="0.25">
      <c r="A33" s="763" t="s">
        <v>88</v>
      </c>
      <c r="B33" s="763"/>
      <c r="C33" s="249"/>
      <c r="D33" s="249"/>
      <c r="E33" s="249"/>
      <c r="F33" s="139"/>
      <c r="G33" s="249"/>
      <c r="H33" s="249"/>
      <c r="I33" s="249"/>
      <c r="J33" s="249"/>
      <c r="K33" s="249"/>
      <c r="L33" s="249"/>
      <c r="M33" s="249"/>
      <c r="N33" s="249"/>
      <c r="O33" s="249"/>
    </row>
    <row r="34" spans="1:15" s="240" customFormat="1" x14ac:dyDescent="0.25">
      <c r="A34" s="733" t="s">
        <v>72</v>
      </c>
      <c r="B34" s="733"/>
      <c r="C34" s="137">
        <v>6.1666699999999999</v>
      </c>
      <c r="D34" s="138">
        <v>1</v>
      </c>
      <c r="E34" s="701"/>
      <c r="F34" s="139">
        <f>Dies!$C$53</f>
        <v>77</v>
      </c>
      <c r="G34" s="273">
        <f>+F34*E34*D34</f>
        <v>0</v>
      </c>
      <c r="H34" s="273">
        <f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237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s="153" customFormat="1" x14ac:dyDescent="0.25">
      <c r="A35" s="733" t="s">
        <v>183</v>
      </c>
      <c r="B35" s="733"/>
      <c r="C35" s="137">
        <v>6.1666699999999999</v>
      </c>
      <c r="D35" s="138">
        <v>1</v>
      </c>
      <c r="E35" s="701"/>
      <c r="F35" s="139">
        <f>Dies!$C$53</f>
        <v>77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$K$13</f>
        <v>0</v>
      </c>
      <c r="L35" s="237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s="153" customFormat="1" x14ac:dyDescent="0.25">
      <c r="A36" s="764" t="s">
        <v>89</v>
      </c>
      <c r="B36" s="764"/>
      <c r="C36" s="180"/>
      <c r="D36" s="241"/>
      <c r="E36" s="664"/>
      <c r="F36" s="241"/>
      <c r="G36" s="664"/>
      <c r="H36" s="664"/>
      <c r="I36" s="664"/>
      <c r="J36" s="664"/>
      <c r="K36" s="664"/>
      <c r="L36" s="180"/>
      <c r="M36" s="180"/>
      <c r="N36" s="180"/>
      <c r="O36" s="180"/>
    </row>
    <row r="37" spans="1:15" s="240" customFormat="1" x14ac:dyDescent="0.25">
      <c r="A37" s="733" t="s">
        <v>72</v>
      </c>
      <c r="B37" s="733"/>
      <c r="C37" s="137">
        <v>6.1666699999999999</v>
      </c>
      <c r="D37" s="138">
        <v>1</v>
      </c>
      <c r="E37" s="701"/>
      <c r="F37" s="139">
        <f>Dies!$C$53</f>
        <v>77</v>
      </c>
      <c r="G37" s="273">
        <f>+F37*E37*D37</f>
        <v>0</v>
      </c>
      <c r="H37" s="273">
        <f>$H$12</f>
        <v>265</v>
      </c>
      <c r="I37" s="320">
        <f>G37/H37</f>
        <v>0</v>
      </c>
      <c r="J37" s="320">
        <f t="shared" ref="J37" si="2">G37/298</f>
        <v>0</v>
      </c>
      <c r="K37" s="320">
        <f>$K$12</f>
        <v>0</v>
      </c>
      <c r="L37" s="237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s="153" customFormat="1" x14ac:dyDescent="0.25">
      <c r="A38" s="733" t="s">
        <v>183</v>
      </c>
      <c r="B38" s="733"/>
      <c r="C38" s="137">
        <v>6.1666699999999999</v>
      </c>
      <c r="D38" s="138">
        <v>1</v>
      </c>
      <c r="E38" s="701"/>
      <c r="F38" s="139">
        <f>Dies!$C$53</f>
        <v>77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$K$13</f>
        <v>0</v>
      </c>
      <c r="L38" s="237">
        <f>+K38/C38</f>
        <v>0</v>
      </c>
      <c r="M38" s="238" t="s">
        <v>90</v>
      </c>
      <c r="N38" s="238" t="s">
        <v>42</v>
      </c>
      <c r="O38" s="239">
        <f>+K38*G38</f>
        <v>0</v>
      </c>
    </row>
    <row r="39" spans="1:15" s="153" customFormat="1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s="240" customFormat="1" x14ac:dyDescent="0.25">
      <c r="A40" s="763" t="s">
        <v>88</v>
      </c>
      <c r="B40" s="763"/>
      <c r="C40" s="249"/>
      <c r="D40" s="241"/>
      <c r="E40" s="640"/>
      <c r="F40" s="241"/>
      <c r="G40" s="640"/>
      <c r="H40" s="640"/>
      <c r="I40" s="640"/>
      <c r="J40" s="640"/>
      <c r="K40" s="640"/>
      <c r="L40" s="249"/>
      <c r="M40" s="249"/>
      <c r="N40" s="249"/>
      <c r="O40" s="249"/>
    </row>
    <row r="41" spans="1:15" s="240" customFormat="1" x14ac:dyDescent="0.25">
      <c r="A41" s="733" t="s">
        <v>72</v>
      </c>
      <c r="B41" s="733"/>
      <c r="C41" s="137">
        <v>6.1666699999999999</v>
      </c>
      <c r="D41" s="7">
        <v>0.33333333333333337</v>
      </c>
      <c r="E41" s="701"/>
      <c r="F41" s="139">
        <f>Dies!$C$54</f>
        <v>15</v>
      </c>
      <c r="G41" s="273">
        <f>+F41*E41*D41</f>
        <v>0</v>
      </c>
      <c r="H41" s="273">
        <f>$H$12</f>
        <v>265</v>
      </c>
      <c r="I41" s="320">
        <f>G41/H41</f>
        <v>0</v>
      </c>
      <c r="J41" s="320">
        <f>G41/298</f>
        <v>0</v>
      </c>
      <c r="K41" s="320">
        <f>$K$12</f>
        <v>0</v>
      </c>
      <c r="L41" s="237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s="153" customFormat="1" x14ac:dyDescent="0.25">
      <c r="A42" s="733" t="s">
        <v>183</v>
      </c>
      <c r="B42" s="733"/>
      <c r="C42" s="137">
        <v>6.1666699999999999</v>
      </c>
      <c r="D42" s="7">
        <v>0.33333333333333337</v>
      </c>
      <c r="E42" s="701"/>
      <c r="F42" s="139">
        <f>Dies!$C$54</f>
        <v>15</v>
      </c>
      <c r="G42" s="273">
        <f>+F42*E42*D42</f>
        <v>0</v>
      </c>
      <c r="H42" s="273">
        <f>$H$12</f>
        <v>265</v>
      </c>
      <c r="I42" s="320">
        <f>G42/H42</f>
        <v>0</v>
      </c>
      <c r="J42" s="320">
        <f>G42/298</f>
        <v>0</v>
      </c>
      <c r="K42" s="320">
        <f>$K$13</f>
        <v>0</v>
      </c>
      <c r="L42" s="237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s="240" customFormat="1" x14ac:dyDescent="0.25">
      <c r="A43" s="764" t="s">
        <v>89</v>
      </c>
      <c r="B43" s="764"/>
      <c r="C43" s="249"/>
      <c r="D43" s="241"/>
      <c r="E43" s="640"/>
      <c r="F43" s="241"/>
      <c r="G43" s="640"/>
      <c r="H43" s="640"/>
      <c r="I43" s="640"/>
      <c r="J43" s="640"/>
      <c r="K43" s="640"/>
      <c r="L43" s="249"/>
      <c r="M43" s="249"/>
      <c r="N43" s="249"/>
      <c r="O43" s="249"/>
    </row>
    <row r="44" spans="1:15" s="240" customFormat="1" x14ac:dyDescent="0.25">
      <c r="A44" s="733" t="s">
        <v>72</v>
      </c>
      <c r="B44" s="733"/>
      <c r="C44" s="137">
        <v>6.1666699999999999</v>
      </c>
      <c r="D44" s="7">
        <v>0.33333333333333337</v>
      </c>
      <c r="E44" s="701"/>
      <c r="F44" s="139">
        <f>Dies!$C$54</f>
        <v>15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s="153" customFormat="1" x14ac:dyDescent="0.25">
      <c r="A45" s="733" t="s">
        <v>183</v>
      </c>
      <c r="B45" s="733"/>
      <c r="C45" s="137">
        <v>6.1666699999999999</v>
      </c>
      <c r="D45" s="7">
        <v>0.33333333333333337</v>
      </c>
      <c r="E45" s="701"/>
      <c r="F45" s="139">
        <f>Dies!$C$54</f>
        <v>15</v>
      </c>
      <c r="G45" s="273">
        <f>+F45*E45*D45</f>
        <v>0</v>
      </c>
      <c r="H45" s="273">
        <f>$H$12</f>
        <v>265</v>
      </c>
      <c r="I45" s="320">
        <f>G45/H45</f>
        <v>0</v>
      </c>
      <c r="J45" s="320">
        <f>G45/298</f>
        <v>0</v>
      </c>
      <c r="K45" s="320">
        <f>$K$13</f>
        <v>0</v>
      </c>
      <c r="L45" s="237">
        <f>+K45/C45</f>
        <v>0</v>
      </c>
      <c r="M45" s="238" t="s">
        <v>90</v>
      </c>
      <c r="N45" s="238" t="s">
        <v>42</v>
      </c>
      <c r="O45" s="239">
        <f>+K45*G45</f>
        <v>0</v>
      </c>
    </row>
    <row r="46" spans="1:15" s="240" customFormat="1" x14ac:dyDescent="0.25">
      <c r="A46" s="762" t="s">
        <v>197</v>
      </c>
      <c r="B46" s="762"/>
      <c r="C46" s="249"/>
      <c r="D46" s="241"/>
      <c r="E46" s="640"/>
      <c r="F46" s="241"/>
      <c r="G46" s="640"/>
      <c r="H46" s="640"/>
      <c r="I46" s="640"/>
      <c r="J46" s="640"/>
      <c r="K46" s="640"/>
      <c r="L46" s="249"/>
      <c r="M46" s="249"/>
      <c r="N46" s="249"/>
      <c r="O46" s="249"/>
    </row>
    <row r="47" spans="1:15" s="240" customFormat="1" x14ac:dyDescent="0.25">
      <c r="A47" s="763" t="s">
        <v>88</v>
      </c>
      <c r="B47" s="763"/>
      <c r="C47" s="249"/>
      <c r="D47" s="241"/>
      <c r="E47" s="640"/>
      <c r="F47" s="241"/>
      <c r="G47" s="640"/>
      <c r="H47" s="640"/>
      <c r="I47" s="640"/>
      <c r="J47" s="640"/>
      <c r="K47" s="640"/>
      <c r="L47" s="249"/>
      <c r="M47" s="249"/>
      <c r="N47" s="249"/>
      <c r="O47" s="249"/>
    </row>
    <row r="48" spans="1:15" s="240" customFormat="1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139">
        <f>Dies!$C$55</f>
        <v>15</v>
      </c>
      <c r="G48" s="273">
        <f>+F48*E48*D48</f>
        <v>0</v>
      </c>
      <c r="H48" s="273">
        <f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237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s="240" customFormat="1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139">
        <f>Dies!$C$55</f>
        <v>15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64" t="s">
        <v>89</v>
      </c>
      <c r="B50" s="764"/>
      <c r="C50" s="249"/>
      <c r="D50" s="241"/>
      <c r="E50" s="249"/>
      <c r="F50" s="234"/>
      <c r="G50" s="249"/>
      <c r="H50" s="249"/>
      <c r="I50" s="249"/>
      <c r="J50" s="249"/>
      <c r="K50" s="249"/>
      <c r="L50" s="249"/>
      <c r="M50" s="249"/>
      <c r="N50" s="249"/>
      <c r="O50" s="249"/>
    </row>
    <row r="51" spans="1:15" s="240" customFormat="1" x14ac:dyDescent="0.25">
      <c r="A51" s="733" t="s">
        <v>72</v>
      </c>
      <c r="B51" s="733"/>
      <c r="C51" s="137">
        <v>6.1666699999999999</v>
      </c>
      <c r="D51" s="138">
        <v>0.66666666666666674</v>
      </c>
      <c r="E51" s="701"/>
      <c r="F51" s="139">
        <f>Dies!$C$55</f>
        <v>15</v>
      </c>
      <c r="G51" s="273">
        <f>+F51*E51*D51</f>
        <v>0</v>
      </c>
      <c r="H51" s="273">
        <f>$H$12</f>
        <v>265</v>
      </c>
      <c r="I51" s="320">
        <f t="shared" ref="I51" si="3">G51/H51</f>
        <v>0</v>
      </c>
      <c r="J51" s="320">
        <f t="shared" ref="J51" si="4">G51/298</f>
        <v>0</v>
      </c>
      <c r="K51" s="320">
        <f>$K$12+Personal!D38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240" customFormat="1" x14ac:dyDescent="0.25">
      <c r="A52" s="733" t="s">
        <v>183</v>
      </c>
      <c r="B52" s="733"/>
      <c r="C52" s="137">
        <v>6.1666699999999999</v>
      </c>
      <c r="D52" s="138">
        <v>0.66666666666666674</v>
      </c>
      <c r="E52" s="701"/>
      <c r="F52" s="139">
        <f>Dies!$C$55</f>
        <v>15</v>
      </c>
      <c r="G52" s="273">
        <f>+F52*E52*D52</f>
        <v>0</v>
      </c>
      <c r="H52" s="273">
        <f>$H$12</f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237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s="240" customFormat="1" x14ac:dyDescent="0.25">
      <c r="A53" s="229" t="s">
        <v>326</v>
      </c>
      <c r="B53" s="242"/>
      <c r="C53" s="278"/>
      <c r="D53" s="278"/>
      <c r="E53" s="278"/>
      <c r="F53" s="245"/>
      <c r="G53" s="278"/>
      <c r="H53" s="278"/>
      <c r="I53" s="278"/>
      <c r="J53" s="278"/>
      <c r="K53" s="278"/>
      <c r="L53" s="278"/>
      <c r="M53" s="278"/>
      <c r="N53" s="278"/>
      <c r="O53" s="278"/>
    </row>
    <row r="54" spans="1:15" s="240" customFormat="1" x14ac:dyDescent="0.25">
      <c r="A54" s="782" t="s">
        <v>195</v>
      </c>
      <c r="B54" s="782"/>
      <c r="C54" s="137"/>
      <c r="D54" s="138"/>
      <c r="E54" s="139"/>
      <c r="F54" s="139"/>
      <c r="G54" s="235"/>
      <c r="H54" s="235"/>
      <c r="I54" s="236"/>
      <c r="J54" s="236"/>
      <c r="K54" s="320"/>
      <c r="L54" s="237"/>
      <c r="M54" s="238"/>
      <c r="N54" s="238"/>
      <c r="O54" s="239"/>
    </row>
    <row r="55" spans="1:15" s="240" customFormat="1" x14ac:dyDescent="0.25">
      <c r="A55" s="763" t="s">
        <v>88</v>
      </c>
      <c r="B55" s="763"/>
      <c r="C55" s="137"/>
      <c r="D55" s="138"/>
      <c r="E55" s="139"/>
      <c r="F55" s="139"/>
      <c r="G55" s="235"/>
      <c r="H55" s="235"/>
      <c r="I55" s="236"/>
      <c r="J55" s="236"/>
      <c r="K55" s="320"/>
      <c r="L55" s="237"/>
      <c r="M55" s="238"/>
      <c r="N55" s="238"/>
      <c r="O55" s="239"/>
    </row>
    <row r="56" spans="1:15" s="240" customFormat="1" x14ac:dyDescent="0.25">
      <c r="A56" s="733" t="s">
        <v>72</v>
      </c>
      <c r="B56" s="733"/>
      <c r="C56" s="137">
        <v>6.1666699999999999</v>
      </c>
      <c r="D56" s="138">
        <v>1</v>
      </c>
      <c r="E56" s="701"/>
      <c r="F56" s="139">
        <f>Dies!$C$58</f>
        <v>89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 t="shared" ref="J56" si="5">G56/298</f>
        <v>0</v>
      </c>
      <c r="K56" s="320">
        <f>$K$12</f>
        <v>0</v>
      </c>
      <c r="L56" s="237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s="240" customFormat="1" x14ac:dyDescent="0.25">
      <c r="A57" s="733" t="s">
        <v>183</v>
      </c>
      <c r="B57" s="733"/>
      <c r="C57" s="137">
        <v>6.1666699999999999</v>
      </c>
      <c r="D57" s="138">
        <v>1</v>
      </c>
      <c r="E57" s="701"/>
      <c r="F57" s="139">
        <f>Dies!$C$58</f>
        <v>89</v>
      </c>
      <c r="G57" s="273">
        <f>+F57*E57*D57</f>
        <v>0</v>
      </c>
      <c r="H57" s="273">
        <f>$H$12</f>
        <v>265</v>
      </c>
      <c r="I57" s="320">
        <f>G57/H57</f>
        <v>0</v>
      </c>
      <c r="J57" s="320">
        <f>G57/298</f>
        <v>0</v>
      </c>
      <c r="K57" s="320">
        <f>$K$13</f>
        <v>0</v>
      </c>
      <c r="L57" s="237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s="240" customFormat="1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s="240" customFormat="1" x14ac:dyDescent="0.25">
      <c r="A59" s="733" t="s">
        <v>72</v>
      </c>
      <c r="B59" s="733"/>
      <c r="C59" s="137">
        <v>6.1666699999999999</v>
      </c>
      <c r="D59" s="138">
        <v>1</v>
      </c>
      <c r="E59" s="701"/>
      <c r="F59" s="139">
        <f>Dies!$C$58</f>
        <v>89</v>
      </c>
      <c r="G59" s="273">
        <f>+F59*E59*D59</f>
        <v>0</v>
      </c>
      <c r="H59" s="273">
        <f>$H$12</f>
        <v>265</v>
      </c>
      <c r="I59" s="320">
        <f>G59/H59</f>
        <v>0</v>
      </c>
      <c r="J59" s="320">
        <f t="shared" ref="J59" si="6">G59/298</f>
        <v>0</v>
      </c>
      <c r="K59" s="320">
        <f>$K$12</f>
        <v>0</v>
      </c>
      <c r="L59" s="237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s="240" customFormat="1" x14ac:dyDescent="0.25">
      <c r="A60" s="733" t="s">
        <v>183</v>
      </c>
      <c r="B60" s="733"/>
      <c r="C60" s="137">
        <v>6.1666699999999999</v>
      </c>
      <c r="D60" s="138">
        <v>1</v>
      </c>
      <c r="E60" s="701"/>
      <c r="F60" s="139">
        <f>Dies!$C$58</f>
        <v>89</v>
      </c>
      <c r="G60" s="273">
        <f>+F60*E60*D60</f>
        <v>0</v>
      </c>
      <c r="H60" s="273">
        <f>$H$12</f>
        <v>265</v>
      </c>
      <c r="I60" s="320">
        <f>G60/H60</f>
        <v>0</v>
      </c>
      <c r="J60" s="320">
        <f>G60/298</f>
        <v>0</v>
      </c>
      <c r="K60" s="320">
        <f>$K$13</f>
        <v>0</v>
      </c>
      <c r="L60" s="237">
        <f>+K60/C60</f>
        <v>0</v>
      </c>
      <c r="M60" s="238" t="s">
        <v>90</v>
      </c>
      <c r="N60" s="238" t="s">
        <v>42</v>
      </c>
      <c r="O60" s="239">
        <f>+K60*G60</f>
        <v>0</v>
      </c>
    </row>
    <row r="61" spans="1:15" s="240" customFormat="1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s="240" customFormat="1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s="240" customFormat="1" x14ac:dyDescent="0.25">
      <c r="A63" s="733" t="s">
        <v>72</v>
      </c>
      <c r="B63" s="733"/>
      <c r="C63" s="137">
        <v>6.1666699999999999</v>
      </c>
      <c r="D63" s="7">
        <v>0.33333333333333337</v>
      </c>
      <c r="E63" s="701"/>
      <c r="F63" s="139">
        <f>Dies!$C$59</f>
        <v>17</v>
      </c>
      <c r="G63" s="273">
        <f>+F63*E63*D63</f>
        <v>0</v>
      </c>
      <c r="H63" s="273">
        <f>$H$12</f>
        <v>265</v>
      </c>
      <c r="I63" s="320">
        <f t="shared" ref="I63" si="7">G63/H63</f>
        <v>0</v>
      </c>
      <c r="J63" s="320">
        <f t="shared" ref="J63" si="8">G63/298</f>
        <v>0</v>
      </c>
      <c r="K63" s="320">
        <f>$K$12</f>
        <v>0</v>
      </c>
      <c r="L63" s="237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s="240" customFormat="1" x14ac:dyDescent="0.25">
      <c r="A64" s="733" t="s">
        <v>183</v>
      </c>
      <c r="B64" s="733"/>
      <c r="C64" s="137">
        <v>6.1666699999999999</v>
      </c>
      <c r="D64" s="7">
        <v>0.33333333333333337</v>
      </c>
      <c r="E64" s="701"/>
      <c r="F64" s="139">
        <f>Dies!$C$59</f>
        <v>17</v>
      </c>
      <c r="G64" s="273">
        <f>+F64*E64*D64</f>
        <v>0</v>
      </c>
      <c r="H64" s="273">
        <f>$H$12</f>
        <v>265</v>
      </c>
      <c r="I64" s="320">
        <f>G64/H64</f>
        <v>0</v>
      </c>
      <c r="J64" s="320">
        <f>G64/298</f>
        <v>0</v>
      </c>
      <c r="K64" s="320">
        <f>$K$13</f>
        <v>0</v>
      </c>
      <c r="L64" s="237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s="240" customFormat="1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s="240" customFormat="1" x14ac:dyDescent="0.25">
      <c r="A66" s="733" t="s">
        <v>72</v>
      </c>
      <c r="B66" s="733"/>
      <c r="C66" s="137">
        <v>6.1666699999999999</v>
      </c>
      <c r="D66" s="7">
        <v>0.33333333333333337</v>
      </c>
      <c r="E66" s="701"/>
      <c r="F66" s="139">
        <f>Dies!$C$59</f>
        <v>17</v>
      </c>
      <c r="G66" s="273">
        <f>+F66*E66*D66</f>
        <v>0</v>
      </c>
      <c r="H66" s="273">
        <f>$H$12</f>
        <v>265</v>
      </c>
      <c r="I66" s="320">
        <f t="shared" ref="I66" si="9">G66/H66</f>
        <v>0</v>
      </c>
      <c r="J66" s="320">
        <f t="shared" ref="J66" si="10">G66/298</f>
        <v>0</v>
      </c>
      <c r="K66" s="320">
        <f>$K$12</f>
        <v>0</v>
      </c>
      <c r="L66" s="237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s="240" customFormat="1" x14ac:dyDescent="0.25">
      <c r="A67" s="733" t="s">
        <v>183</v>
      </c>
      <c r="B67" s="733"/>
      <c r="C67" s="137">
        <v>6.1666699999999999</v>
      </c>
      <c r="D67" s="7">
        <v>0.33333333333333337</v>
      </c>
      <c r="E67" s="701"/>
      <c r="F67" s="139">
        <f>Dies!$C$59</f>
        <v>17</v>
      </c>
      <c r="G67" s="273">
        <f>+F67*E67*D67</f>
        <v>0</v>
      </c>
      <c r="H67" s="273">
        <f>$H$12</f>
        <v>265</v>
      </c>
      <c r="I67" s="320">
        <f>G67/H67</f>
        <v>0</v>
      </c>
      <c r="J67" s="320">
        <f>G67/298</f>
        <v>0</v>
      </c>
      <c r="K67" s="320">
        <f>$K$13</f>
        <v>0</v>
      </c>
      <c r="L67" s="237">
        <f>+K67/C67</f>
        <v>0</v>
      </c>
      <c r="M67" s="238" t="s">
        <v>90</v>
      </c>
      <c r="N67" s="238" t="s">
        <v>42</v>
      </c>
      <c r="O67" s="239">
        <f>+K67*G67</f>
        <v>0</v>
      </c>
    </row>
    <row r="68" spans="1:15" s="240" customFormat="1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s="240" customFormat="1" x14ac:dyDescent="0.25">
      <c r="A69" s="763" t="s">
        <v>88</v>
      </c>
      <c r="B69" s="763"/>
      <c r="C69" s="249"/>
      <c r="D69" s="241"/>
      <c r="E69" s="640"/>
      <c r="F69" s="241"/>
      <c r="G69" s="640"/>
      <c r="H69" s="640"/>
      <c r="I69" s="640"/>
      <c r="J69" s="640"/>
      <c r="K69" s="640"/>
      <c r="L69" s="249"/>
      <c r="M69" s="249"/>
      <c r="N69" s="249"/>
      <c r="O69" s="249"/>
    </row>
    <row r="70" spans="1:15" s="240" customFormat="1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139">
        <f>Dies!$C$60</f>
        <v>17</v>
      </c>
      <c r="G70" s="273">
        <f>+F70*E70*D70</f>
        <v>0</v>
      </c>
      <c r="H70" s="273">
        <f>$H$12</f>
        <v>265</v>
      </c>
      <c r="I70" s="320">
        <f>G70/H70</f>
        <v>0</v>
      </c>
      <c r="J70" s="320">
        <f>G70/298</f>
        <v>0</v>
      </c>
      <c r="K70" s="320">
        <f>$K$12+Personal!D38</f>
        <v>0</v>
      </c>
      <c r="L70" s="237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s="240" customFormat="1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139">
        <f>Dies!$C$60</f>
        <v>17</v>
      </c>
      <c r="G71" s="273">
        <f>+F71*E71*D71</f>
        <v>0</v>
      </c>
      <c r="H71" s="273">
        <f>$H$12</f>
        <v>265</v>
      </c>
      <c r="I71" s="320">
        <f>G71/H71</f>
        <v>0</v>
      </c>
      <c r="J71" s="320">
        <f>G71/298</f>
        <v>0</v>
      </c>
      <c r="K71" s="320">
        <f>$K$13+Personal!D38</f>
        <v>0</v>
      </c>
      <c r="L71" s="237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s="240" customFormat="1" x14ac:dyDescent="0.25">
      <c r="A72" s="764" t="s">
        <v>89</v>
      </c>
      <c r="B72" s="764"/>
      <c r="C72" s="249"/>
      <c r="D72" s="241"/>
      <c r="E72" s="640"/>
      <c r="F72" s="241"/>
      <c r="G72" s="640"/>
      <c r="H72" s="640"/>
      <c r="I72" s="640"/>
      <c r="J72" s="640"/>
      <c r="K72" s="640"/>
      <c r="L72" s="249"/>
      <c r="M72" s="249"/>
      <c r="N72" s="249"/>
      <c r="O72" s="249"/>
    </row>
    <row r="73" spans="1:15" s="240" customFormat="1" x14ac:dyDescent="0.25">
      <c r="A73" s="733" t="s">
        <v>72</v>
      </c>
      <c r="B73" s="733"/>
      <c r="C73" s="137">
        <v>6.1666699999999999</v>
      </c>
      <c r="D73" s="138">
        <v>0.66666666666666674</v>
      </c>
      <c r="E73" s="701"/>
      <c r="F73" s="139">
        <f>Dies!$C$60</f>
        <v>17</v>
      </c>
      <c r="G73" s="273">
        <f>+F73*E73*D73</f>
        <v>0</v>
      </c>
      <c r="H73" s="273">
        <f>$H$12</f>
        <v>265</v>
      </c>
      <c r="I73" s="320">
        <f t="shared" ref="I73" si="11">G73/H73</f>
        <v>0</v>
      </c>
      <c r="J73" s="320">
        <f t="shared" ref="J73" si="12">G73/298</f>
        <v>0</v>
      </c>
      <c r="K73" s="320">
        <f>$K$12+Personal!D38</f>
        <v>0</v>
      </c>
      <c r="L73" s="237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s="240" customFormat="1" x14ac:dyDescent="0.25">
      <c r="A74" s="733" t="s">
        <v>183</v>
      </c>
      <c r="B74" s="733"/>
      <c r="C74" s="137">
        <v>6.1666699999999999</v>
      </c>
      <c r="D74" s="138">
        <v>0.66666666666666674</v>
      </c>
      <c r="E74" s="701"/>
      <c r="F74" s="139">
        <f>Dies!$C$60</f>
        <v>17</v>
      </c>
      <c r="G74" s="273">
        <f>+F74*E74*D74</f>
        <v>0</v>
      </c>
      <c r="H74" s="273">
        <f>$H$12</f>
        <v>265</v>
      </c>
      <c r="I74" s="320">
        <f>G74/H74</f>
        <v>0</v>
      </c>
      <c r="J74" s="320">
        <f>G74/298</f>
        <v>0</v>
      </c>
      <c r="K74" s="320">
        <f>$K$13+Personal!D38</f>
        <v>0</v>
      </c>
      <c r="L74" s="237">
        <f>+K74/C74</f>
        <v>0</v>
      </c>
      <c r="M74" s="238" t="s">
        <v>90</v>
      </c>
      <c r="N74" s="238" t="s">
        <v>42</v>
      </c>
      <c r="O74" s="239">
        <f>+K74*G74</f>
        <v>0</v>
      </c>
    </row>
    <row r="75" spans="1:15" x14ac:dyDescent="0.25">
      <c r="A75" s="402"/>
      <c r="B75" s="324"/>
      <c r="C75" s="324"/>
      <c r="D75" s="324"/>
      <c r="E75" s="323" t="s">
        <v>45</v>
      </c>
      <c r="F75" s="324"/>
      <c r="G75" s="324">
        <f>SUM(G12:G74)</f>
        <v>0</v>
      </c>
      <c r="H75" s="324"/>
      <c r="I75" s="324">
        <f>SUM(I12:I74)</f>
        <v>0</v>
      </c>
      <c r="J75" s="324">
        <f>SUM(J12:J74)</f>
        <v>0</v>
      </c>
      <c r="K75" s="324"/>
      <c r="L75" s="324"/>
      <c r="M75" s="324"/>
      <c r="N75" s="324"/>
      <c r="O75" s="403">
        <f>SUM(O12:O74)</f>
        <v>0</v>
      </c>
    </row>
    <row r="76" spans="1:15" x14ac:dyDescent="0.25">
      <c r="A76" s="326"/>
      <c r="B76" s="327"/>
      <c r="C76" s="327"/>
      <c r="D76" s="327"/>
      <c r="E76" s="328"/>
      <c r="F76" s="258" t="s">
        <v>301</v>
      </c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J13+J16+J20+J23+J27+J30+J35+J38+J42+J45+J49+J52+J57+J60+J64+J67+J71+J74</f>
        <v>0</v>
      </c>
      <c r="K76" s="327"/>
      <c r="L76" s="327"/>
      <c r="M76" s="327"/>
      <c r="N76" s="327"/>
      <c r="O76" s="329"/>
    </row>
    <row r="77" spans="1:15" x14ac:dyDescent="0.25">
      <c r="A77" s="326"/>
      <c r="B77" s="327"/>
      <c r="C77" s="327"/>
      <c r="D77" s="327"/>
      <c r="E77" s="328"/>
      <c r="F77" s="258" t="s">
        <v>301</v>
      </c>
      <c r="G77" s="324">
        <f>G12+G15+G19+G22+G26+G29+G34+G37+G41+G44+G48+G51+G56+G59+G63+G66+G70+G73</f>
        <v>0</v>
      </c>
      <c r="H77" s="430" t="s">
        <v>72</v>
      </c>
      <c r="I77" s="324">
        <f>I12+I15+I19+I22+I26+I29+I34+I37+I41+I44+I48+I51+I56+I59+I63+I66+I70+I73</f>
        <v>0</v>
      </c>
      <c r="J77" s="324">
        <f>J12+J15+J19+J22+J26+J29+J34+J37+J41+J44+J48+J51+J56+J59+J63+J66+J70+J73</f>
        <v>0</v>
      </c>
      <c r="K77" s="327"/>
      <c r="L77" s="327"/>
      <c r="M77" s="327"/>
      <c r="N77" s="327"/>
      <c r="O77" s="329"/>
    </row>
    <row r="78" spans="1:15" s="153" customFormat="1" ht="26.25" x14ac:dyDescent="0.4">
      <c r="A78" s="425" t="s">
        <v>211</v>
      </c>
      <c r="B78" s="221"/>
      <c r="C78" s="221"/>
      <c r="D78" s="223"/>
      <c r="E78" s="223"/>
      <c r="F78" s="223"/>
      <c r="G78" s="223"/>
      <c r="H78" s="223"/>
      <c r="I78" s="223"/>
      <c r="J78" s="223"/>
      <c r="K78" s="224"/>
      <c r="L78" s="224"/>
      <c r="M78" s="224"/>
      <c r="N78" s="224"/>
      <c r="O78" s="427"/>
    </row>
    <row r="79" spans="1:15" x14ac:dyDescent="0.25">
      <c r="A79" s="797" t="s">
        <v>20</v>
      </c>
      <c r="B79" s="773"/>
      <c r="C79" s="225" t="s">
        <v>27</v>
      </c>
      <c r="D79" s="225" t="s">
        <v>28</v>
      </c>
      <c r="E79" s="225" t="s">
        <v>21</v>
      </c>
      <c r="F79" s="225" t="s">
        <v>29</v>
      </c>
      <c r="G79" s="225"/>
      <c r="H79" s="225"/>
      <c r="I79" s="225"/>
      <c r="J79" s="225"/>
      <c r="K79" s="225" t="s">
        <v>30</v>
      </c>
      <c r="L79" s="225" t="s">
        <v>23</v>
      </c>
      <c r="M79" s="225" t="s">
        <v>31</v>
      </c>
      <c r="N79" s="225"/>
      <c r="O79" s="428" t="s">
        <v>32</v>
      </c>
    </row>
    <row r="80" spans="1:15" ht="15.75" thickBot="1" x14ac:dyDescent="0.3">
      <c r="A80" s="798"/>
      <c r="B80" s="793"/>
      <c r="C80" s="406" t="s">
        <v>44</v>
      </c>
      <c r="D80" s="406" t="s">
        <v>5</v>
      </c>
      <c r="E80" s="406" t="s">
        <v>24</v>
      </c>
      <c r="F80" s="407" t="s">
        <v>34</v>
      </c>
      <c r="G80" s="406" t="s">
        <v>35</v>
      </c>
      <c r="H80" s="406"/>
      <c r="I80" s="406"/>
      <c r="J80" s="406"/>
      <c r="K80" s="406" t="s">
        <v>36</v>
      </c>
      <c r="L80" s="408" t="s">
        <v>37</v>
      </c>
      <c r="M80" s="406" t="s">
        <v>38</v>
      </c>
      <c r="N80" s="406"/>
      <c r="O80" s="429" t="s">
        <v>40</v>
      </c>
    </row>
    <row r="81" spans="1:15" s="153" customFormat="1" x14ac:dyDescent="0.25">
      <c r="A81" s="431" t="s">
        <v>198</v>
      </c>
      <c r="B81" s="432"/>
      <c r="C81" s="433"/>
      <c r="D81" s="433"/>
      <c r="E81" s="433"/>
      <c r="F81" s="433"/>
      <c r="G81" s="433"/>
      <c r="H81" s="433"/>
      <c r="I81" s="433"/>
      <c r="J81" s="433"/>
      <c r="K81" s="433"/>
      <c r="L81" s="433"/>
      <c r="M81" s="433"/>
      <c r="N81" s="433"/>
      <c r="O81" s="434"/>
    </row>
    <row r="82" spans="1:15" s="153" customFormat="1" x14ac:dyDescent="0.25">
      <c r="A82" s="782" t="s">
        <v>195</v>
      </c>
      <c r="B82" s="782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</row>
    <row r="83" spans="1:15" s="153" customFormat="1" x14ac:dyDescent="0.25">
      <c r="A83" s="763" t="s">
        <v>88</v>
      </c>
      <c r="B83" s="763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</row>
    <row r="84" spans="1:15" s="153" customFormat="1" x14ac:dyDescent="0.25">
      <c r="A84" s="733" t="s">
        <v>67</v>
      </c>
      <c r="B84" s="733"/>
      <c r="C84" s="137">
        <v>6.1666699999999999</v>
      </c>
      <c r="D84" s="138">
        <v>1</v>
      </c>
      <c r="E84" s="139">
        <f>$E$12</f>
        <v>0</v>
      </c>
      <c r="F84" s="139">
        <f>Dies!$C$48</f>
        <v>95</v>
      </c>
      <c r="G84" s="273">
        <f>+D84*E84*F84</f>
        <v>0</v>
      </c>
      <c r="H84" s="273"/>
      <c r="I84" s="273"/>
      <c r="J84" s="273"/>
      <c r="K84" s="320">
        <f>'Seguro+combustible+reparacions'!F10</f>
        <v>0</v>
      </c>
      <c r="L84" s="237">
        <f>+K84/C84</f>
        <v>0</v>
      </c>
      <c r="M84" s="238" t="str">
        <f>+M12</f>
        <v>Matí</v>
      </c>
      <c r="N84" s="238"/>
      <c r="O84" s="239">
        <f>+K84*G84</f>
        <v>0</v>
      </c>
    </row>
    <row r="85" spans="1:15" s="153" customFormat="1" x14ac:dyDescent="0.25">
      <c r="A85" s="764" t="s">
        <v>89</v>
      </c>
      <c r="B85" s="764"/>
      <c r="C85" s="241"/>
      <c r="D85" s="241"/>
      <c r="E85" s="241"/>
      <c r="F85" s="241"/>
      <c r="G85" s="241"/>
      <c r="H85" s="241"/>
      <c r="I85" s="241"/>
      <c r="J85" s="241"/>
      <c r="K85" s="241"/>
      <c r="L85" s="234"/>
      <c r="M85" s="234"/>
      <c r="N85" s="234"/>
      <c r="O85" s="234"/>
    </row>
    <row r="86" spans="1:15" s="153" customFormat="1" x14ac:dyDescent="0.25">
      <c r="A86" s="733" t="s">
        <v>67</v>
      </c>
      <c r="B86" s="733"/>
      <c r="C86" s="137">
        <v>6.1666699999999999</v>
      </c>
      <c r="D86" s="138">
        <v>1</v>
      </c>
      <c r="E86" s="139">
        <f>$E$13</f>
        <v>0</v>
      </c>
      <c r="F86" s="139">
        <f>Dies!$C$48</f>
        <v>95</v>
      </c>
      <c r="G86" s="273">
        <f>+D86*E86*F86</f>
        <v>0</v>
      </c>
      <c r="H86" s="273"/>
      <c r="I86" s="273"/>
      <c r="J86" s="273"/>
      <c r="K86" s="320">
        <f>$K$84</f>
        <v>0</v>
      </c>
      <c r="L86" s="237">
        <f>+K86/C86</f>
        <v>0</v>
      </c>
      <c r="M86" s="238" t="str">
        <f>+M15</f>
        <v>Tarda</v>
      </c>
      <c r="N86" s="238"/>
      <c r="O86" s="239">
        <f>+K86*G86</f>
        <v>0</v>
      </c>
    </row>
    <row r="87" spans="1:15" s="153" customFormat="1" x14ac:dyDescent="0.25">
      <c r="A87" s="762" t="s">
        <v>196</v>
      </c>
      <c r="B87" s="762"/>
      <c r="C87" s="241"/>
      <c r="D87" s="241"/>
      <c r="E87" s="241"/>
      <c r="F87" s="241"/>
      <c r="G87" s="241"/>
      <c r="H87" s="241"/>
      <c r="I87" s="241"/>
      <c r="J87" s="241"/>
      <c r="K87" s="241"/>
      <c r="L87" s="234"/>
      <c r="M87" s="234"/>
      <c r="N87" s="234"/>
      <c r="O87" s="234"/>
    </row>
    <row r="88" spans="1:15" s="153" customFormat="1" x14ac:dyDescent="0.25">
      <c r="A88" s="763" t="s">
        <v>88</v>
      </c>
      <c r="B88" s="763"/>
      <c r="C88" s="241"/>
      <c r="D88" s="241"/>
      <c r="E88" s="241"/>
      <c r="F88" s="241"/>
      <c r="G88" s="241"/>
      <c r="H88" s="241"/>
      <c r="I88" s="241"/>
      <c r="J88" s="241"/>
      <c r="K88" s="241"/>
      <c r="L88" s="234"/>
      <c r="M88" s="234"/>
      <c r="N88" s="234"/>
      <c r="O88" s="234"/>
    </row>
    <row r="89" spans="1:15" s="153" customFormat="1" x14ac:dyDescent="0.25">
      <c r="A89" s="733" t="s">
        <v>67</v>
      </c>
      <c r="B89" s="733"/>
      <c r="C89" s="137">
        <v>6.1666699999999999</v>
      </c>
      <c r="D89" s="138">
        <v>1</v>
      </c>
      <c r="E89" s="139">
        <f>$E$19</f>
        <v>0</v>
      </c>
      <c r="F89" s="139">
        <f>Dies!$C$49</f>
        <v>20</v>
      </c>
      <c r="G89" s="273">
        <f>+D89*E89*F89</f>
        <v>0</v>
      </c>
      <c r="H89" s="273"/>
      <c r="I89" s="273"/>
      <c r="J89" s="273"/>
      <c r="K89" s="320">
        <f>$K$84</f>
        <v>0</v>
      </c>
      <c r="L89" s="237">
        <f>+K89/C89</f>
        <v>0</v>
      </c>
      <c r="M89" s="238" t="str">
        <f>+M19</f>
        <v>Matí</v>
      </c>
      <c r="N89" s="238"/>
      <c r="O89" s="239">
        <f>+K89*G89</f>
        <v>0</v>
      </c>
    </row>
    <row r="90" spans="1:15" s="153" customFormat="1" x14ac:dyDescent="0.25">
      <c r="A90" s="764" t="s">
        <v>89</v>
      </c>
      <c r="B90" s="764"/>
      <c r="C90" s="180"/>
      <c r="D90" s="180"/>
      <c r="E90" s="653"/>
      <c r="F90" s="241"/>
      <c r="G90" s="664"/>
      <c r="H90" s="664"/>
      <c r="I90" s="664"/>
      <c r="J90" s="664"/>
      <c r="K90" s="664"/>
      <c r="L90" s="180"/>
      <c r="M90" s="180"/>
      <c r="N90" s="180"/>
      <c r="O90" s="180"/>
    </row>
    <row r="91" spans="1:15" s="153" customFormat="1" x14ac:dyDescent="0.25">
      <c r="A91" s="733" t="s">
        <v>67</v>
      </c>
      <c r="B91" s="733"/>
      <c r="C91" s="137">
        <v>6.1666699999999999</v>
      </c>
      <c r="D91" s="138">
        <v>1</v>
      </c>
      <c r="E91" s="139">
        <f>$E$22</f>
        <v>0</v>
      </c>
      <c r="F91" s="139">
        <f>Dies!$C$49</f>
        <v>20</v>
      </c>
      <c r="G91" s="273">
        <f>+D91*E91*F91</f>
        <v>0</v>
      </c>
      <c r="H91" s="273"/>
      <c r="I91" s="273"/>
      <c r="J91" s="273"/>
      <c r="K91" s="320">
        <f>$K$84</f>
        <v>0</v>
      </c>
      <c r="L91" s="237">
        <f>+K91/C91</f>
        <v>0</v>
      </c>
      <c r="M91" s="238" t="str">
        <f>+M22</f>
        <v>Tarda</v>
      </c>
      <c r="N91" s="238"/>
      <c r="O91" s="239">
        <f>+K91*G91</f>
        <v>0</v>
      </c>
    </row>
    <row r="92" spans="1:15" s="153" customFormat="1" x14ac:dyDescent="0.25">
      <c r="A92" s="762" t="s">
        <v>197</v>
      </c>
      <c r="B92" s="762"/>
      <c r="C92" s="180"/>
      <c r="D92" s="180"/>
      <c r="E92" s="241"/>
      <c r="F92" s="241"/>
      <c r="G92" s="664"/>
      <c r="H92" s="664"/>
      <c r="I92" s="664"/>
      <c r="J92" s="664"/>
      <c r="K92" s="664"/>
      <c r="L92" s="180"/>
      <c r="M92" s="180"/>
      <c r="N92" s="180"/>
      <c r="O92" s="180"/>
    </row>
    <row r="93" spans="1:15" s="153" customFormat="1" x14ac:dyDescent="0.25">
      <c r="A93" s="763" t="s">
        <v>88</v>
      </c>
      <c r="B93" s="763"/>
      <c r="C93" s="180"/>
      <c r="D93" s="180"/>
      <c r="E93" s="241"/>
      <c r="F93" s="241"/>
      <c r="G93" s="664"/>
      <c r="H93" s="664"/>
      <c r="I93" s="664"/>
      <c r="J93" s="664"/>
      <c r="K93" s="664"/>
      <c r="L93" s="180"/>
      <c r="M93" s="180"/>
      <c r="N93" s="180"/>
      <c r="O93" s="180"/>
    </row>
    <row r="94" spans="1:15" s="153" customFormat="1" x14ac:dyDescent="0.25">
      <c r="A94" s="733" t="s">
        <v>67</v>
      </c>
      <c r="B94" s="733"/>
      <c r="C94" s="137">
        <v>6.1666699999999999</v>
      </c>
      <c r="D94" s="138">
        <v>1</v>
      </c>
      <c r="E94" s="139">
        <f>$E$26</f>
        <v>0</v>
      </c>
      <c r="F94" s="139">
        <f>Dies!$C$50</f>
        <v>20</v>
      </c>
      <c r="G94" s="273">
        <f>+D94*E94*F94</f>
        <v>0</v>
      </c>
      <c r="H94" s="273"/>
      <c r="I94" s="273"/>
      <c r="J94" s="273"/>
      <c r="K94" s="320">
        <f>$K$84</f>
        <v>0</v>
      </c>
      <c r="L94" s="237">
        <f>+K94/C94</f>
        <v>0</v>
      </c>
      <c r="M94" s="238" t="str">
        <f>+M26</f>
        <v>Matí</v>
      </c>
      <c r="N94" s="238"/>
      <c r="O94" s="239">
        <f>+K94*G94</f>
        <v>0</v>
      </c>
    </row>
    <row r="95" spans="1:15" s="153" customFormat="1" x14ac:dyDescent="0.25">
      <c r="A95" s="764" t="s">
        <v>89</v>
      </c>
      <c r="B95" s="764"/>
      <c r="C95" s="241"/>
      <c r="D95" s="241"/>
      <c r="E95" s="241"/>
      <c r="F95" s="241"/>
      <c r="G95" s="241"/>
      <c r="H95" s="241"/>
      <c r="I95" s="241"/>
      <c r="J95" s="241"/>
      <c r="K95" s="241"/>
      <c r="L95" s="234"/>
      <c r="M95" s="234"/>
      <c r="N95" s="234"/>
      <c r="O95" s="234"/>
    </row>
    <row r="96" spans="1:15" s="153" customFormat="1" x14ac:dyDescent="0.25">
      <c r="A96" s="733" t="s">
        <v>67</v>
      </c>
      <c r="B96" s="733"/>
      <c r="C96" s="137">
        <v>6.1666699999999999</v>
      </c>
      <c r="D96" s="138">
        <v>1</v>
      </c>
      <c r="E96" s="139">
        <f>$E$29</f>
        <v>0</v>
      </c>
      <c r="F96" s="139">
        <f>Dies!$C$50</f>
        <v>20</v>
      </c>
      <c r="G96" s="273">
        <f>+D96*E96*F96</f>
        <v>0</v>
      </c>
      <c r="H96" s="273"/>
      <c r="I96" s="273"/>
      <c r="J96" s="273"/>
      <c r="K96" s="320">
        <f>$K$84</f>
        <v>0</v>
      </c>
      <c r="L96" s="237">
        <f>+K96/C96</f>
        <v>0</v>
      </c>
      <c r="M96" s="238" t="str">
        <f>+M29</f>
        <v>Tarda</v>
      </c>
      <c r="N96" s="238"/>
      <c r="O96" s="239">
        <f>+K96*G96</f>
        <v>0</v>
      </c>
    </row>
    <row r="97" spans="1:15" s="153" customFormat="1" x14ac:dyDescent="0.25">
      <c r="A97" s="229" t="s">
        <v>199</v>
      </c>
      <c r="B97" s="242"/>
      <c r="C97" s="243"/>
      <c r="D97" s="244"/>
      <c r="E97" s="245"/>
      <c r="F97" s="245"/>
      <c r="G97" s="246"/>
      <c r="H97" s="246"/>
      <c r="I97" s="247"/>
      <c r="J97" s="247"/>
      <c r="K97" s="247"/>
      <c r="L97" s="247"/>
      <c r="M97" s="245"/>
      <c r="N97" s="245"/>
      <c r="O97" s="248"/>
    </row>
    <row r="98" spans="1:15" s="153" customFormat="1" x14ac:dyDescent="0.25">
      <c r="A98" s="782" t="s">
        <v>195</v>
      </c>
      <c r="B98" s="782"/>
      <c r="C98" s="137"/>
      <c r="D98" s="138"/>
      <c r="E98" s="139"/>
      <c r="F98" s="234"/>
      <c r="G98" s="235"/>
      <c r="H98" s="235"/>
      <c r="I98" s="235"/>
      <c r="J98" s="235"/>
      <c r="K98" s="320"/>
      <c r="L98" s="237"/>
      <c r="M98" s="238"/>
      <c r="N98" s="238"/>
      <c r="O98" s="239"/>
    </row>
    <row r="99" spans="1:15" s="153" customFormat="1" x14ac:dyDescent="0.25">
      <c r="A99" s="763" t="s">
        <v>88</v>
      </c>
      <c r="B99" s="763"/>
      <c r="C99" s="137"/>
      <c r="D99" s="138"/>
      <c r="E99" s="139"/>
      <c r="F99" s="234"/>
      <c r="G99" s="235"/>
      <c r="H99" s="235"/>
      <c r="I99" s="235"/>
      <c r="J99" s="235"/>
      <c r="K99" s="236"/>
      <c r="L99" s="236"/>
      <c r="M99" s="238"/>
      <c r="N99" s="238"/>
      <c r="O99" s="239"/>
    </row>
    <row r="100" spans="1:15" s="153" customFormat="1" x14ac:dyDescent="0.25">
      <c r="A100" s="733" t="s">
        <v>67</v>
      </c>
      <c r="B100" s="733"/>
      <c r="C100" s="137">
        <v>6.1666699999999999</v>
      </c>
      <c r="D100" s="138">
        <v>1</v>
      </c>
      <c r="E100" s="139">
        <f>$E$34</f>
        <v>0</v>
      </c>
      <c r="F100" s="139">
        <f>Dies!$C$53</f>
        <v>77</v>
      </c>
      <c r="G100" s="273">
        <f>+D100*E100*F100</f>
        <v>0</v>
      </c>
      <c r="H100" s="273"/>
      <c r="I100" s="273"/>
      <c r="J100" s="273"/>
      <c r="K100" s="320">
        <f>$K$84</f>
        <v>0</v>
      </c>
      <c r="L100" s="237">
        <f>+K100/C100</f>
        <v>0</v>
      </c>
      <c r="M100" s="238" t="str">
        <f>+M34</f>
        <v>Matí</v>
      </c>
      <c r="N100" s="238"/>
      <c r="O100" s="239">
        <f>+K100*G100</f>
        <v>0</v>
      </c>
    </row>
    <row r="101" spans="1:15" s="153" customFormat="1" x14ac:dyDescent="0.25">
      <c r="A101" s="764" t="s">
        <v>89</v>
      </c>
      <c r="B101" s="764"/>
      <c r="C101" s="180"/>
      <c r="D101" s="180"/>
      <c r="E101" s="241"/>
      <c r="F101" s="241"/>
      <c r="G101" s="664"/>
      <c r="H101" s="664"/>
      <c r="I101" s="664"/>
      <c r="J101" s="664"/>
      <c r="K101" s="664"/>
      <c r="L101" s="180"/>
      <c r="M101" s="180"/>
      <c r="N101" s="180"/>
      <c r="O101" s="180"/>
    </row>
    <row r="102" spans="1:15" s="153" customFormat="1" x14ac:dyDescent="0.25">
      <c r="A102" s="733" t="s">
        <v>67</v>
      </c>
      <c r="B102" s="733"/>
      <c r="C102" s="137">
        <v>6.1666699999999999</v>
      </c>
      <c r="D102" s="138">
        <v>1</v>
      </c>
      <c r="E102" s="139">
        <f>$E$37</f>
        <v>0</v>
      </c>
      <c r="F102" s="139">
        <f>Dies!$C$53</f>
        <v>77</v>
      </c>
      <c r="G102" s="273">
        <f>+D102*E102*F102</f>
        <v>0</v>
      </c>
      <c r="H102" s="273"/>
      <c r="I102" s="273"/>
      <c r="J102" s="273"/>
      <c r="K102" s="320">
        <f>$K$84</f>
        <v>0</v>
      </c>
      <c r="L102" s="237">
        <f>+K102/C102</f>
        <v>0</v>
      </c>
      <c r="M102" s="238" t="str">
        <f>+M37</f>
        <v>Tarda</v>
      </c>
      <c r="N102" s="238"/>
      <c r="O102" s="239">
        <f>+K102*G102</f>
        <v>0</v>
      </c>
    </row>
    <row r="103" spans="1:15" s="153" customFormat="1" x14ac:dyDescent="0.25">
      <c r="A103" s="762" t="s">
        <v>196</v>
      </c>
      <c r="B103" s="762"/>
      <c r="C103" s="137"/>
      <c r="D103" s="138"/>
      <c r="E103" s="147"/>
      <c r="F103" s="241"/>
      <c r="G103" s="273"/>
      <c r="H103" s="273"/>
      <c r="I103" s="273"/>
      <c r="J103" s="273"/>
      <c r="K103" s="320"/>
      <c r="L103" s="237"/>
      <c r="M103" s="238"/>
      <c r="N103" s="238"/>
      <c r="O103" s="239"/>
    </row>
    <row r="104" spans="1:15" s="153" customFormat="1" x14ac:dyDescent="0.25">
      <c r="A104" s="763" t="s">
        <v>88</v>
      </c>
      <c r="B104" s="763"/>
      <c r="C104" s="241"/>
      <c r="D104" s="241"/>
      <c r="E104" s="147"/>
      <c r="F104" s="241"/>
      <c r="G104" s="241"/>
      <c r="H104" s="241"/>
      <c r="I104" s="241"/>
      <c r="J104" s="241"/>
      <c r="K104" s="241"/>
      <c r="L104" s="234"/>
      <c r="M104" s="234"/>
      <c r="N104" s="234"/>
      <c r="O104" s="234"/>
    </row>
    <row r="105" spans="1:15" s="153" customFormat="1" x14ac:dyDescent="0.25">
      <c r="A105" s="733" t="s">
        <v>67</v>
      </c>
      <c r="B105" s="733"/>
      <c r="C105" s="137">
        <v>6.1666699999999999</v>
      </c>
      <c r="D105" s="138">
        <v>1</v>
      </c>
      <c r="E105" s="139">
        <f>$E$41</f>
        <v>0</v>
      </c>
      <c r="F105" s="139">
        <f>Dies!$C$54</f>
        <v>15</v>
      </c>
      <c r="G105" s="273">
        <f>+D105*E105*F105</f>
        <v>0</v>
      </c>
      <c r="H105" s="273"/>
      <c r="I105" s="273"/>
      <c r="J105" s="273"/>
      <c r="K105" s="320">
        <f>$K$84</f>
        <v>0</v>
      </c>
      <c r="L105" s="237">
        <f>+K105/C105</f>
        <v>0</v>
      </c>
      <c r="M105" s="238" t="str">
        <f>+M41</f>
        <v>Matí</v>
      </c>
      <c r="N105" s="238"/>
      <c r="O105" s="239">
        <f>+K105*G105</f>
        <v>0</v>
      </c>
    </row>
    <row r="106" spans="1:15" s="153" customFormat="1" x14ac:dyDescent="0.25">
      <c r="A106" s="764" t="s">
        <v>89</v>
      </c>
      <c r="B106" s="764"/>
      <c r="C106" s="180"/>
      <c r="D106" s="180"/>
      <c r="E106" s="147"/>
      <c r="F106" s="241"/>
      <c r="G106" s="664"/>
      <c r="H106" s="664"/>
      <c r="I106" s="664"/>
      <c r="J106" s="664"/>
      <c r="K106" s="664"/>
      <c r="L106" s="180"/>
      <c r="M106" s="180"/>
      <c r="N106" s="180"/>
      <c r="O106" s="180"/>
    </row>
    <row r="107" spans="1:15" s="153" customFormat="1" x14ac:dyDescent="0.25">
      <c r="A107" s="733" t="s">
        <v>67</v>
      </c>
      <c r="B107" s="733"/>
      <c r="C107" s="137">
        <v>6.1666699999999999</v>
      </c>
      <c r="D107" s="138">
        <v>1</v>
      </c>
      <c r="E107" s="139">
        <f>$E$44</f>
        <v>0</v>
      </c>
      <c r="F107" s="139">
        <f>Dies!$C$54</f>
        <v>15</v>
      </c>
      <c r="G107" s="273">
        <f>+D107*E107*F107</f>
        <v>0</v>
      </c>
      <c r="H107" s="273"/>
      <c r="I107" s="273"/>
      <c r="J107" s="273"/>
      <c r="K107" s="320">
        <f>$K$84</f>
        <v>0</v>
      </c>
      <c r="L107" s="237">
        <f>+K107/C107</f>
        <v>0</v>
      </c>
      <c r="M107" s="238" t="str">
        <f>+M44</f>
        <v>Tarda</v>
      </c>
      <c r="N107" s="238"/>
      <c r="O107" s="239">
        <f>+K107*G107</f>
        <v>0</v>
      </c>
    </row>
    <row r="108" spans="1:15" s="153" customFormat="1" x14ac:dyDescent="0.25">
      <c r="A108" s="762" t="s">
        <v>197</v>
      </c>
      <c r="B108" s="762"/>
      <c r="C108" s="180"/>
      <c r="D108" s="180"/>
      <c r="E108" s="147"/>
      <c r="F108" s="241"/>
      <c r="G108" s="664"/>
      <c r="H108" s="664"/>
      <c r="I108" s="664"/>
      <c r="J108" s="664"/>
      <c r="K108" s="664"/>
      <c r="L108" s="180"/>
      <c r="M108" s="180"/>
      <c r="N108" s="180"/>
      <c r="O108" s="180"/>
    </row>
    <row r="109" spans="1:15" s="153" customFormat="1" x14ac:dyDescent="0.25">
      <c r="A109" s="763" t="s">
        <v>88</v>
      </c>
      <c r="B109" s="763"/>
      <c r="C109" s="180"/>
      <c r="D109" s="180"/>
      <c r="E109" s="147"/>
      <c r="F109" s="241"/>
      <c r="G109" s="664"/>
      <c r="H109" s="664"/>
      <c r="I109" s="664"/>
      <c r="J109" s="664"/>
      <c r="K109" s="664"/>
      <c r="L109" s="180"/>
      <c r="M109" s="180"/>
      <c r="N109" s="180"/>
      <c r="O109" s="180"/>
    </row>
    <row r="110" spans="1:15" s="153" customFormat="1" x14ac:dyDescent="0.25">
      <c r="A110" s="733" t="s">
        <v>67</v>
      </c>
      <c r="B110" s="733"/>
      <c r="C110" s="137">
        <v>6.1666699999999999</v>
      </c>
      <c r="D110" s="138">
        <v>1</v>
      </c>
      <c r="E110" s="139">
        <f>$E$48</f>
        <v>0</v>
      </c>
      <c r="F110" s="139">
        <f>Dies!$C$55</f>
        <v>15</v>
      </c>
      <c r="G110" s="273">
        <f>+D110*E110*F110</f>
        <v>0</v>
      </c>
      <c r="H110" s="273"/>
      <c r="I110" s="273"/>
      <c r="J110" s="273"/>
      <c r="K110" s="320">
        <f>$K$84</f>
        <v>0</v>
      </c>
      <c r="L110" s="237">
        <f>+K110/C110</f>
        <v>0</v>
      </c>
      <c r="M110" s="238" t="str">
        <f>+M48</f>
        <v>Matí</v>
      </c>
      <c r="N110" s="238"/>
      <c r="O110" s="239">
        <f>+K110*G110</f>
        <v>0</v>
      </c>
    </row>
    <row r="111" spans="1:15" s="153" customFormat="1" x14ac:dyDescent="0.25">
      <c r="A111" s="764" t="s">
        <v>89</v>
      </c>
      <c r="B111" s="764"/>
      <c r="C111" s="180"/>
      <c r="D111" s="180"/>
      <c r="E111" s="147"/>
      <c r="F111" s="241"/>
      <c r="G111" s="664"/>
      <c r="H111" s="664"/>
      <c r="I111" s="664"/>
      <c r="J111" s="664"/>
      <c r="K111" s="664"/>
      <c r="L111" s="180"/>
      <c r="M111" s="180"/>
      <c r="N111" s="180"/>
      <c r="O111" s="180"/>
    </row>
    <row r="112" spans="1:15" s="153" customFormat="1" x14ac:dyDescent="0.25">
      <c r="A112" s="733" t="s">
        <v>67</v>
      </c>
      <c r="B112" s="733"/>
      <c r="C112" s="137">
        <v>6.1666699999999999</v>
      </c>
      <c r="D112" s="138">
        <v>1</v>
      </c>
      <c r="E112" s="139">
        <f>$E$51</f>
        <v>0</v>
      </c>
      <c r="F112" s="139">
        <f>Dies!$C$55</f>
        <v>15</v>
      </c>
      <c r="G112" s="273">
        <f>+D112*E112*F112</f>
        <v>0</v>
      </c>
      <c r="H112" s="273"/>
      <c r="I112" s="273"/>
      <c r="J112" s="273"/>
      <c r="K112" s="320">
        <f>$K$84</f>
        <v>0</v>
      </c>
      <c r="L112" s="237">
        <f>+K112/C112</f>
        <v>0</v>
      </c>
      <c r="M112" s="238" t="str">
        <f>+M51</f>
        <v>Tarda</v>
      </c>
      <c r="N112" s="238"/>
      <c r="O112" s="239">
        <f>+K112*G112</f>
        <v>0</v>
      </c>
    </row>
    <row r="113" spans="1:15" s="153" customFormat="1" x14ac:dyDescent="0.25">
      <c r="A113" s="229" t="s">
        <v>326</v>
      </c>
      <c r="B113" s="242"/>
      <c r="C113" s="278"/>
      <c r="D113" s="278"/>
      <c r="E113" s="278"/>
      <c r="F113" s="245"/>
      <c r="G113" s="278"/>
      <c r="H113" s="278"/>
      <c r="I113" s="278"/>
      <c r="J113" s="278"/>
      <c r="K113" s="278"/>
      <c r="L113" s="278"/>
      <c r="M113" s="278"/>
      <c r="N113" s="278"/>
      <c r="O113" s="278"/>
    </row>
    <row r="114" spans="1:15" s="153" customFormat="1" x14ac:dyDescent="0.25">
      <c r="A114" s="782" t="s">
        <v>195</v>
      </c>
      <c r="B114" s="782"/>
      <c r="C114" s="180"/>
      <c r="D114" s="180"/>
      <c r="E114" s="180"/>
      <c r="F114" s="234"/>
      <c r="G114" s="180"/>
      <c r="H114" s="180"/>
      <c r="I114" s="180"/>
      <c r="J114" s="180"/>
      <c r="K114" s="180"/>
      <c r="L114" s="180"/>
      <c r="M114" s="180"/>
      <c r="N114" s="180"/>
      <c r="O114" s="180"/>
    </row>
    <row r="115" spans="1:15" s="153" customFormat="1" x14ac:dyDescent="0.25">
      <c r="A115" s="763" t="s">
        <v>88</v>
      </c>
      <c r="B115" s="763"/>
      <c r="C115" s="180"/>
      <c r="D115" s="180"/>
      <c r="E115" s="180"/>
      <c r="F115" s="234"/>
      <c r="G115" s="180"/>
      <c r="H115" s="180"/>
      <c r="I115" s="180"/>
      <c r="J115" s="180"/>
      <c r="K115" s="180"/>
      <c r="L115" s="180"/>
      <c r="M115" s="180"/>
      <c r="N115" s="180"/>
      <c r="O115" s="180"/>
    </row>
    <row r="116" spans="1:15" s="153" customFormat="1" x14ac:dyDescent="0.25">
      <c r="A116" s="733" t="s">
        <v>67</v>
      </c>
      <c r="B116" s="733"/>
      <c r="C116" s="137">
        <v>6.1666699999999999</v>
      </c>
      <c r="D116" s="138">
        <v>1</v>
      </c>
      <c r="E116" s="139">
        <f>$E$56</f>
        <v>0</v>
      </c>
      <c r="F116" s="139">
        <f>Dies!$C$58</f>
        <v>89</v>
      </c>
      <c r="G116" s="273">
        <f>+D116*E116*F116</f>
        <v>0</v>
      </c>
      <c r="H116" s="273"/>
      <c r="I116" s="273"/>
      <c r="J116" s="273"/>
      <c r="K116" s="320">
        <f>$K$84</f>
        <v>0</v>
      </c>
      <c r="L116" s="237">
        <f>+K116/C116</f>
        <v>0</v>
      </c>
      <c r="M116" s="238" t="str">
        <f>+M56</f>
        <v>Matí</v>
      </c>
      <c r="N116" s="238"/>
      <c r="O116" s="239">
        <f>+K116*G116</f>
        <v>0</v>
      </c>
    </row>
    <row r="117" spans="1:15" s="153" customFormat="1" x14ac:dyDescent="0.25">
      <c r="A117" s="764" t="s">
        <v>89</v>
      </c>
      <c r="B117" s="764"/>
      <c r="C117" s="180"/>
      <c r="D117" s="180"/>
      <c r="E117" s="147"/>
      <c r="F117" s="241"/>
      <c r="G117" s="664"/>
      <c r="H117" s="664"/>
      <c r="I117" s="664"/>
      <c r="J117" s="664"/>
      <c r="K117" s="664"/>
      <c r="L117" s="180"/>
      <c r="M117" s="180"/>
      <c r="N117" s="180"/>
      <c r="O117" s="180"/>
    </row>
    <row r="118" spans="1:15" s="153" customFormat="1" x14ac:dyDescent="0.25">
      <c r="A118" s="733" t="s">
        <v>67</v>
      </c>
      <c r="B118" s="733"/>
      <c r="C118" s="137">
        <v>6.1666699999999999</v>
      </c>
      <c r="D118" s="138">
        <v>1</v>
      </c>
      <c r="E118" s="139">
        <f>$E$59</f>
        <v>0</v>
      </c>
      <c r="F118" s="139">
        <f>Dies!$C$58</f>
        <v>89</v>
      </c>
      <c r="G118" s="273">
        <f>+D118*E118*F118</f>
        <v>0</v>
      </c>
      <c r="H118" s="273"/>
      <c r="I118" s="273"/>
      <c r="J118" s="273"/>
      <c r="K118" s="320">
        <f>$K$84</f>
        <v>0</v>
      </c>
      <c r="L118" s="237">
        <f>+K118/C118</f>
        <v>0</v>
      </c>
      <c r="M118" s="238" t="str">
        <f>+M59</f>
        <v>Tarda</v>
      </c>
      <c r="N118" s="238"/>
      <c r="O118" s="239">
        <f>+K118*G118</f>
        <v>0</v>
      </c>
    </row>
    <row r="119" spans="1:15" s="153" customFormat="1" x14ac:dyDescent="0.25">
      <c r="A119" s="762" t="s">
        <v>196</v>
      </c>
      <c r="B119" s="762"/>
      <c r="C119" s="234"/>
      <c r="D119" s="234"/>
      <c r="E119" s="147"/>
      <c r="F119" s="241"/>
      <c r="G119" s="241"/>
      <c r="H119" s="241"/>
      <c r="I119" s="241"/>
      <c r="J119" s="241"/>
      <c r="K119" s="241"/>
      <c r="L119" s="234"/>
      <c r="M119" s="234"/>
      <c r="N119" s="234"/>
      <c r="O119" s="234"/>
    </row>
    <row r="120" spans="1:15" s="153" customFormat="1" x14ac:dyDescent="0.25">
      <c r="A120" s="763" t="s">
        <v>88</v>
      </c>
      <c r="B120" s="763"/>
      <c r="C120" s="234"/>
      <c r="D120" s="234"/>
      <c r="E120" s="147"/>
      <c r="F120" s="241"/>
      <c r="G120" s="241"/>
      <c r="H120" s="241"/>
      <c r="I120" s="241"/>
      <c r="J120" s="241"/>
      <c r="K120" s="241"/>
      <c r="L120" s="234"/>
      <c r="M120" s="234"/>
      <c r="N120" s="234"/>
      <c r="O120" s="234"/>
    </row>
    <row r="121" spans="1:15" s="153" customFormat="1" x14ac:dyDescent="0.25">
      <c r="A121" s="733" t="s">
        <v>67</v>
      </c>
      <c r="B121" s="733"/>
      <c r="C121" s="137">
        <v>6.1666699999999999</v>
      </c>
      <c r="D121" s="138">
        <v>1</v>
      </c>
      <c r="E121" s="139">
        <f>$E$63</f>
        <v>0</v>
      </c>
      <c r="F121" s="139">
        <f>Dies!$C$59</f>
        <v>17</v>
      </c>
      <c r="G121" s="273">
        <f>+D121*E121*F121</f>
        <v>0</v>
      </c>
      <c r="H121" s="273"/>
      <c r="I121" s="273"/>
      <c r="J121" s="273"/>
      <c r="K121" s="320">
        <f>$K$84</f>
        <v>0</v>
      </c>
      <c r="L121" s="237">
        <f>+K121/C121</f>
        <v>0</v>
      </c>
      <c r="M121" s="238" t="str">
        <f>+M63</f>
        <v>Matí</v>
      </c>
      <c r="N121" s="238"/>
      <c r="O121" s="239">
        <f>+K121*G121</f>
        <v>0</v>
      </c>
    </row>
    <row r="122" spans="1:15" s="153" customFormat="1" x14ac:dyDescent="0.25">
      <c r="A122" s="764" t="s">
        <v>89</v>
      </c>
      <c r="B122" s="764"/>
      <c r="C122" s="234"/>
      <c r="D122" s="234"/>
      <c r="E122" s="147"/>
      <c r="F122" s="241"/>
      <c r="G122" s="241"/>
      <c r="H122" s="241"/>
      <c r="I122" s="241"/>
      <c r="J122" s="241"/>
      <c r="K122" s="241"/>
      <c r="L122" s="234"/>
      <c r="M122" s="234"/>
      <c r="N122" s="234"/>
      <c r="O122" s="234"/>
    </row>
    <row r="123" spans="1:15" s="153" customFormat="1" x14ac:dyDescent="0.25">
      <c r="A123" s="733" t="s">
        <v>67</v>
      </c>
      <c r="B123" s="733"/>
      <c r="C123" s="137">
        <v>6.1666699999999999</v>
      </c>
      <c r="D123" s="138">
        <v>1</v>
      </c>
      <c r="E123" s="139">
        <f>$E$66</f>
        <v>0</v>
      </c>
      <c r="F123" s="139">
        <f>Dies!$C$59</f>
        <v>17</v>
      </c>
      <c r="G123" s="273">
        <f>+D123*E123*F123</f>
        <v>0</v>
      </c>
      <c r="H123" s="273"/>
      <c r="I123" s="273"/>
      <c r="J123" s="273"/>
      <c r="K123" s="320">
        <f>$K$84</f>
        <v>0</v>
      </c>
      <c r="L123" s="237">
        <f>+K123/C123</f>
        <v>0</v>
      </c>
      <c r="M123" s="238" t="str">
        <f>+M66</f>
        <v>Tarda</v>
      </c>
      <c r="N123" s="238"/>
      <c r="O123" s="239">
        <f>+K123*G123</f>
        <v>0</v>
      </c>
    </row>
    <row r="124" spans="1:15" s="153" customFormat="1" x14ac:dyDescent="0.25">
      <c r="A124" s="762" t="s">
        <v>197</v>
      </c>
      <c r="B124" s="762"/>
      <c r="C124" s="234"/>
      <c r="D124" s="234"/>
      <c r="E124" s="147"/>
      <c r="F124" s="241"/>
      <c r="G124" s="241"/>
      <c r="H124" s="241"/>
      <c r="I124" s="241"/>
      <c r="J124" s="241"/>
      <c r="K124" s="241"/>
      <c r="L124" s="234"/>
      <c r="M124" s="234"/>
      <c r="N124" s="234"/>
      <c r="O124" s="234"/>
    </row>
    <row r="125" spans="1:15" s="153" customFormat="1" x14ac:dyDescent="0.25">
      <c r="A125" s="763" t="s">
        <v>88</v>
      </c>
      <c r="B125" s="763"/>
      <c r="C125" s="234"/>
      <c r="D125" s="234"/>
      <c r="E125" s="147"/>
      <c r="F125" s="241"/>
      <c r="G125" s="241"/>
      <c r="H125" s="241"/>
      <c r="I125" s="241"/>
      <c r="J125" s="241"/>
      <c r="K125" s="241"/>
      <c r="L125" s="234"/>
      <c r="M125" s="234"/>
      <c r="N125" s="234"/>
      <c r="O125" s="234"/>
    </row>
    <row r="126" spans="1:15" s="153" customFormat="1" x14ac:dyDescent="0.25">
      <c r="A126" s="733" t="s">
        <v>67</v>
      </c>
      <c r="B126" s="733"/>
      <c r="C126" s="137">
        <v>6.1666699999999999</v>
      </c>
      <c r="D126" s="138">
        <v>1</v>
      </c>
      <c r="E126" s="139">
        <f>$E$70</f>
        <v>0</v>
      </c>
      <c r="F126" s="139">
        <f>Dies!$C$60</f>
        <v>17</v>
      </c>
      <c r="G126" s="273">
        <f>+D126*E126*F126</f>
        <v>0</v>
      </c>
      <c r="H126" s="273"/>
      <c r="I126" s="273"/>
      <c r="J126" s="273"/>
      <c r="K126" s="320">
        <f>$K$84</f>
        <v>0</v>
      </c>
      <c r="L126" s="237">
        <f>+K126/C126</f>
        <v>0</v>
      </c>
      <c r="M126" s="238" t="str">
        <f>+M70</f>
        <v>Matí</v>
      </c>
      <c r="N126" s="238"/>
      <c r="O126" s="239">
        <f>+K126*G126</f>
        <v>0</v>
      </c>
    </row>
    <row r="127" spans="1:15" s="153" customFormat="1" x14ac:dyDescent="0.25">
      <c r="A127" s="764" t="s">
        <v>89</v>
      </c>
      <c r="B127" s="764"/>
      <c r="C127" s="180"/>
      <c r="D127" s="180"/>
      <c r="E127" s="241"/>
      <c r="F127" s="241"/>
      <c r="G127" s="664"/>
      <c r="H127" s="664"/>
      <c r="I127" s="664"/>
      <c r="J127" s="664"/>
      <c r="K127" s="664"/>
      <c r="L127" s="180"/>
      <c r="M127" s="180"/>
      <c r="N127" s="180"/>
      <c r="O127" s="180"/>
    </row>
    <row r="128" spans="1:15" s="153" customFormat="1" x14ac:dyDescent="0.25">
      <c r="A128" s="733" t="s">
        <v>67</v>
      </c>
      <c r="B128" s="733"/>
      <c r="C128" s="137">
        <v>6.1666699999999999</v>
      </c>
      <c r="D128" s="138">
        <v>1</v>
      </c>
      <c r="E128" s="139">
        <f>$E$73</f>
        <v>0</v>
      </c>
      <c r="F128" s="139">
        <f>Dies!$C$60</f>
        <v>17</v>
      </c>
      <c r="G128" s="273">
        <f>+D128*E128*F128</f>
        <v>0</v>
      </c>
      <c r="H128" s="273"/>
      <c r="I128" s="273"/>
      <c r="J128" s="273"/>
      <c r="K128" s="320">
        <f>$K$84</f>
        <v>0</v>
      </c>
      <c r="L128" s="237">
        <f>+K128/C128</f>
        <v>0</v>
      </c>
      <c r="M128" s="238" t="str">
        <f>+M73</f>
        <v>Tarda</v>
      </c>
      <c r="N128" s="238"/>
      <c r="O128" s="239">
        <f>+K128*G128</f>
        <v>0</v>
      </c>
    </row>
    <row r="129" spans="1:15" x14ac:dyDescent="0.25">
      <c r="A129" s="402"/>
      <c r="B129" s="324"/>
      <c r="C129" s="324"/>
      <c r="D129" s="324"/>
      <c r="E129" s="323" t="s">
        <v>46</v>
      </c>
      <c r="F129" s="324"/>
      <c r="G129" s="324"/>
      <c r="H129" s="324"/>
      <c r="I129" s="324"/>
      <c r="J129" s="324"/>
      <c r="K129" s="324"/>
      <c r="L129" s="324"/>
      <c r="M129" s="324"/>
      <c r="N129" s="324"/>
      <c r="O129" s="403">
        <f>SUM(O84:O128)</f>
        <v>0</v>
      </c>
    </row>
    <row r="130" spans="1:15" s="153" customFormat="1" ht="26.25" x14ac:dyDescent="0.4">
      <c r="A130" s="425" t="s">
        <v>212</v>
      </c>
      <c r="B130" s="221"/>
      <c r="C130" s="221"/>
      <c r="D130" s="223"/>
      <c r="E130" s="223"/>
      <c r="F130" s="223"/>
      <c r="G130" s="223"/>
      <c r="H130" s="223"/>
      <c r="I130" s="223"/>
      <c r="J130" s="223"/>
      <c r="K130" s="224"/>
      <c r="L130" s="224"/>
      <c r="M130" s="224"/>
      <c r="N130" s="224"/>
      <c r="O130" s="435"/>
    </row>
    <row r="131" spans="1:15" x14ac:dyDescent="0.25">
      <c r="A131" s="797" t="s">
        <v>20</v>
      </c>
      <c r="B131" s="773"/>
      <c r="C131" s="225" t="s">
        <v>27</v>
      </c>
      <c r="D131" s="225" t="s">
        <v>28</v>
      </c>
      <c r="E131" s="225" t="s">
        <v>21</v>
      </c>
      <c r="F131" s="225" t="s">
        <v>29</v>
      </c>
      <c r="G131" s="225"/>
      <c r="H131" s="225"/>
      <c r="I131" s="225"/>
      <c r="J131" s="225"/>
      <c r="K131" s="225" t="s">
        <v>30</v>
      </c>
      <c r="L131" s="225" t="s">
        <v>23</v>
      </c>
      <c r="M131" s="225" t="s">
        <v>31</v>
      </c>
      <c r="N131" s="225"/>
      <c r="O131" s="436" t="s">
        <v>32</v>
      </c>
    </row>
    <row r="132" spans="1:15" ht="15.75" thickBot="1" x14ac:dyDescent="0.3">
      <c r="A132" s="798"/>
      <c r="B132" s="793"/>
      <c r="C132" s="406" t="s">
        <v>44</v>
      </c>
      <c r="D132" s="406" t="s">
        <v>5</v>
      </c>
      <c r="E132" s="406" t="s">
        <v>24</v>
      </c>
      <c r="F132" s="407" t="s">
        <v>34</v>
      </c>
      <c r="G132" s="406" t="s">
        <v>35</v>
      </c>
      <c r="H132" s="406"/>
      <c r="I132" s="406"/>
      <c r="J132" s="406"/>
      <c r="K132" s="406" t="s">
        <v>36</v>
      </c>
      <c r="L132" s="408" t="s">
        <v>37</v>
      </c>
      <c r="M132" s="406" t="s">
        <v>38</v>
      </c>
      <c r="N132" s="406"/>
      <c r="O132" s="437" t="s">
        <v>40</v>
      </c>
    </row>
    <row r="133" spans="1:15" s="153" customFormat="1" x14ac:dyDescent="0.25">
      <c r="A133" s="431" t="s">
        <v>198</v>
      </c>
      <c r="B133" s="432"/>
      <c r="C133" s="433"/>
      <c r="D133" s="433"/>
      <c r="E133" s="433"/>
      <c r="F133" s="433"/>
      <c r="G133" s="433"/>
      <c r="H133" s="433"/>
      <c r="I133" s="433"/>
      <c r="J133" s="433"/>
      <c r="K133" s="433"/>
      <c r="L133" s="433"/>
      <c r="M133" s="433"/>
      <c r="N133" s="433"/>
      <c r="O133" s="434"/>
    </row>
    <row r="134" spans="1:15" s="153" customFormat="1" x14ac:dyDescent="0.25">
      <c r="A134" s="782" t="s">
        <v>195</v>
      </c>
      <c r="B134" s="782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</row>
    <row r="135" spans="1:15" s="153" customFormat="1" x14ac:dyDescent="0.25">
      <c r="A135" s="763" t="s">
        <v>88</v>
      </c>
      <c r="B135" s="763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</row>
    <row r="136" spans="1:15" s="153" customFormat="1" x14ac:dyDescent="0.25">
      <c r="A136" s="733" t="s">
        <v>67</v>
      </c>
      <c r="B136" s="733"/>
      <c r="C136" s="137">
        <v>6.1666699999999999</v>
      </c>
      <c r="D136" s="138">
        <v>1</v>
      </c>
      <c r="E136" s="139">
        <f>$E$12</f>
        <v>0</v>
      </c>
      <c r="F136" s="139">
        <f>Dies!$C$48</f>
        <v>95</v>
      </c>
      <c r="G136" s="273">
        <f>+D136*E136*F136</f>
        <v>0</v>
      </c>
      <c r="H136" s="273"/>
      <c r="I136" s="273"/>
      <c r="J136" s="273"/>
      <c r="K136" s="320">
        <f>'Seguro+combustible+reparacions'!G10</f>
        <v>0</v>
      </c>
      <c r="L136" s="237">
        <f>+K136/C136</f>
        <v>0</v>
      </c>
      <c r="M136" s="238" t="str">
        <f>+M84</f>
        <v>Matí</v>
      </c>
      <c r="N136" s="238"/>
      <c r="O136" s="239">
        <f>+K136*G136</f>
        <v>0</v>
      </c>
    </row>
    <row r="137" spans="1:15" s="153" customFormat="1" x14ac:dyDescent="0.25">
      <c r="A137" s="764" t="s">
        <v>89</v>
      </c>
      <c r="B137" s="764"/>
      <c r="C137" s="241"/>
      <c r="D137" s="241"/>
      <c r="E137" s="241"/>
      <c r="F137" s="241"/>
      <c r="G137" s="241"/>
      <c r="H137" s="241"/>
      <c r="I137" s="241"/>
      <c r="J137" s="241"/>
      <c r="K137" s="241"/>
      <c r="L137" s="234"/>
      <c r="M137" s="234"/>
      <c r="N137" s="234"/>
      <c r="O137" s="234"/>
    </row>
    <row r="138" spans="1:15" s="153" customFormat="1" x14ac:dyDescent="0.25">
      <c r="A138" s="733" t="s">
        <v>67</v>
      </c>
      <c r="B138" s="733"/>
      <c r="C138" s="137">
        <v>6.1666699999999999</v>
      </c>
      <c r="D138" s="138">
        <v>1</v>
      </c>
      <c r="E138" s="139">
        <f>$E$13</f>
        <v>0</v>
      </c>
      <c r="F138" s="139">
        <f>Dies!$C$48</f>
        <v>95</v>
      </c>
      <c r="G138" s="273">
        <f>+D138*E138*F138</f>
        <v>0</v>
      </c>
      <c r="H138" s="273"/>
      <c r="I138" s="273"/>
      <c r="J138" s="273"/>
      <c r="K138" s="320">
        <f>$K$136</f>
        <v>0</v>
      </c>
      <c r="L138" s="237">
        <f>+K138/C138</f>
        <v>0</v>
      </c>
      <c r="M138" s="238" t="str">
        <f>+M86</f>
        <v>Tarda</v>
      </c>
      <c r="N138" s="238"/>
      <c r="O138" s="239">
        <f>+K138*G138</f>
        <v>0</v>
      </c>
    </row>
    <row r="139" spans="1:15" s="153" customFormat="1" x14ac:dyDescent="0.25">
      <c r="A139" s="762" t="s">
        <v>196</v>
      </c>
      <c r="B139" s="762"/>
      <c r="C139" s="241"/>
      <c r="D139" s="241"/>
      <c r="E139" s="241"/>
      <c r="F139" s="241"/>
      <c r="G139" s="241"/>
      <c r="H139" s="241"/>
      <c r="I139" s="241"/>
      <c r="J139" s="241"/>
      <c r="K139" s="241"/>
      <c r="L139" s="234"/>
      <c r="M139" s="234"/>
      <c r="N139" s="234"/>
      <c r="O139" s="234"/>
    </row>
    <row r="140" spans="1:15" s="153" customFormat="1" x14ac:dyDescent="0.25">
      <c r="A140" s="763" t="s">
        <v>88</v>
      </c>
      <c r="B140" s="763"/>
      <c r="C140" s="241"/>
      <c r="D140" s="241"/>
      <c r="E140" s="241"/>
      <c r="F140" s="241"/>
      <c r="G140" s="241"/>
      <c r="H140" s="241"/>
      <c r="I140" s="241"/>
      <c r="J140" s="241"/>
      <c r="K140" s="241"/>
      <c r="L140" s="234"/>
      <c r="M140" s="234"/>
      <c r="N140" s="234"/>
      <c r="O140" s="234"/>
    </row>
    <row r="141" spans="1:15" s="153" customFormat="1" x14ac:dyDescent="0.25">
      <c r="A141" s="733" t="s">
        <v>67</v>
      </c>
      <c r="B141" s="733"/>
      <c r="C141" s="137">
        <v>6.1666699999999999</v>
      </c>
      <c r="D141" s="138">
        <v>1</v>
      </c>
      <c r="E141" s="139">
        <f>$E$19</f>
        <v>0</v>
      </c>
      <c r="F141" s="139">
        <f>Dies!$C$49</f>
        <v>20</v>
      </c>
      <c r="G141" s="273">
        <f>+D141*E141*F141</f>
        <v>0</v>
      </c>
      <c r="H141" s="273"/>
      <c r="I141" s="273"/>
      <c r="J141" s="273"/>
      <c r="K141" s="320">
        <f>$K$136</f>
        <v>0</v>
      </c>
      <c r="L141" s="237">
        <f>+K141/C141</f>
        <v>0</v>
      </c>
      <c r="M141" s="238" t="str">
        <f>+M89</f>
        <v>Matí</v>
      </c>
      <c r="N141" s="238"/>
      <c r="O141" s="239">
        <f>+K141*G141</f>
        <v>0</v>
      </c>
    </row>
    <row r="142" spans="1:15" s="153" customFormat="1" x14ac:dyDescent="0.25">
      <c r="A142" s="764" t="s">
        <v>89</v>
      </c>
      <c r="B142" s="764"/>
      <c r="C142" s="180"/>
      <c r="D142" s="180"/>
      <c r="E142" s="653"/>
      <c r="F142" s="241"/>
      <c r="G142" s="664"/>
      <c r="H142" s="664"/>
      <c r="I142" s="664"/>
      <c r="J142" s="664"/>
      <c r="K142" s="664"/>
      <c r="L142" s="180"/>
      <c r="M142" s="180"/>
      <c r="N142" s="180"/>
      <c r="O142" s="180"/>
    </row>
    <row r="143" spans="1:15" s="153" customFormat="1" x14ac:dyDescent="0.25">
      <c r="A143" s="733" t="s">
        <v>67</v>
      </c>
      <c r="B143" s="733"/>
      <c r="C143" s="137">
        <v>6.1666699999999999</v>
      </c>
      <c r="D143" s="138">
        <v>1</v>
      </c>
      <c r="E143" s="139">
        <f>$E$22</f>
        <v>0</v>
      </c>
      <c r="F143" s="139">
        <f>Dies!$C$49</f>
        <v>20</v>
      </c>
      <c r="G143" s="273">
        <f>+D143*E143*F143</f>
        <v>0</v>
      </c>
      <c r="H143" s="273"/>
      <c r="I143" s="273"/>
      <c r="J143" s="273"/>
      <c r="K143" s="320">
        <f>$K$136</f>
        <v>0</v>
      </c>
      <c r="L143" s="237">
        <f>+K143/C143</f>
        <v>0</v>
      </c>
      <c r="M143" s="238" t="str">
        <f>+M91</f>
        <v>Tarda</v>
      </c>
      <c r="N143" s="238"/>
      <c r="O143" s="239">
        <f>+K143*G143</f>
        <v>0</v>
      </c>
    </row>
    <row r="144" spans="1:15" s="153" customFormat="1" x14ac:dyDescent="0.25">
      <c r="A144" s="762" t="s">
        <v>197</v>
      </c>
      <c r="B144" s="762"/>
      <c r="C144" s="180"/>
      <c r="D144" s="180"/>
      <c r="E144" s="241"/>
      <c r="F144" s="241"/>
      <c r="G144" s="664"/>
      <c r="H144" s="664"/>
      <c r="I144" s="664"/>
      <c r="J144" s="664"/>
      <c r="K144" s="664"/>
      <c r="L144" s="180"/>
      <c r="M144" s="180"/>
      <c r="N144" s="180"/>
      <c r="O144" s="180"/>
    </row>
    <row r="145" spans="1:15" s="153" customFormat="1" x14ac:dyDescent="0.25">
      <c r="A145" s="763" t="s">
        <v>88</v>
      </c>
      <c r="B145" s="763"/>
      <c r="C145" s="180"/>
      <c r="D145" s="180"/>
      <c r="E145" s="241"/>
      <c r="F145" s="241"/>
      <c r="G145" s="664"/>
      <c r="H145" s="664"/>
      <c r="I145" s="664"/>
      <c r="J145" s="664"/>
      <c r="K145" s="664"/>
      <c r="L145" s="180"/>
      <c r="M145" s="180"/>
      <c r="N145" s="180"/>
      <c r="O145" s="180"/>
    </row>
    <row r="146" spans="1:15" s="153" customFormat="1" x14ac:dyDescent="0.25">
      <c r="A146" s="733" t="s">
        <v>67</v>
      </c>
      <c r="B146" s="733"/>
      <c r="C146" s="137">
        <v>6.1666699999999999</v>
      </c>
      <c r="D146" s="138">
        <v>1</v>
      </c>
      <c r="E146" s="139">
        <f>$E$26</f>
        <v>0</v>
      </c>
      <c r="F146" s="139">
        <f>Dies!$C$50</f>
        <v>20</v>
      </c>
      <c r="G146" s="273">
        <f>+D146*E146*F146</f>
        <v>0</v>
      </c>
      <c r="H146" s="273"/>
      <c r="I146" s="273"/>
      <c r="J146" s="273"/>
      <c r="K146" s="320">
        <f>$K$136</f>
        <v>0</v>
      </c>
      <c r="L146" s="237">
        <f>+K146/C146</f>
        <v>0</v>
      </c>
      <c r="M146" s="238" t="str">
        <f>+M94</f>
        <v>Matí</v>
      </c>
      <c r="N146" s="238"/>
      <c r="O146" s="239">
        <f>+K146*G146</f>
        <v>0</v>
      </c>
    </row>
    <row r="147" spans="1:15" s="153" customFormat="1" x14ac:dyDescent="0.25">
      <c r="A147" s="764" t="s">
        <v>89</v>
      </c>
      <c r="B147" s="764"/>
      <c r="C147" s="241"/>
      <c r="D147" s="241"/>
      <c r="E147" s="241"/>
      <c r="F147" s="241"/>
      <c r="G147" s="241"/>
      <c r="H147" s="241"/>
      <c r="I147" s="241"/>
      <c r="J147" s="241"/>
      <c r="K147" s="241"/>
      <c r="L147" s="234"/>
      <c r="M147" s="234"/>
      <c r="N147" s="234"/>
      <c r="O147" s="234"/>
    </row>
    <row r="148" spans="1:15" s="153" customFormat="1" x14ac:dyDescent="0.25">
      <c r="A148" s="733" t="s">
        <v>67</v>
      </c>
      <c r="B148" s="733"/>
      <c r="C148" s="137">
        <v>6.1666699999999999</v>
      </c>
      <c r="D148" s="138">
        <v>1</v>
      </c>
      <c r="E148" s="139">
        <f>$E$29</f>
        <v>0</v>
      </c>
      <c r="F148" s="139">
        <f>Dies!$C$50</f>
        <v>20</v>
      </c>
      <c r="G148" s="273">
        <f>+D148*E148*F148</f>
        <v>0</v>
      </c>
      <c r="H148" s="273"/>
      <c r="I148" s="273"/>
      <c r="J148" s="273"/>
      <c r="K148" s="320">
        <f>$K$136</f>
        <v>0</v>
      </c>
      <c r="L148" s="237">
        <f>+K148/C148</f>
        <v>0</v>
      </c>
      <c r="M148" s="238" t="str">
        <f>+M96</f>
        <v>Tarda</v>
      </c>
      <c r="N148" s="238"/>
      <c r="O148" s="239">
        <f>+K148*G148</f>
        <v>0</v>
      </c>
    </row>
    <row r="149" spans="1:15" s="153" customFormat="1" x14ac:dyDescent="0.25">
      <c r="A149" s="229" t="s">
        <v>199</v>
      </c>
      <c r="B149" s="242"/>
      <c r="C149" s="243"/>
      <c r="D149" s="244"/>
      <c r="E149" s="245"/>
      <c r="F149" s="245"/>
      <c r="G149" s="246"/>
      <c r="H149" s="246"/>
      <c r="I149" s="247"/>
      <c r="J149" s="247"/>
      <c r="K149" s="247"/>
      <c r="L149" s="247"/>
      <c r="M149" s="245"/>
      <c r="N149" s="245"/>
      <c r="O149" s="248"/>
    </row>
    <row r="150" spans="1:15" s="153" customFormat="1" x14ac:dyDescent="0.25">
      <c r="A150" s="782" t="s">
        <v>195</v>
      </c>
      <c r="B150" s="782"/>
      <c r="C150" s="137"/>
      <c r="D150" s="138"/>
      <c r="E150" s="139"/>
      <c r="F150" s="234"/>
      <c r="G150" s="235"/>
      <c r="H150" s="235"/>
      <c r="I150" s="235"/>
      <c r="J150" s="235"/>
      <c r="K150" s="320"/>
      <c r="L150" s="237"/>
      <c r="M150" s="238"/>
      <c r="N150" s="238"/>
      <c r="O150" s="239"/>
    </row>
    <row r="151" spans="1:15" s="153" customFormat="1" x14ac:dyDescent="0.25">
      <c r="A151" s="763" t="s">
        <v>88</v>
      </c>
      <c r="B151" s="763"/>
      <c r="C151" s="137"/>
      <c r="D151" s="138"/>
      <c r="E151" s="139"/>
      <c r="F151" s="234"/>
      <c r="G151" s="235"/>
      <c r="H151" s="235"/>
      <c r="I151" s="235"/>
      <c r="J151" s="235"/>
      <c r="K151" s="236"/>
      <c r="L151" s="236"/>
      <c r="M151" s="238"/>
      <c r="N151" s="238"/>
      <c r="O151" s="239"/>
    </row>
    <row r="152" spans="1:15" s="153" customFormat="1" x14ac:dyDescent="0.25">
      <c r="A152" s="733" t="s">
        <v>67</v>
      </c>
      <c r="B152" s="733"/>
      <c r="C152" s="137">
        <v>6.1666699999999999</v>
      </c>
      <c r="D152" s="138">
        <v>1</v>
      </c>
      <c r="E152" s="139">
        <f>$E$34</f>
        <v>0</v>
      </c>
      <c r="F152" s="139">
        <f>Dies!$C$53</f>
        <v>77</v>
      </c>
      <c r="G152" s="273">
        <f>+D152*E152*F152</f>
        <v>0</v>
      </c>
      <c r="H152" s="273"/>
      <c r="I152" s="273"/>
      <c r="J152" s="273"/>
      <c r="K152" s="320">
        <f>$K$136</f>
        <v>0</v>
      </c>
      <c r="L152" s="237">
        <f>+K152/C152</f>
        <v>0</v>
      </c>
      <c r="M152" s="238" t="str">
        <f>+M100</f>
        <v>Matí</v>
      </c>
      <c r="N152" s="238"/>
      <c r="O152" s="239">
        <f>+K152*G152</f>
        <v>0</v>
      </c>
    </row>
    <row r="153" spans="1:15" s="153" customFormat="1" x14ac:dyDescent="0.25">
      <c r="A153" s="764" t="s">
        <v>89</v>
      </c>
      <c r="B153" s="764"/>
      <c r="C153" s="180"/>
      <c r="D153" s="180"/>
      <c r="E153" s="241"/>
      <c r="F153" s="241"/>
      <c r="G153" s="664"/>
      <c r="H153" s="664"/>
      <c r="I153" s="664"/>
      <c r="J153" s="664"/>
      <c r="K153" s="664"/>
      <c r="L153" s="180"/>
      <c r="M153" s="180"/>
      <c r="N153" s="180"/>
      <c r="O153" s="180"/>
    </row>
    <row r="154" spans="1:15" s="153" customFormat="1" x14ac:dyDescent="0.25">
      <c r="A154" s="733" t="s">
        <v>67</v>
      </c>
      <c r="B154" s="733"/>
      <c r="C154" s="137">
        <v>6.1666699999999999</v>
      </c>
      <c r="D154" s="138">
        <v>1</v>
      </c>
      <c r="E154" s="139">
        <f>$E$37</f>
        <v>0</v>
      </c>
      <c r="F154" s="139">
        <f>Dies!$C$53</f>
        <v>77</v>
      </c>
      <c r="G154" s="273">
        <f>+D154*E154*F154</f>
        <v>0</v>
      </c>
      <c r="H154" s="273"/>
      <c r="I154" s="273"/>
      <c r="J154" s="273"/>
      <c r="K154" s="320">
        <f>$K$136</f>
        <v>0</v>
      </c>
      <c r="L154" s="237">
        <f>+K154/C154</f>
        <v>0</v>
      </c>
      <c r="M154" s="238" t="str">
        <f>+M102</f>
        <v>Tarda</v>
      </c>
      <c r="N154" s="238"/>
      <c r="O154" s="239">
        <f>+K154*G154</f>
        <v>0</v>
      </c>
    </row>
    <row r="155" spans="1:15" s="153" customFormat="1" x14ac:dyDescent="0.25">
      <c r="A155" s="762" t="s">
        <v>196</v>
      </c>
      <c r="B155" s="762"/>
      <c r="C155" s="137"/>
      <c r="D155" s="138"/>
      <c r="E155" s="147"/>
      <c r="F155" s="241"/>
      <c r="G155" s="273"/>
      <c r="H155" s="273"/>
      <c r="I155" s="273"/>
      <c r="J155" s="273"/>
      <c r="K155" s="320"/>
      <c r="L155" s="237"/>
      <c r="M155" s="238"/>
      <c r="N155" s="238"/>
      <c r="O155" s="239"/>
    </row>
    <row r="156" spans="1:15" s="153" customFormat="1" x14ac:dyDescent="0.25">
      <c r="A156" s="763" t="s">
        <v>88</v>
      </c>
      <c r="B156" s="763"/>
      <c r="C156" s="241"/>
      <c r="D156" s="241"/>
      <c r="E156" s="147"/>
      <c r="F156" s="241"/>
      <c r="G156" s="241"/>
      <c r="H156" s="241"/>
      <c r="I156" s="241"/>
      <c r="J156" s="241"/>
      <c r="K156" s="241"/>
      <c r="L156" s="234"/>
      <c r="M156" s="234"/>
      <c r="N156" s="234"/>
      <c r="O156" s="234"/>
    </row>
    <row r="157" spans="1:15" s="153" customFormat="1" x14ac:dyDescent="0.25">
      <c r="A157" s="733" t="s">
        <v>67</v>
      </c>
      <c r="B157" s="733"/>
      <c r="C157" s="137">
        <v>6.1666699999999999</v>
      </c>
      <c r="D157" s="138">
        <v>1</v>
      </c>
      <c r="E157" s="139">
        <f>$E$41</f>
        <v>0</v>
      </c>
      <c r="F157" s="139">
        <f>Dies!$C$54</f>
        <v>15</v>
      </c>
      <c r="G157" s="273">
        <f>+D157*E157*F157</f>
        <v>0</v>
      </c>
      <c r="H157" s="273"/>
      <c r="I157" s="273"/>
      <c r="J157" s="273"/>
      <c r="K157" s="320">
        <f>$K$136</f>
        <v>0</v>
      </c>
      <c r="L157" s="237">
        <f>+K157/C157</f>
        <v>0</v>
      </c>
      <c r="M157" s="238" t="str">
        <f>+M105</f>
        <v>Matí</v>
      </c>
      <c r="N157" s="238"/>
      <c r="O157" s="239">
        <f>+K157*G157</f>
        <v>0</v>
      </c>
    </row>
    <row r="158" spans="1:15" s="153" customFormat="1" x14ac:dyDescent="0.25">
      <c r="A158" s="764" t="s">
        <v>89</v>
      </c>
      <c r="B158" s="764"/>
      <c r="C158" s="180"/>
      <c r="D158" s="180"/>
      <c r="E158" s="147"/>
      <c r="F158" s="241"/>
      <c r="G158" s="664"/>
      <c r="H158" s="664"/>
      <c r="I158" s="664"/>
      <c r="J158" s="664"/>
      <c r="K158" s="664"/>
      <c r="L158" s="180"/>
      <c r="M158" s="180"/>
      <c r="N158" s="180"/>
      <c r="O158" s="180"/>
    </row>
    <row r="159" spans="1:15" s="153" customFormat="1" x14ac:dyDescent="0.25">
      <c r="A159" s="733" t="s">
        <v>67</v>
      </c>
      <c r="B159" s="733"/>
      <c r="C159" s="137">
        <v>6.1666699999999999</v>
      </c>
      <c r="D159" s="138">
        <v>1</v>
      </c>
      <c r="E159" s="139">
        <f>$E$44</f>
        <v>0</v>
      </c>
      <c r="F159" s="139">
        <f>Dies!$C$54</f>
        <v>15</v>
      </c>
      <c r="G159" s="273">
        <f>+D159*E159*F159</f>
        <v>0</v>
      </c>
      <c r="H159" s="273"/>
      <c r="I159" s="273"/>
      <c r="J159" s="273"/>
      <c r="K159" s="320">
        <f>$K$136</f>
        <v>0</v>
      </c>
      <c r="L159" s="237">
        <f>+K159/C159</f>
        <v>0</v>
      </c>
      <c r="M159" s="238" t="str">
        <f>+M107</f>
        <v>Tarda</v>
      </c>
      <c r="N159" s="238"/>
      <c r="O159" s="239">
        <f>+K159*G159</f>
        <v>0</v>
      </c>
    </row>
    <row r="160" spans="1:15" s="153" customFormat="1" x14ac:dyDescent="0.25">
      <c r="A160" s="762" t="s">
        <v>197</v>
      </c>
      <c r="B160" s="762"/>
      <c r="C160" s="180"/>
      <c r="D160" s="180"/>
      <c r="E160" s="147"/>
      <c r="F160" s="241"/>
      <c r="G160" s="664"/>
      <c r="H160" s="664"/>
      <c r="I160" s="664"/>
      <c r="J160" s="664"/>
      <c r="K160" s="664"/>
      <c r="L160" s="180"/>
      <c r="M160" s="180"/>
      <c r="N160" s="180"/>
      <c r="O160" s="180"/>
    </row>
    <row r="161" spans="1:15" s="153" customFormat="1" x14ac:dyDescent="0.25">
      <c r="A161" s="763" t="s">
        <v>88</v>
      </c>
      <c r="B161" s="763"/>
      <c r="C161" s="180"/>
      <c r="D161" s="180"/>
      <c r="E161" s="147"/>
      <c r="F161" s="241"/>
      <c r="G161" s="664"/>
      <c r="H161" s="664"/>
      <c r="I161" s="664"/>
      <c r="J161" s="664"/>
      <c r="K161" s="664"/>
      <c r="L161" s="180"/>
      <c r="M161" s="180"/>
      <c r="N161" s="180"/>
      <c r="O161" s="180"/>
    </row>
    <row r="162" spans="1:15" s="153" customFormat="1" x14ac:dyDescent="0.25">
      <c r="A162" s="733" t="s">
        <v>67</v>
      </c>
      <c r="B162" s="733"/>
      <c r="C162" s="137">
        <v>6.1666699999999999</v>
      </c>
      <c r="D162" s="138">
        <v>1</v>
      </c>
      <c r="E162" s="139">
        <f>$E$48</f>
        <v>0</v>
      </c>
      <c r="F162" s="139">
        <f>Dies!$C$55</f>
        <v>15</v>
      </c>
      <c r="G162" s="273">
        <f>+D162*E162*F162</f>
        <v>0</v>
      </c>
      <c r="H162" s="273"/>
      <c r="I162" s="273"/>
      <c r="J162" s="273"/>
      <c r="K162" s="320">
        <f>$K$136</f>
        <v>0</v>
      </c>
      <c r="L162" s="237">
        <f>+K162/C162</f>
        <v>0</v>
      </c>
      <c r="M162" s="238" t="str">
        <f>+M110</f>
        <v>Matí</v>
      </c>
      <c r="N162" s="238"/>
      <c r="O162" s="239">
        <f>+K162*G162</f>
        <v>0</v>
      </c>
    </row>
    <row r="163" spans="1:15" s="153" customFormat="1" x14ac:dyDescent="0.25">
      <c r="A163" s="764" t="s">
        <v>89</v>
      </c>
      <c r="B163" s="764"/>
      <c r="C163" s="180"/>
      <c r="D163" s="180"/>
      <c r="E163" s="147"/>
      <c r="F163" s="241"/>
      <c r="G163" s="664"/>
      <c r="H163" s="664"/>
      <c r="I163" s="664"/>
      <c r="J163" s="664"/>
      <c r="K163" s="664"/>
      <c r="L163" s="180"/>
      <c r="M163" s="180"/>
      <c r="N163" s="180"/>
      <c r="O163" s="180"/>
    </row>
    <row r="164" spans="1:15" s="153" customFormat="1" x14ac:dyDescent="0.25">
      <c r="A164" s="733" t="s">
        <v>67</v>
      </c>
      <c r="B164" s="733"/>
      <c r="C164" s="137">
        <v>6.1666699999999999</v>
      </c>
      <c r="D164" s="138">
        <v>1</v>
      </c>
      <c r="E164" s="139">
        <f>$E$51</f>
        <v>0</v>
      </c>
      <c r="F164" s="139">
        <f>Dies!$C$55</f>
        <v>15</v>
      </c>
      <c r="G164" s="273">
        <f>+D164*E164*F164</f>
        <v>0</v>
      </c>
      <c r="H164" s="273"/>
      <c r="I164" s="273"/>
      <c r="J164" s="273"/>
      <c r="K164" s="320">
        <f>$K$136</f>
        <v>0</v>
      </c>
      <c r="L164" s="237">
        <f>+K164/C164</f>
        <v>0</v>
      </c>
      <c r="M164" s="238" t="str">
        <f>+M112</f>
        <v>Tarda</v>
      </c>
      <c r="N164" s="238"/>
      <c r="O164" s="239">
        <f>+K164*G164</f>
        <v>0</v>
      </c>
    </row>
    <row r="165" spans="1:15" s="153" customFormat="1" x14ac:dyDescent="0.25">
      <c r="A165" s="229" t="s">
        <v>326</v>
      </c>
      <c r="B165" s="242"/>
      <c r="C165" s="278"/>
      <c r="D165" s="278"/>
      <c r="E165" s="278"/>
      <c r="F165" s="245"/>
      <c r="G165" s="278"/>
      <c r="H165" s="278"/>
      <c r="I165" s="278"/>
      <c r="J165" s="278"/>
      <c r="K165" s="278"/>
      <c r="L165" s="278"/>
      <c r="M165" s="278"/>
      <c r="N165" s="278"/>
      <c r="O165" s="278"/>
    </row>
    <row r="166" spans="1:15" s="153" customFormat="1" x14ac:dyDescent="0.25">
      <c r="A166" s="782" t="s">
        <v>195</v>
      </c>
      <c r="B166" s="782"/>
      <c r="C166" s="180"/>
      <c r="D166" s="180"/>
      <c r="E166" s="180"/>
      <c r="F166" s="234"/>
      <c r="G166" s="180"/>
      <c r="H166" s="180"/>
      <c r="I166" s="180"/>
      <c r="J166" s="180"/>
      <c r="K166" s="180"/>
      <c r="L166" s="180"/>
      <c r="M166" s="180"/>
      <c r="N166" s="180"/>
      <c r="O166" s="180"/>
    </row>
    <row r="167" spans="1:15" s="153" customFormat="1" x14ac:dyDescent="0.25">
      <c r="A167" s="763" t="s">
        <v>88</v>
      </c>
      <c r="B167" s="763"/>
      <c r="C167" s="180"/>
      <c r="D167" s="180"/>
      <c r="E167" s="180"/>
      <c r="F167" s="234"/>
      <c r="G167" s="180"/>
      <c r="H167" s="180"/>
      <c r="I167" s="180"/>
      <c r="J167" s="180"/>
      <c r="K167" s="180"/>
      <c r="L167" s="180"/>
      <c r="M167" s="180"/>
      <c r="N167" s="180"/>
      <c r="O167" s="180"/>
    </row>
    <row r="168" spans="1:15" s="153" customFormat="1" x14ac:dyDescent="0.25">
      <c r="A168" s="733" t="s">
        <v>67</v>
      </c>
      <c r="B168" s="733"/>
      <c r="C168" s="137">
        <v>6.1666699999999999</v>
      </c>
      <c r="D168" s="138">
        <v>1</v>
      </c>
      <c r="E168" s="139">
        <f>$E$56</f>
        <v>0</v>
      </c>
      <c r="F168" s="139">
        <f>Dies!$C$58</f>
        <v>89</v>
      </c>
      <c r="G168" s="273">
        <f>+D168*E168*F168</f>
        <v>0</v>
      </c>
      <c r="H168" s="273"/>
      <c r="I168" s="273"/>
      <c r="J168" s="273"/>
      <c r="K168" s="320">
        <f>$K$136</f>
        <v>0</v>
      </c>
      <c r="L168" s="237">
        <f>+K168/C168</f>
        <v>0</v>
      </c>
      <c r="M168" s="238" t="str">
        <f>+M116</f>
        <v>Matí</v>
      </c>
      <c r="N168" s="238"/>
      <c r="O168" s="239">
        <f>+K168*G168</f>
        <v>0</v>
      </c>
    </row>
    <row r="169" spans="1:15" s="153" customFormat="1" x14ac:dyDescent="0.25">
      <c r="A169" s="764" t="s">
        <v>89</v>
      </c>
      <c r="B169" s="764"/>
      <c r="C169" s="180"/>
      <c r="D169" s="180"/>
      <c r="E169" s="147"/>
      <c r="F169" s="241"/>
      <c r="G169" s="664"/>
      <c r="H169" s="664"/>
      <c r="I169" s="664"/>
      <c r="J169" s="664"/>
      <c r="K169" s="664"/>
      <c r="L169" s="180"/>
      <c r="M169" s="180"/>
      <c r="N169" s="180"/>
      <c r="O169" s="180"/>
    </row>
    <row r="170" spans="1:15" s="153" customFormat="1" x14ac:dyDescent="0.25">
      <c r="A170" s="733" t="s">
        <v>67</v>
      </c>
      <c r="B170" s="733"/>
      <c r="C170" s="137">
        <v>6.1666699999999999</v>
      </c>
      <c r="D170" s="138">
        <v>1</v>
      </c>
      <c r="E170" s="139">
        <f>$E$59</f>
        <v>0</v>
      </c>
      <c r="F170" s="139">
        <f>Dies!$C$58</f>
        <v>89</v>
      </c>
      <c r="G170" s="273">
        <f>+D170*E170*F170</f>
        <v>0</v>
      </c>
      <c r="H170" s="273"/>
      <c r="I170" s="273"/>
      <c r="J170" s="273"/>
      <c r="K170" s="320">
        <f>$K$136</f>
        <v>0</v>
      </c>
      <c r="L170" s="237">
        <f>+K170/C170</f>
        <v>0</v>
      </c>
      <c r="M170" s="238" t="str">
        <f>+M118</f>
        <v>Tarda</v>
      </c>
      <c r="N170" s="238"/>
      <c r="O170" s="239">
        <f>+K170*G170</f>
        <v>0</v>
      </c>
    </row>
    <row r="171" spans="1:15" s="153" customFormat="1" x14ac:dyDescent="0.25">
      <c r="A171" s="762" t="s">
        <v>196</v>
      </c>
      <c r="B171" s="762"/>
      <c r="C171" s="234"/>
      <c r="D171" s="234"/>
      <c r="E171" s="147"/>
      <c r="F171" s="241"/>
      <c r="G171" s="241"/>
      <c r="H171" s="241"/>
      <c r="I171" s="241"/>
      <c r="J171" s="241"/>
      <c r="K171" s="241"/>
      <c r="L171" s="234"/>
      <c r="M171" s="234"/>
      <c r="N171" s="234"/>
      <c r="O171" s="234"/>
    </row>
    <row r="172" spans="1:15" s="153" customFormat="1" x14ac:dyDescent="0.25">
      <c r="A172" s="763" t="s">
        <v>88</v>
      </c>
      <c r="B172" s="763"/>
      <c r="C172" s="234"/>
      <c r="D172" s="234"/>
      <c r="E172" s="147"/>
      <c r="F172" s="241"/>
      <c r="G172" s="241"/>
      <c r="H172" s="241"/>
      <c r="I172" s="241"/>
      <c r="J172" s="241"/>
      <c r="K172" s="241"/>
      <c r="L172" s="234"/>
      <c r="M172" s="234"/>
      <c r="N172" s="234"/>
      <c r="O172" s="234"/>
    </row>
    <row r="173" spans="1:15" s="153" customFormat="1" x14ac:dyDescent="0.25">
      <c r="A173" s="733" t="s">
        <v>67</v>
      </c>
      <c r="B173" s="733"/>
      <c r="C173" s="137">
        <v>6.1666699999999999</v>
      </c>
      <c r="D173" s="138">
        <v>1</v>
      </c>
      <c r="E173" s="139">
        <f>$E$63</f>
        <v>0</v>
      </c>
      <c r="F173" s="139">
        <f>Dies!$C$59</f>
        <v>17</v>
      </c>
      <c r="G173" s="273">
        <f>+D173*E173*F173</f>
        <v>0</v>
      </c>
      <c r="H173" s="273"/>
      <c r="I173" s="273"/>
      <c r="J173" s="273"/>
      <c r="K173" s="320">
        <f>$K$136</f>
        <v>0</v>
      </c>
      <c r="L173" s="237">
        <f>+K173/C173</f>
        <v>0</v>
      </c>
      <c r="M173" s="238" t="str">
        <f>+M121</f>
        <v>Matí</v>
      </c>
      <c r="N173" s="238"/>
      <c r="O173" s="239">
        <f>+K173*G173</f>
        <v>0</v>
      </c>
    </row>
    <row r="174" spans="1:15" s="153" customFormat="1" x14ac:dyDescent="0.25">
      <c r="A174" s="764" t="s">
        <v>89</v>
      </c>
      <c r="B174" s="764"/>
      <c r="C174" s="234"/>
      <c r="D174" s="234"/>
      <c r="E174" s="147"/>
      <c r="F174" s="241"/>
      <c r="G174" s="241"/>
      <c r="H174" s="241"/>
      <c r="I174" s="241"/>
      <c r="J174" s="241"/>
      <c r="K174" s="241"/>
      <c r="L174" s="234"/>
      <c r="M174" s="234"/>
      <c r="N174" s="234"/>
      <c r="O174" s="234"/>
    </row>
    <row r="175" spans="1:15" s="153" customFormat="1" x14ac:dyDescent="0.25">
      <c r="A175" s="733" t="s">
        <v>67</v>
      </c>
      <c r="B175" s="733"/>
      <c r="C175" s="137">
        <v>6.1666699999999999</v>
      </c>
      <c r="D175" s="138">
        <v>1</v>
      </c>
      <c r="E175" s="139">
        <f>$E$66</f>
        <v>0</v>
      </c>
      <c r="F175" s="139">
        <f>Dies!$C$59</f>
        <v>17</v>
      </c>
      <c r="G175" s="273">
        <f>+D175*E175*F175</f>
        <v>0</v>
      </c>
      <c r="H175" s="273"/>
      <c r="I175" s="273"/>
      <c r="J175" s="273"/>
      <c r="K175" s="320">
        <f>$K$136</f>
        <v>0</v>
      </c>
      <c r="L175" s="237">
        <f>+K175/C175</f>
        <v>0</v>
      </c>
      <c r="M175" s="238" t="str">
        <f>+M123</f>
        <v>Tarda</v>
      </c>
      <c r="N175" s="238"/>
      <c r="O175" s="239">
        <f>+K175*G175</f>
        <v>0</v>
      </c>
    </row>
    <row r="176" spans="1:15" s="153" customFormat="1" x14ac:dyDescent="0.25">
      <c r="A176" s="762" t="s">
        <v>197</v>
      </c>
      <c r="B176" s="762"/>
      <c r="C176" s="234"/>
      <c r="D176" s="234"/>
      <c r="E176" s="147"/>
      <c r="F176" s="241"/>
      <c r="G176" s="241"/>
      <c r="H176" s="241"/>
      <c r="I176" s="241"/>
      <c r="J176" s="241"/>
      <c r="K176" s="241"/>
      <c r="L176" s="234"/>
      <c r="M176" s="234"/>
      <c r="N176" s="234"/>
      <c r="O176" s="234"/>
    </row>
    <row r="177" spans="1:15" s="153" customFormat="1" x14ac:dyDescent="0.25">
      <c r="A177" s="763" t="s">
        <v>88</v>
      </c>
      <c r="B177" s="763"/>
      <c r="C177" s="234"/>
      <c r="D177" s="234"/>
      <c r="E177" s="147"/>
      <c r="F177" s="241"/>
      <c r="G177" s="241"/>
      <c r="H177" s="241"/>
      <c r="I177" s="241"/>
      <c r="J177" s="241"/>
      <c r="K177" s="241"/>
      <c r="L177" s="234"/>
      <c r="M177" s="234"/>
      <c r="N177" s="234"/>
      <c r="O177" s="234"/>
    </row>
    <row r="178" spans="1:15" s="153" customFormat="1" x14ac:dyDescent="0.25">
      <c r="A178" s="733" t="s">
        <v>67</v>
      </c>
      <c r="B178" s="733"/>
      <c r="C178" s="137">
        <v>6.1666699999999999</v>
      </c>
      <c r="D178" s="138">
        <v>1</v>
      </c>
      <c r="E178" s="139">
        <f>$E$70</f>
        <v>0</v>
      </c>
      <c r="F178" s="139">
        <f>Dies!$C$60</f>
        <v>17</v>
      </c>
      <c r="G178" s="273">
        <f>+D178*E178*F178</f>
        <v>0</v>
      </c>
      <c r="H178" s="273"/>
      <c r="I178" s="273"/>
      <c r="J178" s="273"/>
      <c r="K178" s="320">
        <f>$K$136</f>
        <v>0</v>
      </c>
      <c r="L178" s="237">
        <f>+K178/C178</f>
        <v>0</v>
      </c>
      <c r="M178" s="238" t="str">
        <f>+M126</f>
        <v>Matí</v>
      </c>
      <c r="N178" s="238"/>
      <c r="O178" s="239">
        <f>+K178*G178</f>
        <v>0</v>
      </c>
    </row>
    <row r="179" spans="1:15" s="153" customFormat="1" x14ac:dyDescent="0.25">
      <c r="A179" s="764" t="s">
        <v>89</v>
      </c>
      <c r="B179" s="764"/>
      <c r="C179" s="180"/>
      <c r="D179" s="180"/>
      <c r="E179" s="241"/>
      <c r="F179" s="241"/>
      <c r="G179" s="664"/>
      <c r="H179" s="664"/>
      <c r="I179" s="664"/>
      <c r="J179" s="664"/>
      <c r="K179" s="664"/>
      <c r="L179" s="180"/>
      <c r="M179" s="180"/>
      <c r="N179" s="180"/>
      <c r="O179" s="180"/>
    </row>
    <row r="180" spans="1:15" s="153" customFormat="1" x14ac:dyDescent="0.25">
      <c r="A180" s="733" t="s">
        <v>67</v>
      </c>
      <c r="B180" s="733"/>
      <c r="C180" s="137">
        <v>6.1666699999999999</v>
      </c>
      <c r="D180" s="138">
        <v>1</v>
      </c>
      <c r="E180" s="139">
        <f>$E$73</f>
        <v>0</v>
      </c>
      <c r="F180" s="139">
        <f>Dies!$C$60</f>
        <v>17</v>
      </c>
      <c r="G180" s="273">
        <f>+D180*E180*F180</f>
        <v>0</v>
      </c>
      <c r="H180" s="273"/>
      <c r="I180" s="273"/>
      <c r="J180" s="273"/>
      <c r="K180" s="320">
        <f>$K$136</f>
        <v>0</v>
      </c>
      <c r="L180" s="237">
        <f>+K180/C180</f>
        <v>0</v>
      </c>
      <c r="M180" s="238" t="str">
        <f>+M128</f>
        <v>Tarda</v>
      </c>
      <c r="N180" s="238"/>
      <c r="O180" s="239">
        <f>+K180*G180</f>
        <v>0</v>
      </c>
    </row>
    <row r="181" spans="1:15" x14ac:dyDescent="0.25">
      <c r="A181" s="402"/>
      <c r="B181" s="324"/>
      <c r="C181" s="324"/>
      <c r="D181" s="324"/>
      <c r="E181" s="323" t="s">
        <v>47</v>
      </c>
      <c r="F181" s="324"/>
      <c r="G181" s="324"/>
      <c r="H181" s="324"/>
      <c r="I181" s="324"/>
      <c r="J181" s="324"/>
      <c r="K181" s="324"/>
      <c r="L181" s="324"/>
      <c r="M181" s="324"/>
      <c r="N181" s="324"/>
      <c r="O181" s="403">
        <f>SUM(O136:O180)</f>
        <v>0</v>
      </c>
    </row>
    <row r="182" spans="1:15" s="153" customFormat="1" ht="26.25" x14ac:dyDescent="0.4">
      <c r="A182" s="259" t="s">
        <v>272</v>
      </c>
      <c r="B182" s="221"/>
      <c r="C182" s="221"/>
      <c r="D182" s="223"/>
      <c r="E182" s="223"/>
      <c r="F182" s="223"/>
      <c r="G182" s="223"/>
      <c r="H182" s="223"/>
      <c r="I182" s="223"/>
      <c r="J182" s="223"/>
      <c r="K182" s="224"/>
      <c r="L182" s="224"/>
      <c r="M182" s="224"/>
      <c r="N182" s="224"/>
      <c r="O182" s="435"/>
    </row>
    <row r="183" spans="1:15" s="281" customFormat="1" x14ac:dyDescent="0.25">
      <c r="A183" s="797" t="s">
        <v>20</v>
      </c>
      <c r="B183" s="773"/>
      <c r="C183" s="773" t="s">
        <v>27</v>
      </c>
      <c r="D183" s="773" t="s">
        <v>28</v>
      </c>
      <c r="E183" s="773" t="s">
        <v>21</v>
      </c>
      <c r="F183" s="773" t="s">
        <v>23</v>
      </c>
      <c r="G183" s="773" t="s">
        <v>22</v>
      </c>
      <c r="H183" s="414"/>
      <c r="I183" s="414"/>
      <c r="J183" s="414"/>
      <c r="K183" s="773" t="s">
        <v>79</v>
      </c>
      <c r="L183" s="414"/>
      <c r="M183" s="773"/>
      <c r="N183" s="773" t="s">
        <v>80</v>
      </c>
      <c r="O183" s="799" t="s">
        <v>32</v>
      </c>
    </row>
    <row r="184" spans="1:15" s="281" customFormat="1" x14ac:dyDescent="0.25">
      <c r="A184" s="779"/>
      <c r="B184" s="768"/>
      <c r="C184" s="768" t="s">
        <v>44</v>
      </c>
      <c r="D184" s="768" t="s">
        <v>5</v>
      </c>
      <c r="E184" s="768" t="s">
        <v>24</v>
      </c>
      <c r="F184" s="768" t="s">
        <v>81</v>
      </c>
      <c r="G184" s="768" t="s">
        <v>82</v>
      </c>
      <c r="H184" s="280"/>
      <c r="I184" s="280"/>
      <c r="J184" s="280"/>
      <c r="K184" s="768" t="s">
        <v>28</v>
      </c>
      <c r="L184" s="280"/>
      <c r="M184" s="768"/>
      <c r="N184" s="768" t="s">
        <v>83</v>
      </c>
      <c r="O184" s="766" t="s">
        <v>40</v>
      </c>
    </row>
    <row r="185" spans="1:15" x14ac:dyDescent="0.25">
      <c r="A185" s="733" t="s">
        <v>311</v>
      </c>
      <c r="B185" s="733"/>
      <c r="C185" s="137">
        <v>6.1666699999999999</v>
      </c>
      <c r="D185" s="138">
        <v>0.5</v>
      </c>
      <c r="E185" s="139">
        <v>1</v>
      </c>
      <c r="F185" s="283">
        <f>Inversions!H13</f>
        <v>17715</v>
      </c>
      <c r="G185" s="273">
        <v>8</v>
      </c>
      <c r="H185" s="273"/>
      <c r="I185" s="273"/>
      <c r="J185" s="273"/>
      <c r="K185" s="284">
        <f>Paràmetres!$C$4</f>
        <v>0</v>
      </c>
      <c r="L185" s="284"/>
      <c r="M185" s="139"/>
      <c r="N185" s="140">
        <f>-12*PMT(K185/12,G185*12,F185)</f>
        <v>2214.375</v>
      </c>
      <c r="O185" s="144">
        <f>E185*N185*D185</f>
        <v>1107.1875</v>
      </c>
    </row>
    <row r="186" spans="1:15" s="281" customFormat="1" x14ac:dyDescent="0.25">
      <c r="A186" s="438"/>
      <c r="B186" s="411"/>
      <c r="C186" s="411"/>
      <c r="D186" s="411"/>
      <c r="E186" s="412"/>
      <c r="F186" s="412" t="s">
        <v>84</v>
      </c>
      <c r="G186" s="411"/>
      <c r="H186" s="411"/>
      <c r="I186" s="411"/>
      <c r="J186" s="411"/>
      <c r="K186" s="411"/>
      <c r="L186" s="411"/>
      <c r="M186" s="411"/>
      <c r="N186" s="411"/>
      <c r="O186" s="439">
        <f>SUM(O185:O185)</f>
        <v>1107.1875</v>
      </c>
    </row>
    <row r="187" spans="1:15" s="5" customFormat="1" ht="26.25" x14ac:dyDescent="0.4">
      <c r="A187" s="440" t="s">
        <v>213</v>
      </c>
      <c r="B187" s="416"/>
      <c r="C187" s="416"/>
      <c r="D187" s="417"/>
      <c r="E187" s="417"/>
      <c r="F187" s="417"/>
      <c r="G187" s="417"/>
      <c r="H187" s="417"/>
      <c r="I187" s="417"/>
      <c r="J187" s="417"/>
      <c r="K187" s="418"/>
      <c r="L187" s="418"/>
      <c r="M187" s="418"/>
      <c r="N187" s="418"/>
      <c r="O187" s="441"/>
    </row>
    <row r="188" spans="1:15" s="281" customFormat="1" x14ac:dyDescent="0.25">
      <c r="A188" s="800" t="s">
        <v>20</v>
      </c>
      <c r="B188" s="792"/>
      <c r="C188" s="420" t="s">
        <v>27</v>
      </c>
      <c r="D188" s="420" t="s">
        <v>28</v>
      </c>
      <c r="E188" s="420" t="s">
        <v>21</v>
      </c>
      <c r="F188" s="420"/>
      <c r="G188" s="420"/>
      <c r="H188" s="420"/>
      <c r="I188" s="420"/>
      <c r="J188" s="420"/>
      <c r="K188" s="420" t="s">
        <v>100</v>
      </c>
      <c r="L188" s="420"/>
      <c r="M188" s="420"/>
      <c r="N188" s="420"/>
      <c r="O188" s="442" t="s">
        <v>32</v>
      </c>
    </row>
    <row r="189" spans="1:15" s="281" customFormat="1" x14ac:dyDescent="0.25">
      <c r="A189" s="801"/>
      <c r="B189" s="802"/>
      <c r="C189" s="443" t="s">
        <v>44</v>
      </c>
      <c r="D189" s="443" t="s">
        <v>5</v>
      </c>
      <c r="E189" s="443" t="s">
        <v>24</v>
      </c>
      <c r="F189" s="444"/>
      <c r="G189" s="443"/>
      <c r="H189" s="443"/>
      <c r="I189" s="443"/>
      <c r="J189" s="443"/>
      <c r="K189" s="443" t="s">
        <v>101</v>
      </c>
      <c r="L189" s="443"/>
      <c r="M189" s="443"/>
      <c r="N189" s="443"/>
      <c r="O189" s="445" t="s">
        <v>40</v>
      </c>
    </row>
    <row r="190" spans="1:15" s="281" customFormat="1" x14ac:dyDescent="0.25">
      <c r="A190" s="733" t="s">
        <v>311</v>
      </c>
      <c r="B190" s="733"/>
      <c r="C190" s="137">
        <v>6.1666699999999999</v>
      </c>
      <c r="D190" s="138">
        <v>0.5</v>
      </c>
      <c r="E190" s="372">
        <f>+E185</f>
        <v>1</v>
      </c>
      <c r="F190" s="302"/>
      <c r="G190" s="303"/>
      <c r="H190" s="303"/>
      <c r="I190" s="303"/>
      <c r="J190" s="303"/>
      <c r="K190" s="304">
        <f>'Seguro+combustible+reparacions'!E10*D190</f>
        <v>0</v>
      </c>
      <c r="L190" s="304"/>
      <c r="M190" s="303"/>
      <c r="N190" s="302"/>
      <c r="O190" s="239">
        <f>E190*K190</f>
        <v>0</v>
      </c>
    </row>
    <row r="191" spans="1:15" s="281" customFormat="1" x14ac:dyDescent="0.25">
      <c r="A191" s="446"/>
      <c r="B191" s="447"/>
      <c r="C191" s="447"/>
      <c r="D191" s="447"/>
      <c r="E191" s="448"/>
      <c r="F191" s="448" t="s">
        <v>85</v>
      </c>
      <c r="G191" s="447"/>
      <c r="H191" s="447"/>
      <c r="I191" s="447"/>
      <c r="J191" s="447"/>
      <c r="K191" s="447"/>
      <c r="L191" s="447"/>
      <c r="M191" s="447"/>
      <c r="N191" s="447"/>
      <c r="O191" s="449">
        <f>SUM(O190:O190)</f>
        <v>0</v>
      </c>
    </row>
    <row r="192" spans="1:15" s="281" customFormat="1" ht="26.25" x14ac:dyDescent="0.4">
      <c r="A192" s="285" t="s">
        <v>420</v>
      </c>
      <c r="B192" s="286"/>
      <c r="C192" s="286"/>
      <c r="D192" s="287"/>
      <c r="E192" s="287"/>
      <c r="F192" s="287"/>
      <c r="G192" s="287"/>
      <c r="H192" s="287"/>
      <c r="I192" s="287"/>
      <c r="J192" s="287"/>
      <c r="K192" s="288"/>
      <c r="L192" s="288"/>
      <c r="M192" s="288"/>
      <c r="N192" s="288"/>
      <c r="O192" s="289"/>
    </row>
    <row r="193" spans="1:15" s="281" customFormat="1" x14ac:dyDescent="0.25">
      <c r="A193" s="758" t="s">
        <v>225</v>
      </c>
      <c r="B193" s="759"/>
      <c r="C193" s="290"/>
      <c r="D193" s="290" t="s">
        <v>28</v>
      </c>
      <c r="E193" s="290"/>
      <c r="F193" s="290"/>
      <c r="G193" s="290"/>
      <c r="H193" s="290"/>
      <c r="I193" s="290"/>
      <c r="J193" s="290"/>
      <c r="K193" s="290" t="s">
        <v>100</v>
      </c>
      <c r="L193" s="290"/>
      <c r="M193" s="290"/>
      <c r="N193" s="290"/>
      <c r="O193" s="291" t="s">
        <v>32</v>
      </c>
    </row>
    <row r="194" spans="1:15" s="281" customFormat="1" x14ac:dyDescent="0.25">
      <c r="A194" s="760"/>
      <c r="B194" s="761"/>
      <c r="C194" s="292"/>
      <c r="D194" s="292" t="s">
        <v>5</v>
      </c>
      <c r="E194" s="290" t="s">
        <v>21</v>
      </c>
      <c r="F194" s="293"/>
      <c r="G194" s="292"/>
      <c r="H194" s="292"/>
      <c r="I194" s="292"/>
      <c r="J194" s="292"/>
      <c r="K194" s="292" t="s">
        <v>238</v>
      </c>
      <c r="L194" s="292"/>
      <c r="M194" s="292"/>
      <c r="N194" s="292"/>
      <c r="O194" s="294" t="s">
        <v>40</v>
      </c>
    </row>
    <row r="195" spans="1:15" s="281" customFormat="1" x14ac:dyDescent="0.25">
      <c r="A195" s="733" t="s">
        <v>245</v>
      </c>
      <c r="B195" s="733"/>
      <c r="C195" s="137"/>
      <c r="D195" s="138">
        <v>1</v>
      </c>
      <c r="E195" s="650">
        <f>I75</f>
        <v>0</v>
      </c>
      <c r="F195" s="373"/>
      <c r="G195" s="372"/>
      <c r="H195" s="372"/>
      <c r="I195" s="372"/>
      <c r="J195" s="372"/>
      <c r="K195" s="650">
        <f>Consumibles!E46</f>
        <v>0</v>
      </c>
      <c r="L195" s="304"/>
      <c r="M195" s="303"/>
      <c r="N195" s="302"/>
      <c r="O195" s="239">
        <f>E195*K195</f>
        <v>0</v>
      </c>
    </row>
    <row r="196" spans="1:15" s="281" customFormat="1" x14ac:dyDescent="0.25">
      <c r="A196" s="733" t="s">
        <v>226</v>
      </c>
      <c r="B196" s="733"/>
      <c r="C196" s="137"/>
      <c r="D196" s="138">
        <v>1</v>
      </c>
      <c r="E196" s="650">
        <v>1500</v>
      </c>
      <c r="F196" s="373"/>
      <c r="G196" s="372"/>
      <c r="H196" s="372"/>
      <c r="I196" s="372"/>
      <c r="J196" s="372"/>
      <c r="K196" s="650">
        <f>Consumibles!E21</f>
        <v>0</v>
      </c>
      <c r="L196" s="304"/>
      <c r="M196" s="303"/>
      <c r="N196" s="302"/>
      <c r="O196" s="239">
        <f>E196*K196</f>
        <v>0</v>
      </c>
    </row>
    <row r="197" spans="1:15" s="281" customFormat="1" x14ac:dyDescent="0.25">
      <c r="A197" s="733" t="s">
        <v>237</v>
      </c>
      <c r="B197" s="733"/>
      <c r="C197" s="137"/>
      <c r="D197" s="138">
        <v>1</v>
      </c>
      <c r="E197" s="372">
        <v>0</v>
      </c>
      <c r="F197" s="373"/>
      <c r="G197" s="372"/>
      <c r="H197" s="372"/>
      <c r="I197" s="372"/>
      <c r="J197" s="372"/>
      <c r="K197" s="650">
        <f>Consumibles!E22</f>
        <v>0</v>
      </c>
      <c r="L197" s="304"/>
      <c r="M197" s="303"/>
      <c r="N197" s="302"/>
      <c r="O197" s="239">
        <f t="shared" ref="O197:O200" si="13">E197*K197</f>
        <v>0</v>
      </c>
    </row>
    <row r="198" spans="1:15" s="281" customFormat="1" x14ac:dyDescent="0.25">
      <c r="A198" s="733" t="s">
        <v>234</v>
      </c>
      <c r="B198" s="733"/>
      <c r="C198" s="137"/>
      <c r="D198" s="138">
        <v>1</v>
      </c>
      <c r="E198" s="372">
        <v>50</v>
      </c>
      <c r="F198" s="373"/>
      <c r="G198" s="372"/>
      <c r="H198" s="372"/>
      <c r="I198" s="372"/>
      <c r="J198" s="372"/>
      <c r="K198" s="650">
        <f>Consumibles!E23</f>
        <v>0</v>
      </c>
      <c r="L198" s="304"/>
      <c r="M198" s="303"/>
      <c r="N198" s="302"/>
      <c r="O198" s="239">
        <f t="shared" si="13"/>
        <v>0</v>
      </c>
    </row>
    <row r="199" spans="1:15" s="281" customFormat="1" x14ac:dyDescent="0.25">
      <c r="A199" s="733" t="s">
        <v>235</v>
      </c>
      <c r="B199" s="733"/>
      <c r="C199" s="137"/>
      <c r="D199" s="138">
        <v>1</v>
      </c>
      <c r="E199" s="372">
        <v>80</v>
      </c>
      <c r="F199" s="373"/>
      <c r="G199" s="372"/>
      <c r="H199" s="372"/>
      <c r="I199" s="372"/>
      <c r="J199" s="372"/>
      <c r="K199" s="650">
        <f>Consumibles!E24</f>
        <v>0</v>
      </c>
      <c r="L199" s="304"/>
      <c r="M199" s="303"/>
      <c r="N199" s="302"/>
      <c r="O199" s="239">
        <f t="shared" si="13"/>
        <v>0</v>
      </c>
    </row>
    <row r="200" spans="1:15" s="281" customFormat="1" x14ac:dyDescent="0.25">
      <c r="A200" s="733" t="s">
        <v>236</v>
      </c>
      <c r="B200" s="733"/>
      <c r="C200" s="137"/>
      <c r="D200" s="138">
        <v>1</v>
      </c>
      <c r="E200" s="372">
        <v>20</v>
      </c>
      <c r="F200" s="373"/>
      <c r="G200" s="372"/>
      <c r="H200" s="372"/>
      <c r="I200" s="372"/>
      <c r="J200" s="372"/>
      <c r="K200" s="650">
        <f>Consumibles!E25</f>
        <v>0</v>
      </c>
      <c r="L200" s="304"/>
      <c r="M200" s="303"/>
      <c r="N200" s="302"/>
      <c r="O200" s="239">
        <f t="shared" si="13"/>
        <v>0</v>
      </c>
    </row>
    <row r="201" spans="1:15" s="281" customFormat="1" x14ac:dyDescent="0.25">
      <c r="A201" s="254"/>
      <c r="B201" s="255"/>
      <c r="C201" s="255"/>
      <c r="D201" s="255"/>
      <c r="E201" s="256"/>
      <c r="F201" s="256" t="s">
        <v>224</v>
      </c>
      <c r="G201" s="255"/>
      <c r="H201" s="255"/>
      <c r="I201" s="255"/>
      <c r="J201" s="255"/>
      <c r="K201" s="255"/>
      <c r="L201" s="255"/>
      <c r="M201" s="255"/>
      <c r="N201" s="255"/>
      <c r="O201" s="257">
        <f>SUM(O195:O200)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307" t="s">
        <v>271</v>
      </c>
      <c r="G203" s="308"/>
      <c r="H203" s="308"/>
      <c r="I203" s="308"/>
      <c r="J203" s="308"/>
      <c r="K203" s="308"/>
      <c r="L203" s="308"/>
      <c r="M203" s="316"/>
      <c r="N203" s="316"/>
      <c r="O203" s="317">
        <f>+O75+O129+O181+O191+O201</f>
        <v>0</v>
      </c>
    </row>
    <row r="204" spans="1:15" ht="6" customHeight="1" x14ac:dyDescent="0.25">
      <c r="A204" s="218"/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310"/>
    </row>
    <row r="205" spans="1:15" x14ac:dyDescent="0.25">
      <c r="A205" s="218"/>
      <c r="B205" s="218"/>
      <c r="C205" s="218"/>
      <c r="D205" s="218"/>
      <c r="E205" s="218"/>
      <c r="F205" s="311" t="s">
        <v>3</v>
      </c>
      <c r="G205" s="312"/>
      <c r="H205" s="312"/>
      <c r="I205" s="312"/>
      <c r="J205" s="312"/>
      <c r="K205" s="312"/>
      <c r="L205" s="312"/>
      <c r="M205" s="652">
        <f>Paràmetres!C6</f>
        <v>0</v>
      </c>
      <c r="N205" s="312"/>
      <c r="O205" s="313">
        <f>+O203*M205</f>
        <v>0</v>
      </c>
    </row>
    <row r="206" spans="1:15" x14ac:dyDescent="0.25">
      <c r="A206" s="218"/>
      <c r="B206" s="218"/>
      <c r="C206" s="218"/>
      <c r="D206" s="218"/>
      <c r="E206" s="218"/>
      <c r="F206" s="312"/>
      <c r="G206" s="312"/>
      <c r="H206" s="312"/>
      <c r="I206" s="312"/>
      <c r="J206" s="312"/>
      <c r="K206" s="312"/>
      <c r="L206" s="312"/>
      <c r="M206" s="314"/>
      <c r="N206" s="312"/>
      <c r="O206" s="313"/>
    </row>
    <row r="207" spans="1:15" x14ac:dyDescent="0.25">
      <c r="A207" s="218"/>
      <c r="B207" s="218"/>
      <c r="C207" s="218"/>
      <c r="D207" s="218"/>
      <c r="E207" s="218"/>
      <c r="F207" s="311" t="s">
        <v>2</v>
      </c>
      <c r="G207" s="312"/>
      <c r="H207" s="312"/>
      <c r="I207" s="312"/>
      <c r="J207" s="312"/>
      <c r="K207" s="312"/>
      <c r="L207" s="312"/>
      <c r="M207" s="652">
        <f>Paràmetres!C5</f>
        <v>0</v>
      </c>
      <c r="N207" s="312"/>
      <c r="O207" s="313">
        <f>+O203*M207</f>
        <v>0</v>
      </c>
    </row>
    <row r="208" spans="1:15" x14ac:dyDescent="0.25">
      <c r="A208" s="218"/>
      <c r="B208" s="218"/>
      <c r="C208" s="218"/>
      <c r="D208" s="218"/>
      <c r="E208" s="218"/>
      <c r="F208" s="312"/>
      <c r="G208" s="312"/>
      <c r="H208" s="312"/>
      <c r="I208" s="312"/>
      <c r="J208" s="312"/>
      <c r="K208" s="312"/>
      <c r="L208" s="312"/>
      <c r="M208" s="314"/>
      <c r="N208" s="312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48</v>
      </c>
      <c r="G209" s="312"/>
      <c r="H209" s="312"/>
      <c r="I209" s="312"/>
      <c r="J209" s="312"/>
      <c r="K209" s="312"/>
      <c r="L209" s="312"/>
      <c r="M209" s="314"/>
      <c r="N209" s="312"/>
      <c r="O209" s="313">
        <f>+O203*M209</f>
        <v>0</v>
      </c>
    </row>
    <row r="210" spans="1:15" x14ac:dyDescent="0.25">
      <c r="A210" s="218"/>
      <c r="B210" s="218"/>
      <c r="C210" s="218"/>
      <c r="D210" s="218"/>
      <c r="E210" s="218"/>
      <c r="F210" s="312"/>
      <c r="G210" s="312"/>
      <c r="H210" s="312"/>
      <c r="I210" s="312"/>
      <c r="J210" s="312"/>
      <c r="K210" s="312"/>
      <c r="L210" s="312"/>
      <c r="M210" s="314"/>
      <c r="N210" s="312"/>
      <c r="O210" s="313"/>
    </row>
    <row r="211" spans="1:15" x14ac:dyDescent="0.25">
      <c r="A211" s="218"/>
      <c r="B211" s="218"/>
      <c r="C211" s="218"/>
      <c r="D211" s="218"/>
      <c r="E211" s="218"/>
      <c r="F211" s="311" t="s">
        <v>76</v>
      </c>
      <c r="G211" s="312"/>
      <c r="H211" s="312"/>
      <c r="I211" s="312"/>
      <c r="J211" s="312"/>
      <c r="K211" s="312"/>
      <c r="L211" s="312"/>
      <c r="M211" s="314"/>
      <c r="N211" s="312"/>
      <c r="O211" s="313">
        <f>+O203*M211</f>
        <v>0</v>
      </c>
    </row>
    <row r="212" spans="1:15" x14ac:dyDescent="0.25">
      <c r="A212" s="218"/>
      <c r="B212" s="218"/>
      <c r="C212" s="218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310"/>
    </row>
    <row r="213" spans="1:15" x14ac:dyDescent="0.25">
      <c r="A213" s="218"/>
      <c r="B213" s="218"/>
      <c r="C213" s="218"/>
      <c r="D213" s="218"/>
      <c r="E213" s="218"/>
      <c r="F213" s="315" t="s">
        <v>270</v>
      </c>
      <c r="G213" s="316"/>
      <c r="H213" s="316"/>
      <c r="I213" s="316"/>
      <c r="J213" s="316"/>
      <c r="K213" s="316"/>
      <c r="L213" s="316"/>
      <c r="M213" s="316"/>
      <c r="N213" s="316"/>
      <c r="O213" s="317">
        <f>SUM(O203:O211)+O186</f>
        <v>1107.1875</v>
      </c>
    </row>
    <row r="214" spans="1:15" x14ac:dyDescent="0.25">
      <c r="A214" s="218"/>
      <c r="B214" s="218"/>
      <c r="C214" s="218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310"/>
    </row>
    <row r="215" spans="1:15" x14ac:dyDescent="0.25">
      <c r="A215" s="218"/>
      <c r="B215" s="218"/>
      <c r="C215" s="218"/>
      <c r="D215" s="218"/>
      <c r="E215" s="218"/>
      <c r="F215" s="311" t="s">
        <v>4</v>
      </c>
      <c r="G215" s="312"/>
      <c r="H215" s="312"/>
      <c r="I215" s="312"/>
      <c r="J215" s="312"/>
      <c r="K215" s="312"/>
      <c r="L215" s="312"/>
      <c r="M215" s="314">
        <v>0.1</v>
      </c>
      <c r="N215" s="312"/>
      <c r="O215" s="313">
        <f>+O213*M215</f>
        <v>110.71875</v>
      </c>
    </row>
    <row r="216" spans="1:15" x14ac:dyDescent="0.25">
      <c r="A216" s="218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310"/>
    </row>
    <row r="217" spans="1:15" x14ac:dyDescent="0.25">
      <c r="A217" s="218"/>
      <c r="B217" s="218"/>
      <c r="C217" s="218"/>
      <c r="D217" s="218"/>
      <c r="E217" s="218"/>
      <c r="F217" s="315" t="s">
        <v>49</v>
      </c>
      <c r="G217" s="316"/>
      <c r="H217" s="316"/>
      <c r="I217" s="316"/>
      <c r="J217" s="316"/>
      <c r="K217" s="316"/>
      <c r="L217" s="316"/>
      <c r="M217" s="316"/>
      <c r="N217" s="316"/>
      <c r="O217" s="317">
        <f>+O213+O215</f>
        <v>1217.90625</v>
      </c>
    </row>
    <row r="218" spans="1:15" x14ac:dyDescent="0.25">
      <c r="A218" s="218"/>
      <c r="B218" s="218"/>
      <c r="C218" s="218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</row>
    <row r="219" spans="1:15" x14ac:dyDescent="0.25">
      <c r="A219" s="218"/>
      <c r="B219" s="218"/>
      <c r="C219" s="218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</row>
    <row r="220" spans="1:15" x14ac:dyDescent="0.25">
      <c r="A220" s="218"/>
      <c r="B220" s="218"/>
      <c r="C220" s="218"/>
      <c r="D220" s="218"/>
      <c r="E220" s="218"/>
      <c r="F220" s="315" t="s">
        <v>50</v>
      </c>
      <c r="G220" s="316"/>
      <c r="H220" s="316"/>
      <c r="I220" s="316"/>
      <c r="J220" s="316"/>
      <c r="K220" s="316"/>
      <c r="L220" s="316"/>
      <c r="M220" s="316"/>
      <c r="N220" s="316"/>
      <c r="O220" s="317" t="s">
        <v>51</v>
      </c>
    </row>
    <row r="221" spans="1:15" x14ac:dyDescent="0.25">
      <c r="A221" s="218"/>
      <c r="B221" s="218"/>
      <c r="C221" s="218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</row>
    <row r="222" spans="1:15" x14ac:dyDescent="0.25">
      <c r="A222" s="218"/>
      <c r="B222" s="218"/>
      <c r="C222" s="218"/>
      <c r="D222" s="218"/>
      <c r="E222" s="218"/>
      <c r="F222" s="218" t="s">
        <v>52</v>
      </c>
      <c r="G222" s="218"/>
      <c r="H222" s="218"/>
      <c r="I222" s="218"/>
      <c r="J222" s="218"/>
      <c r="K222" s="218"/>
      <c r="L222" s="218"/>
      <c r="M222" s="218"/>
      <c r="N222" s="218"/>
      <c r="O222" s="313">
        <f>+O75*(1+M205+M207)*(1+M215)</f>
        <v>0</v>
      </c>
    </row>
    <row r="223" spans="1:15" x14ac:dyDescent="0.25">
      <c r="A223" s="218"/>
      <c r="B223" s="218"/>
      <c r="C223" s="218"/>
      <c r="D223" s="218"/>
      <c r="E223" s="218"/>
      <c r="F223" s="218" t="s">
        <v>53</v>
      </c>
      <c r="G223" s="218"/>
      <c r="H223" s="218"/>
      <c r="I223" s="218"/>
      <c r="J223" s="218"/>
      <c r="K223" s="218"/>
      <c r="L223" s="218"/>
      <c r="M223" s="218"/>
      <c r="N223" s="218"/>
      <c r="O223" s="313">
        <f>+(O129+O181)*(1+M205+M207)*(1+M215)</f>
        <v>0</v>
      </c>
    </row>
    <row r="224" spans="1:15" x14ac:dyDescent="0.25">
      <c r="A224" s="218"/>
      <c r="B224" s="218"/>
      <c r="C224" s="218"/>
      <c r="D224" s="218"/>
      <c r="E224" s="218"/>
      <c r="F224" s="218" t="s">
        <v>54</v>
      </c>
      <c r="G224" s="218"/>
      <c r="H224" s="218"/>
      <c r="I224" s="218"/>
      <c r="J224" s="218"/>
      <c r="K224" s="218"/>
      <c r="L224" s="218"/>
      <c r="M224" s="218"/>
      <c r="N224" s="218"/>
      <c r="O224" s="313"/>
    </row>
    <row r="225" spans="1:15" x14ac:dyDescent="0.25">
      <c r="A225" s="218"/>
      <c r="B225" s="218"/>
      <c r="C225" s="218"/>
      <c r="D225" s="218"/>
      <c r="E225" s="218"/>
      <c r="F225" s="311" t="s">
        <v>55</v>
      </c>
      <c r="G225" s="312"/>
      <c r="H225" s="312"/>
      <c r="I225" s="312"/>
      <c r="J225" s="312"/>
      <c r="K225" s="312"/>
      <c r="L225" s="312"/>
      <c r="M225" s="312"/>
      <c r="N225" s="312"/>
      <c r="O225" s="313">
        <f>G75</f>
        <v>0</v>
      </c>
    </row>
    <row r="226" spans="1:15" x14ac:dyDescent="0.25">
      <c r="A226" s="218"/>
      <c r="B226" s="218"/>
      <c r="C226" s="218"/>
      <c r="D226" s="218"/>
      <c r="E226" s="218"/>
      <c r="F226" s="311" t="s">
        <v>56</v>
      </c>
      <c r="G226" s="312"/>
      <c r="H226" s="312"/>
      <c r="I226" s="312"/>
      <c r="J226" s="312"/>
      <c r="K226" s="312"/>
      <c r="L226" s="312"/>
      <c r="M226" s="312"/>
      <c r="N226" s="312"/>
      <c r="O226" s="313">
        <f>+O225*6.16667</f>
        <v>0</v>
      </c>
    </row>
    <row r="227" spans="1:15" x14ac:dyDescent="0.25">
      <c r="A227" s="218"/>
      <c r="B227" s="218"/>
      <c r="C227" s="218"/>
      <c r="D227" s="218"/>
      <c r="E227" s="218"/>
      <c r="F227" s="218" t="s">
        <v>57</v>
      </c>
      <c r="G227" s="218"/>
      <c r="H227" s="218"/>
      <c r="I227" s="218"/>
      <c r="J227" s="218"/>
      <c r="K227" s="218"/>
      <c r="L227" s="218"/>
      <c r="M227" s="218"/>
      <c r="N227" s="218"/>
      <c r="O227" s="313" t="e">
        <f>+O217/O225</f>
        <v>#DIV/0!</v>
      </c>
    </row>
    <row r="228" spans="1:15" x14ac:dyDescent="0.25">
      <c r="A228" s="218"/>
      <c r="B228" s="218"/>
      <c r="C228" s="218"/>
      <c r="D228" s="218"/>
      <c r="E228" s="218"/>
      <c r="F228" s="218" t="s">
        <v>58</v>
      </c>
      <c r="G228" s="218"/>
      <c r="H228" s="218"/>
      <c r="I228" s="218"/>
      <c r="J228" s="218"/>
      <c r="K228" s="218"/>
      <c r="L228" s="218"/>
      <c r="M228" s="218"/>
      <c r="N228" s="218"/>
      <c r="O228" s="313" t="e">
        <f>+O217/O226</f>
        <v>#DIV/0!</v>
      </c>
    </row>
    <row r="229" spans="1:15" x14ac:dyDescent="0.25">
      <c r="O229" s="318"/>
    </row>
  </sheetData>
  <sheetProtection algorithmName="SHA-512" hashValue="L+aMVWxRbAjAlpEoDmRmibMbG3gPBX8kJ+AbCtHGp2wvjHC+XQhTOiiPiuYlZcqKlIIQF5G9oFIvTSrnfvwKdg==" saltValue="hRa5CCCjoIPnSEPo3K7T6g==" spinCount="100000" sheet="1" objects="1" scenarios="1" selectLockedCells="1"/>
  <mergeCells count="177">
    <mergeCell ref="A170:B170"/>
    <mergeCell ref="A171:B171"/>
    <mergeCell ref="A172:B172"/>
    <mergeCell ref="A173:B173"/>
    <mergeCell ref="A166:B166"/>
    <mergeCell ref="A167:B167"/>
    <mergeCell ref="A168:B168"/>
    <mergeCell ref="A169:B169"/>
    <mergeCell ref="A162:B162"/>
    <mergeCell ref="A163:B163"/>
    <mergeCell ref="A164:B164"/>
    <mergeCell ref="A190:B190"/>
    <mergeCell ref="A185:B185"/>
    <mergeCell ref="A183:B184"/>
    <mergeCell ref="A188:B189"/>
    <mergeCell ref="A177:B177"/>
    <mergeCell ref="A178:B178"/>
    <mergeCell ref="A179:B179"/>
    <mergeCell ref="A180:B180"/>
    <mergeCell ref="A174:B174"/>
    <mergeCell ref="A175:B175"/>
    <mergeCell ref="A176:B176"/>
    <mergeCell ref="A159:B159"/>
    <mergeCell ref="A160:B160"/>
    <mergeCell ref="A161:B161"/>
    <mergeCell ref="A155:B155"/>
    <mergeCell ref="A156:B156"/>
    <mergeCell ref="A157:B157"/>
    <mergeCell ref="A151:B151"/>
    <mergeCell ref="A152:B152"/>
    <mergeCell ref="A153:B153"/>
    <mergeCell ref="A154:B154"/>
    <mergeCell ref="A158:B158"/>
    <mergeCell ref="A147:B147"/>
    <mergeCell ref="A148:B148"/>
    <mergeCell ref="A150:B150"/>
    <mergeCell ref="A143:B143"/>
    <mergeCell ref="A144:B144"/>
    <mergeCell ref="A145:B145"/>
    <mergeCell ref="A146:B146"/>
    <mergeCell ref="A139:B139"/>
    <mergeCell ref="A140:B140"/>
    <mergeCell ref="A141:B141"/>
    <mergeCell ref="A142:B142"/>
    <mergeCell ref="A136:B136"/>
    <mergeCell ref="A137:B137"/>
    <mergeCell ref="A138:B138"/>
    <mergeCell ref="A127:B127"/>
    <mergeCell ref="A128:B128"/>
    <mergeCell ref="A134:B134"/>
    <mergeCell ref="A135:B135"/>
    <mergeCell ref="A131:B132"/>
    <mergeCell ref="A124:B124"/>
    <mergeCell ref="A125:B125"/>
    <mergeCell ref="A126:B126"/>
    <mergeCell ref="A120:B120"/>
    <mergeCell ref="A121:B121"/>
    <mergeCell ref="A122:B122"/>
    <mergeCell ref="A123:B123"/>
    <mergeCell ref="A117:B117"/>
    <mergeCell ref="A118:B118"/>
    <mergeCell ref="A119:B119"/>
    <mergeCell ref="A112:B112"/>
    <mergeCell ref="A114:B114"/>
    <mergeCell ref="A115:B115"/>
    <mergeCell ref="A116:B116"/>
    <mergeCell ref="A108:B108"/>
    <mergeCell ref="A109:B109"/>
    <mergeCell ref="A110:B110"/>
    <mergeCell ref="A111:B111"/>
    <mergeCell ref="A105:B105"/>
    <mergeCell ref="A106:B106"/>
    <mergeCell ref="A107:B107"/>
    <mergeCell ref="A101:B101"/>
    <mergeCell ref="A102:B102"/>
    <mergeCell ref="A103:B103"/>
    <mergeCell ref="A104:B104"/>
    <mergeCell ref="A98:B98"/>
    <mergeCell ref="A99:B99"/>
    <mergeCell ref="A100:B100"/>
    <mergeCell ref="A93:B93"/>
    <mergeCell ref="A94:B94"/>
    <mergeCell ref="A95:B95"/>
    <mergeCell ref="A96:B96"/>
    <mergeCell ref="A90:B90"/>
    <mergeCell ref="A91:B91"/>
    <mergeCell ref="A92:B92"/>
    <mergeCell ref="A86:B86"/>
    <mergeCell ref="A87:B87"/>
    <mergeCell ref="A88:B88"/>
    <mergeCell ref="A89:B89"/>
    <mergeCell ref="A82:B82"/>
    <mergeCell ref="A83:B83"/>
    <mergeCell ref="A84:B84"/>
    <mergeCell ref="A85:B85"/>
    <mergeCell ref="A71:B71"/>
    <mergeCell ref="A72:B72"/>
    <mergeCell ref="A73:B73"/>
    <mergeCell ref="A74:B74"/>
    <mergeCell ref="A79:B80"/>
    <mergeCell ref="A47:B47"/>
    <mergeCell ref="A57:B57"/>
    <mergeCell ref="A58:B58"/>
    <mergeCell ref="A59:B59"/>
    <mergeCell ref="A60:B60"/>
    <mergeCell ref="A50:B50"/>
    <mergeCell ref="A51:B51"/>
    <mergeCell ref="A52:B52"/>
    <mergeCell ref="A54:B54"/>
    <mergeCell ref="A55:B55"/>
    <mergeCell ref="A62:B62"/>
    <mergeCell ref="A63:B63"/>
    <mergeCell ref="A64:B64"/>
    <mergeCell ref="A65:B65"/>
    <mergeCell ref="A56:B56"/>
    <mergeCell ref="A24:B24"/>
    <mergeCell ref="A25:B25"/>
    <mergeCell ref="A26:B26"/>
    <mergeCell ref="A27:B27"/>
    <mergeCell ref="A28:B28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45:B45"/>
    <mergeCell ref="A46:B46"/>
    <mergeCell ref="O183:O184"/>
    <mergeCell ref="F183:F184"/>
    <mergeCell ref="G183:G184"/>
    <mergeCell ref="K183:K184"/>
    <mergeCell ref="M183:M184"/>
    <mergeCell ref="N183:N184"/>
    <mergeCell ref="C183:C184"/>
    <mergeCell ref="D183:D184"/>
    <mergeCell ref="E183:E184"/>
    <mergeCell ref="A5:O5"/>
    <mergeCell ref="A10:B10"/>
    <mergeCell ref="A11:B11"/>
    <mergeCell ref="A12:B12"/>
    <mergeCell ref="A13:B13"/>
    <mergeCell ref="A14:B14"/>
    <mergeCell ref="A15:B15"/>
    <mergeCell ref="A16:B16"/>
    <mergeCell ref="A17:B17"/>
    <mergeCell ref="A7:B8"/>
    <mergeCell ref="A193:B194"/>
    <mergeCell ref="A195:B195"/>
    <mergeCell ref="A196:B196"/>
    <mergeCell ref="A197:B197"/>
    <mergeCell ref="A198:B198"/>
    <mergeCell ref="A199:B199"/>
    <mergeCell ref="A200:B200"/>
    <mergeCell ref="A18:B18"/>
    <mergeCell ref="A19:B19"/>
    <mergeCell ref="A20:B20"/>
    <mergeCell ref="A21:B21"/>
    <mergeCell ref="A22:B22"/>
    <mergeCell ref="A23:B23"/>
    <mergeCell ref="A29:B29"/>
    <mergeCell ref="A30:B30"/>
    <mergeCell ref="A32:B32"/>
    <mergeCell ref="A33:B33"/>
    <mergeCell ref="A34:B34"/>
    <mergeCell ref="A66:B66"/>
    <mergeCell ref="A67:B67"/>
    <mergeCell ref="A68:B68"/>
    <mergeCell ref="A69:B69"/>
    <mergeCell ref="A70:B70"/>
    <mergeCell ref="A61:B6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6" fitToHeight="2" orientation="portrait" r:id="rId1"/>
  <rowBreaks count="1" manualBreakCount="1">
    <brk id="129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15B2-6888-41F6-A849-85A9F860414B}">
  <sheetPr>
    <tabColor theme="0"/>
  </sheetPr>
  <dimension ref="A1:O210"/>
  <sheetViews>
    <sheetView showGridLines="0" topLeftCell="A7" zoomScale="70" zoomScaleNormal="70" zoomScaleSheetLayoutView="70" workbookViewId="0">
      <selection activeCell="E56" sqref="E56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94" t="s">
        <v>219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6"/>
    </row>
    <row r="6" spans="1:15" s="153" customFormat="1" ht="26.25" x14ac:dyDescent="0.4">
      <c r="A6" s="425" t="s">
        <v>25</v>
      </c>
      <c r="B6" s="221"/>
      <c r="C6" s="426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427"/>
    </row>
    <row r="7" spans="1:15" x14ac:dyDescent="0.25">
      <c r="A7" s="797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428" t="s">
        <v>32</v>
      </c>
    </row>
    <row r="8" spans="1:15" x14ac:dyDescent="0.25">
      <c r="A8" s="779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450" t="s">
        <v>40</v>
      </c>
    </row>
    <row r="9" spans="1:15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x14ac:dyDescent="0.25">
      <c r="A13" s="764" t="s">
        <v>89</v>
      </c>
      <c r="B13" s="764"/>
      <c r="C13" s="234"/>
      <c r="D13" s="241"/>
      <c r="E13" s="241"/>
      <c r="F13" s="241"/>
      <c r="G13" s="241"/>
      <c r="H13" s="241"/>
      <c r="I13" s="241"/>
      <c r="J13" s="241"/>
      <c r="K13" s="241"/>
      <c r="L13" s="234"/>
      <c r="M13" s="234"/>
      <c r="N13" s="234"/>
      <c r="O13" s="234"/>
    </row>
    <row r="14" spans="1:15" x14ac:dyDescent="0.25">
      <c r="A14" s="733" t="s">
        <v>72</v>
      </c>
      <c r="B14" s="733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 t="shared" ref="H14" si="0"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237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320"/>
      <c r="J15" s="320"/>
      <c r="K15" s="241"/>
      <c r="L15" s="241"/>
      <c r="M15" s="234"/>
      <c r="N15" s="234"/>
      <c r="O15" s="234"/>
    </row>
    <row r="16" spans="1:15" x14ac:dyDescent="0.25">
      <c r="A16" s="763" t="s">
        <v>88</v>
      </c>
      <c r="B16" s="763"/>
      <c r="C16" s="241"/>
      <c r="D16" s="241"/>
      <c r="E16" s="241"/>
      <c r="F16" s="241"/>
      <c r="G16" s="241"/>
      <c r="H16" s="241"/>
      <c r="I16" s="320"/>
      <c r="J16" s="320"/>
      <c r="K16" s="241"/>
      <c r="L16" s="241"/>
      <c r="M16" s="234"/>
      <c r="N16" s="234"/>
      <c r="O16" s="234"/>
    </row>
    <row r="17" spans="1:15" x14ac:dyDescent="0.25">
      <c r="A17" s="733" t="s">
        <v>72</v>
      </c>
      <c r="B17" s="733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 t="shared" ref="J17:J22" si="1">G17/298</f>
        <v>0</v>
      </c>
      <c r="K17" s="320">
        <f>$K$12</f>
        <v>0</v>
      </c>
      <c r="L17" s="237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 t="shared" si="1"/>
        <v>0</v>
      </c>
      <c r="K19" s="320">
        <f>$K$12</f>
        <v>0</v>
      </c>
      <c r="L19" s="237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320"/>
      <c r="J20" s="320"/>
      <c r="K20" s="241"/>
      <c r="L20" s="241"/>
      <c r="M20" s="234"/>
      <c r="N20" s="234"/>
      <c r="O20" s="234"/>
    </row>
    <row r="21" spans="1:15" x14ac:dyDescent="0.25">
      <c r="A21" s="763" t="s">
        <v>88</v>
      </c>
      <c r="B21" s="763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x14ac:dyDescent="0.25">
      <c r="A22" s="733" t="s">
        <v>72</v>
      </c>
      <c r="B22" s="733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 t="shared" si="1"/>
        <v>0</v>
      </c>
      <c r="K22" s="320">
        <f>$K$12+Personal!D38</f>
        <v>0</v>
      </c>
      <c r="L22" s="237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320"/>
      <c r="J23" s="320"/>
      <c r="K23" s="241"/>
      <c r="L23" s="241"/>
      <c r="M23" s="234"/>
      <c r="N23" s="234"/>
      <c r="O23" s="234"/>
    </row>
    <row r="24" spans="1:15" x14ac:dyDescent="0.25">
      <c r="A24" s="733" t="s">
        <v>72</v>
      </c>
      <c r="B24" s="733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 t="shared" ref="J24" si="2">G24/298</f>
        <v>0</v>
      </c>
      <c r="K24" s="320">
        <f>$K$12+Personal!D38</f>
        <v>0</v>
      </c>
      <c r="L24" s="237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x14ac:dyDescent="0.25">
      <c r="A26" s="782" t="s">
        <v>195</v>
      </c>
      <c r="B26" s="782"/>
      <c r="C26" s="241"/>
      <c r="D26" s="241"/>
      <c r="E26" s="241"/>
      <c r="F26" s="139"/>
      <c r="G26" s="234"/>
      <c r="H26" s="234"/>
      <c r="I26" s="236"/>
      <c r="J26" s="236"/>
      <c r="K26" s="241"/>
      <c r="L26" s="241"/>
      <c r="M26" s="234"/>
      <c r="N26" s="234"/>
      <c r="O26" s="234"/>
    </row>
    <row r="27" spans="1:15" x14ac:dyDescent="0.25">
      <c r="A27" s="763" t="s">
        <v>88</v>
      </c>
      <c r="B27" s="763"/>
      <c r="C27" s="249"/>
      <c r="D27" s="249"/>
      <c r="E27" s="249"/>
      <c r="F27" s="139"/>
      <c r="G27" s="249"/>
      <c r="H27" s="249"/>
      <c r="I27" s="249"/>
      <c r="J27" s="249"/>
      <c r="K27" s="249"/>
      <c r="L27" s="249"/>
      <c r="M27" s="249"/>
      <c r="N27" s="249"/>
      <c r="O27" s="249"/>
    </row>
    <row r="28" spans="1:15" x14ac:dyDescent="0.25">
      <c r="A28" s="733" t="s">
        <v>72</v>
      </c>
      <c r="B28" s="733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237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x14ac:dyDescent="0.25">
      <c r="A29" s="764" t="s">
        <v>89</v>
      </c>
      <c r="B29" s="764"/>
      <c r="C29" s="180"/>
      <c r="D29" s="241"/>
      <c r="E29" s="241"/>
      <c r="F29" s="241"/>
      <c r="G29" s="664"/>
      <c r="H29" s="664"/>
      <c r="I29" s="664"/>
      <c r="J29" s="664"/>
      <c r="K29" s="664"/>
      <c r="L29" s="180"/>
      <c r="M29" s="180"/>
      <c r="N29" s="180"/>
      <c r="O29" s="180"/>
    </row>
    <row r="30" spans="1:15" x14ac:dyDescent="0.25">
      <c r="A30" s="733" t="s">
        <v>72</v>
      </c>
      <c r="B30" s="733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 t="shared" ref="J30" si="3">G30/298</f>
        <v>0</v>
      </c>
      <c r="K30" s="320">
        <f>$K$12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320"/>
      <c r="J31" s="320"/>
      <c r="K31" s="241"/>
      <c r="L31" s="241"/>
      <c r="M31" s="234"/>
      <c r="N31" s="234"/>
      <c r="O31" s="234"/>
    </row>
    <row r="32" spans="1:15" x14ac:dyDescent="0.25">
      <c r="A32" s="763" t="s">
        <v>88</v>
      </c>
      <c r="B32" s="763"/>
      <c r="C32" s="249"/>
      <c r="D32" s="241"/>
      <c r="E32" s="241"/>
      <c r="F32" s="241"/>
      <c r="G32" s="640"/>
      <c r="H32" s="640"/>
      <c r="I32" s="640"/>
      <c r="J32" s="640"/>
      <c r="K32" s="640"/>
      <c r="L32" s="249"/>
      <c r="M32" s="249"/>
      <c r="N32" s="249"/>
      <c r="O32" s="249"/>
    </row>
    <row r="33" spans="1:15" x14ac:dyDescent="0.25">
      <c r="A33" s="733" t="s">
        <v>72</v>
      </c>
      <c r="B33" s="733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237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x14ac:dyDescent="0.25">
      <c r="A34" s="764" t="s">
        <v>89</v>
      </c>
      <c r="B34" s="764"/>
      <c r="C34" s="249"/>
      <c r="D34" s="241"/>
      <c r="E34" s="241"/>
      <c r="F34" s="241"/>
      <c r="G34" s="640"/>
      <c r="H34" s="640"/>
      <c r="I34" s="640"/>
      <c r="J34" s="640"/>
      <c r="K34" s="640"/>
      <c r="L34" s="249"/>
      <c r="M34" s="249"/>
      <c r="N34" s="249"/>
      <c r="O34" s="249"/>
    </row>
    <row r="35" spans="1:15" x14ac:dyDescent="0.25">
      <c r="A35" s="733" t="s">
        <v>72</v>
      </c>
      <c r="B35" s="733"/>
      <c r="C35" s="137">
        <v>6.1666699999999999</v>
      </c>
      <c r="D35" s="7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237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x14ac:dyDescent="0.25">
      <c r="A36" s="762" t="s">
        <v>197</v>
      </c>
      <c r="B36" s="762"/>
      <c r="C36" s="249"/>
      <c r="D36" s="241"/>
      <c r="E36" s="241"/>
      <c r="F36" s="241"/>
      <c r="G36" s="640"/>
      <c r="H36" s="640"/>
      <c r="I36" s="640"/>
      <c r="J36" s="640"/>
      <c r="K36" s="640"/>
      <c r="L36" s="249"/>
      <c r="M36" s="249"/>
      <c r="N36" s="249"/>
      <c r="O36" s="249"/>
    </row>
    <row r="37" spans="1:15" x14ac:dyDescent="0.25">
      <c r="A37" s="763" t="s">
        <v>88</v>
      </c>
      <c r="B37" s="763"/>
      <c r="C37" s="249"/>
      <c r="D37" s="241"/>
      <c r="E37" s="241"/>
      <c r="F37" s="241"/>
      <c r="G37" s="640"/>
      <c r="H37" s="640"/>
      <c r="I37" s="640"/>
      <c r="J37" s="640"/>
      <c r="K37" s="640"/>
      <c r="L37" s="249"/>
      <c r="M37" s="249"/>
      <c r="N37" s="249"/>
      <c r="O37" s="249"/>
    </row>
    <row r="38" spans="1:15" x14ac:dyDescent="0.25">
      <c r="A38" s="733" t="s">
        <v>72</v>
      </c>
      <c r="B38" s="733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237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x14ac:dyDescent="0.25">
      <c r="A39" s="764" t="s">
        <v>89</v>
      </c>
      <c r="B39" s="764"/>
      <c r="C39" s="249"/>
      <c r="D39" s="241"/>
      <c r="E39" s="241"/>
      <c r="F39" s="241"/>
      <c r="G39" s="640"/>
      <c r="H39" s="640"/>
      <c r="I39" s="640"/>
      <c r="J39" s="640"/>
      <c r="K39" s="640"/>
      <c r="L39" s="249"/>
      <c r="M39" s="249"/>
      <c r="N39" s="249"/>
      <c r="O39" s="249"/>
    </row>
    <row r="40" spans="1:15" x14ac:dyDescent="0.25">
      <c r="A40" s="733" t="s">
        <v>72</v>
      </c>
      <c r="B40" s="733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 t="shared" ref="I40" si="4">G40/H40</f>
        <v>0</v>
      </c>
      <c r="J40" s="320">
        <f t="shared" ref="J40" si="5">G40/298</f>
        <v>0</v>
      </c>
      <c r="K40" s="320">
        <f>$K$12+Personal!D38</f>
        <v>0</v>
      </c>
      <c r="L40" s="237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x14ac:dyDescent="0.25">
      <c r="A42" s="782" t="s">
        <v>195</v>
      </c>
      <c r="B42" s="782"/>
      <c r="C42" s="137"/>
      <c r="D42" s="138"/>
      <c r="E42" s="139"/>
      <c r="F42" s="139"/>
      <c r="G42" s="235"/>
      <c r="H42" s="235"/>
      <c r="I42" s="236"/>
      <c r="J42" s="236"/>
      <c r="K42" s="320"/>
      <c r="L42" s="237"/>
      <c r="M42" s="238"/>
      <c r="N42" s="238"/>
      <c r="O42" s="239"/>
    </row>
    <row r="43" spans="1:15" x14ac:dyDescent="0.25">
      <c r="A43" s="763" t="s">
        <v>88</v>
      </c>
      <c r="B43" s="763"/>
      <c r="C43" s="137"/>
      <c r="D43" s="138"/>
      <c r="E43" s="139"/>
      <c r="F43" s="139"/>
      <c r="G43" s="235"/>
      <c r="H43" s="235"/>
      <c r="I43" s="236"/>
      <c r="J43" s="236"/>
      <c r="K43" s="320"/>
      <c r="L43" s="237"/>
      <c r="M43" s="238"/>
      <c r="N43" s="238"/>
      <c r="O43" s="239"/>
    </row>
    <row r="44" spans="1:15" x14ac:dyDescent="0.25">
      <c r="A44" s="733" t="s">
        <v>72</v>
      </c>
      <c r="B44" s="733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 t="shared" ref="J44" si="6">G44/298</f>
        <v>0</v>
      </c>
      <c r="K44" s="320">
        <f>$K$12</f>
        <v>0</v>
      </c>
      <c r="L44" s="237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x14ac:dyDescent="0.25">
      <c r="A45" s="764" t="s">
        <v>89</v>
      </c>
      <c r="B45" s="764"/>
      <c r="C45" s="241"/>
      <c r="D45" s="241"/>
      <c r="E45" s="241"/>
      <c r="F45" s="241"/>
      <c r="G45" s="241"/>
      <c r="H45" s="241"/>
      <c r="I45" s="320"/>
      <c r="J45" s="320"/>
      <c r="K45" s="241"/>
      <c r="L45" s="241"/>
      <c r="M45" s="234"/>
      <c r="N45" s="234"/>
      <c r="O45" s="234"/>
    </row>
    <row r="46" spans="1:15" x14ac:dyDescent="0.25">
      <c r="A46" s="733" t="s">
        <v>72</v>
      </c>
      <c r="B46" s="733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 t="shared" ref="J46" si="7">G46/298</f>
        <v>0</v>
      </c>
      <c r="K46" s="320">
        <f>$K$12</f>
        <v>0</v>
      </c>
      <c r="L46" s="237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x14ac:dyDescent="0.25">
      <c r="A47" s="762" t="s">
        <v>196</v>
      </c>
      <c r="B47" s="762"/>
      <c r="C47" s="241"/>
      <c r="D47" s="241"/>
      <c r="E47" s="241"/>
      <c r="F47" s="241"/>
      <c r="G47" s="241"/>
      <c r="H47" s="241"/>
      <c r="I47" s="320"/>
      <c r="J47" s="320"/>
      <c r="K47" s="241"/>
      <c r="L47" s="241"/>
      <c r="M47" s="234"/>
      <c r="N47" s="234"/>
      <c r="O47" s="234"/>
    </row>
    <row r="48" spans="1:15" x14ac:dyDescent="0.25">
      <c r="A48" s="763" t="s">
        <v>88</v>
      </c>
      <c r="B48" s="763"/>
      <c r="C48" s="241"/>
      <c r="D48" s="241"/>
      <c r="E48" s="241"/>
      <c r="F48" s="241"/>
      <c r="G48" s="241"/>
      <c r="H48" s="241"/>
      <c r="I48" s="320"/>
      <c r="J48" s="320"/>
      <c r="K48" s="241"/>
      <c r="L48" s="241"/>
      <c r="M48" s="234"/>
      <c r="N48" s="234"/>
      <c r="O48" s="234"/>
    </row>
    <row r="49" spans="1:15" x14ac:dyDescent="0.25">
      <c r="A49" s="733" t="s">
        <v>72</v>
      </c>
      <c r="B49" s="733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 t="shared" ref="I49" si="8">G49/H49</f>
        <v>0</v>
      </c>
      <c r="J49" s="320">
        <f t="shared" ref="J49" si="9">G49/298</f>
        <v>0</v>
      </c>
      <c r="K49" s="320">
        <f>$K$12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x14ac:dyDescent="0.25">
      <c r="A50" s="764" t="s">
        <v>89</v>
      </c>
      <c r="B50" s="764"/>
      <c r="C50" s="241"/>
      <c r="D50" s="241"/>
      <c r="E50" s="241"/>
      <c r="F50" s="241"/>
      <c r="G50" s="241"/>
      <c r="H50" s="241"/>
      <c r="I50" s="320"/>
      <c r="J50" s="320"/>
      <c r="K50" s="241"/>
      <c r="L50" s="241"/>
      <c r="M50" s="234"/>
      <c r="N50" s="234"/>
      <c r="O50" s="234"/>
    </row>
    <row r="51" spans="1:15" x14ac:dyDescent="0.25">
      <c r="A51" s="733" t="s">
        <v>72</v>
      </c>
      <c r="B51" s="733"/>
      <c r="C51" s="137">
        <v>6.1666699999999999</v>
      </c>
      <c r="D51" s="7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 t="shared" ref="I51" si="10">G51/H51</f>
        <v>0</v>
      </c>
      <c r="J51" s="320">
        <f t="shared" ref="J51" si="11">G51/298</f>
        <v>0</v>
      </c>
      <c r="K51" s="320">
        <f>$K$12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x14ac:dyDescent="0.25">
      <c r="A52" s="762" t="s">
        <v>197</v>
      </c>
      <c r="B52" s="762"/>
      <c r="C52" s="241"/>
      <c r="D52" s="241"/>
      <c r="E52" s="241"/>
      <c r="F52" s="241"/>
      <c r="G52" s="241"/>
      <c r="H52" s="241"/>
      <c r="I52" s="320"/>
      <c r="J52" s="320"/>
      <c r="K52" s="241"/>
      <c r="L52" s="241"/>
      <c r="M52" s="234"/>
      <c r="N52" s="234"/>
      <c r="O52" s="234"/>
    </row>
    <row r="53" spans="1:15" x14ac:dyDescent="0.25">
      <c r="A53" s="763" t="s">
        <v>88</v>
      </c>
      <c r="B53" s="763"/>
      <c r="C53" s="249"/>
      <c r="D53" s="241"/>
      <c r="E53" s="241"/>
      <c r="F53" s="241"/>
      <c r="G53" s="640"/>
      <c r="H53" s="640"/>
      <c r="I53" s="640"/>
      <c r="J53" s="640"/>
      <c r="K53" s="640"/>
      <c r="L53" s="249"/>
      <c r="M53" s="249"/>
      <c r="N53" s="249"/>
      <c r="O53" s="249"/>
    </row>
    <row r="54" spans="1:15" x14ac:dyDescent="0.25">
      <c r="A54" s="733" t="s">
        <v>72</v>
      </c>
      <c r="B54" s="733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237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x14ac:dyDescent="0.25">
      <c r="A55" s="764" t="s">
        <v>89</v>
      </c>
      <c r="B55" s="764"/>
      <c r="C55" s="249"/>
      <c r="D55" s="241"/>
      <c r="E55" s="241"/>
      <c r="F55" s="241"/>
      <c r="G55" s="640"/>
      <c r="H55" s="640"/>
      <c r="I55" s="640"/>
      <c r="J55" s="640"/>
      <c r="K55" s="640"/>
      <c r="L55" s="249"/>
      <c r="M55" s="249"/>
      <c r="N55" s="249"/>
      <c r="O55" s="249"/>
    </row>
    <row r="56" spans="1:15" x14ac:dyDescent="0.25">
      <c r="A56" s="733" t="s">
        <v>72</v>
      </c>
      <c r="B56" s="733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 t="shared" ref="I56" si="12">G56/H56</f>
        <v>0</v>
      </c>
      <c r="J56" s="320">
        <f t="shared" ref="J56" si="13">G56/298</f>
        <v>0</v>
      </c>
      <c r="K56" s="320">
        <f>$K$12+Personal!D38</f>
        <v>0</v>
      </c>
      <c r="L56" s="237">
        <f>+K56/C56</f>
        <v>0</v>
      </c>
      <c r="M56" s="238" t="s">
        <v>90</v>
      </c>
      <c r="N56" s="238" t="s">
        <v>42</v>
      </c>
      <c r="O56" s="239">
        <f>+K56*G56</f>
        <v>0</v>
      </c>
    </row>
    <row r="57" spans="1:15" x14ac:dyDescent="0.25">
      <c r="A57" s="402"/>
      <c r="B57" s="324"/>
      <c r="C57" s="324"/>
      <c r="D57" s="324"/>
      <c r="E57" s="323" t="s">
        <v>45</v>
      </c>
      <c r="F57" s="324"/>
      <c r="G57" s="324">
        <f>SUM(G12:G56)</f>
        <v>0</v>
      </c>
      <c r="H57" s="324"/>
      <c r="I57" s="324">
        <f>SUM(I12:I56)</f>
        <v>0</v>
      </c>
      <c r="J57" s="324">
        <f>SUM(J12:J56)</f>
        <v>0</v>
      </c>
      <c r="K57" s="324"/>
      <c r="L57" s="324"/>
      <c r="M57" s="324"/>
      <c r="N57" s="324"/>
      <c r="O57" s="403">
        <f>SUM(O12:O56)</f>
        <v>0</v>
      </c>
    </row>
    <row r="58" spans="1:15" x14ac:dyDescent="0.25">
      <c r="A58" s="326"/>
      <c r="B58" s="327"/>
      <c r="C58" s="327"/>
      <c r="D58" s="327"/>
      <c r="E58" s="328"/>
      <c r="F58" s="327"/>
      <c r="G58" s="324">
        <f>G12+G14+G17+G19+G22+G24+G28+G30+G33+G35+G38+G40+G44+G46+G49+G51+G54+G56</f>
        <v>0</v>
      </c>
      <c r="H58" s="324" t="s">
        <v>72</v>
      </c>
      <c r="I58" s="324">
        <f>I12+I14+I17+I19+I22+I24+I28+I30+I33+I35+I38+I40+I44+I46+I49+I51+I54+I56</f>
        <v>0</v>
      </c>
      <c r="J58" s="324">
        <f>J12+J14+J17+J19+J22+J24+J28+J30+J33+J35+J38+J40+J44+J46+J49+J51+J54+J56</f>
        <v>0</v>
      </c>
      <c r="K58" s="327"/>
      <c r="L58" s="327"/>
      <c r="M58" s="327"/>
      <c r="N58" s="327"/>
      <c r="O58" s="329"/>
    </row>
    <row r="59" spans="1:15" s="153" customFormat="1" ht="26.25" x14ac:dyDescent="0.4">
      <c r="A59" s="425" t="s">
        <v>211</v>
      </c>
      <c r="B59" s="221"/>
      <c r="C59" s="221"/>
      <c r="D59" s="223"/>
      <c r="E59" s="223"/>
      <c r="F59" s="223"/>
      <c r="G59" s="223"/>
      <c r="H59" s="223"/>
      <c r="I59" s="223"/>
      <c r="J59" s="223"/>
      <c r="K59" s="224"/>
      <c r="L59" s="224"/>
      <c r="M59" s="224"/>
      <c r="N59" s="224"/>
      <c r="O59" s="427"/>
    </row>
    <row r="60" spans="1:15" x14ac:dyDescent="0.25">
      <c r="A60" s="797" t="s">
        <v>20</v>
      </c>
      <c r="B60" s="773"/>
      <c r="C60" s="225" t="s">
        <v>27</v>
      </c>
      <c r="D60" s="225" t="s">
        <v>28</v>
      </c>
      <c r="E60" s="225" t="s">
        <v>21</v>
      </c>
      <c r="F60" s="225" t="s">
        <v>29</v>
      </c>
      <c r="G60" s="225"/>
      <c r="H60" s="225"/>
      <c r="I60" s="225"/>
      <c r="J60" s="225"/>
      <c r="K60" s="225" t="s">
        <v>30</v>
      </c>
      <c r="L60" s="225" t="s">
        <v>23</v>
      </c>
      <c r="M60" s="225" t="s">
        <v>31</v>
      </c>
      <c r="N60" s="225"/>
      <c r="O60" s="428" t="s">
        <v>32</v>
      </c>
    </row>
    <row r="61" spans="1:15" x14ac:dyDescent="0.25">
      <c r="A61" s="779"/>
      <c r="B61" s="768"/>
      <c r="C61" s="226" t="s">
        <v>44</v>
      </c>
      <c r="D61" s="226" t="s">
        <v>5</v>
      </c>
      <c r="E61" s="226" t="s">
        <v>24</v>
      </c>
      <c r="F61" s="227" t="s">
        <v>34</v>
      </c>
      <c r="G61" s="226" t="s">
        <v>35</v>
      </c>
      <c r="H61" s="226"/>
      <c r="I61" s="226"/>
      <c r="J61" s="226"/>
      <c r="K61" s="226" t="s">
        <v>36</v>
      </c>
      <c r="L61" s="228" t="s">
        <v>37</v>
      </c>
      <c r="M61" s="226" t="s">
        <v>38</v>
      </c>
      <c r="N61" s="226"/>
      <c r="O61" s="450" t="s">
        <v>40</v>
      </c>
    </row>
    <row r="62" spans="1:15" s="153" customFormat="1" x14ac:dyDescent="0.25">
      <c r="A62" s="229" t="s">
        <v>198</v>
      </c>
      <c r="B62" s="230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</row>
    <row r="63" spans="1:15" s="153" customFormat="1" x14ac:dyDescent="0.25">
      <c r="A63" s="782" t="s">
        <v>195</v>
      </c>
      <c r="B63" s="782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</row>
    <row r="64" spans="1:15" s="153" customFormat="1" x14ac:dyDescent="0.25">
      <c r="A64" s="763" t="s">
        <v>88</v>
      </c>
      <c r="B64" s="76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s="153" customFormat="1" x14ac:dyDescent="0.25">
      <c r="A65" s="734" t="s">
        <v>218</v>
      </c>
      <c r="B65" s="734"/>
      <c r="C65" s="137">
        <v>6.1666699999999999</v>
      </c>
      <c r="D65" s="138">
        <v>1</v>
      </c>
      <c r="E65" s="139">
        <f>$E$12</f>
        <v>0</v>
      </c>
      <c r="F65" s="139">
        <f>Dies!$C$48</f>
        <v>95</v>
      </c>
      <c r="G65" s="273">
        <f>+D65*E65*F65</f>
        <v>0</v>
      </c>
      <c r="H65" s="273"/>
      <c r="I65" s="273"/>
      <c r="J65" s="273"/>
      <c r="K65" s="320">
        <f>'Seguro+combustible+reparacions'!F9</f>
        <v>0</v>
      </c>
      <c r="L65" s="491">
        <f>+K65/C65</f>
        <v>0</v>
      </c>
      <c r="M65" s="238" t="str">
        <f>+M12</f>
        <v>Matí</v>
      </c>
      <c r="N65" s="238"/>
      <c r="O65" s="239">
        <f>+K65*G65</f>
        <v>0</v>
      </c>
    </row>
    <row r="66" spans="1:15" s="153" customFormat="1" x14ac:dyDescent="0.25">
      <c r="A66" s="764" t="s">
        <v>89</v>
      </c>
      <c r="B66" s="764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34"/>
      <c r="N66" s="234"/>
      <c r="O66" s="234"/>
    </row>
    <row r="67" spans="1:15" s="153" customFormat="1" x14ac:dyDescent="0.25">
      <c r="A67" s="734" t="s">
        <v>218</v>
      </c>
      <c r="B67" s="734"/>
      <c r="C67" s="137">
        <v>6.1666699999999999</v>
      </c>
      <c r="D67" s="138">
        <v>1</v>
      </c>
      <c r="E67" s="139">
        <f>$E$14</f>
        <v>0</v>
      </c>
      <c r="F67" s="139">
        <f>Dies!$C$48</f>
        <v>95</v>
      </c>
      <c r="G67" s="273">
        <f>+D67*E67*F67</f>
        <v>0</v>
      </c>
      <c r="H67" s="273"/>
      <c r="I67" s="273"/>
      <c r="J67" s="273"/>
      <c r="K67" s="320">
        <f>$K$65</f>
        <v>0</v>
      </c>
      <c r="L67" s="491">
        <f>+K67/C67</f>
        <v>0</v>
      </c>
      <c r="M67" s="238" t="str">
        <f>+M14</f>
        <v>Tarda</v>
      </c>
      <c r="N67" s="238"/>
      <c r="O67" s="239">
        <f>+K67*G67</f>
        <v>0</v>
      </c>
    </row>
    <row r="68" spans="1:15" s="153" customFormat="1" x14ac:dyDescent="0.25">
      <c r="A68" s="762" t="s">
        <v>196</v>
      </c>
      <c r="B68" s="762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34"/>
      <c r="N68" s="234"/>
      <c r="O68" s="234"/>
    </row>
    <row r="69" spans="1:15" s="153" customFormat="1" x14ac:dyDescent="0.25">
      <c r="A69" s="763" t="s">
        <v>88</v>
      </c>
      <c r="B69" s="763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34"/>
      <c r="N69" s="234"/>
      <c r="O69" s="234"/>
    </row>
    <row r="70" spans="1:15" s="153" customFormat="1" x14ac:dyDescent="0.25">
      <c r="A70" s="734" t="s">
        <v>218</v>
      </c>
      <c r="B70" s="734"/>
      <c r="C70" s="137">
        <v>6.1666699999999999</v>
      </c>
      <c r="D70" s="138">
        <v>1</v>
      </c>
      <c r="E70" s="139">
        <f>$E$17</f>
        <v>0</v>
      </c>
      <c r="F70" s="139">
        <f>Dies!$C$49</f>
        <v>20</v>
      </c>
      <c r="G70" s="273">
        <f>+D70*E70*F70</f>
        <v>0</v>
      </c>
      <c r="H70" s="273"/>
      <c r="I70" s="273"/>
      <c r="J70" s="273"/>
      <c r="K70" s="320">
        <f>$K$65</f>
        <v>0</v>
      </c>
      <c r="L70" s="491">
        <f>+K70/C70</f>
        <v>0</v>
      </c>
      <c r="M70" s="238" t="str">
        <f>+M17</f>
        <v>Matí</v>
      </c>
      <c r="N70" s="238"/>
      <c r="O70" s="239">
        <f>+K70*G70</f>
        <v>0</v>
      </c>
    </row>
    <row r="71" spans="1:15" s="153" customFormat="1" x14ac:dyDescent="0.25">
      <c r="A71" s="764" t="s">
        <v>89</v>
      </c>
      <c r="B71" s="764"/>
      <c r="C71" s="180"/>
      <c r="D71" s="180"/>
      <c r="E71" s="653"/>
      <c r="F71" s="241"/>
      <c r="G71" s="664"/>
      <c r="H71" s="664"/>
      <c r="I71" s="664"/>
      <c r="J71" s="664"/>
      <c r="K71" s="664"/>
      <c r="L71" s="664"/>
      <c r="M71" s="180"/>
      <c r="N71" s="180"/>
      <c r="O71" s="180"/>
    </row>
    <row r="72" spans="1:15" s="153" customFormat="1" x14ac:dyDescent="0.25">
      <c r="A72" s="734" t="s">
        <v>218</v>
      </c>
      <c r="B72" s="734"/>
      <c r="C72" s="137">
        <v>6.1666699999999999</v>
      </c>
      <c r="D72" s="138">
        <v>1</v>
      </c>
      <c r="E72" s="139">
        <f>$E$19</f>
        <v>0</v>
      </c>
      <c r="F72" s="139">
        <f>Dies!$C$49</f>
        <v>20</v>
      </c>
      <c r="G72" s="273">
        <f>+D72*E72*F72</f>
        <v>0</v>
      </c>
      <c r="H72" s="273"/>
      <c r="I72" s="273"/>
      <c r="J72" s="273"/>
      <c r="K72" s="320">
        <f>$K$65</f>
        <v>0</v>
      </c>
      <c r="L72" s="491">
        <f>+K72/C72</f>
        <v>0</v>
      </c>
      <c r="M72" s="238" t="str">
        <f>+M19</f>
        <v>Tarda</v>
      </c>
      <c r="N72" s="238"/>
      <c r="O72" s="239">
        <f>+K72*G72</f>
        <v>0</v>
      </c>
    </row>
    <row r="73" spans="1:15" s="153" customFormat="1" x14ac:dyDescent="0.25">
      <c r="A73" s="762" t="s">
        <v>197</v>
      </c>
      <c r="B73" s="762"/>
      <c r="C73" s="180"/>
      <c r="D73" s="180"/>
      <c r="E73" s="241"/>
      <c r="F73" s="241"/>
      <c r="G73" s="664"/>
      <c r="H73" s="664"/>
      <c r="I73" s="664"/>
      <c r="J73" s="664"/>
      <c r="K73" s="664"/>
      <c r="L73" s="664"/>
      <c r="M73" s="180"/>
      <c r="N73" s="180"/>
      <c r="O73" s="180"/>
    </row>
    <row r="74" spans="1:15" s="153" customFormat="1" x14ac:dyDescent="0.25">
      <c r="A74" s="763" t="s">
        <v>88</v>
      </c>
      <c r="B74" s="763"/>
      <c r="C74" s="180"/>
      <c r="D74" s="180"/>
      <c r="E74" s="241"/>
      <c r="F74" s="241"/>
      <c r="G74" s="664"/>
      <c r="H74" s="664"/>
      <c r="I74" s="664"/>
      <c r="J74" s="664"/>
      <c r="K74" s="664"/>
      <c r="L74" s="664"/>
      <c r="M74" s="180"/>
      <c r="N74" s="180"/>
      <c r="O74" s="180"/>
    </row>
    <row r="75" spans="1:15" s="153" customFormat="1" x14ac:dyDescent="0.25">
      <c r="A75" s="734" t="s">
        <v>218</v>
      </c>
      <c r="B75" s="734"/>
      <c r="C75" s="137">
        <v>6.1666699999999999</v>
      </c>
      <c r="D75" s="138">
        <v>1</v>
      </c>
      <c r="E75" s="139">
        <f>$E$22</f>
        <v>0</v>
      </c>
      <c r="F75" s="139">
        <f>Dies!$C$50</f>
        <v>20</v>
      </c>
      <c r="G75" s="273">
        <f>+D75*E75*F75</f>
        <v>0</v>
      </c>
      <c r="H75" s="273"/>
      <c r="I75" s="273"/>
      <c r="J75" s="273"/>
      <c r="K75" s="320">
        <f>$K$65</f>
        <v>0</v>
      </c>
      <c r="L75" s="491">
        <f>+K75/C75</f>
        <v>0</v>
      </c>
      <c r="M75" s="238" t="str">
        <f>+M22</f>
        <v>Matí</v>
      </c>
      <c r="N75" s="238"/>
      <c r="O75" s="239">
        <f>+K75*G75</f>
        <v>0</v>
      </c>
    </row>
    <row r="76" spans="1:15" s="153" customFormat="1" x14ac:dyDescent="0.25">
      <c r="A76" s="764" t="s">
        <v>89</v>
      </c>
      <c r="B76" s="764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34"/>
      <c r="N76" s="234"/>
      <c r="O76" s="234"/>
    </row>
    <row r="77" spans="1:15" s="153" customFormat="1" x14ac:dyDescent="0.25">
      <c r="A77" s="734" t="s">
        <v>218</v>
      </c>
      <c r="B77" s="734"/>
      <c r="C77" s="137">
        <v>6.1666699999999999</v>
      </c>
      <c r="D77" s="138">
        <v>1</v>
      </c>
      <c r="E77" s="139">
        <f>$E$24</f>
        <v>0</v>
      </c>
      <c r="F77" s="139">
        <f>Dies!$C$50</f>
        <v>20</v>
      </c>
      <c r="G77" s="273">
        <f>+D77*E77*F77</f>
        <v>0</v>
      </c>
      <c r="H77" s="273"/>
      <c r="I77" s="273"/>
      <c r="J77" s="273"/>
      <c r="K77" s="320">
        <f>$K$65</f>
        <v>0</v>
      </c>
      <c r="L77" s="491">
        <f>+K77/C77</f>
        <v>0</v>
      </c>
      <c r="M77" s="238" t="str">
        <f>+M24</f>
        <v>Tarda</v>
      </c>
      <c r="N77" s="238"/>
      <c r="O77" s="239">
        <f>+K77*G77</f>
        <v>0</v>
      </c>
    </row>
    <row r="78" spans="1:15" s="153" customFormat="1" x14ac:dyDescent="0.25">
      <c r="A78" s="229" t="s">
        <v>199</v>
      </c>
      <c r="B78" s="242"/>
      <c r="C78" s="243"/>
      <c r="D78" s="244"/>
      <c r="E78" s="245"/>
      <c r="F78" s="245"/>
      <c r="G78" s="246"/>
      <c r="H78" s="246"/>
      <c r="I78" s="247"/>
      <c r="J78" s="247"/>
      <c r="K78" s="247"/>
      <c r="L78" s="247"/>
      <c r="M78" s="245"/>
      <c r="N78" s="245"/>
      <c r="O78" s="248"/>
    </row>
    <row r="79" spans="1:15" s="153" customFormat="1" x14ac:dyDescent="0.25">
      <c r="A79" s="782" t="s">
        <v>195</v>
      </c>
      <c r="B79" s="782"/>
      <c r="C79" s="137"/>
      <c r="D79" s="138"/>
      <c r="E79" s="139"/>
      <c r="F79" s="234"/>
      <c r="G79" s="235"/>
      <c r="H79" s="235"/>
      <c r="I79" s="235"/>
      <c r="J79" s="235"/>
      <c r="K79" s="320"/>
      <c r="L79" s="237"/>
      <c r="M79" s="238"/>
      <c r="N79" s="238"/>
      <c r="O79" s="239"/>
    </row>
    <row r="80" spans="1:15" s="153" customFormat="1" x14ac:dyDescent="0.25">
      <c r="A80" s="763" t="s">
        <v>88</v>
      </c>
      <c r="B80" s="763"/>
      <c r="C80" s="137"/>
      <c r="D80" s="138"/>
      <c r="E80" s="139"/>
      <c r="F80" s="234"/>
      <c r="G80" s="235"/>
      <c r="H80" s="235"/>
      <c r="I80" s="235"/>
      <c r="J80" s="235"/>
      <c r="K80" s="236"/>
      <c r="L80" s="236"/>
      <c r="M80" s="238"/>
      <c r="N80" s="238"/>
      <c r="O80" s="239"/>
    </row>
    <row r="81" spans="1:15" s="153" customFormat="1" x14ac:dyDescent="0.25">
      <c r="A81" s="734" t="s">
        <v>218</v>
      </c>
      <c r="B81" s="734"/>
      <c r="C81" s="137">
        <v>6.1666699999999999</v>
      </c>
      <c r="D81" s="138">
        <v>1</v>
      </c>
      <c r="E81" s="139">
        <f>$E$28</f>
        <v>0</v>
      </c>
      <c r="F81" s="139">
        <f>Dies!$C$53</f>
        <v>77</v>
      </c>
      <c r="G81" s="273">
        <f>+D81*E81*F81</f>
        <v>0</v>
      </c>
      <c r="H81" s="273"/>
      <c r="I81" s="273"/>
      <c r="J81" s="273"/>
      <c r="K81" s="320">
        <f>$K$65</f>
        <v>0</v>
      </c>
      <c r="L81" s="237">
        <f>+K81/C81</f>
        <v>0</v>
      </c>
      <c r="M81" s="238" t="str">
        <f>+M28</f>
        <v>Matí</v>
      </c>
      <c r="N81" s="238"/>
      <c r="O81" s="239">
        <f>+K81*G81</f>
        <v>0</v>
      </c>
    </row>
    <row r="82" spans="1:15" s="153" customFormat="1" x14ac:dyDescent="0.25">
      <c r="A82" s="764" t="s">
        <v>89</v>
      </c>
      <c r="B82" s="764"/>
      <c r="C82" s="180"/>
      <c r="D82" s="180"/>
      <c r="E82" s="241"/>
      <c r="F82" s="241"/>
      <c r="G82" s="664"/>
      <c r="H82" s="664"/>
      <c r="I82" s="664"/>
      <c r="J82" s="664"/>
      <c r="K82" s="664"/>
      <c r="L82" s="180"/>
      <c r="M82" s="180"/>
      <c r="N82" s="180"/>
      <c r="O82" s="180"/>
    </row>
    <row r="83" spans="1:15" s="153" customFormat="1" x14ac:dyDescent="0.25">
      <c r="A83" s="734" t="s">
        <v>218</v>
      </c>
      <c r="B83" s="734"/>
      <c r="C83" s="137">
        <v>6.1666699999999999</v>
      </c>
      <c r="D83" s="138">
        <v>1</v>
      </c>
      <c r="E83" s="139">
        <f>$E$30</f>
        <v>0</v>
      </c>
      <c r="F83" s="139">
        <f>Dies!$C$53</f>
        <v>77</v>
      </c>
      <c r="G83" s="273">
        <f>+D83*E83*F83</f>
        <v>0</v>
      </c>
      <c r="H83" s="273"/>
      <c r="I83" s="273"/>
      <c r="J83" s="273"/>
      <c r="K83" s="320">
        <f>$K$65</f>
        <v>0</v>
      </c>
      <c r="L83" s="237">
        <f>+K83/C83</f>
        <v>0</v>
      </c>
      <c r="M83" s="238" t="str">
        <f>+M30</f>
        <v>Tarda</v>
      </c>
      <c r="N83" s="238"/>
      <c r="O83" s="239">
        <f>+K83*G83</f>
        <v>0</v>
      </c>
    </row>
    <row r="84" spans="1:15" s="153" customFormat="1" x14ac:dyDescent="0.25">
      <c r="A84" s="762" t="s">
        <v>196</v>
      </c>
      <c r="B84" s="762"/>
      <c r="C84" s="137"/>
      <c r="D84" s="138"/>
      <c r="E84" s="147"/>
      <c r="F84" s="241"/>
      <c r="G84" s="273"/>
      <c r="H84" s="273"/>
      <c r="I84" s="273"/>
      <c r="J84" s="273"/>
      <c r="K84" s="320"/>
      <c r="L84" s="237"/>
      <c r="M84" s="238"/>
      <c r="N84" s="238"/>
      <c r="O84" s="239"/>
    </row>
    <row r="85" spans="1:15" s="153" customFormat="1" x14ac:dyDescent="0.25">
      <c r="A85" s="763" t="s">
        <v>88</v>
      </c>
      <c r="B85" s="763"/>
      <c r="C85" s="241"/>
      <c r="D85" s="241"/>
      <c r="E85" s="147"/>
      <c r="F85" s="241"/>
      <c r="G85" s="241"/>
      <c r="H85" s="241"/>
      <c r="I85" s="241"/>
      <c r="J85" s="241"/>
      <c r="K85" s="241"/>
      <c r="L85" s="234"/>
      <c r="M85" s="234"/>
      <c r="N85" s="234"/>
      <c r="O85" s="234"/>
    </row>
    <row r="86" spans="1:15" s="153" customFormat="1" x14ac:dyDescent="0.25">
      <c r="A86" s="734" t="s">
        <v>218</v>
      </c>
      <c r="B86" s="734"/>
      <c r="C86" s="137">
        <v>6.1666699999999999</v>
      </c>
      <c r="D86" s="138">
        <v>1</v>
      </c>
      <c r="E86" s="139">
        <f>$E$33</f>
        <v>0</v>
      </c>
      <c r="F86" s="139">
        <f>Dies!$C$54</f>
        <v>15</v>
      </c>
      <c r="G86" s="273">
        <f>+D86*E86*F86</f>
        <v>0</v>
      </c>
      <c r="H86" s="273"/>
      <c r="I86" s="273"/>
      <c r="J86" s="273"/>
      <c r="K86" s="320">
        <f>$K$65</f>
        <v>0</v>
      </c>
      <c r="L86" s="237">
        <f>+K86/C86</f>
        <v>0</v>
      </c>
      <c r="M86" s="238" t="str">
        <f>+M33</f>
        <v>Matí</v>
      </c>
      <c r="N86" s="238"/>
      <c r="O86" s="239">
        <f>+K86*G86</f>
        <v>0</v>
      </c>
    </row>
    <row r="87" spans="1:15" s="153" customFormat="1" x14ac:dyDescent="0.25">
      <c r="A87" s="764" t="s">
        <v>89</v>
      </c>
      <c r="B87" s="764"/>
      <c r="C87" s="180"/>
      <c r="D87" s="180"/>
      <c r="E87" s="147"/>
      <c r="F87" s="241"/>
      <c r="G87" s="664"/>
      <c r="H87" s="664"/>
      <c r="I87" s="664"/>
      <c r="J87" s="664"/>
      <c r="K87" s="664"/>
      <c r="L87" s="180"/>
      <c r="M87" s="180"/>
      <c r="N87" s="180"/>
      <c r="O87" s="180"/>
    </row>
    <row r="88" spans="1:15" s="153" customFormat="1" x14ac:dyDescent="0.25">
      <c r="A88" s="734" t="s">
        <v>218</v>
      </c>
      <c r="B88" s="734"/>
      <c r="C88" s="137">
        <v>6.1666699999999999</v>
      </c>
      <c r="D88" s="138">
        <v>1</v>
      </c>
      <c r="E88" s="139">
        <f>$E$35</f>
        <v>0</v>
      </c>
      <c r="F88" s="139">
        <f>Dies!$C$54</f>
        <v>15</v>
      </c>
      <c r="G88" s="273">
        <f>+D88*E88*F88</f>
        <v>0</v>
      </c>
      <c r="H88" s="273"/>
      <c r="I88" s="273"/>
      <c r="J88" s="273"/>
      <c r="K88" s="320">
        <f>$K$65</f>
        <v>0</v>
      </c>
      <c r="L88" s="237">
        <f>+K88/C88</f>
        <v>0</v>
      </c>
      <c r="M88" s="238" t="str">
        <f>+M35</f>
        <v>Tarda</v>
      </c>
      <c r="N88" s="238"/>
      <c r="O88" s="239">
        <f>+K88*G88</f>
        <v>0</v>
      </c>
    </row>
    <row r="89" spans="1:15" s="153" customFormat="1" x14ac:dyDescent="0.25">
      <c r="A89" s="762" t="s">
        <v>197</v>
      </c>
      <c r="B89" s="762"/>
      <c r="C89" s="180"/>
      <c r="D89" s="180"/>
      <c r="E89" s="147"/>
      <c r="F89" s="241"/>
      <c r="G89" s="664"/>
      <c r="H89" s="664"/>
      <c r="I89" s="664"/>
      <c r="J89" s="664"/>
      <c r="K89" s="664"/>
      <c r="L89" s="180"/>
      <c r="M89" s="180"/>
      <c r="N89" s="180"/>
      <c r="O89" s="180"/>
    </row>
    <row r="90" spans="1:15" s="153" customFormat="1" x14ac:dyDescent="0.25">
      <c r="A90" s="763" t="s">
        <v>88</v>
      </c>
      <c r="B90" s="763"/>
      <c r="C90" s="180"/>
      <c r="D90" s="180"/>
      <c r="E90" s="147"/>
      <c r="F90" s="241"/>
      <c r="G90" s="664"/>
      <c r="H90" s="664"/>
      <c r="I90" s="664"/>
      <c r="J90" s="664"/>
      <c r="K90" s="664"/>
      <c r="L90" s="180"/>
      <c r="M90" s="180"/>
      <c r="N90" s="180"/>
      <c r="O90" s="180"/>
    </row>
    <row r="91" spans="1:15" s="153" customFormat="1" x14ac:dyDescent="0.25">
      <c r="A91" s="734" t="s">
        <v>218</v>
      </c>
      <c r="B91" s="734"/>
      <c r="C91" s="137">
        <v>6.1666699999999999</v>
      </c>
      <c r="D91" s="138">
        <v>1</v>
      </c>
      <c r="E91" s="139">
        <f>$E$38</f>
        <v>0</v>
      </c>
      <c r="F91" s="139">
        <f>Dies!$C$55</f>
        <v>15</v>
      </c>
      <c r="G91" s="273">
        <f>+D91*E91*F91</f>
        <v>0</v>
      </c>
      <c r="H91" s="273"/>
      <c r="I91" s="273"/>
      <c r="J91" s="273"/>
      <c r="K91" s="320">
        <f>$K$65</f>
        <v>0</v>
      </c>
      <c r="L91" s="237">
        <f>+K91/C91</f>
        <v>0</v>
      </c>
      <c r="M91" s="238" t="str">
        <f>+M38</f>
        <v>Matí</v>
      </c>
      <c r="N91" s="238"/>
      <c r="O91" s="239">
        <f>+K91*G91</f>
        <v>0</v>
      </c>
    </row>
    <row r="92" spans="1:15" s="153" customFormat="1" x14ac:dyDescent="0.25">
      <c r="A92" s="764" t="s">
        <v>89</v>
      </c>
      <c r="B92" s="764"/>
      <c r="C92" s="180"/>
      <c r="D92" s="180"/>
      <c r="E92" s="147"/>
      <c r="F92" s="241"/>
      <c r="G92" s="664"/>
      <c r="H92" s="664"/>
      <c r="I92" s="664"/>
      <c r="J92" s="664"/>
      <c r="K92" s="664"/>
      <c r="L92" s="180"/>
      <c r="M92" s="180"/>
      <c r="N92" s="180"/>
      <c r="O92" s="180"/>
    </row>
    <row r="93" spans="1:15" s="153" customFormat="1" x14ac:dyDescent="0.25">
      <c r="A93" s="734" t="s">
        <v>218</v>
      </c>
      <c r="B93" s="734"/>
      <c r="C93" s="137">
        <v>6.1666699999999999</v>
      </c>
      <c r="D93" s="138">
        <v>1</v>
      </c>
      <c r="E93" s="139">
        <f>$E$40</f>
        <v>0</v>
      </c>
      <c r="F93" s="139">
        <f>Dies!$C$55</f>
        <v>15</v>
      </c>
      <c r="G93" s="273">
        <f>+D93*E93*F93</f>
        <v>0</v>
      </c>
      <c r="H93" s="273"/>
      <c r="I93" s="273"/>
      <c r="J93" s="273"/>
      <c r="K93" s="320">
        <f>$K$65</f>
        <v>0</v>
      </c>
      <c r="L93" s="237">
        <f>+K93/C93</f>
        <v>0</v>
      </c>
      <c r="M93" s="238" t="str">
        <f>+M40</f>
        <v>Tarda</v>
      </c>
      <c r="N93" s="238"/>
      <c r="O93" s="239">
        <f>+K93*G93</f>
        <v>0</v>
      </c>
    </row>
    <row r="94" spans="1:15" s="153" customFormat="1" x14ac:dyDescent="0.25">
      <c r="A94" s="229" t="s">
        <v>326</v>
      </c>
      <c r="B94" s="242"/>
      <c r="C94" s="278"/>
      <c r="D94" s="278"/>
      <c r="E94" s="278"/>
      <c r="F94" s="245"/>
      <c r="G94" s="278"/>
      <c r="H94" s="278"/>
      <c r="I94" s="278"/>
      <c r="J94" s="278"/>
      <c r="K94" s="278"/>
      <c r="L94" s="278"/>
      <c r="M94" s="278"/>
      <c r="N94" s="278"/>
      <c r="O94" s="278"/>
    </row>
    <row r="95" spans="1:15" s="153" customFormat="1" x14ac:dyDescent="0.25">
      <c r="A95" s="782" t="s">
        <v>195</v>
      </c>
      <c r="B95" s="782"/>
      <c r="C95" s="180"/>
      <c r="D95" s="180"/>
      <c r="E95" s="180"/>
      <c r="F95" s="234"/>
      <c r="G95" s="180"/>
      <c r="H95" s="180"/>
      <c r="I95" s="180"/>
      <c r="J95" s="180"/>
      <c r="K95" s="180"/>
      <c r="L95" s="180"/>
      <c r="M95" s="180"/>
      <c r="N95" s="180"/>
      <c r="O95" s="180"/>
    </row>
    <row r="96" spans="1:15" s="153" customFormat="1" x14ac:dyDescent="0.25">
      <c r="A96" s="763" t="s">
        <v>88</v>
      </c>
      <c r="B96" s="763"/>
      <c r="C96" s="180"/>
      <c r="D96" s="180"/>
      <c r="E96" s="180"/>
      <c r="F96" s="234"/>
      <c r="G96" s="180"/>
      <c r="H96" s="180"/>
      <c r="I96" s="180"/>
      <c r="J96" s="180"/>
      <c r="K96" s="180"/>
      <c r="L96" s="180"/>
      <c r="M96" s="180"/>
      <c r="N96" s="180"/>
      <c r="O96" s="180"/>
    </row>
    <row r="97" spans="1:15" s="153" customFormat="1" x14ac:dyDescent="0.25">
      <c r="A97" s="734" t="s">
        <v>218</v>
      </c>
      <c r="B97" s="734"/>
      <c r="C97" s="137">
        <v>6.1666699999999999</v>
      </c>
      <c r="D97" s="138">
        <v>1</v>
      </c>
      <c r="E97" s="139">
        <f>$E$44</f>
        <v>0</v>
      </c>
      <c r="F97" s="139">
        <f>Dies!$C$58</f>
        <v>89</v>
      </c>
      <c r="G97" s="273">
        <f>+D97*E97*F97</f>
        <v>0</v>
      </c>
      <c r="H97" s="273"/>
      <c r="I97" s="273"/>
      <c r="J97" s="273"/>
      <c r="K97" s="320">
        <f>$K$65</f>
        <v>0</v>
      </c>
      <c r="L97" s="491">
        <f>+K97/C97</f>
        <v>0</v>
      </c>
      <c r="M97" s="238" t="str">
        <f>+M44</f>
        <v>Matí</v>
      </c>
      <c r="N97" s="238"/>
      <c r="O97" s="239">
        <f>+K97*G97</f>
        <v>0</v>
      </c>
    </row>
    <row r="98" spans="1:15" s="153" customFormat="1" x14ac:dyDescent="0.25">
      <c r="A98" s="764" t="s">
        <v>89</v>
      </c>
      <c r="B98" s="764"/>
      <c r="C98" s="180"/>
      <c r="D98" s="180"/>
      <c r="E98" s="147"/>
      <c r="F98" s="241"/>
      <c r="G98" s="664"/>
      <c r="H98" s="664"/>
      <c r="I98" s="664"/>
      <c r="J98" s="664"/>
      <c r="K98" s="664"/>
      <c r="L98" s="664"/>
      <c r="M98" s="180"/>
      <c r="N98" s="180"/>
      <c r="O98" s="180"/>
    </row>
    <row r="99" spans="1:15" s="153" customFormat="1" x14ac:dyDescent="0.25">
      <c r="A99" s="734" t="s">
        <v>218</v>
      </c>
      <c r="B99" s="734"/>
      <c r="C99" s="137">
        <v>6.1666699999999999</v>
      </c>
      <c r="D99" s="138">
        <v>1</v>
      </c>
      <c r="E99" s="139">
        <f>$E$46</f>
        <v>0</v>
      </c>
      <c r="F99" s="139">
        <f>Dies!$C$58</f>
        <v>89</v>
      </c>
      <c r="G99" s="273">
        <f>+D99*E99*F99</f>
        <v>0</v>
      </c>
      <c r="H99" s="273"/>
      <c r="I99" s="273"/>
      <c r="J99" s="273"/>
      <c r="K99" s="320">
        <f>$K$65</f>
        <v>0</v>
      </c>
      <c r="L99" s="491">
        <f>+K99/C99</f>
        <v>0</v>
      </c>
      <c r="M99" s="238" t="str">
        <f>+M46</f>
        <v>Tarda</v>
      </c>
      <c r="N99" s="238"/>
      <c r="O99" s="239">
        <f>+K99*G99</f>
        <v>0</v>
      </c>
    </row>
    <row r="100" spans="1:15" s="153" customFormat="1" x14ac:dyDescent="0.25">
      <c r="A100" s="762" t="s">
        <v>196</v>
      </c>
      <c r="B100" s="762"/>
      <c r="C100" s="234"/>
      <c r="D100" s="234"/>
      <c r="E100" s="147"/>
      <c r="F100" s="241"/>
      <c r="G100" s="241"/>
      <c r="H100" s="241"/>
      <c r="I100" s="241"/>
      <c r="J100" s="241"/>
      <c r="K100" s="241"/>
      <c r="L100" s="241"/>
      <c r="M100" s="234"/>
      <c r="N100" s="234"/>
      <c r="O100" s="234"/>
    </row>
    <row r="101" spans="1:15" s="153" customFormat="1" x14ac:dyDescent="0.25">
      <c r="A101" s="763" t="s">
        <v>88</v>
      </c>
      <c r="B101" s="763"/>
      <c r="C101" s="234"/>
      <c r="D101" s="234"/>
      <c r="E101" s="147"/>
      <c r="F101" s="241"/>
      <c r="G101" s="241"/>
      <c r="H101" s="241"/>
      <c r="I101" s="241"/>
      <c r="J101" s="241"/>
      <c r="K101" s="241"/>
      <c r="L101" s="241"/>
      <c r="M101" s="234"/>
      <c r="N101" s="234"/>
      <c r="O101" s="234"/>
    </row>
    <row r="102" spans="1:15" s="153" customFormat="1" x14ac:dyDescent="0.25">
      <c r="A102" s="734" t="s">
        <v>218</v>
      </c>
      <c r="B102" s="734"/>
      <c r="C102" s="137">
        <v>6.1666699999999999</v>
      </c>
      <c r="D102" s="138">
        <v>1</v>
      </c>
      <c r="E102" s="139">
        <f>$E$49</f>
        <v>0</v>
      </c>
      <c r="F102" s="139">
        <f>Dies!$C$59</f>
        <v>17</v>
      </c>
      <c r="G102" s="273">
        <f>+D102*E102*F102</f>
        <v>0</v>
      </c>
      <c r="H102" s="273"/>
      <c r="I102" s="273"/>
      <c r="J102" s="273"/>
      <c r="K102" s="320">
        <f>$K$65</f>
        <v>0</v>
      </c>
      <c r="L102" s="491">
        <f>+K102/C102</f>
        <v>0</v>
      </c>
      <c r="M102" s="238" t="str">
        <f>+M49</f>
        <v>Matí</v>
      </c>
      <c r="N102" s="238"/>
      <c r="O102" s="239">
        <f>+K102*G102</f>
        <v>0</v>
      </c>
    </row>
    <row r="103" spans="1:15" s="153" customFormat="1" x14ac:dyDescent="0.25">
      <c r="A103" s="764" t="s">
        <v>89</v>
      </c>
      <c r="B103" s="764"/>
      <c r="C103" s="234"/>
      <c r="D103" s="234"/>
      <c r="E103" s="147"/>
      <c r="F103" s="241"/>
      <c r="G103" s="241"/>
      <c r="H103" s="241"/>
      <c r="I103" s="241"/>
      <c r="J103" s="241"/>
      <c r="K103" s="241"/>
      <c r="L103" s="241"/>
      <c r="M103" s="234"/>
      <c r="N103" s="234"/>
      <c r="O103" s="234"/>
    </row>
    <row r="104" spans="1:15" s="153" customFormat="1" x14ac:dyDescent="0.25">
      <c r="A104" s="734" t="s">
        <v>218</v>
      </c>
      <c r="B104" s="734"/>
      <c r="C104" s="137">
        <v>6.1666699999999999</v>
      </c>
      <c r="D104" s="138">
        <v>1</v>
      </c>
      <c r="E104" s="139">
        <f>$E$51</f>
        <v>0</v>
      </c>
      <c r="F104" s="139">
        <f>Dies!$C$59</f>
        <v>17</v>
      </c>
      <c r="G104" s="273">
        <f>+D104*E104*F104</f>
        <v>0</v>
      </c>
      <c r="H104" s="273"/>
      <c r="I104" s="273"/>
      <c r="J104" s="273"/>
      <c r="K104" s="320">
        <f>$K$65</f>
        <v>0</v>
      </c>
      <c r="L104" s="491">
        <f>+K104/C104</f>
        <v>0</v>
      </c>
      <c r="M104" s="238" t="str">
        <f>+M51</f>
        <v>Tarda</v>
      </c>
      <c r="N104" s="238"/>
      <c r="O104" s="239">
        <f>+K104*G104</f>
        <v>0</v>
      </c>
    </row>
    <row r="105" spans="1:15" s="153" customFormat="1" x14ac:dyDescent="0.25">
      <c r="A105" s="762" t="s">
        <v>197</v>
      </c>
      <c r="B105" s="762"/>
      <c r="C105" s="234"/>
      <c r="D105" s="234"/>
      <c r="E105" s="147"/>
      <c r="F105" s="241"/>
      <c r="G105" s="241"/>
      <c r="H105" s="241"/>
      <c r="I105" s="241"/>
      <c r="J105" s="241"/>
      <c r="K105" s="241"/>
      <c r="L105" s="241"/>
      <c r="M105" s="234"/>
      <c r="N105" s="234"/>
      <c r="O105" s="234"/>
    </row>
    <row r="106" spans="1:15" s="153" customFormat="1" x14ac:dyDescent="0.25">
      <c r="A106" s="763" t="s">
        <v>88</v>
      </c>
      <c r="B106" s="763"/>
      <c r="C106" s="234"/>
      <c r="D106" s="234"/>
      <c r="E106" s="147"/>
      <c r="F106" s="241"/>
      <c r="G106" s="241"/>
      <c r="H106" s="241"/>
      <c r="I106" s="241"/>
      <c r="J106" s="241"/>
      <c r="K106" s="241"/>
      <c r="L106" s="241"/>
      <c r="M106" s="234"/>
      <c r="N106" s="234"/>
      <c r="O106" s="234"/>
    </row>
    <row r="107" spans="1:15" s="153" customFormat="1" x14ac:dyDescent="0.25">
      <c r="A107" s="734" t="s">
        <v>218</v>
      </c>
      <c r="B107" s="734"/>
      <c r="C107" s="137">
        <v>6.1666699999999999</v>
      </c>
      <c r="D107" s="138">
        <v>1</v>
      </c>
      <c r="E107" s="139">
        <f>$E$54</f>
        <v>0</v>
      </c>
      <c r="F107" s="139">
        <f>Dies!$C$60</f>
        <v>17</v>
      </c>
      <c r="G107" s="273">
        <f>+D107*E107*F107</f>
        <v>0</v>
      </c>
      <c r="H107" s="273"/>
      <c r="I107" s="273"/>
      <c r="J107" s="273"/>
      <c r="K107" s="320">
        <f>$K$65</f>
        <v>0</v>
      </c>
      <c r="L107" s="491">
        <f>+K107/C107</f>
        <v>0</v>
      </c>
      <c r="M107" s="238" t="str">
        <f>+M54</f>
        <v>Matí</v>
      </c>
      <c r="N107" s="238"/>
      <c r="O107" s="239">
        <f>+K107*G107</f>
        <v>0</v>
      </c>
    </row>
    <row r="108" spans="1:15" s="153" customFormat="1" x14ac:dyDescent="0.25">
      <c r="A108" s="764" t="s">
        <v>89</v>
      </c>
      <c r="B108" s="764"/>
      <c r="C108" s="180"/>
      <c r="D108" s="180"/>
      <c r="E108" s="241"/>
      <c r="F108" s="241"/>
      <c r="G108" s="664"/>
      <c r="H108" s="664"/>
      <c r="I108" s="664"/>
      <c r="J108" s="664"/>
      <c r="K108" s="664"/>
      <c r="L108" s="664"/>
      <c r="M108" s="180"/>
      <c r="N108" s="180"/>
      <c r="O108" s="180"/>
    </row>
    <row r="109" spans="1:15" s="153" customFormat="1" x14ac:dyDescent="0.25">
      <c r="A109" s="734" t="s">
        <v>218</v>
      </c>
      <c r="B109" s="734"/>
      <c r="C109" s="137">
        <v>6.1666699999999999</v>
      </c>
      <c r="D109" s="138">
        <v>1</v>
      </c>
      <c r="E109" s="139">
        <f>$E$56</f>
        <v>0</v>
      </c>
      <c r="F109" s="139">
        <f>Dies!$C$60</f>
        <v>17</v>
      </c>
      <c r="G109" s="273">
        <f>+D109*E109*F109</f>
        <v>0</v>
      </c>
      <c r="H109" s="273"/>
      <c r="I109" s="273"/>
      <c r="J109" s="273"/>
      <c r="K109" s="320">
        <f>$K$65</f>
        <v>0</v>
      </c>
      <c r="L109" s="491">
        <f>+K109/C109</f>
        <v>0</v>
      </c>
      <c r="M109" s="238" t="str">
        <f>+M56</f>
        <v>Tarda</v>
      </c>
      <c r="N109" s="238"/>
      <c r="O109" s="239">
        <f>+K109*G109</f>
        <v>0</v>
      </c>
    </row>
    <row r="110" spans="1:15" x14ac:dyDescent="0.25">
      <c r="A110" s="402"/>
      <c r="B110" s="324"/>
      <c r="C110" s="324"/>
      <c r="D110" s="324"/>
      <c r="E110" s="323" t="s">
        <v>46</v>
      </c>
      <c r="F110" s="324"/>
      <c r="G110" s="324"/>
      <c r="H110" s="324"/>
      <c r="I110" s="324"/>
      <c r="J110" s="324"/>
      <c r="K110" s="324"/>
      <c r="L110" s="324"/>
      <c r="M110" s="324"/>
      <c r="N110" s="324"/>
      <c r="O110" s="403">
        <f>SUM(O65:O109)</f>
        <v>0</v>
      </c>
    </row>
    <row r="111" spans="1:15" s="153" customFormat="1" ht="26.25" x14ac:dyDescent="0.4">
      <c r="A111" s="425" t="s">
        <v>212</v>
      </c>
      <c r="B111" s="221"/>
      <c r="C111" s="221"/>
      <c r="D111" s="223"/>
      <c r="E111" s="223"/>
      <c r="F111" s="223"/>
      <c r="G111" s="223"/>
      <c r="H111" s="223"/>
      <c r="I111" s="223"/>
      <c r="J111" s="223"/>
      <c r="K111" s="224"/>
      <c r="L111" s="224"/>
      <c r="M111" s="224"/>
      <c r="N111" s="224"/>
      <c r="O111" s="435"/>
    </row>
    <row r="112" spans="1:15" x14ac:dyDescent="0.25">
      <c r="A112" s="797" t="s">
        <v>20</v>
      </c>
      <c r="B112" s="773"/>
      <c r="C112" s="225" t="s">
        <v>27</v>
      </c>
      <c r="D112" s="225" t="s">
        <v>28</v>
      </c>
      <c r="E112" s="225" t="s">
        <v>21</v>
      </c>
      <c r="F112" s="225" t="s">
        <v>29</v>
      </c>
      <c r="G112" s="225"/>
      <c r="H112" s="225"/>
      <c r="I112" s="225"/>
      <c r="J112" s="225"/>
      <c r="K112" s="225" t="s">
        <v>30</v>
      </c>
      <c r="L112" s="225" t="s">
        <v>23</v>
      </c>
      <c r="M112" s="225" t="s">
        <v>31</v>
      </c>
      <c r="N112" s="225"/>
      <c r="O112" s="436" t="s">
        <v>32</v>
      </c>
    </row>
    <row r="113" spans="1:15" x14ac:dyDescent="0.25">
      <c r="A113" s="779"/>
      <c r="B113" s="768"/>
      <c r="C113" s="226" t="s">
        <v>44</v>
      </c>
      <c r="D113" s="226" t="s">
        <v>5</v>
      </c>
      <c r="E113" s="226" t="s">
        <v>24</v>
      </c>
      <c r="F113" s="227" t="s">
        <v>34</v>
      </c>
      <c r="G113" s="226" t="s">
        <v>35</v>
      </c>
      <c r="H113" s="226"/>
      <c r="I113" s="226"/>
      <c r="J113" s="226"/>
      <c r="K113" s="226" t="s">
        <v>36</v>
      </c>
      <c r="L113" s="228" t="s">
        <v>37</v>
      </c>
      <c r="M113" s="226" t="s">
        <v>38</v>
      </c>
      <c r="N113" s="226"/>
      <c r="O113" s="451" t="s">
        <v>40</v>
      </c>
    </row>
    <row r="114" spans="1:15" s="153" customFormat="1" x14ac:dyDescent="0.25">
      <c r="A114" s="229" t="s">
        <v>198</v>
      </c>
      <c r="B114" s="230"/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</row>
    <row r="115" spans="1:15" s="153" customFormat="1" x14ac:dyDescent="0.25">
      <c r="A115" s="782" t="s">
        <v>195</v>
      </c>
      <c r="B115" s="782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</row>
    <row r="116" spans="1:15" s="153" customFormat="1" x14ac:dyDescent="0.25">
      <c r="A116" s="763" t="s">
        <v>88</v>
      </c>
      <c r="B116" s="763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</row>
    <row r="117" spans="1:15" s="153" customFormat="1" x14ac:dyDescent="0.25">
      <c r="A117" s="734" t="s">
        <v>218</v>
      </c>
      <c r="B117" s="734"/>
      <c r="C117" s="137">
        <v>6.1666699999999999</v>
      </c>
      <c r="D117" s="138">
        <v>1</v>
      </c>
      <c r="E117" s="139">
        <f>$E$12</f>
        <v>0</v>
      </c>
      <c r="F117" s="139">
        <f>Dies!$C$48</f>
        <v>95</v>
      </c>
      <c r="G117" s="273">
        <f>+D117*E117*F117</f>
        <v>0</v>
      </c>
      <c r="H117" s="273"/>
      <c r="I117" s="273"/>
      <c r="J117" s="273"/>
      <c r="K117" s="320">
        <f>'Seguro+combustible+reparacions'!G9</f>
        <v>0</v>
      </c>
      <c r="L117" s="237">
        <f>+K117/C117</f>
        <v>0</v>
      </c>
      <c r="M117" s="238" t="str">
        <f>+M65</f>
        <v>Matí</v>
      </c>
      <c r="N117" s="238"/>
      <c r="O117" s="239">
        <f>+K117*G117</f>
        <v>0</v>
      </c>
    </row>
    <row r="118" spans="1:15" s="153" customFormat="1" x14ac:dyDescent="0.25">
      <c r="A118" s="764" t="s">
        <v>89</v>
      </c>
      <c r="B118" s="764"/>
      <c r="C118" s="241"/>
      <c r="D118" s="241"/>
      <c r="E118" s="241"/>
      <c r="F118" s="241"/>
      <c r="G118" s="241"/>
      <c r="H118" s="241"/>
      <c r="I118" s="241"/>
      <c r="J118" s="241"/>
      <c r="K118" s="241"/>
      <c r="L118" s="234"/>
      <c r="M118" s="234"/>
      <c r="N118" s="234"/>
      <c r="O118" s="234"/>
    </row>
    <row r="119" spans="1:15" s="153" customFormat="1" x14ac:dyDescent="0.25">
      <c r="A119" s="734" t="s">
        <v>218</v>
      </c>
      <c r="B119" s="734"/>
      <c r="C119" s="137">
        <v>6.1666699999999999</v>
      </c>
      <c r="D119" s="138">
        <v>1</v>
      </c>
      <c r="E119" s="139">
        <f>$E$14</f>
        <v>0</v>
      </c>
      <c r="F119" s="139">
        <f>Dies!$C$48</f>
        <v>95</v>
      </c>
      <c r="G119" s="273">
        <f>+D119*E119*F119</f>
        <v>0</v>
      </c>
      <c r="H119" s="273"/>
      <c r="I119" s="273"/>
      <c r="J119" s="273"/>
      <c r="K119" s="320">
        <f>$K$117</f>
        <v>0</v>
      </c>
      <c r="L119" s="237">
        <f>+K119/C119</f>
        <v>0</v>
      </c>
      <c r="M119" s="238" t="str">
        <f>+M67</f>
        <v>Tarda</v>
      </c>
      <c r="N119" s="238"/>
      <c r="O119" s="239">
        <f>+K119*G119</f>
        <v>0</v>
      </c>
    </row>
    <row r="120" spans="1:15" s="153" customFormat="1" x14ac:dyDescent="0.25">
      <c r="A120" s="762" t="s">
        <v>196</v>
      </c>
      <c r="B120" s="762"/>
      <c r="C120" s="241"/>
      <c r="D120" s="241"/>
      <c r="E120" s="241"/>
      <c r="F120" s="241"/>
      <c r="G120" s="241"/>
      <c r="H120" s="241"/>
      <c r="I120" s="241"/>
      <c r="J120" s="241"/>
      <c r="K120" s="241"/>
      <c r="L120" s="234"/>
      <c r="M120" s="234"/>
      <c r="N120" s="234"/>
      <c r="O120" s="234"/>
    </row>
    <row r="121" spans="1:15" s="153" customFormat="1" x14ac:dyDescent="0.25">
      <c r="A121" s="763" t="s">
        <v>88</v>
      </c>
      <c r="B121" s="763"/>
      <c r="C121" s="241"/>
      <c r="D121" s="241"/>
      <c r="E121" s="241"/>
      <c r="F121" s="241"/>
      <c r="G121" s="241"/>
      <c r="H121" s="241"/>
      <c r="I121" s="241"/>
      <c r="J121" s="241"/>
      <c r="K121" s="241"/>
      <c r="L121" s="234"/>
      <c r="M121" s="234"/>
      <c r="N121" s="234"/>
      <c r="O121" s="234"/>
    </row>
    <row r="122" spans="1:15" s="153" customFormat="1" x14ac:dyDescent="0.25">
      <c r="A122" s="734" t="s">
        <v>218</v>
      </c>
      <c r="B122" s="734"/>
      <c r="C122" s="137">
        <v>6.1666699999999999</v>
      </c>
      <c r="D122" s="138">
        <v>1</v>
      </c>
      <c r="E122" s="139">
        <f>$E$17</f>
        <v>0</v>
      </c>
      <c r="F122" s="139">
        <f>Dies!$C$49</f>
        <v>20</v>
      </c>
      <c r="G122" s="273">
        <f>+D122*E122*F122</f>
        <v>0</v>
      </c>
      <c r="H122" s="273"/>
      <c r="I122" s="273"/>
      <c r="J122" s="273"/>
      <c r="K122" s="320">
        <f>$K$117</f>
        <v>0</v>
      </c>
      <c r="L122" s="237">
        <f>+K122/C122</f>
        <v>0</v>
      </c>
      <c r="M122" s="238" t="str">
        <f>+M70</f>
        <v>Matí</v>
      </c>
      <c r="N122" s="238"/>
      <c r="O122" s="239">
        <f>+K122*G122</f>
        <v>0</v>
      </c>
    </row>
    <row r="123" spans="1:15" s="153" customFormat="1" x14ac:dyDescent="0.25">
      <c r="A123" s="764" t="s">
        <v>89</v>
      </c>
      <c r="B123" s="764"/>
      <c r="C123" s="180"/>
      <c r="D123" s="180"/>
      <c r="E123" s="653"/>
      <c r="F123" s="241"/>
      <c r="G123" s="664"/>
      <c r="H123" s="664"/>
      <c r="I123" s="664"/>
      <c r="J123" s="664"/>
      <c r="K123" s="664"/>
      <c r="L123" s="180"/>
      <c r="M123" s="180"/>
      <c r="N123" s="180"/>
      <c r="O123" s="180"/>
    </row>
    <row r="124" spans="1:15" s="153" customFormat="1" x14ac:dyDescent="0.25">
      <c r="A124" s="734" t="s">
        <v>218</v>
      </c>
      <c r="B124" s="734"/>
      <c r="C124" s="137">
        <v>6.1666699999999999</v>
      </c>
      <c r="D124" s="138">
        <v>1</v>
      </c>
      <c r="E124" s="139">
        <f>$E$19</f>
        <v>0</v>
      </c>
      <c r="F124" s="139">
        <f>Dies!$C$49</f>
        <v>20</v>
      </c>
      <c r="G124" s="273">
        <f>+D124*E124*F124</f>
        <v>0</v>
      </c>
      <c r="H124" s="273"/>
      <c r="I124" s="273"/>
      <c r="J124" s="273"/>
      <c r="K124" s="320">
        <f>$K$117</f>
        <v>0</v>
      </c>
      <c r="L124" s="237">
        <f>+K124/C124</f>
        <v>0</v>
      </c>
      <c r="M124" s="238" t="str">
        <f>+M72</f>
        <v>Tarda</v>
      </c>
      <c r="N124" s="238"/>
      <c r="O124" s="239">
        <f>+K124*G124</f>
        <v>0</v>
      </c>
    </row>
    <row r="125" spans="1:15" s="153" customFormat="1" x14ac:dyDescent="0.25">
      <c r="A125" s="762" t="s">
        <v>197</v>
      </c>
      <c r="B125" s="762"/>
      <c r="C125" s="180"/>
      <c r="D125" s="180"/>
      <c r="E125" s="241"/>
      <c r="F125" s="241"/>
      <c r="G125" s="664"/>
      <c r="H125" s="664"/>
      <c r="I125" s="664"/>
      <c r="J125" s="664"/>
      <c r="K125" s="664"/>
      <c r="L125" s="180"/>
      <c r="M125" s="180"/>
      <c r="N125" s="180"/>
      <c r="O125" s="180"/>
    </row>
    <row r="126" spans="1:15" s="153" customFormat="1" x14ac:dyDescent="0.25">
      <c r="A126" s="763" t="s">
        <v>88</v>
      </c>
      <c r="B126" s="763"/>
      <c r="C126" s="180"/>
      <c r="D126" s="180"/>
      <c r="E126" s="241"/>
      <c r="F126" s="241"/>
      <c r="G126" s="664"/>
      <c r="H126" s="664"/>
      <c r="I126" s="664"/>
      <c r="J126" s="664"/>
      <c r="K126" s="664"/>
      <c r="L126" s="180"/>
      <c r="M126" s="180"/>
      <c r="N126" s="180"/>
      <c r="O126" s="180"/>
    </row>
    <row r="127" spans="1:15" s="153" customFormat="1" x14ac:dyDescent="0.25">
      <c r="A127" s="734" t="s">
        <v>218</v>
      </c>
      <c r="B127" s="734"/>
      <c r="C127" s="137">
        <v>6.1666699999999999</v>
      </c>
      <c r="D127" s="138">
        <v>1</v>
      </c>
      <c r="E127" s="139">
        <f>$E$22</f>
        <v>0</v>
      </c>
      <c r="F127" s="139">
        <f>Dies!$C$50</f>
        <v>20</v>
      </c>
      <c r="G127" s="273">
        <f>+D127*E127*F127</f>
        <v>0</v>
      </c>
      <c r="H127" s="273"/>
      <c r="I127" s="273"/>
      <c r="J127" s="273"/>
      <c r="K127" s="320">
        <f>$K$117</f>
        <v>0</v>
      </c>
      <c r="L127" s="237">
        <f>+K127/C127</f>
        <v>0</v>
      </c>
      <c r="M127" s="238" t="str">
        <f>+M75</f>
        <v>Matí</v>
      </c>
      <c r="N127" s="238"/>
      <c r="O127" s="239">
        <f>+K127*G127</f>
        <v>0</v>
      </c>
    </row>
    <row r="128" spans="1:15" s="153" customFormat="1" x14ac:dyDescent="0.25">
      <c r="A128" s="764" t="s">
        <v>89</v>
      </c>
      <c r="B128" s="764"/>
      <c r="C128" s="241"/>
      <c r="D128" s="241"/>
      <c r="E128" s="241"/>
      <c r="F128" s="241"/>
      <c r="G128" s="241"/>
      <c r="H128" s="241"/>
      <c r="I128" s="241"/>
      <c r="J128" s="241"/>
      <c r="K128" s="241"/>
      <c r="L128" s="234"/>
      <c r="M128" s="234"/>
      <c r="N128" s="234"/>
      <c r="O128" s="234"/>
    </row>
    <row r="129" spans="1:15" s="153" customFormat="1" x14ac:dyDescent="0.25">
      <c r="A129" s="734" t="s">
        <v>218</v>
      </c>
      <c r="B129" s="734"/>
      <c r="C129" s="137">
        <v>6.1666699999999999</v>
      </c>
      <c r="D129" s="138">
        <v>1</v>
      </c>
      <c r="E129" s="139">
        <f>$E$24</f>
        <v>0</v>
      </c>
      <c r="F129" s="139">
        <f>Dies!$C$50</f>
        <v>20</v>
      </c>
      <c r="G129" s="273">
        <f>+D129*E129*F129</f>
        <v>0</v>
      </c>
      <c r="H129" s="273"/>
      <c r="I129" s="273"/>
      <c r="J129" s="273"/>
      <c r="K129" s="320">
        <f>$K$117</f>
        <v>0</v>
      </c>
      <c r="L129" s="237">
        <f>+K129/C129</f>
        <v>0</v>
      </c>
      <c r="M129" s="238" t="str">
        <f>+M77</f>
        <v>Tarda</v>
      </c>
      <c r="N129" s="238"/>
      <c r="O129" s="239">
        <f>+K129*G129</f>
        <v>0</v>
      </c>
    </row>
    <row r="130" spans="1:15" s="153" customFormat="1" x14ac:dyDescent="0.25">
      <c r="A130" s="229" t="s">
        <v>199</v>
      </c>
      <c r="B130" s="242"/>
      <c r="C130" s="243"/>
      <c r="D130" s="244"/>
      <c r="E130" s="245"/>
      <c r="F130" s="245"/>
      <c r="G130" s="246"/>
      <c r="H130" s="246"/>
      <c r="I130" s="247"/>
      <c r="J130" s="247"/>
      <c r="K130" s="247"/>
      <c r="L130" s="247"/>
      <c r="M130" s="245"/>
      <c r="N130" s="245"/>
      <c r="O130" s="248"/>
    </row>
    <row r="131" spans="1:15" s="153" customFormat="1" x14ac:dyDescent="0.25">
      <c r="A131" s="782" t="s">
        <v>195</v>
      </c>
      <c r="B131" s="782"/>
      <c r="C131" s="137"/>
      <c r="D131" s="138"/>
      <c r="E131" s="139"/>
      <c r="F131" s="234"/>
      <c r="G131" s="235"/>
      <c r="H131" s="235"/>
      <c r="I131" s="235"/>
      <c r="J131" s="235"/>
      <c r="K131" s="320"/>
      <c r="L131" s="237"/>
      <c r="M131" s="238"/>
      <c r="N131" s="238"/>
      <c r="O131" s="239"/>
    </row>
    <row r="132" spans="1:15" s="153" customFormat="1" x14ac:dyDescent="0.25">
      <c r="A132" s="763" t="s">
        <v>88</v>
      </c>
      <c r="B132" s="763"/>
      <c r="C132" s="137"/>
      <c r="D132" s="138"/>
      <c r="E132" s="139"/>
      <c r="F132" s="234"/>
      <c r="G132" s="235"/>
      <c r="H132" s="235"/>
      <c r="I132" s="235"/>
      <c r="J132" s="235"/>
      <c r="K132" s="236"/>
      <c r="L132" s="236"/>
      <c r="M132" s="238"/>
      <c r="N132" s="238"/>
      <c r="O132" s="239"/>
    </row>
    <row r="133" spans="1:15" s="153" customFormat="1" x14ac:dyDescent="0.25">
      <c r="A133" s="734" t="s">
        <v>218</v>
      </c>
      <c r="B133" s="734"/>
      <c r="C133" s="137">
        <v>6.1666699999999999</v>
      </c>
      <c r="D133" s="138">
        <v>1</v>
      </c>
      <c r="E133" s="139">
        <f>$E$28</f>
        <v>0</v>
      </c>
      <c r="F133" s="139">
        <f>Dies!$C$53</f>
        <v>77</v>
      </c>
      <c r="G133" s="273">
        <f>+D133*E133*F133</f>
        <v>0</v>
      </c>
      <c r="H133" s="273"/>
      <c r="I133" s="273"/>
      <c r="J133" s="273"/>
      <c r="K133" s="320">
        <f>$K$117</f>
        <v>0</v>
      </c>
      <c r="L133" s="491">
        <f>+K133/C133</f>
        <v>0</v>
      </c>
      <c r="M133" s="238" t="str">
        <f>+M81</f>
        <v>Matí</v>
      </c>
      <c r="N133" s="238"/>
      <c r="O133" s="239">
        <f>+K133*G133</f>
        <v>0</v>
      </c>
    </row>
    <row r="134" spans="1:15" s="153" customFormat="1" x14ac:dyDescent="0.25">
      <c r="A134" s="764" t="s">
        <v>89</v>
      </c>
      <c r="B134" s="764"/>
      <c r="C134" s="180"/>
      <c r="D134" s="180"/>
      <c r="E134" s="241"/>
      <c r="F134" s="241"/>
      <c r="G134" s="664"/>
      <c r="H134" s="664"/>
      <c r="I134" s="664"/>
      <c r="J134" s="664"/>
      <c r="K134" s="664"/>
      <c r="L134" s="664"/>
      <c r="M134" s="180"/>
      <c r="N134" s="180"/>
      <c r="O134" s="180"/>
    </row>
    <row r="135" spans="1:15" s="153" customFormat="1" x14ac:dyDescent="0.25">
      <c r="A135" s="734" t="s">
        <v>218</v>
      </c>
      <c r="B135" s="734"/>
      <c r="C135" s="137">
        <v>6.1666699999999999</v>
      </c>
      <c r="D135" s="138">
        <v>1</v>
      </c>
      <c r="E135" s="139">
        <f>$E$30</f>
        <v>0</v>
      </c>
      <c r="F135" s="139">
        <f>Dies!$C$53</f>
        <v>77</v>
      </c>
      <c r="G135" s="273">
        <f>+D135*E135*F135</f>
        <v>0</v>
      </c>
      <c r="H135" s="273"/>
      <c r="I135" s="273"/>
      <c r="J135" s="273"/>
      <c r="K135" s="320">
        <f>$K$117</f>
        <v>0</v>
      </c>
      <c r="L135" s="491">
        <f>+K135/C135</f>
        <v>0</v>
      </c>
      <c r="M135" s="238" t="str">
        <f>+M83</f>
        <v>Tarda</v>
      </c>
      <c r="N135" s="238"/>
      <c r="O135" s="239">
        <f>+K135*G135</f>
        <v>0</v>
      </c>
    </row>
    <row r="136" spans="1:15" s="153" customFormat="1" x14ac:dyDescent="0.25">
      <c r="A136" s="762" t="s">
        <v>196</v>
      </c>
      <c r="B136" s="762"/>
      <c r="C136" s="137"/>
      <c r="D136" s="138"/>
      <c r="E136" s="147"/>
      <c r="F136" s="241"/>
      <c r="G136" s="273"/>
      <c r="H136" s="273"/>
      <c r="I136" s="273"/>
      <c r="J136" s="273"/>
      <c r="K136" s="320"/>
      <c r="L136" s="491"/>
      <c r="M136" s="238"/>
      <c r="N136" s="238"/>
      <c r="O136" s="239"/>
    </row>
    <row r="137" spans="1:15" s="153" customFormat="1" x14ac:dyDescent="0.25">
      <c r="A137" s="763" t="s">
        <v>88</v>
      </c>
      <c r="B137" s="763"/>
      <c r="C137" s="241"/>
      <c r="D137" s="241"/>
      <c r="E137" s="147"/>
      <c r="F137" s="241"/>
      <c r="G137" s="241"/>
      <c r="H137" s="241"/>
      <c r="I137" s="241"/>
      <c r="J137" s="241"/>
      <c r="K137" s="241"/>
      <c r="L137" s="241"/>
      <c r="M137" s="234"/>
      <c r="N137" s="234"/>
      <c r="O137" s="234"/>
    </row>
    <row r="138" spans="1:15" s="153" customFormat="1" x14ac:dyDescent="0.25">
      <c r="A138" s="734" t="s">
        <v>218</v>
      </c>
      <c r="B138" s="734"/>
      <c r="C138" s="137">
        <v>6.1666699999999999</v>
      </c>
      <c r="D138" s="138">
        <v>1</v>
      </c>
      <c r="E138" s="139">
        <f>$E$33</f>
        <v>0</v>
      </c>
      <c r="F138" s="139">
        <f>Dies!$C$54</f>
        <v>15</v>
      </c>
      <c r="G138" s="273">
        <f>+D138*E138*F138</f>
        <v>0</v>
      </c>
      <c r="H138" s="273"/>
      <c r="I138" s="273"/>
      <c r="J138" s="273"/>
      <c r="K138" s="320">
        <f>$K$117</f>
        <v>0</v>
      </c>
      <c r="L138" s="491">
        <f>+K138/C138</f>
        <v>0</v>
      </c>
      <c r="M138" s="238" t="str">
        <f>+M86</f>
        <v>Matí</v>
      </c>
      <c r="N138" s="238"/>
      <c r="O138" s="239">
        <f>+K138*G138</f>
        <v>0</v>
      </c>
    </row>
    <row r="139" spans="1:15" s="153" customFormat="1" x14ac:dyDescent="0.25">
      <c r="A139" s="764" t="s">
        <v>89</v>
      </c>
      <c r="B139" s="764"/>
      <c r="C139" s="180"/>
      <c r="D139" s="180"/>
      <c r="E139" s="147"/>
      <c r="F139" s="241"/>
      <c r="G139" s="664"/>
      <c r="H139" s="664"/>
      <c r="I139" s="664"/>
      <c r="J139" s="664"/>
      <c r="K139" s="664"/>
      <c r="L139" s="664"/>
      <c r="M139" s="180"/>
      <c r="N139" s="180"/>
      <c r="O139" s="180"/>
    </row>
    <row r="140" spans="1:15" s="153" customFormat="1" x14ac:dyDescent="0.25">
      <c r="A140" s="734" t="s">
        <v>218</v>
      </c>
      <c r="B140" s="734"/>
      <c r="C140" s="137">
        <v>6.1666699999999999</v>
      </c>
      <c r="D140" s="138">
        <v>1</v>
      </c>
      <c r="E140" s="139">
        <f>$E$35</f>
        <v>0</v>
      </c>
      <c r="F140" s="139">
        <f>Dies!$C$54</f>
        <v>15</v>
      </c>
      <c r="G140" s="273">
        <f>+D140*E140*F140</f>
        <v>0</v>
      </c>
      <c r="H140" s="273"/>
      <c r="I140" s="273"/>
      <c r="J140" s="273"/>
      <c r="K140" s="320">
        <f>$K$117</f>
        <v>0</v>
      </c>
      <c r="L140" s="491">
        <f>+K140/C140</f>
        <v>0</v>
      </c>
      <c r="M140" s="238" t="str">
        <f>+M88</f>
        <v>Tarda</v>
      </c>
      <c r="N140" s="238"/>
      <c r="O140" s="239">
        <f>+K140*G140</f>
        <v>0</v>
      </c>
    </row>
    <row r="141" spans="1:15" s="153" customFormat="1" x14ac:dyDescent="0.25">
      <c r="A141" s="762" t="s">
        <v>197</v>
      </c>
      <c r="B141" s="762"/>
      <c r="C141" s="180"/>
      <c r="D141" s="180"/>
      <c r="E141" s="147"/>
      <c r="F141" s="241"/>
      <c r="G141" s="664"/>
      <c r="H141" s="664"/>
      <c r="I141" s="664"/>
      <c r="J141" s="664"/>
      <c r="K141" s="664"/>
      <c r="L141" s="664"/>
      <c r="M141" s="180"/>
      <c r="N141" s="180"/>
      <c r="O141" s="180"/>
    </row>
    <row r="142" spans="1:15" s="153" customFormat="1" x14ac:dyDescent="0.25">
      <c r="A142" s="763" t="s">
        <v>88</v>
      </c>
      <c r="B142" s="763"/>
      <c r="C142" s="180"/>
      <c r="D142" s="180"/>
      <c r="E142" s="147"/>
      <c r="F142" s="241"/>
      <c r="G142" s="664"/>
      <c r="H142" s="664"/>
      <c r="I142" s="664"/>
      <c r="J142" s="664"/>
      <c r="K142" s="664"/>
      <c r="L142" s="664"/>
      <c r="M142" s="180"/>
      <c r="N142" s="180"/>
      <c r="O142" s="180"/>
    </row>
    <row r="143" spans="1:15" s="153" customFormat="1" x14ac:dyDescent="0.25">
      <c r="A143" s="734" t="s">
        <v>218</v>
      </c>
      <c r="B143" s="734"/>
      <c r="C143" s="137">
        <v>6.1666699999999999</v>
      </c>
      <c r="D143" s="138">
        <v>1</v>
      </c>
      <c r="E143" s="139">
        <f>$E$38</f>
        <v>0</v>
      </c>
      <c r="F143" s="139">
        <f>Dies!$C$55</f>
        <v>15</v>
      </c>
      <c r="G143" s="273">
        <f>+D143*E143*F143</f>
        <v>0</v>
      </c>
      <c r="H143" s="273"/>
      <c r="I143" s="273"/>
      <c r="J143" s="273"/>
      <c r="K143" s="320">
        <f>$K$117</f>
        <v>0</v>
      </c>
      <c r="L143" s="491">
        <f>+K143/C143</f>
        <v>0</v>
      </c>
      <c r="M143" s="238" t="str">
        <f>+M91</f>
        <v>Matí</v>
      </c>
      <c r="N143" s="238"/>
      <c r="O143" s="239">
        <f>+K143*G143</f>
        <v>0</v>
      </c>
    </row>
    <row r="144" spans="1:15" s="153" customFormat="1" x14ac:dyDescent="0.25">
      <c r="A144" s="764" t="s">
        <v>89</v>
      </c>
      <c r="B144" s="764"/>
      <c r="C144" s="180"/>
      <c r="D144" s="180"/>
      <c r="E144" s="147"/>
      <c r="F144" s="241"/>
      <c r="G144" s="664"/>
      <c r="H144" s="664"/>
      <c r="I144" s="664"/>
      <c r="J144" s="664"/>
      <c r="K144" s="664"/>
      <c r="L144" s="664"/>
      <c r="M144" s="180"/>
      <c r="N144" s="180"/>
      <c r="O144" s="180"/>
    </row>
    <row r="145" spans="1:15" s="153" customFormat="1" x14ac:dyDescent="0.25">
      <c r="A145" s="734" t="s">
        <v>218</v>
      </c>
      <c r="B145" s="734"/>
      <c r="C145" s="137">
        <v>6.1666699999999999</v>
      </c>
      <c r="D145" s="138">
        <v>1</v>
      </c>
      <c r="E145" s="139">
        <f>$E$40</f>
        <v>0</v>
      </c>
      <c r="F145" s="139">
        <f>Dies!$C$55</f>
        <v>15</v>
      </c>
      <c r="G145" s="273">
        <f>+D145*E145*F145</f>
        <v>0</v>
      </c>
      <c r="H145" s="273"/>
      <c r="I145" s="273"/>
      <c r="J145" s="273"/>
      <c r="K145" s="320">
        <f>$K$117</f>
        <v>0</v>
      </c>
      <c r="L145" s="491">
        <f>+K145/C145</f>
        <v>0</v>
      </c>
      <c r="M145" s="238" t="str">
        <f>+M93</f>
        <v>Tarda</v>
      </c>
      <c r="N145" s="238"/>
      <c r="O145" s="239">
        <f>+K145*G145</f>
        <v>0</v>
      </c>
    </row>
    <row r="146" spans="1:15" s="153" customFormat="1" x14ac:dyDescent="0.25">
      <c r="A146" s="229" t="s">
        <v>326</v>
      </c>
      <c r="B146" s="242"/>
      <c r="C146" s="278"/>
      <c r="D146" s="278"/>
      <c r="E146" s="278"/>
      <c r="F146" s="245"/>
      <c r="G146" s="278"/>
      <c r="H146" s="278"/>
      <c r="I146" s="278"/>
      <c r="J146" s="278"/>
      <c r="K146" s="278"/>
      <c r="L146" s="278"/>
      <c r="M146" s="278"/>
      <c r="N146" s="278"/>
      <c r="O146" s="278"/>
    </row>
    <row r="147" spans="1:15" s="153" customFormat="1" x14ac:dyDescent="0.25">
      <c r="A147" s="782" t="s">
        <v>195</v>
      </c>
      <c r="B147" s="782"/>
      <c r="C147" s="180"/>
      <c r="D147" s="180"/>
      <c r="E147" s="180"/>
      <c r="F147" s="234"/>
      <c r="G147" s="180"/>
      <c r="H147" s="180"/>
      <c r="I147" s="180"/>
      <c r="J147" s="180"/>
      <c r="K147" s="180"/>
      <c r="L147" s="180"/>
      <c r="M147" s="180"/>
      <c r="N147" s="180"/>
      <c r="O147" s="180"/>
    </row>
    <row r="148" spans="1:15" s="153" customFormat="1" x14ac:dyDescent="0.25">
      <c r="A148" s="763" t="s">
        <v>88</v>
      </c>
      <c r="B148" s="763"/>
      <c r="C148" s="180"/>
      <c r="D148" s="180"/>
      <c r="E148" s="180"/>
      <c r="F148" s="234"/>
      <c r="G148" s="180"/>
      <c r="H148" s="180"/>
      <c r="I148" s="180"/>
      <c r="J148" s="180"/>
      <c r="K148" s="180"/>
      <c r="L148" s="180"/>
      <c r="M148" s="180"/>
      <c r="N148" s="180"/>
      <c r="O148" s="180"/>
    </row>
    <row r="149" spans="1:15" x14ac:dyDescent="0.25">
      <c r="A149" s="734" t="s">
        <v>218</v>
      </c>
      <c r="B149" s="734"/>
      <c r="C149" s="137">
        <v>6.1666699999999999</v>
      </c>
      <c r="D149" s="138">
        <v>1</v>
      </c>
      <c r="E149" s="139">
        <f>$E$44</f>
        <v>0</v>
      </c>
      <c r="F149" s="139">
        <f>Dies!$C$58</f>
        <v>89</v>
      </c>
      <c r="G149" s="273">
        <f>+D149*E149*F149</f>
        <v>0</v>
      </c>
      <c r="H149" s="273"/>
      <c r="I149" s="273"/>
      <c r="J149" s="273"/>
      <c r="K149" s="320">
        <f>$K$117</f>
        <v>0</v>
      </c>
      <c r="L149" s="237">
        <f>+K149/C149</f>
        <v>0</v>
      </c>
      <c r="M149" s="238" t="str">
        <f>+M97</f>
        <v>Matí</v>
      </c>
      <c r="N149" s="238"/>
      <c r="O149" s="239">
        <f>+K149*G149</f>
        <v>0</v>
      </c>
    </row>
    <row r="150" spans="1:15" x14ac:dyDescent="0.25">
      <c r="A150" s="764" t="s">
        <v>89</v>
      </c>
      <c r="B150" s="764"/>
      <c r="C150" s="180"/>
      <c r="D150" s="180"/>
      <c r="E150" s="147"/>
      <c r="F150" s="241"/>
      <c r="G150" s="664"/>
      <c r="H150" s="664"/>
      <c r="I150" s="664"/>
      <c r="J150" s="664"/>
      <c r="K150" s="664"/>
      <c r="L150" s="180"/>
      <c r="M150" s="180"/>
      <c r="N150" s="180"/>
      <c r="O150" s="180"/>
    </row>
    <row r="151" spans="1:15" s="153" customFormat="1" x14ac:dyDescent="0.25">
      <c r="A151" s="734" t="s">
        <v>218</v>
      </c>
      <c r="B151" s="734"/>
      <c r="C151" s="137">
        <v>6.1666699999999999</v>
      </c>
      <c r="D151" s="138">
        <v>1</v>
      </c>
      <c r="E151" s="139">
        <f>$E$46</f>
        <v>0</v>
      </c>
      <c r="F151" s="139">
        <f>Dies!$C$58</f>
        <v>89</v>
      </c>
      <c r="G151" s="273">
        <f>+D151*E151*F151</f>
        <v>0</v>
      </c>
      <c r="H151" s="273"/>
      <c r="I151" s="273"/>
      <c r="J151" s="273"/>
      <c r="K151" s="320">
        <f>$K$117</f>
        <v>0</v>
      </c>
      <c r="L151" s="237">
        <f>+K151/C151</f>
        <v>0</v>
      </c>
      <c r="M151" s="238" t="str">
        <f>+M99</f>
        <v>Tarda</v>
      </c>
      <c r="N151" s="238"/>
      <c r="O151" s="239">
        <f>+K151*G151</f>
        <v>0</v>
      </c>
    </row>
    <row r="152" spans="1:15" s="153" customFormat="1" x14ac:dyDescent="0.25">
      <c r="A152" s="762" t="s">
        <v>196</v>
      </c>
      <c r="B152" s="762"/>
      <c r="C152" s="234"/>
      <c r="D152" s="234"/>
      <c r="E152" s="147"/>
      <c r="F152" s="241"/>
      <c r="G152" s="241"/>
      <c r="H152" s="241"/>
      <c r="I152" s="241"/>
      <c r="J152" s="241"/>
      <c r="K152" s="241"/>
      <c r="L152" s="234"/>
      <c r="M152" s="234"/>
      <c r="N152" s="234"/>
      <c r="O152" s="234"/>
    </row>
    <row r="153" spans="1:15" x14ac:dyDescent="0.25">
      <c r="A153" s="763" t="s">
        <v>88</v>
      </c>
      <c r="B153" s="763"/>
      <c r="C153" s="234"/>
      <c r="D153" s="234"/>
      <c r="E153" s="147"/>
      <c r="F153" s="241"/>
      <c r="G153" s="241"/>
      <c r="H153" s="241"/>
      <c r="I153" s="241"/>
      <c r="J153" s="241"/>
      <c r="K153" s="241"/>
      <c r="L153" s="234"/>
      <c r="M153" s="234"/>
      <c r="N153" s="234"/>
      <c r="O153" s="234"/>
    </row>
    <row r="154" spans="1:15" s="153" customFormat="1" x14ac:dyDescent="0.25">
      <c r="A154" s="734" t="s">
        <v>218</v>
      </c>
      <c r="B154" s="734"/>
      <c r="C154" s="137">
        <v>6.1666699999999999</v>
      </c>
      <c r="D154" s="138">
        <v>1</v>
      </c>
      <c r="E154" s="139">
        <f>$E$49</f>
        <v>0</v>
      </c>
      <c r="F154" s="139">
        <f>Dies!$C$59</f>
        <v>17</v>
      </c>
      <c r="G154" s="273">
        <f>+D154*E154*F154</f>
        <v>0</v>
      </c>
      <c r="H154" s="273"/>
      <c r="I154" s="273"/>
      <c r="J154" s="273"/>
      <c r="K154" s="320">
        <f>$K$117</f>
        <v>0</v>
      </c>
      <c r="L154" s="237">
        <f>+K154/C154</f>
        <v>0</v>
      </c>
      <c r="M154" s="238" t="str">
        <f>+M102</f>
        <v>Matí</v>
      </c>
      <c r="N154" s="238"/>
      <c r="O154" s="239">
        <f>+K154*G154</f>
        <v>0</v>
      </c>
    </row>
    <row r="155" spans="1:15" x14ac:dyDescent="0.25">
      <c r="A155" s="764" t="s">
        <v>89</v>
      </c>
      <c r="B155" s="764"/>
      <c r="C155" s="234"/>
      <c r="D155" s="234"/>
      <c r="E155" s="147"/>
      <c r="F155" s="241"/>
      <c r="G155" s="241"/>
      <c r="H155" s="241"/>
      <c r="I155" s="241"/>
      <c r="J155" s="241"/>
      <c r="K155" s="241"/>
      <c r="L155" s="234"/>
      <c r="M155" s="234"/>
      <c r="N155" s="234"/>
      <c r="O155" s="234"/>
    </row>
    <row r="156" spans="1:15" s="153" customFormat="1" x14ac:dyDescent="0.25">
      <c r="A156" s="734" t="s">
        <v>218</v>
      </c>
      <c r="B156" s="734"/>
      <c r="C156" s="137">
        <v>6.1666699999999999</v>
      </c>
      <c r="D156" s="138">
        <v>1</v>
      </c>
      <c r="E156" s="139">
        <f>$E$51</f>
        <v>0</v>
      </c>
      <c r="F156" s="139">
        <f>Dies!$C$59</f>
        <v>17</v>
      </c>
      <c r="G156" s="273">
        <f>+D156*E156*F156</f>
        <v>0</v>
      </c>
      <c r="H156" s="273"/>
      <c r="I156" s="273"/>
      <c r="J156" s="273"/>
      <c r="K156" s="320">
        <f>$K$117</f>
        <v>0</v>
      </c>
      <c r="L156" s="237">
        <f>+K156/C156</f>
        <v>0</v>
      </c>
      <c r="M156" s="238" t="str">
        <f>+M104</f>
        <v>Tarda</v>
      </c>
      <c r="N156" s="238"/>
      <c r="O156" s="239">
        <f>+K156*G156</f>
        <v>0</v>
      </c>
    </row>
    <row r="157" spans="1:15" s="153" customFormat="1" x14ac:dyDescent="0.25">
      <c r="A157" s="762" t="s">
        <v>197</v>
      </c>
      <c r="B157" s="762"/>
      <c r="C157" s="234"/>
      <c r="D157" s="234"/>
      <c r="E157" s="147"/>
      <c r="F157" s="241"/>
      <c r="G157" s="241"/>
      <c r="H157" s="241"/>
      <c r="I157" s="241"/>
      <c r="J157" s="241"/>
      <c r="K157" s="241"/>
      <c r="L157" s="234"/>
      <c r="M157" s="234"/>
      <c r="N157" s="234"/>
      <c r="O157" s="234"/>
    </row>
    <row r="158" spans="1:15" s="153" customFormat="1" x14ac:dyDescent="0.25">
      <c r="A158" s="763" t="s">
        <v>88</v>
      </c>
      <c r="B158" s="763"/>
      <c r="C158" s="234"/>
      <c r="D158" s="234"/>
      <c r="E158" s="147"/>
      <c r="F158" s="241"/>
      <c r="G158" s="241"/>
      <c r="H158" s="241"/>
      <c r="I158" s="241"/>
      <c r="J158" s="241"/>
      <c r="K158" s="241"/>
      <c r="L158" s="234"/>
      <c r="M158" s="234"/>
      <c r="N158" s="234"/>
      <c r="O158" s="234"/>
    </row>
    <row r="159" spans="1:15" x14ac:dyDescent="0.25">
      <c r="A159" s="734" t="s">
        <v>218</v>
      </c>
      <c r="B159" s="734"/>
      <c r="C159" s="137">
        <v>6.1666699999999999</v>
      </c>
      <c r="D159" s="138">
        <v>1</v>
      </c>
      <c r="E159" s="139">
        <f>$E$54</f>
        <v>0</v>
      </c>
      <c r="F159" s="139">
        <f>Dies!$C$60</f>
        <v>17</v>
      </c>
      <c r="G159" s="273">
        <f>+D159*E159*F159</f>
        <v>0</v>
      </c>
      <c r="H159" s="273"/>
      <c r="I159" s="273"/>
      <c r="J159" s="273"/>
      <c r="K159" s="320">
        <f>$K$117</f>
        <v>0</v>
      </c>
      <c r="L159" s="237">
        <f>+K159/C159</f>
        <v>0</v>
      </c>
      <c r="M159" s="238" t="str">
        <f>+M107</f>
        <v>Matí</v>
      </c>
      <c r="N159" s="238"/>
      <c r="O159" s="239">
        <f>+K159*G159</f>
        <v>0</v>
      </c>
    </row>
    <row r="160" spans="1:15" x14ac:dyDescent="0.25">
      <c r="A160" s="764" t="s">
        <v>89</v>
      </c>
      <c r="B160" s="764"/>
      <c r="C160" s="180"/>
      <c r="D160" s="180"/>
      <c r="E160" s="241"/>
      <c r="F160" s="241"/>
      <c r="G160" s="664"/>
      <c r="H160" s="664"/>
      <c r="I160" s="664"/>
      <c r="J160" s="664"/>
      <c r="K160" s="664"/>
      <c r="L160" s="180"/>
      <c r="M160" s="180"/>
      <c r="N160" s="180"/>
      <c r="O160" s="180"/>
    </row>
    <row r="161" spans="1:15" s="153" customFormat="1" x14ac:dyDescent="0.25">
      <c r="A161" s="734" t="s">
        <v>218</v>
      </c>
      <c r="B161" s="734"/>
      <c r="C161" s="137">
        <v>6.1666699999999999</v>
      </c>
      <c r="D161" s="138">
        <v>1</v>
      </c>
      <c r="E161" s="139">
        <f>$E$56</f>
        <v>0</v>
      </c>
      <c r="F161" s="139">
        <f>Dies!$C$60</f>
        <v>17</v>
      </c>
      <c r="G161" s="273">
        <f>+D161*E161*F161</f>
        <v>0</v>
      </c>
      <c r="H161" s="273"/>
      <c r="I161" s="273"/>
      <c r="J161" s="273"/>
      <c r="K161" s="320">
        <f>$K$117</f>
        <v>0</v>
      </c>
      <c r="L161" s="237">
        <f>+K161/C161</f>
        <v>0</v>
      </c>
      <c r="M161" s="238" t="str">
        <f>+M109</f>
        <v>Tarda</v>
      </c>
      <c r="N161" s="238"/>
      <c r="O161" s="239">
        <f>+K161*G161</f>
        <v>0</v>
      </c>
    </row>
    <row r="162" spans="1:15" x14ac:dyDescent="0.25">
      <c r="A162" s="402"/>
      <c r="B162" s="324"/>
      <c r="C162" s="324"/>
      <c r="D162" s="324"/>
      <c r="E162" s="323" t="s">
        <v>47</v>
      </c>
      <c r="F162" s="324"/>
      <c r="G162" s="324"/>
      <c r="H162" s="324"/>
      <c r="I162" s="324"/>
      <c r="J162" s="324"/>
      <c r="K162" s="324"/>
      <c r="L162" s="324"/>
      <c r="M162" s="324"/>
      <c r="N162" s="324"/>
      <c r="O162" s="403">
        <f>SUM(O117:O161)</f>
        <v>0</v>
      </c>
    </row>
    <row r="163" spans="1:15" s="153" customFormat="1" ht="26.25" x14ac:dyDescent="0.4">
      <c r="A163" s="259" t="s">
        <v>272</v>
      </c>
      <c r="B163" s="221"/>
      <c r="C163" s="221"/>
      <c r="D163" s="223"/>
      <c r="E163" s="223"/>
      <c r="F163" s="223"/>
      <c r="G163" s="223"/>
      <c r="H163" s="223"/>
      <c r="I163" s="223"/>
      <c r="J163" s="223"/>
      <c r="K163" s="224"/>
      <c r="L163" s="224"/>
      <c r="M163" s="224"/>
      <c r="N163" s="224"/>
      <c r="O163" s="435"/>
    </row>
    <row r="164" spans="1:15" s="281" customFormat="1" x14ac:dyDescent="0.25">
      <c r="A164" s="797" t="s">
        <v>20</v>
      </c>
      <c r="B164" s="773"/>
      <c r="C164" s="773" t="s">
        <v>27</v>
      </c>
      <c r="D164" s="773" t="s">
        <v>28</v>
      </c>
      <c r="E164" s="773" t="s">
        <v>21</v>
      </c>
      <c r="F164" s="773" t="s">
        <v>23</v>
      </c>
      <c r="G164" s="773" t="s">
        <v>22</v>
      </c>
      <c r="H164" s="414"/>
      <c r="I164" s="414"/>
      <c r="J164" s="414"/>
      <c r="K164" s="773" t="s">
        <v>79</v>
      </c>
      <c r="L164" s="414"/>
      <c r="M164" s="773"/>
      <c r="N164" s="773" t="s">
        <v>80</v>
      </c>
      <c r="O164" s="799" t="s">
        <v>32</v>
      </c>
    </row>
    <row r="165" spans="1:15" s="281" customFormat="1" x14ac:dyDescent="0.25">
      <c r="A165" s="779"/>
      <c r="B165" s="768"/>
      <c r="C165" s="768" t="s">
        <v>44</v>
      </c>
      <c r="D165" s="768" t="s">
        <v>5</v>
      </c>
      <c r="E165" s="768" t="s">
        <v>24</v>
      </c>
      <c r="F165" s="768" t="s">
        <v>81</v>
      </c>
      <c r="G165" s="768" t="s">
        <v>82</v>
      </c>
      <c r="H165" s="280"/>
      <c r="I165" s="280"/>
      <c r="J165" s="280"/>
      <c r="K165" s="768" t="s">
        <v>28</v>
      </c>
      <c r="L165" s="280"/>
      <c r="M165" s="768"/>
      <c r="N165" s="768" t="s">
        <v>83</v>
      </c>
      <c r="O165" s="766" t="s">
        <v>40</v>
      </c>
    </row>
    <row r="166" spans="1:15" x14ac:dyDescent="0.25">
      <c r="A166" s="734" t="s">
        <v>232</v>
      </c>
      <c r="B166" s="734"/>
      <c r="C166" s="137">
        <v>6.1666699999999999</v>
      </c>
      <c r="D166" s="138">
        <v>1</v>
      </c>
      <c r="E166" s="139">
        <v>1</v>
      </c>
      <c r="F166" s="283">
        <f>Inversions!H14</f>
        <v>0</v>
      </c>
      <c r="G166" s="273">
        <v>8</v>
      </c>
      <c r="H166" s="273"/>
      <c r="I166" s="273"/>
      <c r="J166" s="273"/>
      <c r="K166" s="284">
        <f>Paràmetres!$C$4</f>
        <v>0</v>
      </c>
      <c r="L166" s="284"/>
      <c r="M166" s="139"/>
      <c r="N166" s="140">
        <f>-12*PMT(K166/12,G166*12,F166)</f>
        <v>0</v>
      </c>
      <c r="O166" s="144">
        <f>E166*N166</f>
        <v>0</v>
      </c>
    </row>
    <row r="167" spans="1:15" s="281" customFormat="1" x14ac:dyDescent="0.25">
      <c r="A167" s="438"/>
      <c r="B167" s="411"/>
      <c r="C167" s="411"/>
      <c r="D167" s="411"/>
      <c r="E167" s="412"/>
      <c r="F167" s="412" t="s">
        <v>84</v>
      </c>
      <c r="G167" s="411"/>
      <c r="H167" s="411"/>
      <c r="I167" s="411"/>
      <c r="J167" s="411"/>
      <c r="K167" s="411"/>
      <c r="L167" s="411"/>
      <c r="M167" s="411"/>
      <c r="N167" s="411"/>
      <c r="O167" s="439">
        <f>SUM(O166:O166)</f>
        <v>0</v>
      </c>
    </row>
    <row r="168" spans="1:15" s="5" customFormat="1" ht="26.25" x14ac:dyDescent="0.4">
      <c r="A168" s="440" t="s">
        <v>213</v>
      </c>
      <c r="B168" s="416"/>
      <c r="C168" s="416"/>
      <c r="D168" s="417"/>
      <c r="E168" s="417"/>
      <c r="F168" s="417"/>
      <c r="G168" s="417"/>
      <c r="H168" s="417"/>
      <c r="I168" s="417"/>
      <c r="J168" s="417"/>
      <c r="K168" s="418"/>
      <c r="L168" s="418"/>
      <c r="M168" s="418"/>
      <c r="N168" s="418"/>
      <c r="O168" s="441"/>
    </row>
    <row r="169" spans="1:15" s="281" customFormat="1" x14ac:dyDescent="0.25">
      <c r="A169" s="800" t="s">
        <v>20</v>
      </c>
      <c r="B169" s="792"/>
      <c r="C169" s="420" t="s">
        <v>27</v>
      </c>
      <c r="D169" s="420" t="s">
        <v>28</v>
      </c>
      <c r="E169" s="420" t="s">
        <v>21</v>
      </c>
      <c r="F169" s="420"/>
      <c r="G169" s="420"/>
      <c r="H169" s="420"/>
      <c r="I169" s="420"/>
      <c r="J169" s="420"/>
      <c r="K169" s="420" t="s">
        <v>100</v>
      </c>
      <c r="L169" s="420"/>
      <c r="M169" s="420"/>
      <c r="N169" s="420"/>
      <c r="O169" s="442" t="s">
        <v>32</v>
      </c>
    </row>
    <row r="170" spans="1:15" s="281" customFormat="1" x14ac:dyDescent="0.25">
      <c r="A170" s="758"/>
      <c r="B170" s="759"/>
      <c r="C170" s="422" t="s">
        <v>44</v>
      </c>
      <c r="D170" s="422" t="s">
        <v>5</v>
      </c>
      <c r="E170" s="422" t="s">
        <v>24</v>
      </c>
      <c r="F170" s="423"/>
      <c r="G170" s="422"/>
      <c r="H170" s="422"/>
      <c r="I170" s="422"/>
      <c r="J170" s="422"/>
      <c r="K170" s="422" t="s">
        <v>101</v>
      </c>
      <c r="L170" s="422"/>
      <c r="M170" s="422"/>
      <c r="N170" s="422"/>
      <c r="O170" s="452" t="s">
        <v>40</v>
      </c>
    </row>
    <row r="171" spans="1:15" s="281" customFormat="1" x14ac:dyDescent="0.25">
      <c r="A171" s="734" t="s">
        <v>232</v>
      </c>
      <c r="B171" s="734"/>
      <c r="C171" s="137">
        <v>6.1666699999999999</v>
      </c>
      <c r="D171" s="138">
        <v>1</v>
      </c>
      <c r="E171" s="372">
        <v>1</v>
      </c>
      <c r="F171" s="302"/>
      <c r="G171" s="303"/>
      <c r="H171" s="303"/>
      <c r="I171" s="303"/>
      <c r="J171" s="303"/>
      <c r="K171" s="304">
        <f>'Seguro+combustible+reparacions'!E9*D171</f>
        <v>0</v>
      </c>
      <c r="L171" s="304"/>
      <c r="M171" s="303"/>
      <c r="N171" s="302"/>
      <c r="O171" s="239">
        <f>E171*K171</f>
        <v>0</v>
      </c>
    </row>
    <row r="172" spans="1:15" s="281" customFormat="1" x14ac:dyDescent="0.25">
      <c r="A172" s="331"/>
      <c r="B172" s="330"/>
      <c r="C172" s="330"/>
      <c r="D172" s="330"/>
      <c r="E172" s="332"/>
      <c r="F172" s="332" t="s">
        <v>85</v>
      </c>
      <c r="G172" s="330"/>
      <c r="H172" s="330"/>
      <c r="I172" s="330"/>
      <c r="J172" s="330"/>
      <c r="K172" s="330"/>
      <c r="L172" s="330"/>
      <c r="M172" s="330"/>
      <c r="N172" s="330"/>
      <c r="O172" s="334">
        <f>SUM(O171:O171)</f>
        <v>0</v>
      </c>
    </row>
    <row r="173" spans="1:15" s="281" customFormat="1" ht="26.25" x14ac:dyDescent="0.4">
      <c r="A173" s="285" t="s">
        <v>420</v>
      </c>
      <c r="B173" s="286"/>
      <c r="C173" s="286"/>
      <c r="D173" s="287"/>
      <c r="E173" s="287"/>
      <c r="F173" s="287"/>
      <c r="G173" s="287"/>
      <c r="H173" s="287"/>
      <c r="I173" s="287"/>
      <c r="J173" s="287"/>
      <c r="K173" s="288"/>
      <c r="L173" s="288"/>
      <c r="M173" s="288"/>
      <c r="N173" s="288"/>
      <c r="O173" s="289"/>
    </row>
    <row r="174" spans="1:15" s="281" customFormat="1" x14ac:dyDescent="0.25">
      <c r="A174" s="758" t="s">
        <v>225</v>
      </c>
      <c r="B174" s="759"/>
      <c r="C174" s="290"/>
      <c r="D174" s="290" t="s">
        <v>28</v>
      </c>
      <c r="E174" s="290"/>
      <c r="F174" s="290"/>
      <c r="G174" s="290"/>
      <c r="H174" s="290"/>
      <c r="I174" s="290"/>
      <c r="J174" s="290"/>
      <c r="K174" s="290" t="s">
        <v>100</v>
      </c>
      <c r="L174" s="290"/>
      <c r="M174" s="290"/>
      <c r="N174" s="290"/>
      <c r="O174" s="291" t="s">
        <v>32</v>
      </c>
    </row>
    <row r="175" spans="1:15" s="281" customFormat="1" x14ac:dyDescent="0.25">
      <c r="A175" s="760"/>
      <c r="B175" s="761"/>
      <c r="C175" s="292"/>
      <c r="D175" s="292" t="s">
        <v>5</v>
      </c>
      <c r="E175" s="290" t="s">
        <v>21</v>
      </c>
      <c r="F175" s="293"/>
      <c r="G175" s="292"/>
      <c r="H175" s="292"/>
      <c r="I175" s="292"/>
      <c r="J175" s="292"/>
      <c r="K175" s="292" t="s">
        <v>238</v>
      </c>
      <c r="L175" s="292"/>
      <c r="M175" s="292"/>
      <c r="N175" s="292"/>
      <c r="O175" s="294" t="s">
        <v>40</v>
      </c>
    </row>
    <row r="176" spans="1:15" s="281" customFormat="1" x14ac:dyDescent="0.25">
      <c r="A176" s="733" t="s">
        <v>245</v>
      </c>
      <c r="B176" s="733"/>
      <c r="C176" s="137"/>
      <c r="D176" s="138">
        <v>1</v>
      </c>
      <c r="E176" s="650">
        <f>I57</f>
        <v>0</v>
      </c>
      <c r="F176" s="373"/>
      <c r="G176" s="372"/>
      <c r="H176" s="372"/>
      <c r="I176" s="372"/>
      <c r="J176" s="372"/>
      <c r="K176" s="650">
        <f>Consumibles!E46</f>
        <v>0</v>
      </c>
      <c r="L176" s="304"/>
      <c r="M176" s="303"/>
      <c r="N176" s="302"/>
      <c r="O176" s="239">
        <f>E176*K176</f>
        <v>0</v>
      </c>
    </row>
    <row r="177" spans="1:15" s="281" customFormat="1" x14ac:dyDescent="0.25">
      <c r="A177" s="733" t="s">
        <v>226</v>
      </c>
      <c r="B177" s="733"/>
      <c r="C177" s="137"/>
      <c r="D177" s="138">
        <v>1</v>
      </c>
      <c r="E177" s="372">
        <v>11400</v>
      </c>
      <c r="F177" s="373"/>
      <c r="G177" s="372"/>
      <c r="H177" s="372"/>
      <c r="I177" s="372"/>
      <c r="J177" s="372"/>
      <c r="K177" s="650">
        <f>Consumibles!E21</f>
        <v>0</v>
      </c>
      <c r="L177" s="304"/>
      <c r="M177" s="303"/>
      <c r="N177" s="302"/>
      <c r="O177" s="239">
        <f>E177*K177</f>
        <v>0</v>
      </c>
    </row>
    <row r="178" spans="1:15" s="281" customFormat="1" x14ac:dyDescent="0.25">
      <c r="A178" s="733" t="s">
        <v>237</v>
      </c>
      <c r="B178" s="733"/>
      <c r="C178" s="137"/>
      <c r="D178" s="138">
        <v>1</v>
      </c>
      <c r="E178" s="372">
        <v>0</v>
      </c>
      <c r="F178" s="373"/>
      <c r="G178" s="372"/>
      <c r="H178" s="372"/>
      <c r="I178" s="372"/>
      <c r="J178" s="372"/>
      <c r="K178" s="650">
        <f>Consumibles!E22</f>
        <v>0</v>
      </c>
      <c r="L178" s="304"/>
      <c r="M178" s="303"/>
      <c r="N178" s="302"/>
      <c r="O178" s="239">
        <f t="shared" ref="O178:O181" si="14">E178*K178</f>
        <v>0</v>
      </c>
    </row>
    <row r="179" spans="1:15" s="281" customFormat="1" x14ac:dyDescent="0.25">
      <c r="A179" s="733" t="s">
        <v>234</v>
      </c>
      <c r="B179" s="733"/>
      <c r="C179" s="137"/>
      <c r="D179" s="138">
        <v>1</v>
      </c>
      <c r="E179" s="372">
        <v>50</v>
      </c>
      <c r="F179" s="373"/>
      <c r="G179" s="372"/>
      <c r="H179" s="372"/>
      <c r="I179" s="372"/>
      <c r="J179" s="372"/>
      <c r="K179" s="650">
        <f>Consumibles!E23</f>
        <v>0</v>
      </c>
      <c r="L179" s="304"/>
      <c r="M179" s="303"/>
      <c r="N179" s="302"/>
      <c r="O179" s="239">
        <f t="shared" si="14"/>
        <v>0</v>
      </c>
    </row>
    <row r="180" spans="1:15" s="281" customFormat="1" x14ac:dyDescent="0.25">
      <c r="A180" s="733" t="s">
        <v>235</v>
      </c>
      <c r="B180" s="733"/>
      <c r="C180" s="137"/>
      <c r="D180" s="138">
        <v>1</v>
      </c>
      <c r="E180" s="372">
        <v>80</v>
      </c>
      <c r="F180" s="373"/>
      <c r="G180" s="372"/>
      <c r="H180" s="372"/>
      <c r="I180" s="372"/>
      <c r="J180" s="372"/>
      <c r="K180" s="650">
        <f>Consumibles!E24</f>
        <v>0</v>
      </c>
      <c r="L180" s="304"/>
      <c r="M180" s="303"/>
      <c r="N180" s="302"/>
      <c r="O180" s="239">
        <f t="shared" si="14"/>
        <v>0</v>
      </c>
    </row>
    <row r="181" spans="1:15" s="281" customFormat="1" x14ac:dyDescent="0.25">
      <c r="A181" s="733" t="s">
        <v>236</v>
      </c>
      <c r="B181" s="733"/>
      <c r="C181" s="137"/>
      <c r="D181" s="138">
        <v>1</v>
      </c>
      <c r="E181" s="372">
        <v>20</v>
      </c>
      <c r="F181" s="373"/>
      <c r="G181" s="372"/>
      <c r="H181" s="372"/>
      <c r="I181" s="372"/>
      <c r="J181" s="372"/>
      <c r="K181" s="650">
        <f>Consumibles!E25</f>
        <v>0</v>
      </c>
      <c r="L181" s="304"/>
      <c r="M181" s="303"/>
      <c r="N181" s="302"/>
      <c r="O181" s="239">
        <f t="shared" si="14"/>
        <v>0</v>
      </c>
    </row>
    <row r="182" spans="1:15" s="281" customFormat="1" x14ac:dyDescent="0.25">
      <c r="A182" s="254"/>
      <c r="B182" s="255"/>
      <c r="C182" s="255"/>
      <c r="D182" s="255"/>
      <c r="E182" s="256"/>
      <c r="F182" s="256" t="s">
        <v>224</v>
      </c>
      <c r="G182" s="255"/>
      <c r="H182" s="255"/>
      <c r="I182" s="255"/>
      <c r="J182" s="255"/>
      <c r="K182" s="255"/>
      <c r="L182" s="255"/>
      <c r="M182" s="255"/>
      <c r="N182" s="255"/>
      <c r="O182" s="257">
        <f>SUM(O176:O181)</f>
        <v>0</v>
      </c>
    </row>
    <row r="183" spans="1:15" x14ac:dyDescent="0.25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</row>
    <row r="184" spans="1:15" x14ac:dyDescent="0.25">
      <c r="A184" s="218"/>
      <c r="B184" s="218"/>
      <c r="C184" s="218"/>
      <c r="D184" s="218"/>
      <c r="E184" s="218"/>
      <c r="F184" s="307" t="s">
        <v>271</v>
      </c>
      <c r="G184" s="308"/>
      <c r="H184" s="308"/>
      <c r="I184" s="308"/>
      <c r="J184" s="308"/>
      <c r="K184" s="308"/>
      <c r="L184" s="308"/>
      <c r="M184" s="308"/>
      <c r="N184" s="308"/>
      <c r="O184" s="309">
        <f>+O57+O110+O162+O172+O182</f>
        <v>0</v>
      </c>
    </row>
    <row r="185" spans="1:15" x14ac:dyDescent="0.25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310"/>
    </row>
    <row r="186" spans="1:15" x14ac:dyDescent="0.25">
      <c r="A186" s="218"/>
      <c r="B186" s="218"/>
      <c r="C186" s="218"/>
      <c r="D186" s="218"/>
      <c r="E186" s="218"/>
      <c r="F186" s="311" t="s">
        <v>3</v>
      </c>
      <c r="G186" s="312"/>
      <c r="H186" s="312"/>
      <c r="I186" s="312"/>
      <c r="J186" s="312"/>
      <c r="K186" s="312"/>
      <c r="L186" s="312"/>
      <c r="M186" s="652">
        <f>Paràmetres!C6</f>
        <v>0</v>
      </c>
      <c r="N186" s="312"/>
      <c r="O186" s="313">
        <f>+O184*M186</f>
        <v>0</v>
      </c>
    </row>
    <row r="187" spans="1:15" x14ac:dyDescent="0.25">
      <c r="A187" s="218"/>
      <c r="B187" s="218"/>
      <c r="C187" s="218"/>
      <c r="D187" s="218"/>
      <c r="E187" s="218"/>
      <c r="F187" s="312"/>
      <c r="G187" s="312"/>
      <c r="H187" s="312"/>
      <c r="I187" s="312"/>
      <c r="J187" s="312"/>
      <c r="K187" s="312"/>
      <c r="L187" s="312"/>
      <c r="M187" s="314"/>
      <c r="N187" s="312"/>
      <c r="O187" s="313"/>
    </row>
    <row r="188" spans="1:15" x14ac:dyDescent="0.25">
      <c r="A188" s="218"/>
      <c r="B188" s="218"/>
      <c r="C188" s="218"/>
      <c r="D188" s="218"/>
      <c r="E188" s="218"/>
      <c r="F188" s="311" t="s">
        <v>2</v>
      </c>
      <c r="G188" s="312"/>
      <c r="H188" s="312"/>
      <c r="I188" s="312"/>
      <c r="J188" s="312"/>
      <c r="K188" s="312"/>
      <c r="L188" s="312"/>
      <c r="M188" s="652">
        <f>Paràmetres!C5</f>
        <v>0</v>
      </c>
      <c r="N188" s="312"/>
      <c r="O188" s="313">
        <f>+O184*M188</f>
        <v>0</v>
      </c>
    </row>
    <row r="189" spans="1:15" x14ac:dyDescent="0.25">
      <c r="A189" s="218"/>
      <c r="B189" s="218"/>
      <c r="C189" s="218"/>
      <c r="D189" s="218"/>
      <c r="E189" s="218"/>
      <c r="F189" s="312"/>
      <c r="G189" s="312"/>
      <c r="H189" s="312"/>
      <c r="I189" s="312"/>
      <c r="J189" s="312"/>
      <c r="K189" s="312"/>
      <c r="L189" s="312"/>
      <c r="M189" s="314"/>
      <c r="N189" s="312"/>
      <c r="O189" s="313"/>
    </row>
    <row r="190" spans="1:15" x14ac:dyDescent="0.25">
      <c r="A190" s="218"/>
      <c r="B190" s="218"/>
      <c r="C190" s="218"/>
      <c r="D190" s="218"/>
      <c r="E190" s="218"/>
      <c r="F190" s="311" t="s">
        <v>48</v>
      </c>
      <c r="G190" s="312"/>
      <c r="H190" s="312"/>
      <c r="I190" s="312"/>
      <c r="J190" s="312"/>
      <c r="K190" s="312"/>
      <c r="L190" s="312"/>
      <c r="M190" s="314"/>
      <c r="N190" s="312"/>
      <c r="O190" s="313">
        <f>+O184*M190</f>
        <v>0</v>
      </c>
    </row>
    <row r="191" spans="1:15" x14ac:dyDescent="0.25">
      <c r="A191" s="218"/>
      <c r="B191" s="218"/>
      <c r="C191" s="218"/>
      <c r="D191" s="218"/>
      <c r="E191" s="218"/>
      <c r="F191" s="312"/>
      <c r="G191" s="312"/>
      <c r="H191" s="312"/>
      <c r="I191" s="312"/>
      <c r="J191" s="312"/>
      <c r="K191" s="312"/>
      <c r="L191" s="312"/>
      <c r="M191" s="314"/>
      <c r="N191" s="312"/>
      <c r="O191" s="313"/>
    </row>
    <row r="192" spans="1:15" x14ac:dyDescent="0.25">
      <c r="A192" s="218"/>
      <c r="B192" s="218"/>
      <c r="C192" s="218"/>
      <c r="D192" s="218"/>
      <c r="E192" s="218"/>
      <c r="F192" s="311" t="s">
        <v>76</v>
      </c>
      <c r="G192" s="312"/>
      <c r="H192" s="312"/>
      <c r="I192" s="312"/>
      <c r="J192" s="312"/>
      <c r="K192" s="312"/>
      <c r="L192" s="312"/>
      <c r="M192" s="314"/>
      <c r="N192" s="312"/>
      <c r="O192" s="313">
        <f>+O184*M192</f>
        <v>0</v>
      </c>
    </row>
    <row r="193" spans="1:15" x14ac:dyDescent="0.25">
      <c r="A193" s="218"/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310"/>
    </row>
    <row r="194" spans="1:15" x14ac:dyDescent="0.25">
      <c r="A194" s="218"/>
      <c r="B194" s="218"/>
      <c r="C194" s="218"/>
      <c r="D194" s="218"/>
      <c r="E194" s="218"/>
      <c r="F194" s="315" t="s">
        <v>270</v>
      </c>
      <c r="G194" s="316"/>
      <c r="H194" s="316"/>
      <c r="I194" s="316"/>
      <c r="J194" s="316"/>
      <c r="K194" s="316"/>
      <c r="L194" s="316"/>
      <c r="M194" s="316"/>
      <c r="N194" s="316"/>
      <c r="O194" s="317">
        <f>SUM(O184:O192)+O167</f>
        <v>0</v>
      </c>
    </row>
    <row r="195" spans="1:15" x14ac:dyDescent="0.25">
      <c r="A195" s="218"/>
      <c r="B195" s="218"/>
      <c r="C195" s="218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310"/>
    </row>
    <row r="196" spans="1:15" x14ac:dyDescent="0.25">
      <c r="A196" s="218"/>
      <c r="B196" s="218"/>
      <c r="C196" s="218"/>
      <c r="D196" s="218"/>
      <c r="E196" s="218"/>
      <c r="F196" s="311" t="s">
        <v>4</v>
      </c>
      <c r="G196" s="312"/>
      <c r="H196" s="312"/>
      <c r="I196" s="312"/>
      <c r="J196" s="312"/>
      <c r="K196" s="312"/>
      <c r="L196" s="312"/>
      <c r="M196" s="314">
        <v>0.1</v>
      </c>
      <c r="N196" s="312"/>
      <c r="O196" s="313">
        <f>+O194*M196</f>
        <v>0</v>
      </c>
    </row>
    <row r="197" spans="1:15" x14ac:dyDescent="0.25">
      <c r="A197" s="218"/>
      <c r="B197" s="218"/>
      <c r="C197" s="218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310"/>
    </row>
    <row r="198" spans="1:15" x14ac:dyDescent="0.25">
      <c r="A198" s="218"/>
      <c r="B198" s="218"/>
      <c r="C198" s="218"/>
      <c r="D198" s="218"/>
      <c r="E198" s="218"/>
      <c r="F198" s="315" t="s">
        <v>49</v>
      </c>
      <c r="G198" s="316"/>
      <c r="H198" s="316"/>
      <c r="I198" s="316"/>
      <c r="J198" s="316"/>
      <c r="K198" s="316"/>
      <c r="L198" s="316"/>
      <c r="M198" s="316"/>
      <c r="N198" s="316"/>
      <c r="O198" s="317">
        <f>+O194+O196</f>
        <v>0</v>
      </c>
    </row>
    <row r="199" spans="1:15" x14ac:dyDescent="0.25">
      <c r="A199" s="218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</row>
    <row r="201" spans="1:15" x14ac:dyDescent="0.25">
      <c r="A201" s="218"/>
      <c r="B201" s="218"/>
      <c r="C201" s="218"/>
      <c r="D201" s="218"/>
      <c r="E201" s="218"/>
      <c r="F201" s="315" t="s">
        <v>50</v>
      </c>
      <c r="G201" s="316"/>
      <c r="H201" s="316"/>
      <c r="I201" s="316"/>
      <c r="J201" s="316"/>
      <c r="K201" s="316"/>
      <c r="L201" s="316"/>
      <c r="M201" s="316"/>
      <c r="N201" s="316"/>
      <c r="O201" s="317" t="s">
        <v>51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 t="s">
        <v>52</v>
      </c>
      <c r="G203" s="218"/>
      <c r="H203" s="218"/>
      <c r="I203" s="218"/>
      <c r="J203" s="218"/>
      <c r="K203" s="218"/>
      <c r="L203" s="218"/>
      <c r="M203" s="218"/>
      <c r="N203" s="218"/>
      <c r="O203" s="313">
        <f>+O57*(1+M186+M188)*(1+M196)</f>
        <v>0</v>
      </c>
    </row>
    <row r="204" spans="1:15" x14ac:dyDescent="0.25">
      <c r="A204" s="218"/>
      <c r="B204" s="218"/>
      <c r="C204" s="218"/>
      <c r="D204" s="218"/>
      <c r="E204" s="218"/>
      <c r="F204" s="218" t="s">
        <v>53</v>
      </c>
      <c r="G204" s="218"/>
      <c r="H204" s="218"/>
      <c r="I204" s="218"/>
      <c r="J204" s="218"/>
      <c r="K204" s="218"/>
      <c r="L204" s="218"/>
      <c r="M204" s="218"/>
      <c r="N204" s="218"/>
      <c r="O204" s="313">
        <f>+(O110+O162)*(1+M186+M188)*(1+M196)</f>
        <v>0</v>
      </c>
    </row>
    <row r="205" spans="1:15" x14ac:dyDescent="0.25">
      <c r="A205" s="218"/>
      <c r="B205" s="218"/>
      <c r="C205" s="218"/>
      <c r="D205" s="218"/>
      <c r="E205" s="218"/>
      <c r="F205" s="218" t="s">
        <v>54</v>
      </c>
      <c r="G205" s="218"/>
      <c r="H205" s="218"/>
      <c r="I205" s="218"/>
      <c r="J205" s="218"/>
      <c r="K205" s="218"/>
      <c r="L205" s="218"/>
      <c r="M205" s="218"/>
      <c r="N205" s="218"/>
      <c r="O205" s="313"/>
    </row>
    <row r="206" spans="1:15" x14ac:dyDescent="0.25">
      <c r="A206" s="218"/>
      <c r="B206" s="218"/>
      <c r="C206" s="218"/>
      <c r="D206" s="218"/>
      <c r="E206" s="218"/>
      <c r="F206" s="311" t="s">
        <v>55</v>
      </c>
      <c r="G206" s="312"/>
      <c r="H206" s="312"/>
      <c r="I206" s="312"/>
      <c r="J206" s="312"/>
      <c r="K206" s="312"/>
      <c r="L206" s="312"/>
      <c r="M206" s="312"/>
      <c r="N206" s="312"/>
      <c r="O206" s="313">
        <f>G57</f>
        <v>0</v>
      </c>
    </row>
    <row r="207" spans="1:15" x14ac:dyDescent="0.25">
      <c r="A207" s="218"/>
      <c r="B207" s="218"/>
      <c r="C207" s="218"/>
      <c r="D207" s="218"/>
      <c r="E207" s="218"/>
      <c r="F207" s="311" t="s">
        <v>56</v>
      </c>
      <c r="G207" s="312"/>
      <c r="H207" s="312"/>
      <c r="I207" s="312"/>
      <c r="J207" s="312"/>
      <c r="K207" s="312"/>
      <c r="L207" s="312"/>
      <c r="M207" s="312"/>
      <c r="N207" s="312"/>
      <c r="O207" s="313">
        <f>+O206*6.16667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57</v>
      </c>
      <c r="G208" s="218"/>
      <c r="H208" s="218"/>
      <c r="I208" s="218"/>
      <c r="J208" s="218"/>
      <c r="K208" s="218"/>
      <c r="L208" s="218"/>
      <c r="M208" s="218"/>
      <c r="N208" s="218"/>
      <c r="O208" s="313" t="e">
        <f>+O198/O206</f>
        <v>#DIV/0!</v>
      </c>
    </row>
    <row r="209" spans="1:15" x14ac:dyDescent="0.25">
      <c r="A209" s="218"/>
      <c r="B209" s="218"/>
      <c r="C209" s="218"/>
      <c r="D209" s="218"/>
      <c r="E209" s="218"/>
      <c r="F209" s="218" t="s">
        <v>58</v>
      </c>
      <c r="G209" s="218"/>
      <c r="H209" s="218"/>
      <c r="I209" s="218"/>
      <c r="J209" s="218"/>
      <c r="K209" s="218"/>
      <c r="L209" s="218"/>
      <c r="M209" s="218"/>
      <c r="N209" s="218"/>
      <c r="O209" s="313" t="e">
        <f>+O198/O207</f>
        <v>#DIV/0!</v>
      </c>
    </row>
    <row r="210" spans="1:15" x14ac:dyDescent="0.25">
      <c r="O210" s="318"/>
    </row>
  </sheetData>
  <sheetProtection algorithmName="SHA-512" hashValue="o7X8v4kmClC9FCd4bqDVJA2V5j6ml9fCKNRXBCRPwhVQqufOjO2Pp/c8fDRdn0VkGeGX6WWskP7lr5oJHTKUmQ==" saltValue="nbvtGN7ZgNFn5SslmkabOA==" spinCount="100000" sheet="1" objects="1" scenarios="1" selectLockedCells="1"/>
  <mergeCells count="159">
    <mergeCell ref="A171:B171"/>
    <mergeCell ref="A112:B113"/>
    <mergeCell ref="A160:B160"/>
    <mergeCell ref="A161:B161"/>
    <mergeCell ref="A166:B166"/>
    <mergeCell ref="A157:B157"/>
    <mergeCell ref="A158:B158"/>
    <mergeCell ref="A159:B159"/>
    <mergeCell ref="A153:B153"/>
    <mergeCell ref="A154:B154"/>
    <mergeCell ref="A155:B155"/>
    <mergeCell ref="A156:B156"/>
    <mergeCell ref="A150:B150"/>
    <mergeCell ref="A151:B151"/>
    <mergeCell ref="A140:B140"/>
    <mergeCell ref="A134:B134"/>
    <mergeCell ref="A135:B135"/>
    <mergeCell ref="A136:B136"/>
    <mergeCell ref="A137:B137"/>
    <mergeCell ref="A152:B152"/>
    <mergeCell ref="A145:B145"/>
    <mergeCell ref="A147:B147"/>
    <mergeCell ref="A143:B143"/>
    <mergeCell ref="A144:B144"/>
    <mergeCell ref="A126:B126"/>
    <mergeCell ref="A127:B127"/>
    <mergeCell ref="A128:B128"/>
    <mergeCell ref="A129:B129"/>
    <mergeCell ref="A138:B138"/>
    <mergeCell ref="A139:B139"/>
    <mergeCell ref="A169:B170"/>
    <mergeCell ref="A164:B165"/>
    <mergeCell ref="A115:B115"/>
    <mergeCell ref="A116:B116"/>
    <mergeCell ref="A117:B117"/>
    <mergeCell ref="A149:B149"/>
    <mergeCell ref="A141:B141"/>
    <mergeCell ref="A142:B142"/>
    <mergeCell ref="A106:B106"/>
    <mergeCell ref="A107:B107"/>
    <mergeCell ref="A108:B108"/>
    <mergeCell ref="A109:B109"/>
    <mergeCell ref="A103:B103"/>
    <mergeCell ref="A104:B104"/>
    <mergeCell ref="A105:B105"/>
    <mergeCell ref="A99:B99"/>
    <mergeCell ref="A100:B100"/>
    <mergeCell ref="A101:B101"/>
    <mergeCell ref="A102:B102"/>
    <mergeCell ref="A95:B95"/>
    <mergeCell ref="A96:B96"/>
    <mergeCell ref="A97:B97"/>
    <mergeCell ref="A98:B98"/>
    <mergeCell ref="A91:B91"/>
    <mergeCell ref="A92:B92"/>
    <mergeCell ref="A93:B93"/>
    <mergeCell ref="A87:B87"/>
    <mergeCell ref="A88:B88"/>
    <mergeCell ref="A89:B89"/>
    <mergeCell ref="A90:B90"/>
    <mergeCell ref="A84:B84"/>
    <mergeCell ref="A85:B85"/>
    <mergeCell ref="A86:B86"/>
    <mergeCell ref="A80:B80"/>
    <mergeCell ref="A81:B81"/>
    <mergeCell ref="A82:B82"/>
    <mergeCell ref="A83:B83"/>
    <mergeCell ref="A76:B76"/>
    <mergeCell ref="A77:B77"/>
    <mergeCell ref="A79:B79"/>
    <mergeCell ref="A72:B72"/>
    <mergeCell ref="A73:B73"/>
    <mergeCell ref="A74:B74"/>
    <mergeCell ref="A75:B75"/>
    <mergeCell ref="A68:B68"/>
    <mergeCell ref="A69:B69"/>
    <mergeCell ref="A70:B70"/>
    <mergeCell ref="A71:B71"/>
    <mergeCell ref="A65:B65"/>
    <mergeCell ref="A66:B66"/>
    <mergeCell ref="A67:B67"/>
    <mergeCell ref="A56:B56"/>
    <mergeCell ref="A7:B8"/>
    <mergeCell ref="A63:B63"/>
    <mergeCell ref="A64:B64"/>
    <mergeCell ref="A60:B61"/>
    <mergeCell ref="A52:B52"/>
    <mergeCell ref="A53:B53"/>
    <mergeCell ref="A54:B54"/>
    <mergeCell ref="A55:B55"/>
    <mergeCell ref="A49:B49"/>
    <mergeCell ref="A50:B50"/>
    <mergeCell ref="A51:B51"/>
    <mergeCell ref="A45:B45"/>
    <mergeCell ref="A46:B46"/>
    <mergeCell ref="A47:B47"/>
    <mergeCell ref="A48:B48"/>
    <mergeCell ref="A42:B42"/>
    <mergeCell ref="A43:B43"/>
    <mergeCell ref="A32:B32"/>
    <mergeCell ref="A33:B33"/>
    <mergeCell ref="A26:B26"/>
    <mergeCell ref="A27:B27"/>
    <mergeCell ref="A28:B28"/>
    <mergeCell ref="A29:B29"/>
    <mergeCell ref="A44:B44"/>
    <mergeCell ref="A37:B37"/>
    <mergeCell ref="A38:B38"/>
    <mergeCell ref="A39:B39"/>
    <mergeCell ref="A40:B40"/>
    <mergeCell ref="A34:B34"/>
    <mergeCell ref="A35:B35"/>
    <mergeCell ref="A36:B36"/>
    <mergeCell ref="A5:O5"/>
    <mergeCell ref="A10:B10"/>
    <mergeCell ref="A11:B11"/>
    <mergeCell ref="A12:B12"/>
    <mergeCell ref="A13:B13"/>
    <mergeCell ref="A14:B14"/>
    <mergeCell ref="A15:B15"/>
    <mergeCell ref="A23:B23"/>
    <mergeCell ref="A24:B24"/>
    <mergeCell ref="A18:B18"/>
    <mergeCell ref="A19:B19"/>
    <mergeCell ref="A20:B20"/>
    <mergeCell ref="A21:B21"/>
    <mergeCell ref="O164:O165"/>
    <mergeCell ref="F164:F165"/>
    <mergeCell ref="G164:G165"/>
    <mergeCell ref="K164:K165"/>
    <mergeCell ref="M164:M165"/>
    <mergeCell ref="N164:N165"/>
    <mergeCell ref="C164:C165"/>
    <mergeCell ref="D164:D165"/>
    <mergeCell ref="E164:E165"/>
    <mergeCell ref="A174:B175"/>
    <mergeCell ref="A176:B176"/>
    <mergeCell ref="A177:B177"/>
    <mergeCell ref="A178:B178"/>
    <mergeCell ref="A179:B179"/>
    <mergeCell ref="A180:B180"/>
    <mergeCell ref="A181:B181"/>
    <mergeCell ref="A16:B16"/>
    <mergeCell ref="A17:B17"/>
    <mergeCell ref="A118:B118"/>
    <mergeCell ref="A123:B123"/>
    <mergeCell ref="A124:B124"/>
    <mergeCell ref="A125:B125"/>
    <mergeCell ref="A119:B119"/>
    <mergeCell ref="A120:B120"/>
    <mergeCell ref="A121:B121"/>
    <mergeCell ref="A122:B122"/>
    <mergeCell ref="A131:B131"/>
    <mergeCell ref="A132:B132"/>
    <mergeCell ref="A133:B133"/>
    <mergeCell ref="A148:B148"/>
    <mergeCell ref="A22:B22"/>
    <mergeCell ref="A30:B30"/>
    <mergeCell ref="A31:B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1" manualBreakCount="1">
    <brk id="110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DE5E-C078-4675-82AD-773080B6BF04}">
  <sheetPr>
    <tabColor theme="0"/>
  </sheetPr>
  <dimension ref="A1:O229"/>
  <sheetViews>
    <sheetView showGridLines="0" topLeftCell="A21" zoomScale="70" zoomScaleNormal="70" zoomScaleSheetLayoutView="70" workbookViewId="0">
      <selection activeCell="E71" sqref="E71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94" t="s">
        <v>223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6"/>
    </row>
    <row r="6" spans="1:15" s="153" customFormat="1" ht="26.25" x14ac:dyDescent="0.4">
      <c r="A6" s="425" t="s">
        <v>25</v>
      </c>
      <c r="B6" s="221"/>
      <c r="C6" s="426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427"/>
    </row>
    <row r="7" spans="1:15" x14ac:dyDescent="0.25">
      <c r="A7" s="797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428" t="s">
        <v>32</v>
      </c>
    </row>
    <row r="8" spans="1:15" x14ac:dyDescent="0.25">
      <c r="A8" s="779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450" t="s">
        <v>40</v>
      </c>
    </row>
    <row r="9" spans="1:15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x14ac:dyDescent="0.25">
      <c r="A12" s="733" t="s">
        <v>72</v>
      </c>
      <c r="B12" s="733"/>
      <c r="C12" s="137">
        <v>6.1666699999999999</v>
      </c>
      <c r="D12" s="138">
        <v>1</v>
      </c>
      <c r="E12" s="139">
        <v>0</v>
      </c>
      <c r="F12" s="139"/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x14ac:dyDescent="0.25">
      <c r="A13" s="733" t="s">
        <v>183</v>
      </c>
      <c r="B13" s="733"/>
      <c r="C13" s="137">
        <v>6.1666699999999999</v>
      </c>
      <c r="D13" s="138">
        <v>1</v>
      </c>
      <c r="E13" s="139">
        <v>0</v>
      </c>
      <c r="F13" s="139"/>
      <c r="G13" s="273">
        <f>+F13*E13*D13</f>
        <v>0</v>
      </c>
      <c r="H13" s="273">
        <f>$H$12</f>
        <v>265</v>
      </c>
      <c r="I13" s="320">
        <f>G13/H13</f>
        <v>0</v>
      </c>
      <c r="J13" s="320">
        <f>G13/298</f>
        <v>0</v>
      </c>
      <c r="K13" s="320">
        <f>Personal!G12</f>
        <v>0</v>
      </c>
      <c r="L13" s="237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x14ac:dyDescent="0.25">
      <c r="A14" s="764" t="s">
        <v>89</v>
      </c>
      <c r="B14" s="764"/>
      <c r="C14" s="234"/>
      <c r="D14" s="241"/>
      <c r="E14" s="241"/>
      <c r="F14" s="241"/>
      <c r="G14" s="241"/>
      <c r="H14" s="241"/>
      <c r="I14" s="241"/>
      <c r="J14" s="241"/>
      <c r="K14" s="241"/>
      <c r="L14" s="234"/>
      <c r="M14" s="234"/>
      <c r="N14" s="234"/>
      <c r="O14" s="234"/>
    </row>
    <row r="15" spans="1:15" x14ac:dyDescent="0.25">
      <c r="A15" s="733" t="s">
        <v>72</v>
      </c>
      <c r="B15" s="733"/>
      <c r="C15" s="137">
        <v>6.1666699999999999</v>
      </c>
      <c r="D15" s="138">
        <v>1</v>
      </c>
      <c r="E15" s="139">
        <v>0</v>
      </c>
      <c r="F15" s="139"/>
      <c r="G15" s="273">
        <f>+F15*E15*D15</f>
        <v>0</v>
      </c>
      <c r="H15" s="273">
        <f t="shared" ref="H15:H16" si="0">$H$12</f>
        <v>265</v>
      </c>
      <c r="I15" s="320">
        <f>G15/H15</f>
        <v>0</v>
      </c>
      <c r="J15" s="320">
        <f>G15/298</f>
        <v>0</v>
      </c>
      <c r="K15" s="320">
        <f>$K$12</f>
        <v>0</v>
      </c>
      <c r="L15" s="237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x14ac:dyDescent="0.25">
      <c r="A16" s="733" t="s">
        <v>183</v>
      </c>
      <c r="B16" s="733"/>
      <c r="C16" s="137">
        <v>6.1666699999999999</v>
      </c>
      <c r="D16" s="138">
        <v>1</v>
      </c>
      <c r="E16" s="139">
        <v>0</v>
      </c>
      <c r="F16" s="139"/>
      <c r="G16" s="273">
        <f>+F16*E16*D16</f>
        <v>0</v>
      </c>
      <c r="H16" s="273">
        <f t="shared" si="0"/>
        <v>265</v>
      </c>
      <c r="I16" s="320">
        <f>G16/H16</f>
        <v>0</v>
      </c>
      <c r="J16" s="320">
        <f>G16/298</f>
        <v>0</v>
      </c>
      <c r="K16" s="320">
        <f>$K$13</f>
        <v>0</v>
      </c>
      <c r="L16" s="237">
        <f>+K16/C16</f>
        <v>0</v>
      </c>
      <c r="M16" s="238" t="s">
        <v>90</v>
      </c>
      <c r="N16" s="238" t="s">
        <v>42</v>
      </c>
      <c r="O16" s="239">
        <f>+K16*G16</f>
        <v>0</v>
      </c>
    </row>
    <row r="17" spans="1:15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x14ac:dyDescent="0.25">
      <c r="A19" s="733" t="s">
        <v>72</v>
      </c>
      <c r="B19" s="733"/>
      <c r="C19" s="137">
        <v>6.1666699999999999</v>
      </c>
      <c r="D19" s="7">
        <v>0.33333333333333337</v>
      </c>
      <c r="E19" s="139">
        <v>0</v>
      </c>
      <c r="F19" s="139"/>
      <c r="G19" s="273">
        <f>+F19*E19*D19</f>
        <v>0</v>
      </c>
      <c r="H19" s="273">
        <f>$H$12</f>
        <v>265</v>
      </c>
      <c r="I19" s="320">
        <f>G19/H19</f>
        <v>0</v>
      </c>
      <c r="J19" s="320">
        <f t="shared" ref="J19:J26" si="1">G19/298</f>
        <v>0</v>
      </c>
      <c r="K19" s="320">
        <f>$K$12</f>
        <v>0</v>
      </c>
      <c r="L19" s="237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x14ac:dyDescent="0.25">
      <c r="A20" s="733" t="s">
        <v>183</v>
      </c>
      <c r="B20" s="733"/>
      <c r="C20" s="137">
        <v>6.1666699999999999</v>
      </c>
      <c r="D20" s="7">
        <v>0.33333333333333337</v>
      </c>
      <c r="E20" s="139">
        <v>0</v>
      </c>
      <c r="F20" s="139"/>
      <c r="G20" s="273">
        <f>+F20*E20*D20</f>
        <v>0</v>
      </c>
      <c r="H20" s="273">
        <f>$H$12</f>
        <v>265</v>
      </c>
      <c r="I20" s="320">
        <f>G20/H20</f>
        <v>0</v>
      </c>
      <c r="J20" s="320">
        <f>G20/298</f>
        <v>0</v>
      </c>
      <c r="K20" s="320">
        <f>$K$13</f>
        <v>0</v>
      </c>
      <c r="L20" s="237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x14ac:dyDescent="0.25">
      <c r="A22" s="733" t="s">
        <v>72</v>
      </c>
      <c r="B22" s="733"/>
      <c r="C22" s="137">
        <v>6.1666699999999999</v>
      </c>
      <c r="D22" s="7">
        <v>0.33333333333333337</v>
      </c>
      <c r="E22" s="139">
        <v>0</v>
      </c>
      <c r="F22" s="139"/>
      <c r="G22" s="273">
        <f>+F22*E22*D22</f>
        <v>0</v>
      </c>
      <c r="H22" s="273">
        <f>$H$12</f>
        <v>265</v>
      </c>
      <c r="I22" s="320">
        <f>G22/H22</f>
        <v>0</v>
      </c>
      <c r="J22" s="320">
        <f t="shared" si="1"/>
        <v>0</v>
      </c>
      <c r="K22" s="320">
        <f>$K$12</f>
        <v>0</v>
      </c>
      <c r="L22" s="237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x14ac:dyDescent="0.25">
      <c r="A23" s="733" t="s">
        <v>183</v>
      </c>
      <c r="B23" s="733"/>
      <c r="C23" s="137">
        <v>6.1666699999999999</v>
      </c>
      <c r="D23" s="7">
        <v>0.33333333333333337</v>
      </c>
      <c r="E23" s="139">
        <v>0</v>
      </c>
      <c r="F23" s="139"/>
      <c r="G23" s="273">
        <f>+F23*E23*D23</f>
        <v>0</v>
      </c>
      <c r="H23" s="273">
        <f>$H$12</f>
        <v>265</v>
      </c>
      <c r="I23" s="320">
        <f>G23/H23</f>
        <v>0</v>
      </c>
      <c r="J23" s="320">
        <f>G23/298</f>
        <v>0</v>
      </c>
      <c r="K23" s="320">
        <f>$K$13</f>
        <v>0</v>
      </c>
      <c r="L23" s="237">
        <f>+K23/C23</f>
        <v>0</v>
      </c>
      <c r="M23" s="238" t="s">
        <v>90</v>
      </c>
      <c r="N23" s="238" t="s">
        <v>42</v>
      </c>
      <c r="O23" s="239">
        <f>+K23*G23</f>
        <v>0</v>
      </c>
    </row>
    <row r="24" spans="1:15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320">
        <f>Actes!I43</f>
        <v>2.35</v>
      </c>
      <c r="G26" s="273">
        <f>+F26*E26*D26</f>
        <v>0</v>
      </c>
      <c r="H26" s="273">
        <f>$H$12</f>
        <v>265</v>
      </c>
      <c r="I26" s="320">
        <f>G26/H26</f>
        <v>0</v>
      </c>
      <c r="J26" s="320">
        <f t="shared" si="1"/>
        <v>0</v>
      </c>
      <c r="K26" s="320">
        <f>$K$12+Personal!D38</f>
        <v>0</v>
      </c>
      <c r="L26" s="237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320">
        <f>Actes!H43</f>
        <v>3.81</v>
      </c>
      <c r="G27" s="273">
        <f>+F27*E27*D27</f>
        <v>0</v>
      </c>
      <c r="H27" s="273">
        <f>$H$12</f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237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x14ac:dyDescent="0.25">
      <c r="A29" s="733" t="s">
        <v>72</v>
      </c>
      <c r="B29" s="733"/>
      <c r="C29" s="137">
        <v>6.1666699999999999</v>
      </c>
      <c r="D29" s="138">
        <v>0.66666666666666674</v>
      </c>
      <c r="E29" s="139">
        <v>0</v>
      </c>
      <c r="F29" s="139"/>
      <c r="G29" s="273">
        <f>+F29*E29*D29</f>
        <v>0</v>
      </c>
      <c r="H29" s="273">
        <f>$H$12</f>
        <v>265</v>
      </c>
      <c r="I29" s="320">
        <f>G29/H29</f>
        <v>0</v>
      </c>
      <c r="J29" s="320">
        <f t="shared" ref="J29" si="2">G29/298</f>
        <v>0</v>
      </c>
      <c r="K29" s="320">
        <f>$K$12+Personal!D38</f>
        <v>0</v>
      </c>
      <c r="L29" s="237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x14ac:dyDescent="0.25">
      <c r="A30" s="733" t="s">
        <v>183</v>
      </c>
      <c r="B30" s="733"/>
      <c r="C30" s="137">
        <v>6.1666699999999999</v>
      </c>
      <c r="D30" s="138">
        <v>0.66666666666666674</v>
      </c>
      <c r="E30" s="139">
        <v>0</v>
      </c>
      <c r="F30" s="139"/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x14ac:dyDescent="0.25">
      <c r="A31" s="229" t="s">
        <v>199</v>
      </c>
      <c r="B31" s="242"/>
      <c r="C31" s="278"/>
      <c r="D31" s="278"/>
      <c r="E31" s="278"/>
      <c r="F31" s="245"/>
      <c r="G31" s="278"/>
      <c r="H31" s="278"/>
      <c r="I31" s="278"/>
      <c r="J31" s="278"/>
      <c r="K31" s="278"/>
      <c r="L31" s="278"/>
      <c r="M31" s="278"/>
      <c r="N31" s="278"/>
      <c r="O31" s="278"/>
    </row>
    <row r="32" spans="1:15" x14ac:dyDescent="0.25">
      <c r="A32" s="782" t="s">
        <v>195</v>
      </c>
      <c r="B32" s="782"/>
      <c r="C32" s="241"/>
      <c r="D32" s="241"/>
      <c r="E32" s="241"/>
      <c r="F32" s="139"/>
      <c r="G32" s="234"/>
      <c r="H32" s="234"/>
      <c r="I32" s="236"/>
      <c r="J32" s="236"/>
      <c r="K32" s="241"/>
      <c r="L32" s="241"/>
      <c r="M32" s="234"/>
      <c r="N32" s="234"/>
      <c r="O32" s="234"/>
    </row>
    <row r="33" spans="1:15" x14ac:dyDescent="0.25">
      <c r="A33" s="763" t="s">
        <v>88</v>
      </c>
      <c r="B33" s="763"/>
      <c r="C33" s="249"/>
      <c r="D33" s="249"/>
      <c r="E33" s="249"/>
      <c r="F33" s="139"/>
      <c r="G33" s="249"/>
      <c r="H33" s="249"/>
      <c r="I33" s="249"/>
      <c r="J33" s="249"/>
      <c r="K33" s="249"/>
      <c r="L33" s="249"/>
      <c r="M33" s="249"/>
      <c r="N33" s="249"/>
      <c r="O33" s="249"/>
    </row>
    <row r="34" spans="1:15" x14ac:dyDescent="0.25">
      <c r="A34" s="733" t="s">
        <v>72</v>
      </c>
      <c r="B34" s="733"/>
      <c r="C34" s="137">
        <v>6.1666699999999999</v>
      </c>
      <c r="D34" s="138">
        <v>1</v>
      </c>
      <c r="E34" s="139">
        <v>0</v>
      </c>
      <c r="F34" s="139"/>
      <c r="G34" s="273">
        <f>+F34*E34*D34</f>
        <v>0</v>
      </c>
      <c r="H34" s="273">
        <f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491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x14ac:dyDescent="0.25">
      <c r="A35" s="733" t="s">
        <v>183</v>
      </c>
      <c r="B35" s="733"/>
      <c r="C35" s="137">
        <v>6.1666699999999999</v>
      </c>
      <c r="D35" s="138">
        <v>1</v>
      </c>
      <c r="E35" s="139">
        <v>0</v>
      </c>
      <c r="F35" s="139"/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$K$13</f>
        <v>0</v>
      </c>
      <c r="L35" s="491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x14ac:dyDescent="0.25">
      <c r="A36" s="764" t="s">
        <v>89</v>
      </c>
      <c r="B36" s="764"/>
      <c r="C36" s="180"/>
      <c r="D36" s="241"/>
      <c r="E36" s="664"/>
      <c r="F36" s="241"/>
      <c r="G36" s="664"/>
      <c r="H36" s="664"/>
      <c r="I36" s="664"/>
      <c r="J36" s="664"/>
      <c r="K36" s="664"/>
      <c r="L36" s="664"/>
      <c r="M36" s="180"/>
      <c r="N36" s="180"/>
      <c r="O36" s="180"/>
    </row>
    <row r="37" spans="1:15" x14ac:dyDescent="0.25">
      <c r="A37" s="733" t="s">
        <v>72</v>
      </c>
      <c r="B37" s="733"/>
      <c r="C37" s="137">
        <v>6.1666699999999999</v>
      </c>
      <c r="D37" s="138">
        <v>1</v>
      </c>
      <c r="E37" s="139">
        <v>0</v>
      </c>
      <c r="F37" s="139"/>
      <c r="G37" s="273">
        <f>+F37*E37*D37</f>
        <v>0</v>
      </c>
      <c r="H37" s="273">
        <f>$H$12</f>
        <v>265</v>
      </c>
      <c r="I37" s="320">
        <f>G37/H37</f>
        <v>0</v>
      </c>
      <c r="J37" s="320">
        <f t="shared" ref="J37" si="3">G37/298</f>
        <v>0</v>
      </c>
      <c r="K37" s="320">
        <f>$K$12</f>
        <v>0</v>
      </c>
      <c r="L37" s="491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x14ac:dyDescent="0.25">
      <c r="A38" s="733" t="s">
        <v>183</v>
      </c>
      <c r="B38" s="733"/>
      <c r="C38" s="137">
        <v>6.1666699999999999</v>
      </c>
      <c r="D38" s="138">
        <v>1</v>
      </c>
      <c r="E38" s="139">
        <v>0</v>
      </c>
      <c r="F38" s="139"/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$K$13</f>
        <v>0</v>
      </c>
      <c r="L38" s="491">
        <f>+K38/C38</f>
        <v>0</v>
      </c>
      <c r="M38" s="238" t="s">
        <v>90</v>
      </c>
      <c r="N38" s="238" t="s">
        <v>42</v>
      </c>
      <c r="O38" s="239">
        <f>+K38*G38</f>
        <v>0</v>
      </c>
    </row>
    <row r="39" spans="1:15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x14ac:dyDescent="0.25">
      <c r="A40" s="763" t="s">
        <v>88</v>
      </c>
      <c r="B40" s="763"/>
      <c r="C40" s="249"/>
      <c r="D40" s="241"/>
      <c r="E40" s="640"/>
      <c r="F40" s="241"/>
      <c r="G40" s="640"/>
      <c r="H40" s="640"/>
      <c r="I40" s="640"/>
      <c r="J40" s="640"/>
      <c r="K40" s="640"/>
      <c r="L40" s="640"/>
      <c r="M40" s="249"/>
      <c r="N40" s="249"/>
      <c r="O40" s="249"/>
    </row>
    <row r="41" spans="1:15" x14ac:dyDescent="0.25">
      <c r="A41" s="733" t="s">
        <v>72</v>
      </c>
      <c r="B41" s="733"/>
      <c r="C41" s="137">
        <v>6.1666699999999999</v>
      </c>
      <c r="D41" s="7">
        <v>0.33333333333333337</v>
      </c>
      <c r="E41" s="139">
        <v>0</v>
      </c>
      <c r="F41" s="139"/>
      <c r="G41" s="273">
        <f>+F41*E41*D41</f>
        <v>0</v>
      </c>
      <c r="H41" s="273">
        <f>$H$12</f>
        <v>265</v>
      </c>
      <c r="I41" s="320">
        <f>G41/H41</f>
        <v>0</v>
      </c>
      <c r="J41" s="320">
        <f>G41/298</f>
        <v>0</v>
      </c>
      <c r="K41" s="320">
        <f>$K$12</f>
        <v>0</v>
      </c>
      <c r="L41" s="491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x14ac:dyDescent="0.25">
      <c r="A42" s="733" t="s">
        <v>183</v>
      </c>
      <c r="B42" s="733"/>
      <c r="C42" s="137">
        <v>6.1666699999999999</v>
      </c>
      <c r="D42" s="7">
        <v>0.33333333333333337</v>
      </c>
      <c r="E42" s="139">
        <v>0</v>
      </c>
      <c r="F42" s="139"/>
      <c r="G42" s="273">
        <f>+F42*E42*D42</f>
        <v>0</v>
      </c>
      <c r="H42" s="273">
        <f>$H$12</f>
        <v>265</v>
      </c>
      <c r="I42" s="320">
        <f>G42/H42</f>
        <v>0</v>
      </c>
      <c r="J42" s="320">
        <f>G42/298</f>
        <v>0</v>
      </c>
      <c r="K42" s="320">
        <f>$K$13</f>
        <v>0</v>
      </c>
      <c r="L42" s="491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x14ac:dyDescent="0.25">
      <c r="A43" s="764" t="s">
        <v>89</v>
      </c>
      <c r="B43" s="764"/>
      <c r="C43" s="249"/>
      <c r="D43" s="241"/>
      <c r="E43" s="640"/>
      <c r="F43" s="241"/>
      <c r="G43" s="640"/>
      <c r="H43" s="640"/>
      <c r="I43" s="640"/>
      <c r="J43" s="640"/>
      <c r="K43" s="640"/>
      <c r="L43" s="640"/>
      <c r="M43" s="249"/>
      <c r="N43" s="249"/>
      <c r="O43" s="249"/>
    </row>
    <row r="44" spans="1:15" x14ac:dyDescent="0.25">
      <c r="A44" s="733" t="s">
        <v>72</v>
      </c>
      <c r="B44" s="733"/>
      <c r="C44" s="137">
        <v>6.1666699999999999</v>
      </c>
      <c r="D44" s="7">
        <v>0.33333333333333337</v>
      </c>
      <c r="E44" s="139">
        <v>0</v>
      </c>
      <c r="F44" s="139"/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x14ac:dyDescent="0.25">
      <c r="A45" s="733" t="s">
        <v>183</v>
      </c>
      <c r="B45" s="733"/>
      <c r="C45" s="137">
        <v>6.1666699999999999</v>
      </c>
      <c r="D45" s="7">
        <v>0.33333333333333337</v>
      </c>
      <c r="E45" s="139">
        <v>0</v>
      </c>
      <c r="F45" s="139"/>
      <c r="G45" s="273">
        <f>+F45*E45*D45</f>
        <v>0</v>
      </c>
      <c r="H45" s="273">
        <f>$H$12</f>
        <v>265</v>
      </c>
      <c r="I45" s="320">
        <f>G45/H45</f>
        <v>0</v>
      </c>
      <c r="J45" s="320">
        <f>G45/298</f>
        <v>0</v>
      </c>
      <c r="K45" s="320">
        <f>$K$13</f>
        <v>0</v>
      </c>
      <c r="L45" s="491">
        <f>+K45/C45</f>
        <v>0</v>
      </c>
      <c r="M45" s="238" t="s">
        <v>90</v>
      </c>
      <c r="N45" s="238" t="s">
        <v>42</v>
      </c>
      <c r="O45" s="239">
        <f>+K45*G45</f>
        <v>0</v>
      </c>
    </row>
    <row r="46" spans="1:15" x14ac:dyDescent="0.25">
      <c r="A46" s="762" t="s">
        <v>197</v>
      </c>
      <c r="B46" s="762"/>
      <c r="C46" s="249"/>
      <c r="D46" s="241"/>
      <c r="E46" s="640"/>
      <c r="F46" s="241"/>
      <c r="G46" s="640"/>
      <c r="H46" s="640"/>
      <c r="I46" s="640"/>
      <c r="J46" s="640"/>
      <c r="K46" s="640"/>
      <c r="L46" s="640"/>
      <c r="M46" s="249"/>
      <c r="N46" s="249"/>
      <c r="O46" s="249"/>
    </row>
    <row r="47" spans="1:15" x14ac:dyDescent="0.25">
      <c r="A47" s="763" t="s">
        <v>88</v>
      </c>
      <c r="B47" s="763"/>
      <c r="C47" s="249"/>
      <c r="D47" s="241"/>
      <c r="E47" s="640"/>
      <c r="F47" s="241"/>
      <c r="G47" s="640"/>
      <c r="H47" s="640"/>
      <c r="I47" s="640"/>
      <c r="J47" s="640"/>
      <c r="K47" s="640"/>
      <c r="L47" s="640"/>
      <c r="M47" s="249"/>
      <c r="N47" s="249"/>
      <c r="O47" s="249"/>
    </row>
    <row r="48" spans="1:15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320">
        <f>Actes!I44</f>
        <v>26.76</v>
      </c>
      <c r="G48" s="273">
        <f>+F48*E48*D48</f>
        <v>0</v>
      </c>
      <c r="H48" s="273">
        <f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491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320">
        <f>Actes!H44</f>
        <v>37.14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491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x14ac:dyDescent="0.25">
      <c r="A50" s="764" t="s">
        <v>89</v>
      </c>
      <c r="B50" s="764"/>
      <c r="C50" s="249"/>
      <c r="D50" s="241"/>
      <c r="E50" s="640"/>
      <c r="F50" s="241"/>
      <c r="G50" s="640"/>
      <c r="H50" s="640"/>
      <c r="I50" s="640"/>
      <c r="J50" s="640"/>
      <c r="K50" s="640"/>
      <c r="L50" s="640"/>
      <c r="M50" s="249"/>
      <c r="N50" s="249"/>
      <c r="O50" s="249"/>
    </row>
    <row r="51" spans="1:15" x14ac:dyDescent="0.25">
      <c r="A51" s="733" t="s">
        <v>72</v>
      </c>
      <c r="B51" s="733"/>
      <c r="C51" s="137">
        <v>6.1666699999999999</v>
      </c>
      <c r="D51" s="138">
        <v>0.66666666666666674</v>
      </c>
      <c r="E51" s="139">
        <v>0</v>
      </c>
      <c r="F51" s="139"/>
      <c r="G51" s="273">
        <f>+F51*E51*D51</f>
        <v>0</v>
      </c>
      <c r="H51" s="273">
        <f>$H$12</f>
        <v>265</v>
      </c>
      <c r="I51" s="320">
        <f t="shared" ref="I51" si="4">G51/H51</f>
        <v>0</v>
      </c>
      <c r="J51" s="320">
        <f t="shared" ref="J51" si="5">G51/298</f>
        <v>0</v>
      </c>
      <c r="K51" s="320">
        <f>$K$12+Personal!D38</f>
        <v>0</v>
      </c>
      <c r="L51" s="491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x14ac:dyDescent="0.25">
      <c r="A52" s="733" t="s">
        <v>183</v>
      </c>
      <c r="B52" s="733"/>
      <c r="C52" s="137">
        <v>6.1666699999999999</v>
      </c>
      <c r="D52" s="138">
        <v>0.66666666666666674</v>
      </c>
      <c r="E52" s="139">
        <v>0</v>
      </c>
      <c r="F52" s="139"/>
      <c r="G52" s="273">
        <f>+F52*E52*D52</f>
        <v>0</v>
      </c>
      <c r="H52" s="273">
        <f>$H$12</f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491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x14ac:dyDescent="0.25">
      <c r="A53" s="229" t="s">
        <v>326</v>
      </c>
      <c r="B53" s="242"/>
      <c r="C53" s="278"/>
      <c r="D53" s="278"/>
      <c r="E53" s="278"/>
      <c r="F53" s="245"/>
      <c r="G53" s="278"/>
      <c r="H53" s="278"/>
      <c r="I53" s="278"/>
      <c r="J53" s="278"/>
      <c r="K53" s="278"/>
      <c r="L53" s="278"/>
      <c r="M53" s="278"/>
      <c r="N53" s="278"/>
      <c r="O53" s="278"/>
    </row>
    <row r="54" spans="1:15" x14ac:dyDescent="0.25">
      <c r="A54" s="782" t="s">
        <v>195</v>
      </c>
      <c r="B54" s="782"/>
      <c r="C54" s="137"/>
      <c r="D54" s="138"/>
      <c r="E54" s="139"/>
      <c r="F54" s="139"/>
      <c r="G54" s="235"/>
      <c r="H54" s="235"/>
      <c r="I54" s="236"/>
      <c r="J54" s="236"/>
      <c r="K54" s="320"/>
      <c r="L54" s="237"/>
      <c r="M54" s="238"/>
      <c r="N54" s="238"/>
      <c r="O54" s="239"/>
    </row>
    <row r="55" spans="1:15" x14ac:dyDescent="0.25">
      <c r="A55" s="763" t="s">
        <v>88</v>
      </c>
      <c r="B55" s="763"/>
      <c r="C55" s="137"/>
      <c r="D55" s="138"/>
      <c r="E55" s="139"/>
      <c r="F55" s="139"/>
      <c r="G55" s="235"/>
      <c r="H55" s="235"/>
      <c r="I55" s="236"/>
      <c r="J55" s="236"/>
      <c r="K55" s="320"/>
      <c r="L55" s="237"/>
      <c r="M55" s="238"/>
      <c r="N55" s="238"/>
      <c r="O55" s="239"/>
    </row>
    <row r="56" spans="1:15" x14ac:dyDescent="0.25">
      <c r="A56" s="733" t="s">
        <v>72</v>
      </c>
      <c r="B56" s="733"/>
      <c r="C56" s="137">
        <v>6.1666699999999999</v>
      </c>
      <c r="D56" s="138">
        <v>1</v>
      </c>
      <c r="E56" s="139">
        <v>0</v>
      </c>
      <c r="F56" s="139"/>
      <c r="G56" s="273">
        <f>+F56*E56*D56</f>
        <v>0</v>
      </c>
      <c r="H56" s="273">
        <f>$H$12</f>
        <v>265</v>
      </c>
      <c r="I56" s="320">
        <f>G56/H56</f>
        <v>0</v>
      </c>
      <c r="J56" s="320">
        <f t="shared" ref="J56" si="6">G56/298</f>
        <v>0</v>
      </c>
      <c r="K56" s="320">
        <f>$K$12</f>
        <v>0</v>
      </c>
      <c r="L56" s="237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x14ac:dyDescent="0.25">
      <c r="A57" s="733" t="s">
        <v>183</v>
      </c>
      <c r="B57" s="733"/>
      <c r="C57" s="137">
        <v>6.1666699999999999</v>
      </c>
      <c r="D57" s="138">
        <v>1</v>
      </c>
      <c r="E57" s="139">
        <v>0</v>
      </c>
      <c r="F57" s="139"/>
      <c r="G57" s="273">
        <f>+F57*E57*D57</f>
        <v>0</v>
      </c>
      <c r="H57" s="273">
        <f>$H$12</f>
        <v>265</v>
      </c>
      <c r="I57" s="320">
        <f>G57/H57</f>
        <v>0</v>
      </c>
      <c r="J57" s="320">
        <f>G57/298</f>
        <v>0</v>
      </c>
      <c r="K57" s="320">
        <f>$K$13</f>
        <v>0</v>
      </c>
      <c r="L57" s="237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x14ac:dyDescent="0.25">
      <c r="A59" s="733" t="s">
        <v>72</v>
      </c>
      <c r="B59" s="733"/>
      <c r="C59" s="137">
        <v>6.1666699999999999</v>
      </c>
      <c r="D59" s="138">
        <v>1</v>
      </c>
      <c r="E59" s="139">
        <v>0</v>
      </c>
      <c r="F59" s="139"/>
      <c r="G59" s="273">
        <f>+F59*E59*D59</f>
        <v>0</v>
      </c>
      <c r="H59" s="273">
        <f>$H$12</f>
        <v>265</v>
      </c>
      <c r="I59" s="320">
        <f>G59/H59</f>
        <v>0</v>
      </c>
      <c r="J59" s="320">
        <f t="shared" ref="J59" si="7">G59/298</f>
        <v>0</v>
      </c>
      <c r="K59" s="320">
        <f>$K$12</f>
        <v>0</v>
      </c>
      <c r="L59" s="237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x14ac:dyDescent="0.25">
      <c r="A60" s="733" t="s">
        <v>183</v>
      </c>
      <c r="B60" s="733"/>
      <c r="C60" s="137">
        <v>6.1666699999999999</v>
      </c>
      <c r="D60" s="138">
        <v>1</v>
      </c>
      <c r="E60" s="139">
        <v>0</v>
      </c>
      <c r="F60" s="139"/>
      <c r="G60" s="273">
        <f>+F60*E60*D60</f>
        <v>0</v>
      </c>
      <c r="H60" s="273">
        <f>$H$12</f>
        <v>265</v>
      </c>
      <c r="I60" s="320">
        <f>G60/H60</f>
        <v>0</v>
      </c>
      <c r="J60" s="320">
        <f>G60/298</f>
        <v>0</v>
      </c>
      <c r="K60" s="320">
        <f>$K$13</f>
        <v>0</v>
      </c>
      <c r="L60" s="237">
        <f>+K60/C60</f>
        <v>0</v>
      </c>
      <c r="M60" s="238" t="s">
        <v>90</v>
      </c>
      <c r="N60" s="238" t="s">
        <v>42</v>
      </c>
      <c r="O60" s="239">
        <f>+K60*G60</f>
        <v>0</v>
      </c>
    </row>
    <row r="61" spans="1:15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x14ac:dyDescent="0.25">
      <c r="A63" s="733" t="s">
        <v>72</v>
      </c>
      <c r="B63" s="733"/>
      <c r="C63" s="137">
        <v>6.1666699999999999</v>
      </c>
      <c r="D63" s="7">
        <v>0.33333333333333337</v>
      </c>
      <c r="E63" s="139">
        <v>0</v>
      </c>
      <c r="F63" s="139"/>
      <c r="G63" s="273">
        <f>+F63*E63*D63</f>
        <v>0</v>
      </c>
      <c r="H63" s="273">
        <f>$H$12</f>
        <v>265</v>
      </c>
      <c r="I63" s="320">
        <f t="shared" ref="I63" si="8">G63/H63</f>
        <v>0</v>
      </c>
      <c r="J63" s="320">
        <f t="shared" ref="J63" si="9">G63/298</f>
        <v>0</v>
      </c>
      <c r="K63" s="320">
        <f>$K$12</f>
        <v>0</v>
      </c>
      <c r="L63" s="237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x14ac:dyDescent="0.25">
      <c r="A64" s="733" t="s">
        <v>183</v>
      </c>
      <c r="B64" s="733"/>
      <c r="C64" s="137">
        <v>6.1666699999999999</v>
      </c>
      <c r="D64" s="7">
        <v>0.33333333333333337</v>
      </c>
      <c r="E64" s="139">
        <v>0</v>
      </c>
      <c r="F64" s="139"/>
      <c r="G64" s="273">
        <f>+F64*E64*D64</f>
        <v>0</v>
      </c>
      <c r="H64" s="273">
        <f>$H$12</f>
        <v>265</v>
      </c>
      <c r="I64" s="320">
        <f>G64/H64</f>
        <v>0</v>
      </c>
      <c r="J64" s="320">
        <f>G64/298</f>
        <v>0</v>
      </c>
      <c r="K64" s="320">
        <f>$K$13</f>
        <v>0</v>
      </c>
      <c r="L64" s="237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x14ac:dyDescent="0.25">
      <c r="A66" s="733" t="s">
        <v>72</v>
      </c>
      <c r="B66" s="733"/>
      <c r="C66" s="137">
        <v>6.1666699999999999</v>
      </c>
      <c r="D66" s="7">
        <v>0.33333333333333337</v>
      </c>
      <c r="E66" s="139">
        <v>0</v>
      </c>
      <c r="F66" s="139"/>
      <c r="G66" s="273">
        <f>+F66*E66*D66</f>
        <v>0</v>
      </c>
      <c r="H66" s="273">
        <f>$H$12</f>
        <v>265</v>
      </c>
      <c r="I66" s="320">
        <f t="shared" ref="I66" si="10">G66/H66</f>
        <v>0</v>
      </c>
      <c r="J66" s="320">
        <f t="shared" ref="J66" si="11">G66/298</f>
        <v>0</v>
      </c>
      <c r="K66" s="320">
        <f>$K$12</f>
        <v>0</v>
      </c>
      <c r="L66" s="237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x14ac:dyDescent="0.25">
      <c r="A67" s="733" t="s">
        <v>183</v>
      </c>
      <c r="B67" s="733"/>
      <c r="C67" s="137">
        <v>6.1666699999999999</v>
      </c>
      <c r="D67" s="7">
        <v>0.33333333333333337</v>
      </c>
      <c r="E67" s="139">
        <v>0</v>
      </c>
      <c r="F67" s="139"/>
      <c r="G67" s="273">
        <f>+F67*E67*D67</f>
        <v>0</v>
      </c>
      <c r="H67" s="273">
        <f>$H$12</f>
        <v>265</v>
      </c>
      <c r="I67" s="320">
        <f>G67/H67</f>
        <v>0</v>
      </c>
      <c r="J67" s="320">
        <f>G67/298</f>
        <v>0</v>
      </c>
      <c r="K67" s="320">
        <f>$K$13</f>
        <v>0</v>
      </c>
      <c r="L67" s="237">
        <f>+K67/C67</f>
        <v>0</v>
      </c>
      <c r="M67" s="238" t="s">
        <v>90</v>
      </c>
      <c r="N67" s="238" t="s">
        <v>42</v>
      </c>
      <c r="O67" s="239">
        <f>+K67*G67</f>
        <v>0</v>
      </c>
    </row>
    <row r="68" spans="1:15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x14ac:dyDescent="0.25">
      <c r="A69" s="763" t="s">
        <v>88</v>
      </c>
      <c r="B69" s="763"/>
      <c r="C69" s="249"/>
      <c r="D69" s="241"/>
      <c r="E69" s="640"/>
      <c r="F69" s="241"/>
      <c r="G69" s="640"/>
      <c r="H69" s="640"/>
      <c r="I69" s="640"/>
      <c r="J69" s="640"/>
      <c r="K69" s="640"/>
      <c r="L69" s="249"/>
      <c r="M69" s="249"/>
      <c r="N69" s="249"/>
      <c r="O69" s="249"/>
    </row>
    <row r="70" spans="1:15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320">
        <f>Actes!I45</f>
        <v>8.35</v>
      </c>
      <c r="G70" s="273">
        <f>+F70*E70*D70</f>
        <v>0</v>
      </c>
      <c r="H70" s="273">
        <f>$H$12</f>
        <v>265</v>
      </c>
      <c r="I70" s="320">
        <f>G70/H70</f>
        <v>0</v>
      </c>
      <c r="J70" s="320">
        <f>G70/298</f>
        <v>0</v>
      </c>
      <c r="K70" s="320">
        <f>$K$12+Personal!D38</f>
        <v>0</v>
      </c>
      <c r="L70" s="237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320">
        <f>Actes!H45</f>
        <v>9.06</v>
      </c>
      <c r="G71" s="273">
        <f>+F71*E71*D71</f>
        <v>0</v>
      </c>
      <c r="H71" s="273">
        <f>$H$12</f>
        <v>265</v>
      </c>
      <c r="I71" s="320">
        <f>G71/H71</f>
        <v>0</v>
      </c>
      <c r="J71" s="320">
        <f>G71/298</f>
        <v>0</v>
      </c>
      <c r="K71" s="320">
        <f>$K$13+Personal!D38</f>
        <v>0</v>
      </c>
      <c r="L71" s="237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x14ac:dyDescent="0.25">
      <c r="A72" s="764" t="s">
        <v>89</v>
      </c>
      <c r="B72" s="764"/>
      <c r="C72" s="249"/>
      <c r="D72" s="241"/>
      <c r="E72" s="640"/>
      <c r="F72" s="241"/>
      <c r="G72" s="640"/>
      <c r="H72" s="640"/>
      <c r="I72" s="640"/>
      <c r="J72" s="640"/>
      <c r="K72" s="640"/>
      <c r="L72" s="249"/>
      <c r="M72" s="249"/>
      <c r="N72" s="249"/>
      <c r="O72" s="249"/>
    </row>
    <row r="73" spans="1:15" x14ac:dyDescent="0.25">
      <c r="A73" s="733" t="s">
        <v>72</v>
      </c>
      <c r="B73" s="733"/>
      <c r="C73" s="137">
        <v>6.1666699999999999</v>
      </c>
      <c r="D73" s="138">
        <v>0.66666666666666674</v>
      </c>
      <c r="E73" s="139">
        <v>0</v>
      </c>
      <c r="F73" s="139"/>
      <c r="G73" s="273">
        <f>+F73*E73*D73</f>
        <v>0</v>
      </c>
      <c r="H73" s="273">
        <f>$H$12</f>
        <v>265</v>
      </c>
      <c r="I73" s="320">
        <f t="shared" ref="I73" si="12">G73/H73</f>
        <v>0</v>
      </c>
      <c r="J73" s="320">
        <f t="shared" ref="J73" si="13">G73/298</f>
        <v>0</v>
      </c>
      <c r="K73" s="320">
        <f>$K$12+Personal!D38</f>
        <v>0</v>
      </c>
      <c r="L73" s="237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x14ac:dyDescent="0.25">
      <c r="A74" s="733" t="s">
        <v>183</v>
      </c>
      <c r="B74" s="733"/>
      <c r="C74" s="137">
        <v>6.1666699999999999</v>
      </c>
      <c r="D74" s="138">
        <v>0.66666666666666674</v>
      </c>
      <c r="E74" s="139">
        <v>0</v>
      </c>
      <c r="F74" s="139"/>
      <c r="G74" s="273">
        <f>+F74*E74*D74</f>
        <v>0</v>
      </c>
      <c r="H74" s="273">
        <f>$H$12</f>
        <v>265</v>
      </c>
      <c r="I74" s="320">
        <f>G74/H74</f>
        <v>0</v>
      </c>
      <c r="J74" s="320">
        <f>G74/298</f>
        <v>0</v>
      </c>
      <c r="K74" s="320">
        <f>$K$13+Personal!D38</f>
        <v>0</v>
      </c>
      <c r="L74" s="237">
        <f>+K74/C74</f>
        <v>0</v>
      </c>
      <c r="M74" s="238" t="s">
        <v>90</v>
      </c>
      <c r="N74" s="238" t="s">
        <v>42</v>
      </c>
      <c r="O74" s="239">
        <f>+K74*G74</f>
        <v>0</v>
      </c>
    </row>
    <row r="75" spans="1:15" x14ac:dyDescent="0.25">
      <c r="A75" s="402"/>
      <c r="B75" s="324"/>
      <c r="C75" s="324"/>
      <c r="D75" s="324"/>
      <c r="E75" s="323" t="s">
        <v>45</v>
      </c>
      <c r="F75" s="324"/>
      <c r="G75" s="324">
        <f>SUM(G12:G74)</f>
        <v>0</v>
      </c>
      <c r="H75" s="324"/>
      <c r="I75" s="324">
        <f>SUM(I12:I74)</f>
        <v>0</v>
      </c>
      <c r="J75" s="324">
        <f>SUM(J12:J74)</f>
        <v>0</v>
      </c>
      <c r="K75" s="324"/>
      <c r="L75" s="324"/>
      <c r="M75" s="324"/>
      <c r="N75" s="324"/>
      <c r="O75" s="403">
        <f>SUM(O12:O74)</f>
        <v>0</v>
      </c>
    </row>
    <row r="76" spans="1:15" x14ac:dyDescent="0.25">
      <c r="A76" s="326"/>
      <c r="B76" s="327"/>
      <c r="C76" s="327"/>
      <c r="D76" s="327"/>
      <c r="E76" s="328"/>
      <c r="F76" s="258" t="s">
        <v>217</v>
      </c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J13+J16+J20+J23+J27+J30+J35+J38+J42+J45+J49+J52+J57+J60+J64+J67+J71+J74</f>
        <v>0</v>
      </c>
      <c r="K76" s="327"/>
      <c r="L76" s="327"/>
      <c r="M76" s="327"/>
      <c r="N76" s="327"/>
      <c r="O76" s="329"/>
    </row>
    <row r="77" spans="1:15" x14ac:dyDescent="0.25">
      <c r="A77" s="326"/>
      <c r="B77" s="327"/>
      <c r="C77" s="327"/>
      <c r="D77" s="327"/>
      <c r="E77" s="328"/>
      <c r="F77" s="258" t="s">
        <v>217</v>
      </c>
      <c r="G77" s="324">
        <f>G12+G15+G19+G22+G26+G29+G34+G37+G41+G44+G48+G51+G56+G59+G63+G66+G70+G73</f>
        <v>0</v>
      </c>
      <c r="H77" s="324" t="s">
        <v>72</v>
      </c>
      <c r="I77" s="324">
        <f>I12+I15+I19+I22+I26+I29+I34+I37+I41+I44+I48+I51+I56+I59+I63+I66+I70+I73</f>
        <v>0</v>
      </c>
      <c r="J77" s="324">
        <f>J12+J15+J19+J22+J26+J29+J34+J37+J41+J44+J48+J51+J56+J59+J63+J66+J70+J73</f>
        <v>0</v>
      </c>
      <c r="K77" s="327"/>
      <c r="L77" s="327"/>
      <c r="M77" s="327"/>
      <c r="N77" s="327"/>
      <c r="O77" s="329"/>
    </row>
    <row r="78" spans="1:15" s="153" customFormat="1" ht="26.25" x14ac:dyDescent="0.4">
      <c r="A78" s="425" t="s">
        <v>211</v>
      </c>
      <c r="B78" s="221"/>
      <c r="C78" s="221"/>
      <c r="D78" s="223"/>
      <c r="E78" s="223"/>
      <c r="F78" s="223"/>
      <c r="G78" s="223"/>
      <c r="H78" s="223"/>
      <c r="I78" s="223"/>
      <c r="J78" s="223"/>
      <c r="K78" s="224"/>
      <c r="L78" s="224"/>
      <c r="M78" s="224"/>
      <c r="N78" s="224"/>
      <c r="O78" s="427"/>
    </row>
    <row r="79" spans="1:15" x14ac:dyDescent="0.25">
      <c r="A79" s="797" t="s">
        <v>20</v>
      </c>
      <c r="B79" s="773"/>
      <c r="C79" s="225" t="s">
        <v>27</v>
      </c>
      <c r="D79" s="225" t="s">
        <v>28</v>
      </c>
      <c r="E79" s="225" t="s">
        <v>21</v>
      </c>
      <c r="F79" s="225" t="s">
        <v>29</v>
      </c>
      <c r="G79" s="225"/>
      <c r="H79" s="225"/>
      <c r="I79" s="225"/>
      <c r="J79" s="225"/>
      <c r="K79" s="225" t="s">
        <v>30</v>
      </c>
      <c r="L79" s="225" t="s">
        <v>23</v>
      </c>
      <c r="M79" s="225" t="s">
        <v>31</v>
      </c>
      <c r="N79" s="225"/>
      <c r="O79" s="428" t="s">
        <v>32</v>
      </c>
    </row>
    <row r="80" spans="1:15" x14ac:dyDescent="0.25">
      <c r="A80" s="779"/>
      <c r="B80" s="768"/>
      <c r="C80" s="226" t="s">
        <v>44</v>
      </c>
      <c r="D80" s="226" t="s">
        <v>5</v>
      </c>
      <c r="E80" s="226" t="s">
        <v>24</v>
      </c>
      <c r="F80" s="227" t="s">
        <v>34</v>
      </c>
      <c r="G80" s="226" t="s">
        <v>35</v>
      </c>
      <c r="H80" s="226"/>
      <c r="I80" s="226"/>
      <c r="J80" s="226"/>
      <c r="K80" s="226" t="s">
        <v>36</v>
      </c>
      <c r="L80" s="228" t="s">
        <v>37</v>
      </c>
      <c r="M80" s="226" t="s">
        <v>38</v>
      </c>
      <c r="N80" s="226"/>
      <c r="O80" s="450" t="s">
        <v>40</v>
      </c>
    </row>
    <row r="81" spans="1:15" s="153" customFormat="1" x14ac:dyDescent="0.25">
      <c r="A81" s="229" t="s">
        <v>198</v>
      </c>
      <c r="B81" s="230"/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</row>
    <row r="82" spans="1:15" s="153" customFormat="1" x14ac:dyDescent="0.25">
      <c r="A82" s="782" t="s">
        <v>195</v>
      </c>
      <c r="B82" s="782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</row>
    <row r="83" spans="1:15" s="153" customFormat="1" x14ac:dyDescent="0.25">
      <c r="A83" s="763" t="s">
        <v>88</v>
      </c>
      <c r="B83" s="763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</row>
    <row r="84" spans="1:15" s="153" customFormat="1" x14ac:dyDescent="0.25">
      <c r="A84" s="733" t="s">
        <v>67</v>
      </c>
      <c r="B84" s="733"/>
      <c r="C84" s="137">
        <v>6.1666699999999999</v>
      </c>
      <c r="D84" s="138">
        <v>1</v>
      </c>
      <c r="E84" s="139">
        <f>$E$12</f>
        <v>0</v>
      </c>
      <c r="F84" s="139"/>
      <c r="G84" s="273">
        <f>+D84*E84*F84</f>
        <v>0</v>
      </c>
      <c r="H84" s="273"/>
      <c r="I84" s="273"/>
      <c r="J84" s="273"/>
      <c r="K84" s="320">
        <f>'Seguro+combustible+reparacions'!F10</f>
        <v>0</v>
      </c>
      <c r="L84" s="237">
        <f>+K84/C84</f>
        <v>0</v>
      </c>
      <c r="M84" s="238" t="str">
        <f>+M12</f>
        <v>Matí</v>
      </c>
      <c r="N84" s="238"/>
      <c r="O84" s="239">
        <f>+K84*G84</f>
        <v>0</v>
      </c>
    </row>
    <row r="85" spans="1:15" s="153" customFormat="1" x14ac:dyDescent="0.25">
      <c r="A85" s="764" t="s">
        <v>89</v>
      </c>
      <c r="B85" s="764"/>
      <c r="C85" s="241"/>
      <c r="D85" s="241"/>
      <c r="E85" s="241"/>
      <c r="F85" s="241"/>
      <c r="G85" s="241"/>
      <c r="H85" s="241"/>
      <c r="I85" s="241"/>
      <c r="J85" s="241"/>
      <c r="K85" s="241"/>
      <c r="L85" s="234"/>
      <c r="M85" s="234"/>
      <c r="N85" s="234"/>
      <c r="O85" s="234"/>
    </row>
    <row r="86" spans="1:15" s="153" customFormat="1" x14ac:dyDescent="0.25">
      <c r="A86" s="733" t="s">
        <v>67</v>
      </c>
      <c r="B86" s="733"/>
      <c r="C86" s="137">
        <v>6.1666699999999999</v>
      </c>
      <c r="D86" s="138">
        <v>1</v>
      </c>
      <c r="E86" s="139">
        <f>$E$13</f>
        <v>0</v>
      </c>
      <c r="F86" s="139"/>
      <c r="G86" s="273">
        <f>+D86*E86*F86</f>
        <v>0</v>
      </c>
      <c r="H86" s="273"/>
      <c r="I86" s="273"/>
      <c r="J86" s="273"/>
      <c r="K86" s="320">
        <f>$K$84</f>
        <v>0</v>
      </c>
      <c r="L86" s="237">
        <f>+K86/C86</f>
        <v>0</v>
      </c>
      <c r="M86" s="238" t="str">
        <f>+M15</f>
        <v>Tarda</v>
      </c>
      <c r="N86" s="238"/>
      <c r="O86" s="239">
        <f>+K86*G86</f>
        <v>0</v>
      </c>
    </row>
    <row r="87" spans="1:15" s="153" customFormat="1" x14ac:dyDescent="0.25">
      <c r="A87" s="762" t="s">
        <v>196</v>
      </c>
      <c r="B87" s="762"/>
      <c r="C87" s="241"/>
      <c r="D87" s="241"/>
      <c r="E87" s="241"/>
      <c r="F87" s="241"/>
      <c r="G87" s="241"/>
      <c r="H87" s="241"/>
      <c r="I87" s="241"/>
      <c r="J87" s="241"/>
      <c r="K87" s="241"/>
      <c r="L87" s="234"/>
      <c r="M87" s="234"/>
      <c r="N87" s="234"/>
      <c r="O87" s="234"/>
    </row>
    <row r="88" spans="1:15" s="153" customFormat="1" x14ac:dyDescent="0.25">
      <c r="A88" s="763" t="s">
        <v>88</v>
      </c>
      <c r="B88" s="763"/>
      <c r="C88" s="241"/>
      <c r="D88" s="241"/>
      <c r="E88" s="241"/>
      <c r="F88" s="241"/>
      <c r="G88" s="241"/>
      <c r="H88" s="241"/>
      <c r="I88" s="241"/>
      <c r="J88" s="241"/>
      <c r="K88" s="241"/>
      <c r="L88" s="234"/>
      <c r="M88" s="234"/>
      <c r="N88" s="234"/>
      <c r="O88" s="234"/>
    </row>
    <row r="89" spans="1:15" s="153" customFormat="1" x14ac:dyDescent="0.25">
      <c r="A89" s="733" t="s">
        <v>67</v>
      </c>
      <c r="B89" s="733"/>
      <c r="C89" s="137">
        <v>6.1666699999999999</v>
      </c>
      <c r="D89" s="138">
        <v>1</v>
      </c>
      <c r="E89" s="139">
        <f>$E$19</f>
        <v>0</v>
      </c>
      <c r="F89" s="139"/>
      <c r="G89" s="273">
        <f>+D89*E89*F89</f>
        <v>0</v>
      </c>
      <c r="H89" s="273"/>
      <c r="I89" s="273"/>
      <c r="J89" s="273"/>
      <c r="K89" s="320">
        <f>$K$84</f>
        <v>0</v>
      </c>
      <c r="L89" s="237">
        <f>+K89/C89</f>
        <v>0</v>
      </c>
      <c r="M89" s="238" t="str">
        <f>+M19</f>
        <v>Matí</v>
      </c>
      <c r="N89" s="238"/>
      <c r="O89" s="239">
        <f>+K89*G89</f>
        <v>0</v>
      </c>
    </row>
    <row r="90" spans="1:15" s="153" customFormat="1" x14ac:dyDescent="0.25">
      <c r="A90" s="764" t="s">
        <v>89</v>
      </c>
      <c r="B90" s="764"/>
      <c r="C90" s="180"/>
      <c r="D90" s="180"/>
      <c r="E90" s="653"/>
      <c r="F90" s="241"/>
      <c r="G90" s="664"/>
      <c r="H90" s="664"/>
      <c r="I90" s="664"/>
      <c r="J90" s="664"/>
      <c r="K90" s="664"/>
      <c r="L90" s="180"/>
      <c r="M90" s="180"/>
      <c r="N90" s="180"/>
      <c r="O90" s="180"/>
    </row>
    <row r="91" spans="1:15" s="153" customFormat="1" x14ac:dyDescent="0.25">
      <c r="A91" s="733" t="s">
        <v>67</v>
      </c>
      <c r="B91" s="733"/>
      <c r="C91" s="137">
        <v>6.1666699999999999</v>
      </c>
      <c r="D91" s="138">
        <v>1</v>
      </c>
      <c r="E91" s="139">
        <f>$E$22</f>
        <v>0</v>
      </c>
      <c r="F91" s="139"/>
      <c r="G91" s="273">
        <f>+D91*E91*F91</f>
        <v>0</v>
      </c>
      <c r="H91" s="273"/>
      <c r="I91" s="273"/>
      <c r="J91" s="273"/>
      <c r="K91" s="320">
        <f>$K$84</f>
        <v>0</v>
      </c>
      <c r="L91" s="237">
        <f>+K91/C91</f>
        <v>0</v>
      </c>
      <c r="M91" s="238" t="str">
        <f>+M22</f>
        <v>Tarda</v>
      </c>
      <c r="N91" s="238"/>
      <c r="O91" s="239">
        <f>+K91*G91</f>
        <v>0</v>
      </c>
    </row>
    <row r="92" spans="1:15" s="153" customFormat="1" x14ac:dyDescent="0.25">
      <c r="A92" s="762" t="s">
        <v>197</v>
      </c>
      <c r="B92" s="762"/>
      <c r="C92" s="180"/>
      <c r="D92" s="180"/>
      <c r="E92" s="241"/>
      <c r="F92" s="241"/>
      <c r="G92" s="664"/>
      <c r="H92" s="664"/>
      <c r="I92" s="664"/>
      <c r="J92" s="664"/>
      <c r="K92" s="664"/>
      <c r="L92" s="180"/>
      <c r="M92" s="180"/>
      <c r="N92" s="180"/>
      <c r="O92" s="180"/>
    </row>
    <row r="93" spans="1:15" s="153" customFormat="1" x14ac:dyDescent="0.25">
      <c r="A93" s="763" t="s">
        <v>88</v>
      </c>
      <c r="B93" s="763"/>
      <c r="C93" s="180"/>
      <c r="D93" s="180"/>
      <c r="E93" s="241"/>
      <c r="F93" s="241"/>
      <c r="G93" s="664"/>
      <c r="H93" s="664"/>
      <c r="I93" s="664"/>
      <c r="J93" s="664"/>
      <c r="K93" s="664"/>
      <c r="L93" s="180"/>
      <c r="M93" s="180"/>
      <c r="N93" s="180"/>
      <c r="O93" s="180"/>
    </row>
    <row r="94" spans="1:15" s="153" customFormat="1" x14ac:dyDescent="0.25">
      <c r="A94" s="733" t="s">
        <v>67</v>
      </c>
      <c r="B94" s="733"/>
      <c r="C94" s="137">
        <v>6.1666699999999999</v>
      </c>
      <c r="D94" s="138">
        <v>1</v>
      </c>
      <c r="E94" s="139">
        <f>$E$26</f>
        <v>0</v>
      </c>
      <c r="F94" s="139">
        <v>2.35</v>
      </c>
      <c r="G94" s="273">
        <f>+D94*E94*F94</f>
        <v>0</v>
      </c>
      <c r="H94" s="273"/>
      <c r="I94" s="273"/>
      <c r="J94" s="273"/>
      <c r="K94" s="320">
        <f>$K$84</f>
        <v>0</v>
      </c>
      <c r="L94" s="237">
        <f>+K94/C94</f>
        <v>0</v>
      </c>
      <c r="M94" s="238" t="str">
        <f>+M26</f>
        <v>Matí</v>
      </c>
      <c r="N94" s="238"/>
      <c r="O94" s="239">
        <f>+K94*G94</f>
        <v>0</v>
      </c>
    </row>
    <row r="95" spans="1:15" s="153" customFormat="1" x14ac:dyDescent="0.25">
      <c r="A95" s="764" t="s">
        <v>89</v>
      </c>
      <c r="B95" s="764"/>
      <c r="C95" s="241"/>
      <c r="D95" s="241"/>
      <c r="E95" s="241"/>
      <c r="F95" s="241"/>
      <c r="G95" s="241"/>
      <c r="H95" s="241"/>
      <c r="I95" s="241"/>
      <c r="J95" s="241"/>
      <c r="K95" s="241"/>
      <c r="L95" s="234"/>
      <c r="M95" s="234"/>
      <c r="N95" s="234"/>
      <c r="O95" s="234"/>
    </row>
    <row r="96" spans="1:15" s="153" customFormat="1" x14ac:dyDescent="0.25">
      <c r="A96" s="733" t="s">
        <v>67</v>
      </c>
      <c r="B96" s="733"/>
      <c r="C96" s="137">
        <v>6.1666699999999999</v>
      </c>
      <c r="D96" s="138">
        <v>1</v>
      </c>
      <c r="E96" s="139">
        <f>$E$29</f>
        <v>0</v>
      </c>
      <c r="F96" s="139"/>
      <c r="G96" s="273">
        <f>+D96*E96*F96</f>
        <v>0</v>
      </c>
      <c r="H96" s="273"/>
      <c r="I96" s="273"/>
      <c r="J96" s="273"/>
      <c r="K96" s="320">
        <f>$K$84</f>
        <v>0</v>
      </c>
      <c r="L96" s="237">
        <f>+K96/C96</f>
        <v>0</v>
      </c>
      <c r="M96" s="238" t="str">
        <f>+M29</f>
        <v>Tarda</v>
      </c>
      <c r="N96" s="238"/>
      <c r="O96" s="239">
        <f>+K96*G96</f>
        <v>0</v>
      </c>
    </row>
    <row r="97" spans="1:15" s="153" customFormat="1" x14ac:dyDescent="0.25">
      <c r="A97" s="229" t="s">
        <v>199</v>
      </c>
      <c r="B97" s="242"/>
      <c r="C97" s="243"/>
      <c r="D97" s="244"/>
      <c r="E97" s="245"/>
      <c r="F97" s="245"/>
      <c r="G97" s="246"/>
      <c r="H97" s="246"/>
      <c r="I97" s="247"/>
      <c r="J97" s="247"/>
      <c r="K97" s="247"/>
      <c r="L97" s="247"/>
      <c r="M97" s="245"/>
      <c r="N97" s="245"/>
      <c r="O97" s="248"/>
    </row>
    <row r="98" spans="1:15" s="153" customFormat="1" x14ac:dyDescent="0.25">
      <c r="A98" s="782" t="s">
        <v>195</v>
      </c>
      <c r="B98" s="782"/>
      <c r="C98" s="137"/>
      <c r="D98" s="138"/>
      <c r="E98" s="139"/>
      <c r="F98" s="234"/>
      <c r="G98" s="235"/>
      <c r="H98" s="235"/>
      <c r="I98" s="235"/>
      <c r="J98" s="235"/>
      <c r="K98" s="320"/>
      <c r="L98" s="237"/>
      <c r="M98" s="238"/>
      <c r="N98" s="238"/>
      <c r="O98" s="239"/>
    </row>
    <row r="99" spans="1:15" s="153" customFormat="1" x14ac:dyDescent="0.25">
      <c r="A99" s="763" t="s">
        <v>88</v>
      </c>
      <c r="B99" s="763"/>
      <c r="C99" s="137"/>
      <c r="D99" s="138"/>
      <c r="E99" s="139"/>
      <c r="F99" s="234"/>
      <c r="G99" s="235"/>
      <c r="H99" s="235"/>
      <c r="I99" s="235"/>
      <c r="J99" s="235"/>
      <c r="K99" s="236"/>
      <c r="L99" s="236"/>
      <c r="M99" s="238"/>
      <c r="N99" s="238"/>
      <c r="O99" s="239"/>
    </row>
    <row r="100" spans="1:15" s="153" customFormat="1" x14ac:dyDescent="0.25">
      <c r="A100" s="733" t="s">
        <v>67</v>
      </c>
      <c r="B100" s="733"/>
      <c r="C100" s="137">
        <v>6.1666699999999999</v>
      </c>
      <c r="D100" s="138">
        <v>1</v>
      </c>
      <c r="E100" s="139">
        <f>$E$34</f>
        <v>0</v>
      </c>
      <c r="F100" s="139"/>
      <c r="G100" s="273">
        <f>+D100*E100*F100</f>
        <v>0</v>
      </c>
      <c r="H100" s="273"/>
      <c r="I100" s="273"/>
      <c r="J100" s="273"/>
      <c r="K100" s="320">
        <f>$K$84</f>
        <v>0</v>
      </c>
      <c r="L100" s="237">
        <f>+K100/C100</f>
        <v>0</v>
      </c>
      <c r="M100" s="238" t="str">
        <f>+M34</f>
        <v>Matí</v>
      </c>
      <c r="N100" s="238"/>
      <c r="O100" s="239">
        <f>+K100*G100</f>
        <v>0</v>
      </c>
    </row>
    <row r="101" spans="1:15" s="153" customFormat="1" x14ac:dyDescent="0.25">
      <c r="A101" s="764" t="s">
        <v>89</v>
      </c>
      <c r="B101" s="764"/>
      <c r="C101" s="180"/>
      <c r="D101" s="180"/>
      <c r="E101" s="241"/>
      <c r="F101" s="241"/>
      <c r="G101" s="664"/>
      <c r="H101" s="664"/>
      <c r="I101" s="664"/>
      <c r="J101" s="664"/>
      <c r="K101" s="664"/>
      <c r="L101" s="180"/>
      <c r="M101" s="180"/>
      <c r="N101" s="180"/>
      <c r="O101" s="180"/>
    </row>
    <row r="102" spans="1:15" s="153" customFormat="1" x14ac:dyDescent="0.25">
      <c r="A102" s="733" t="s">
        <v>67</v>
      </c>
      <c r="B102" s="733"/>
      <c r="C102" s="137">
        <v>6.1666699999999999</v>
      </c>
      <c r="D102" s="138">
        <v>1</v>
      </c>
      <c r="E102" s="139">
        <f>$E$37</f>
        <v>0</v>
      </c>
      <c r="F102" s="139"/>
      <c r="G102" s="273">
        <f>+D102*E102*F102</f>
        <v>0</v>
      </c>
      <c r="H102" s="273"/>
      <c r="I102" s="273"/>
      <c r="J102" s="273"/>
      <c r="K102" s="320">
        <f>$K$84</f>
        <v>0</v>
      </c>
      <c r="L102" s="237">
        <f>+K102/C102</f>
        <v>0</v>
      </c>
      <c r="M102" s="238" t="str">
        <f>+M37</f>
        <v>Tarda</v>
      </c>
      <c r="N102" s="238"/>
      <c r="O102" s="239">
        <f>+K102*G102</f>
        <v>0</v>
      </c>
    </row>
    <row r="103" spans="1:15" s="153" customFormat="1" x14ac:dyDescent="0.25">
      <c r="A103" s="762" t="s">
        <v>196</v>
      </c>
      <c r="B103" s="762"/>
      <c r="C103" s="137"/>
      <c r="D103" s="138"/>
      <c r="E103" s="147"/>
      <c r="F103" s="241"/>
      <c r="G103" s="273"/>
      <c r="H103" s="273"/>
      <c r="I103" s="273"/>
      <c r="J103" s="273"/>
      <c r="K103" s="320"/>
      <c r="L103" s="237"/>
      <c r="M103" s="238"/>
      <c r="N103" s="238"/>
      <c r="O103" s="239"/>
    </row>
    <row r="104" spans="1:15" s="153" customFormat="1" x14ac:dyDescent="0.25">
      <c r="A104" s="763" t="s">
        <v>88</v>
      </c>
      <c r="B104" s="763"/>
      <c r="C104" s="241"/>
      <c r="D104" s="241"/>
      <c r="E104" s="147"/>
      <c r="F104" s="241"/>
      <c r="G104" s="241"/>
      <c r="H104" s="241"/>
      <c r="I104" s="241"/>
      <c r="J104" s="241"/>
      <c r="K104" s="241"/>
      <c r="L104" s="234"/>
      <c r="M104" s="234"/>
      <c r="N104" s="234"/>
      <c r="O104" s="234"/>
    </row>
    <row r="105" spans="1:15" s="153" customFormat="1" x14ac:dyDescent="0.25">
      <c r="A105" s="733" t="s">
        <v>67</v>
      </c>
      <c r="B105" s="733"/>
      <c r="C105" s="137">
        <v>6.1666699999999999</v>
      </c>
      <c r="D105" s="138">
        <v>1</v>
      </c>
      <c r="E105" s="139">
        <f>$E$41</f>
        <v>0</v>
      </c>
      <c r="F105" s="139"/>
      <c r="G105" s="273">
        <f>+D105*E105*F105</f>
        <v>0</v>
      </c>
      <c r="H105" s="273"/>
      <c r="I105" s="273"/>
      <c r="J105" s="273"/>
      <c r="K105" s="320">
        <f>$K$84</f>
        <v>0</v>
      </c>
      <c r="L105" s="237">
        <f>+K105/C105</f>
        <v>0</v>
      </c>
      <c r="M105" s="238" t="str">
        <f>+M41</f>
        <v>Matí</v>
      </c>
      <c r="N105" s="238"/>
      <c r="O105" s="239">
        <f>+K105*G105</f>
        <v>0</v>
      </c>
    </row>
    <row r="106" spans="1:15" s="153" customFormat="1" x14ac:dyDescent="0.25">
      <c r="A106" s="764" t="s">
        <v>89</v>
      </c>
      <c r="B106" s="764"/>
      <c r="C106" s="180"/>
      <c r="D106" s="180"/>
      <c r="E106" s="147"/>
      <c r="F106" s="241"/>
      <c r="G106" s="664"/>
      <c r="H106" s="664"/>
      <c r="I106" s="664"/>
      <c r="J106" s="664"/>
      <c r="K106" s="664"/>
      <c r="L106" s="180"/>
      <c r="M106" s="180"/>
      <c r="N106" s="180"/>
      <c r="O106" s="180"/>
    </row>
    <row r="107" spans="1:15" s="153" customFormat="1" x14ac:dyDescent="0.25">
      <c r="A107" s="733" t="s">
        <v>67</v>
      </c>
      <c r="B107" s="733"/>
      <c r="C107" s="137">
        <v>6.1666699999999999</v>
      </c>
      <c r="D107" s="138">
        <v>1</v>
      </c>
      <c r="E107" s="139">
        <f>$E$44</f>
        <v>0</v>
      </c>
      <c r="F107" s="139"/>
      <c r="G107" s="273">
        <f>+D107*E107*F107</f>
        <v>0</v>
      </c>
      <c r="H107" s="273"/>
      <c r="I107" s="273"/>
      <c r="J107" s="273"/>
      <c r="K107" s="320">
        <f>$K$84</f>
        <v>0</v>
      </c>
      <c r="L107" s="237">
        <f>+K107/C107</f>
        <v>0</v>
      </c>
      <c r="M107" s="238" t="str">
        <f>+M44</f>
        <v>Tarda</v>
      </c>
      <c r="N107" s="238"/>
      <c r="O107" s="239">
        <f>+K107*G107</f>
        <v>0</v>
      </c>
    </row>
    <row r="108" spans="1:15" s="153" customFormat="1" x14ac:dyDescent="0.25">
      <c r="A108" s="762" t="s">
        <v>197</v>
      </c>
      <c r="B108" s="762"/>
      <c r="C108" s="180"/>
      <c r="D108" s="180"/>
      <c r="E108" s="147"/>
      <c r="F108" s="241"/>
      <c r="G108" s="664"/>
      <c r="H108" s="664"/>
      <c r="I108" s="664"/>
      <c r="J108" s="664"/>
      <c r="K108" s="664"/>
      <c r="L108" s="180"/>
      <c r="M108" s="180"/>
      <c r="N108" s="180"/>
      <c r="O108" s="180"/>
    </row>
    <row r="109" spans="1:15" s="153" customFormat="1" x14ac:dyDescent="0.25">
      <c r="A109" s="763" t="s">
        <v>88</v>
      </c>
      <c r="B109" s="763"/>
      <c r="C109" s="180"/>
      <c r="D109" s="180"/>
      <c r="E109" s="147"/>
      <c r="F109" s="241"/>
      <c r="G109" s="664"/>
      <c r="H109" s="664"/>
      <c r="I109" s="664"/>
      <c r="J109" s="664"/>
      <c r="K109" s="664"/>
      <c r="L109" s="180"/>
      <c r="M109" s="180"/>
      <c r="N109" s="180"/>
      <c r="O109" s="180"/>
    </row>
    <row r="110" spans="1:15" s="153" customFormat="1" x14ac:dyDescent="0.25">
      <c r="A110" s="733" t="s">
        <v>67</v>
      </c>
      <c r="B110" s="733"/>
      <c r="C110" s="137">
        <v>6.1666699999999999</v>
      </c>
      <c r="D110" s="138">
        <v>1</v>
      </c>
      <c r="E110" s="139">
        <f>$E$48</f>
        <v>0</v>
      </c>
      <c r="F110" s="139">
        <v>26.76</v>
      </c>
      <c r="G110" s="273">
        <f>+D110*E110*F110</f>
        <v>0</v>
      </c>
      <c r="H110" s="273"/>
      <c r="I110" s="273"/>
      <c r="J110" s="273"/>
      <c r="K110" s="320">
        <f>$K$84</f>
        <v>0</v>
      </c>
      <c r="L110" s="237">
        <f>+K110/C110</f>
        <v>0</v>
      </c>
      <c r="M110" s="238" t="str">
        <f>+M48</f>
        <v>Matí</v>
      </c>
      <c r="N110" s="238"/>
      <c r="O110" s="239">
        <f>+K110*G110</f>
        <v>0</v>
      </c>
    </row>
    <row r="111" spans="1:15" s="153" customFormat="1" x14ac:dyDescent="0.25">
      <c r="A111" s="764" t="s">
        <v>89</v>
      </c>
      <c r="B111" s="764"/>
      <c r="C111" s="180"/>
      <c r="D111" s="180"/>
      <c r="E111" s="147"/>
      <c r="F111" s="241"/>
      <c r="G111" s="664"/>
      <c r="H111" s="664"/>
      <c r="I111" s="664"/>
      <c r="J111" s="664"/>
      <c r="K111" s="664"/>
      <c r="L111" s="180"/>
      <c r="M111" s="180"/>
      <c r="N111" s="180"/>
      <c r="O111" s="180"/>
    </row>
    <row r="112" spans="1:15" s="153" customFormat="1" x14ac:dyDescent="0.25">
      <c r="A112" s="733" t="s">
        <v>67</v>
      </c>
      <c r="B112" s="733"/>
      <c r="C112" s="137">
        <v>6.1666699999999999</v>
      </c>
      <c r="D112" s="138">
        <v>1</v>
      </c>
      <c r="E112" s="139">
        <f>$E$51</f>
        <v>0</v>
      </c>
      <c r="F112" s="139"/>
      <c r="G112" s="273">
        <f>+D112*E112*F112</f>
        <v>0</v>
      </c>
      <c r="H112" s="273"/>
      <c r="I112" s="273"/>
      <c r="J112" s="273"/>
      <c r="K112" s="320">
        <f>$K$84</f>
        <v>0</v>
      </c>
      <c r="L112" s="237">
        <f>+K112/C112</f>
        <v>0</v>
      </c>
      <c r="M112" s="238" t="str">
        <f>+M51</f>
        <v>Tarda</v>
      </c>
      <c r="N112" s="238"/>
      <c r="O112" s="239">
        <f>+K112*G112</f>
        <v>0</v>
      </c>
    </row>
    <row r="113" spans="1:15" s="153" customFormat="1" x14ac:dyDescent="0.25">
      <c r="A113" s="229" t="s">
        <v>326</v>
      </c>
      <c r="B113" s="242"/>
      <c r="C113" s="278"/>
      <c r="D113" s="278"/>
      <c r="E113" s="278"/>
      <c r="F113" s="245"/>
      <c r="G113" s="278"/>
      <c r="H113" s="278"/>
      <c r="I113" s="278"/>
      <c r="J113" s="278"/>
      <c r="K113" s="278"/>
      <c r="L113" s="278"/>
      <c r="M113" s="278"/>
      <c r="N113" s="278"/>
      <c r="O113" s="278"/>
    </row>
    <row r="114" spans="1:15" s="153" customFormat="1" x14ac:dyDescent="0.25">
      <c r="A114" s="782" t="s">
        <v>195</v>
      </c>
      <c r="B114" s="782"/>
      <c r="C114" s="180"/>
      <c r="D114" s="180"/>
      <c r="E114" s="180"/>
      <c r="F114" s="234"/>
      <c r="G114" s="180"/>
      <c r="H114" s="180"/>
      <c r="I114" s="180"/>
      <c r="J114" s="180"/>
      <c r="K114" s="180"/>
      <c r="L114" s="180"/>
      <c r="M114" s="180"/>
      <c r="N114" s="180"/>
      <c r="O114" s="180"/>
    </row>
    <row r="115" spans="1:15" s="153" customFormat="1" x14ac:dyDescent="0.25">
      <c r="A115" s="763" t="s">
        <v>88</v>
      </c>
      <c r="B115" s="763"/>
      <c r="C115" s="180"/>
      <c r="D115" s="180"/>
      <c r="E115" s="180"/>
      <c r="F115" s="234"/>
      <c r="G115" s="180"/>
      <c r="H115" s="180"/>
      <c r="I115" s="180"/>
      <c r="J115" s="180"/>
      <c r="K115" s="180"/>
      <c r="L115" s="180"/>
      <c r="M115" s="180"/>
      <c r="N115" s="180"/>
      <c r="O115" s="180"/>
    </row>
    <row r="116" spans="1:15" s="153" customFormat="1" x14ac:dyDescent="0.25">
      <c r="A116" s="733" t="s">
        <v>67</v>
      </c>
      <c r="B116" s="733"/>
      <c r="C116" s="137">
        <v>6.1666699999999999</v>
      </c>
      <c r="D116" s="138">
        <v>1</v>
      </c>
      <c r="E116" s="139">
        <f>$E$56</f>
        <v>0</v>
      </c>
      <c r="F116" s="139"/>
      <c r="G116" s="273">
        <f>+D116*E116*F116</f>
        <v>0</v>
      </c>
      <c r="H116" s="273"/>
      <c r="I116" s="273"/>
      <c r="J116" s="273"/>
      <c r="K116" s="320">
        <f>$K$84</f>
        <v>0</v>
      </c>
      <c r="L116" s="237">
        <f>+K116/C116</f>
        <v>0</v>
      </c>
      <c r="M116" s="238" t="str">
        <f>+M56</f>
        <v>Matí</v>
      </c>
      <c r="N116" s="238"/>
      <c r="O116" s="239">
        <f>+K116*G116</f>
        <v>0</v>
      </c>
    </row>
    <row r="117" spans="1:15" s="153" customFormat="1" x14ac:dyDescent="0.25">
      <c r="A117" s="764" t="s">
        <v>89</v>
      </c>
      <c r="B117" s="764"/>
      <c r="C117" s="180"/>
      <c r="D117" s="180"/>
      <c r="E117" s="147"/>
      <c r="F117" s="241"/>
      <c r="G117" s="664"/>
      <c r="H117" s="664"/>
      <c r="I117" s="664"/>
      <c r="J117" s="664"/>
      <c r="K117" s="664"/>
      <c r="L117" s="180"/>
      <c r="M117" s="180"/>
      <c r="N117" s="180"/>
      <c r="O117" s="180"/>
    </row>
    <row r="118" spans="1:15" s="153" customFormat="1" x14ac:dyDescent="0.25">
      <c r="A118" s="733" t="s">
        <v>67</v>
      </c>
      <c r="B118" s="733"/>
      <c r="C118" s="137">
        <v>6.1666699999999999</v>
      </c>
      <c r="D118" s="138">
        <v>1</v>
      </c>
      <c r="E118" s="139">
        <f>$E$59</f>
        <v>0</v>
      </c>
      <c r="F118" s="139"/>
      <c r="G118" s="273">
        <f>+D118*E118*F118</f>
        <v>0</v>
      </c>
      <c r="H118" s="273"/>
      <c r="I118" s="273"/>
      <c r="J118" s="273"/>
      <c r="K118" s="320">
        <f>$K$84</f>
        <v>0</v>
      </c>
      <c r="L118" s="237">
        <f>+K118/C118</f>
        <v>0</v>
      </c>
      <c r="M118" s="238" t="str">
        <f>+M59</f>
        <v>Tarda</v>
      </c>
      <c r="N118" s="238"/>
      <c r="O118" s="239">
        <f>+K118*G118</f>
        <v>0</v>
      </c>
    </row>
    <row r="119" spans="1:15" s="153" customFormat="1" x14ac:dyDescent="0.25">
      <c r="A119" s="762" t="s">
        <v>196</v>
      </c>
      <c r="B119" s="762"/>
      <c r="C119" s="234"/>
      <c r="D119" s="234"/>
      <c r="E119" s="147"/>
      <c r="F119" s="241"/>
      <c r="G119" s="241"/>
      <c r="H119" s="241"/>
      <c r="I119" s="241"/>
      <c r="J119" s="241"/>
      <c r="K119" s="241"/>
      <c r="L119" s="234"/>
      <c r="M119" s="234"/>
      <c r="N119" s="234"/>
      <c r="O119" s="234"/>
    </row>
    <row r="120" spans="1:15" s="153" customFormat="1" x14ac:dyDescent="0.25">
      <c r="A120" s="763" t="s">
        <v>88</v>
      </c>
      <c r="B120" s="763"/>
      <c r="C120" s="234"/>
      <c r="D120" s="234"/>
      <c r="E120" s="147"/>
      <c r="F120" s="241"/>
      <c r="G120" s="241"/>
      <c r="H120" s="241"/>
      <c r="I120" s="241"/>
      <c r="J120" s="241"/>
      <c r="K120" s="241"/>
      <c r="L120" s="234"/>
      <c r="M120" s="234"/>
      <c r="N120" s="234"/>
      <c r="O120" s="234"/>
    </row>
    <row r="121" spans="1:15" s="153" customFormat="1" x14ac:dyDescent="0.25">
      <c r="A121" s="733" t="s">
        <v>67</v>
      </c>
      <c r="B121" s="733"/>
      <c r="C121" s="137">
        <v>6.1666699999999999</v>
      </c>
      <c r="D121" s="138">
        <v>1</v>
      </c>
      <c r="E121" s="139">
        <f>$E$63</f>
        <v>0</v>
      </c>
      <c r="F121" s="139"/>
      <c r="G121" s="273">
        <f>+D121*E121*F121</f>
        <v>0</v>
      </c>
      <c r="H121" s="273"/>
      <c r="I121" s="273"/>
      <c r="J121" s="273"/>
      <c r="K121" s="320">
        <f>$K$84</f>
        <v>0</v>
      </c>
      <c r="L121" s="237">
        <f>+K121/C121</f>
        <v>0</v>
      </c>
      <c r="M121" s="238" t="str">
        <f>+M63</f>
        <v>Matí</v>
      </c>
      <c r="N121" s="238"/>
      <c r="O121" s="239">
        <f>+K121*G121</f>
        <v>0</v>
      </c>
    </row>
    <row r="122" spans="1:15" s="153" customFormat="1" x14ac:dyDescent="0.25">
      <c r="A122" s="764" t="s">
        <v>89</v>
      </c>
      <c r="B122" s="764"/>
      <c r="C122" s="234"/>
      <c r="D122" s="234"/>
      <c r="E122" s="147"/>
      <c r="F122" s="241"/>
      <c r="G122" s="241"/>
      <c r="H122" s="241"/>
      <c r="I122" s="241"/>
      <c r="J122" s="241"/>
      <c r="K122" s="241"/>
      <c r="L122" s="234"/>
      <c r="M122" s="234"/>
      <c r="N122" s="234"/>
      <c r="O122" s="234"/>
    </row>
    <row r="123" spans="1:15" s="153" customFormat="1" x14ac:dyDescent="0.25">
      <c r="A123" s="733" t="s">
        <v>67</v>
      </c>
      <c r="B123" s="733"/>
      <c r="C123" s="137">
        <v>6.1666699999999999</v>
      </c>
      <c r="D123" s="138">
        <v>1</v>
      </c>
      <c r="E123" s="139">
        <f>$E$66</f>
        <v>0</v>
      </c>
      <c r="F123" s="139"/>
      <c r="G123" s="273">
        <f>+D123*E123*F123</f>
        <v>0</v>
      </c>
      <c r="H123" s="273"/>
      <c r="I123" s="273"/>
      <c r="J123" s="273"/>
      <c r="K123" s="320">
        <f>$K$84</f>
        <v>0</v>
      </c>
      <c r="L123" s="237">
        <f>+K123/C123</f>
        <v>0</v>
      </c>
      <c r="M123" s="238" t="str">
        <f>+M66</f>
        <v>Tarda</v>
      </c>
      <c r="N123" s="238"/>
      <c r="O123" s="239">
        <f>+K123*G123</f>
        <v>0</v>
      </c>
    </row>
    <row r="124" spans="1:15" s="153" customFormat="1" x14ac:dyDescent="0.25">
      <c r="A124" s="762" t="s">
        <v>197</v>
      </c>
      <c r="B124" s="762"/>
      <c r="C124" s="234"/>
      <c r="D124" s="234"/>
      <c r="E124" s="147"/>
      <c r="F124" s="241"/>
      <c r="G124" s="241"/>
      <c r="H124" s="241"/>
      <c r="I124" s="241"/>
      <c r="J124" s="241"/>
      <c r="K124" s="241"/>
      <c r="L124" s="234"/>
      <c r="M124" s="234"/>
      <c r="N124" s="234"/>
      <c r="O124" s="234"/>
    </row>
    <row r="125" spans="1:15" s="153" customFormat="1" x14ac:dyDescent="0.25">
      <c r="A125" s="763" t="s">
        <v>88</v>
      </c>
      <c r="B125" s="763"/>
      <c r="C125" s="234"/>
      <c r="D125" s="234"/>
      <c r="E125" s="147"/>
      <c r="F125" s="241"/>
      <c r="G125" s="241"/>
      <c r="H125" s="241"/>
      <c r="I125" s="241"/>
      <c r="J125" s="241"/>
      <c r="K125" s="241"/>
      <c r="L125" s="234"/>
      <c r="M125" s="234"/>
      <c r="N125" s="234"/>
      <c r="O125" s="234"/>
    </row>
    <row r="126" spans="1:15" s="153" customFormat="1" x14ac:dyDescent="0.25">
      <c r="A126" s="733" t="s">
        <v>67</v>
      </c>
      <c r="B126" s="733"/>
      <c r="C126" s="137">
        <v>6.1666699999999999</v>
      </c>
      <c r="D126" s="138">
        <v>1</v>
      </c>
      <c r="E126" s="139">
        <f>$E$70</f>
        <v>0</v>
      </c>
      <c r="F126" s="139">
        <v>8.35</v>
      </c>
      <c r="G126" s="273">
        <f>+D126*E126*F126</f>
        <v>0</v>
      </c>
      <c r="H126" s="273"/>
      <c r="I126" s="273"/>
      <c r="J126" s="273"/>
      <c r="K126" s="320">
        <f>$K$84</f>
        <v>0</v>
      </c>
      <c r="L126" s="237">
        <f>+K126/C126</f>
        <v>0</v>
      </c>
      <c r="M126" s="238" t="str">
        <f>+M70</f>
        <v>Matí</v>
      </c>
      <c r="N126" s="238"/>
      <c r="O126" s="239">
        <f>+K126*G126</f>
        <v>0</v>
      </c>
    </row>
    <row r="127" spans="1:15" s="153" customFormat="1" x14ac:dyDescent="0.25">
      <c r="A127" s="764" t="s">
        <v>89</v>
      </c>
      <c r="B127" s="764"/>
      <c r="C127" s="180"/>
      <c r="D127" s="180"/>
      <c r="E127" s="241"/>
      <c r="F127" s="241"/>
      <c r="G127" s="664"/>
      <c r="H127" s="664"/>
      <c r="I127" s="664"/>
      <c r="J127" s="664"/>
      <c r="K127" s="664"/>
      <c r="L127" s="180"/>
      <c r="M127" s="180"/>
      <c r="N127" s="180"/>
      <c r="O127" s="180"/>
    </row>
    <row r="128" spans="1:15" s="153" customFormat="1" x14ac:dyDescent="0.25">
      <c r="A128" s="733" t="s">
        <v>67</v>
      </c>
      <c r="B128" s="733"/>
      <c r="C128" s="137">
        <v>6.1666699999999999</v>
      </c>
      <c r="D128" s="138">
        <v>1</v>
      </c>
      <c r="E128" s="139">
        <f>$E$73</f>
        <v>0</v>
      </c>
      <c r="F128" s="139"/>
      <c r="G128" s="273">
        <f>+D128*E128*F128</f>
        <v>0</v>
      </c>
      <c r="H128" s="273"/>
      <c r="I128" s="273"/>
      <c r="J128" s="273"/>
      <c r="K128" s="320">
        <f>$K$84</f>
        <v>0</v>
      </c>
      <c r="L128" s="237">
        <f>+K128/C128</f>
        <v>0</v>
      </c>
      <c r="M128" s="238" t="str">
        <f>+M73</f>
        <v>Tarda</v>
      </c>
      <c r="N128" s="238"/>
      <c r="O128" s="239">
        <f>+K128*G128</f>
        <v>0</v>
      </c>
    </row>
    <row r="129" spans="1:15" x14ac:dyDescent="0.25">
      <c r="A129" s="402"/>
      <c r="B129" s="324"/>
      <c r="C129" s="324"/>
      <c r="D129" s="324"/>
      <c r="E129" s="323" t="s">
        <v>46</v>
      </c>
      <c r="F129" s="324"/>
      <c r="G129" s="324"/>
      <c r="H129" s="324"/>
      <c r="I129" s="324"/>
      <c r="J129" s="324"/>
      <c r="K129" s="324"/>
      <c r="L129" s="324"/>
      <c r="M129" s="324"/>
      <c r="N129" s="324"/>
      <c r="O129" s="403">
        <f>SUM(O84:O128)</f>
        <v>0</v>
      </c>
    </row>
    <row r="130" spans="1:15" s="153" customFormat="1" ht="26.25" x14ac:dyDescent="0.4">
      <c r="A130" s="425" t="s">
        <v>212</v>
      </c>
      <c r="B130" s="221"/>
      <c r="C130" s="221"/>
      <c r="D130" s="223"/>
      <c r="E130" s="223"/>
      <c r="F130" s="223"/>
      <c r="G130" s="223"/>
      <c r="H130" s="223"/>
      <c r="I130" s="223"/>
      <c r="J130" s="223"/>
      <c r="K130" s="224"/>
      <c r="L130" s="224"/>
      <c r="M130" s="224"/>
      <c r="N130" s="224"/>
      <c r="O130" s="435"/>
    </row>
    <row r="131" spans="1:15" x14ac:dyDescent="0.25">
      <c r="A131" s="797" t="s">
        <v>20</v>
      </c>
      <c r="B131" s="773"/>
      <c r="C131" s="225" t="s">
        <v>27</v>
      </c>
      <c r="D131" s="225" t="s">
        <v>28</v>
      </c>
      <c r="E131" s="225" t="s">
        <v>21</v>
      </c>
      <c r="F131" s="225" t="s">
        <v>29</v>
      </c>
      <c r="G131" s="225"/>
      <c r="H131" s="225"/>
      <c r="I131" s="225"/>
      <c r="J131" s="225"/>
      <c r="K131" s="225" t="s">
        <v>30</v>
      </c>
      <c r="L131" s="225" t="s">
        <v>23</v>
      </c>
      <c r="M131" s="225" t="s">
        <v>31</v>
      </c>
      <c r="N131" s="225"/>
      <c r="O131" s="436" t="s">
        <v>32</v>
      </c>
    </row>
    <row r="132" spans="1:15" x14ac:dyDescent="0.25">
      <c r="A132" s="779"/>
      <c r="B132" s="768"/>
      <c r="C132" s="226" t="s">
        <v>44</v>
      </c>
      <c r="D132" s="226" t="s">
        <v>5</v>
      </c>
      <c r="E132" s="226" t="s">
        <v>24</v>
      </c>
      <c r="F132" s="227" t="s">
        <v>34</v>
      </c>
      <c r="G132" s="226" t="s">
        <v>35</v>
      </c>
      <c r="H132" s="226"/>
      <c r="I132" s="226"/>
      <c r="J132" s="226"/>
      <c r="K132" s="226" t="s">
        <v>36</v>
      </c>
      <c r="L132" s="228" t="s">
        <v>37</v>
      </c>
      <c r="M132" s="226" t="s">
        <v>38</v>
      </c>
      <c r="N132" s="226"/>
      <c r="O132" s="451" t="s">
        <v>40</v>
      </c>
    </row>
    <row r="133" spans="1:15" s="153" customFormat="1" x14ac:dyDescent="0.25">
      <c r="A133" s="229" t="s">
        <v>198</v>
      </c>
      <c r="B133" s="230"/>
      <c r="C133" s="278"/>
      <c r="D133" s="278"/>
      <c r="E133" s="278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</row>
    <row r="134" spans="1:15" s="153" customFormat="1" x14ac:dyDescent="0.25">
      <c r="A134" s="782" t="s">
        <v>195</v>
      </c>
      <c r="B134" s="782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</row>
    <row r="135" spans="1:15" s="153" customFormat="1" x14ac:dyDescent="0.25">
      <c r="A135" s="763" t="s">
        <v>88</v>
      </c>
      <c r="B135" s="763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</row>
    <row r="136" spans="1:15" s="153" customFormat="1" x14ac:dyDescent="0.25">
      <c r="A136" s="733" t="s">
        <v>67</v>
      </c>
      <c r="B136" s="733"/>
      <c r="C136" s="137">
        <v>6.1666699999999999</v>
      </c>
      <c r="D136" s="138">
        <v>1</v>
      </c>
      <c r="E136" s="139">
        <f>$E$12</f>
        <v>0</v>
      </c>
      <c r="F136" s="139"/>
      <c r="G136" s="273">
        <f>+D136*E136*F136</f>
        <v>0</v>
      </c>
      <c r="H136" s="273"/>
      <c r="I136" s="273"/>
      <c r="J136" s="273"/>
      <c r="K136" s="320">
        <f>'Seguro+combustible+reparacions'!G10</f>
        <v>0</v>
      </c>
      <c r="L136" s="237">
        <f>+K136/C136</f>
        <v>0</v>
      </c>
      <c r="M136" s="238" t="str">
        <f>+M84</f>
        <v>Matí</v>
      </c>
      <c r="N136" s="238"/>
      <c r="O136" s="239">
        <f>+K136*G136</f>
        <v>0</v>
      </c>
    </row>
    <row r="137" spans="1:15" s="153" customFormat="1" x14ac:dyDescent="0.25">
      <c r="A137" s="764" t="s">
        <v>89</v>
      </c>
      <c r="B137" s="764"/>
      <c r="C137" s="241"/>
      <c r="D137" s="241"/>
      <c r="E137" s="241"/>
      <c r="F137" s="241"/>
      <c r="G137" s="241"/>
      <c r="H137" s="241"/>
      <c r="I137" s="241"/>
      <c r="J137" s="241"/>
      <c r="K137" s="241"/>
      <c r="L137" s="234"/>
      <c r="M137" s="234"/>
      <c r="N137" s="234"/>
      <c r="O137" s="234"/>
    </row>
    <row r="138" spans="1:15" s="153" customFormat="1" x14ac:dyDescent="0.25">
      <c r="A138" s="733" t="s">
        <v>67</v>
      </c>
      <c r="B138" s="733"/>
      <c r="C138" s="137">
        <v>6.1666699999999999</v>
      </c>
      <c r="D138" s="138">
        <v>1</v>
      </c>
      <c r="E138" s="139">
        <f>$E$13</f>
        <v>0</v>
      </c>
      <c r="F138" s="139"/>
      <c r="G138" s="273">
        <f>+D138*E138*F138</f>
        <v>0</v>
      </c>
      <c r="H138" s="273"/>
      <c r="I138" s="273"/>
      <c r="J138" s="273"/>
      <c r="K138" s="320">
        <f>$K$136</f>
        <v>0</v>
      </c>
      <c r="L138" s="237">
        <f>+K138/C138</f>
        <v>0</v>
      </c>
      <c r="M138" s="238" t="str">
        <f>+M86</f>
        <v>Tarda</v>
      </c>
      <c r="N138" s="238"/>
      <c r="O138" s="239">
        <f>+K138*G138</f>
        <v>0</v>
      </c>
    </row>
    <row r="139" spans="1:15" s="153" customFormat="1" x14ac:dyDescent="0.25">
      <c r="A139" s="762" t="s">
        <v>196</v>
      </c>
      <c r="B139" s="762"/>
      <c r="C139" s="241"/>
      <c r="D139" s="241"/>
      <c r="E139" s="241"/>
      <c r="F139" s="241"/>
      <c r="G139" s="241"/>
      <c r="H139" s="241"/>
      <c r="I139" s="241"/>
      <c r="J139" s="241"/>
      <c r="K139" s="241"/>
      <c r="L139" s="234"/>
      <c r="M139" s="234"/>
      <c r="N139" s="234"/>
      <c r="O139" s="234"/>
    </row>
    <row r="140" spans="1:15" s="153" customFormat="1" x14ac:dyDescent="0.25">
      <c r="A140" s="763" t="s">
        <v>88</v>
      </c>
      <c r="B140" s="763"/>
      <c r="C140" s="241"/>
      <c r="D140" s="241"/>
      <c r="E140" s="241"/>
      <c r="F140" s="241"/>
      <c r="G140" s="241"/>
      <c r="H140" s="241"/>
      <c r="I140" s="241"/>
      <c r="J140" s="241"/>
      <c r="K140" s="241"/>
      <c r="L140" s="234"/>
      <c r="M140" s="234"/>
      <c r="N140" s="234"/>
      <c r="O140" s="234"/>
    </row>
    <row r="141" spans="1:15" s="153" customFormat="1" x14ac:dyDescent="0.25">
      <c r="A141" s="733" t="s">
        <v>67</v>
      </c>
      <c r="B141" s="733"/>
      <c r="C141" s="137">
        <v>6.1666699999999999</v>
      </c>
      <c r="D141" s="138">
        <v>1</v>
      </c>
      <c r="E141" s="139">
        <f>$E$19</f>
        <v>0</v>
      </c>
      <c r="F141" s="139"/>
      <c r="G141" s="273">
        <f>+D141*E141*F141</f>
        <v>0</v>
      </c>
      <c r="H141" s="273"/>
      <c r="I141" s="273"/>
      <c r="J141" s="273"/>
      <c r="K141" s="320">
        <f>$K$136</f>
        <v>0</v>
      </c>
      <c r="L141" s="237">
        <f>+K141/C141</f>
        <v>0</v>
      </c>
      <c r="M141" s="238" t="str">
        <f>+M89</f>
        <v>Matí</v>
      </c>
      <c r="N141" s="238"/>
      <c r="O141" s="239">
        <f>+K141*G141</f>
        <v>0</v>
      </c>
    </row>
    <row r="142" spans="1:15" s="153" customFormat="1" x14ac:dyDescent="0.25">
      <c r="A142" s="764" t="s">
        <v>89</v>
      </c>
      <c r="B142" s="764"/>
      <c r="C142" s="180"/>
      <c r="D142" s="180"/>
      <c r="E142" s="653"/>
      <c r="F142" s="241"/>
      <c r="G142" s="664"/>
      <c r="H142" s="664"/>
      <c r="I142" s="664"/>
      <c r="J142" s="664"/>
      <c r="K142" s="664"/>
      <c r="L142" s="180"/>
      <c r="M142" s="180"/>
      <c r="N142" s="180"/>
      <c r="O142" s="180"/>
    </row>
    <row r="143" spans="1:15" s="153" customFormat="1" x14ac:dyDescent="0.25">
      <c r="A143" s="733" t="s">
        <v>67</v>
      </c>
      <c r="B143" s="733"/>
      <c r="C143" s="137">
        <v>6.1666699999999999</v>
      </c>
      <c r="D143" s="138">
        <v>1</v>
      </c>
      <c r="E143" s="139">
        <f>$E$22</f>
        <v>0</v>
      </c>
      <c r="F143" s="139"/>
      <c r="G143" s="273">
        <f>+D143*E143*F143</f>
        <v>0</v>
      </c>
      <c r="H143" s="273"/>
      <c r="I143" s="273"/>
      <c r="J143" s="273"/>
      <c r="K143" s="320">
        <f>$K$136</f>
        <v>0</v>
      </c>
      <c r="L143" s="237">
        <f>+K143/C143</f>
        <v>0</v>
      </c>
      <c r="M143" s="238" t="str">
        <f>+M91</f>
        <v>Tarda</v>
      </c>
      <c r="N143" s="238"/>
      <c r="O143" s="239">
        <f>+K143*G143</f>
        <v>0</v>
      </c>
    </row>
    <row r="144" spans="1:15" s="153" customFormat="1" x14ac:dyDescent="0.25">
      <c r="A144" s="762" t="s">
        <v>197</v>
      </c>
      <c r="B144" s="762"/>
      <c r="C144" s="180"/>
      <c r="D144" s="180"/>
      <c r="E144" s="241"/>
      <c r="F144" s="241"/>
      <c r="G144" s="664"/>
      <c r="H144" s="664"/>
      <c r="I144" s="664"/>
      <c r="J144" s="664"/>
      <c r="K144" s="664"/>
      <c r="L144" s="180"/>
      <c r="M144" s="180"/>
      <c r="N144" s="180"/>
      <c r="O144" s="180"/>
    </row>
    <row r="145" spans="1:15" s="153" customFormat="1" x14ac:dyDescent="0.25">
      <c r="A145" s="763" t="s">
        <v>88</v>
      </c>
      <c r="B145" s="763"/>
      <c r="C145" s="180"/>
      <c r="D145" s="180"/>
      <c r="E145" s="241"/>
      <c r="F145" s="241"/>
      <c r="G145" s="664"/>
      <c r="H145" s="664"/>
      <c r="I145" s="664"/>
      <c r="J145" s="664"/>
      <c r="K145" s="664"/>
      <c r="L145" s="180"/>
      <c r="M145" s="180"/>
      <c r="N145" s="180"/>
      <c r="O145" s="180"/>
    </row>
    <row r="146" spans="1:15" s="153" customFormat="1" x14ac:dyDescent="0.25">
      <c r="A146" s="733" t="s">
        <v>67</v>
      </c>
      <c r="B146" s="733"/>
      <c r="C146" s="137">
        <v>6.1666699999999999</v>
      </c>
      <c r="D146" s="138">
        <v>1</v>
      </c>
      <c r="E146" s="139">
        <f>$E$26</f>
        <v>0</v>
      </c>
      <c r="F146" s="139">
        <v>2.35</v>
      </c>
      <c r="G146" s="273">
        <f>+D146*E146*F146</f>
        <v>0</v>
      </c>
      <c r="H146" s="273"/>
      <c r="I146" s="273"/>
      <c r="J146" s="273"/>
      <c r="K146" s="320">
        <f>$K$136</f>
        <v>0</v>
      </c>
      <c r="L146" s="237">
        <f>+K146/C146</f>
        <v>0</v>
      </c>
      <c r="M146" s="238" t="str">
        <f>+M94</f>
        <v>Matí</v>
      </c>
      <c r="N146" s="238"/>
      <c r="O146" s="239">
        <f>+K146*G146</f>
        <v>0</v>
      </c>
    </row>
    <row r="147" spans="1:15" s="153" customFormat="1" x14ac:dyDescent="0.25">
      <c r="A147" s="764" t="s">
        <v>89</v>
      </c>
      <c r="B147" s="764"/>
      <c r="C147" s="241"/>
      <c r="D147" s="241"/>
      <c r="E147" s="241"/>
      <c r="F147" s="241"/>
      <c r="G147" s="241"/>
      <c r="H147" s="241"/>
      <c r="I147" s="241"/>
      <c r="J147" s="241"/>
      <c r="K147" s="241"/>
      <c r="L147" s="234"/>
      <c r="M147" s="234"/>
      <c r="N147" s="234"/>
      <c r="O147" s="234"/>
    </row>
    <row r="148" spans="1:15" s="153" customFormat="1" x14ac:dyDescent="0.25">
      <c r="A148" s="733" t="s">
        <v>67</v>
      </c>
      <c r="B148" s="733"/>
      <c r="C148" s="137">
        <v>6.1666699999999999</v>
      </c>
      <c r="D148" s="138">
        <v>1</v>
      </c>
      <c r="E148" s="139">
        <f>$E$29</f>
        <v>0</v>
      </c>
      <c r="F148" s="139"/>
      <c r="G148" s="273">
        <f>+D148*E148*F148</f>
        <v>0</v>
      </c>
      <c r="H148" s="273"/>
      <c r="I148" s="273"/>
      <c r="J148" s="273"/>
      <c r="K148" s="320">
        <f>$K$136</f>
        <v>0</v>
      </c>
      <c r="L148" s="237">
        <f>+K148/C148</f>
        <v>0</v>
      </c>
      <c r="M148" s="238" t="str">
        <f>+M96</f>
        <v>Tarda</v>
      </c>
      <c r="N148" s="238"/>
      <c r="O148" s="239">
        <f>+K148*G148</f>
        <v>0</v>
      </c>
    </row>
    <row r="149" spans="1:15" s="153" customFormat="1" x14ac:dyDescent="0.25">
      <c r="A149" s="229" t="s">
        <v>199</v>
      </c>
      <c r="B149" s="242"/>
      <c r="C149" s="243"/>
      <c r="D149" s="244"/>
      <c r="E149" s="245"/>
      <c r="F149" s="245"/>
      <c r="G149" s="246"/>
      <c r="H149" s="246"/>
      <c r="I149" s="247"/>
      <c r="J149" s="247"/>
      <c r="K149" s="247"/>
      <c r="L149" s="247"/>
      <c r="M149" s="245"/>
      <c r="N149" s="245"/>
      <c r="O149" s="248"/>
    </row>
    <row r="150" spans="1:15" s="153" customFormat="1" x14ac:dyDescent="0.25">
      <c r="A150" s="782" t="s">
        <v>195</v>
      </c>
      <c r="B150" s="782"/>
      <c r="C150" s="137"/>
      <c r="D150" s="138"/>
      <c r="E150" s="139"/>
      <c r="F150" s="234"/>
      <c r="G150" s="235"/>
      <c r="H150" s="235"/>
      <c r="I150" s="235"/>
      <c r="J150" s="235"/>
      <c r="K150" s="320"/>
      <c r="L150" s="237"/>
      <c r="M150" s="238"/>
      <c r="N150" s="238"/>
      <c r="O150" s="239"/>
    </row>
    <row r="151" spans="1:15" s="153" customFormat="1" x14ac:dyDescent="0.25">
      <c r="A151" s="763" t="s">
        <v>88</v>
      </c>
      <c r="B151" s="763"/>
      <c r="C151" s="137"/>
      <c r="D151" s="138"/>
      <c r="E151" s="139"/>
      <c r="F151" s="234"/>
      <c r="G151" s="235"/>
      <c r="H151" s="235"/>
      <c r="I151" s="235"/>
      <c r="J151" s="235"/>
      <c r="K151" s="236"/>
      <c r="L151" s="236"/>
      <c r="M151" s="238"/>
      <c r="N151" s="238"/>
      <c r="O151" s="239"/>
    </row>
    <row r="152" spans="1:15" s="153" customFormat="1" x14ac:dyDescent="0.25">
      <c r="A152" s="733" t="s">
        <v>67</v>
      </c>
      <c r="B152" s="733"/>
      <c r="C152" s="137">
        <v>6.1666699999999999</v>
      </c>
      <c r="D152" s="138">
        <v>1</v>
      </c>
      <c r="E152" s="139">
        <f>$E$34</f>
        <v>0</v>
      </c>
      <c r="F152" s="139"/>
      <c r="G152" s="273">
        <f>+D152*E152*F152</f>
        <v>0</v>
      </c>
      <c r="H152" s="273"/>
      <c r="I152" s="273"/>
      <c r="J152" s="273"/>
      <c r="K152" s="320">
        <f>$K$136</f>
        <v>0</v>
      </c>
      <c r="L152" s="237">
        <f>+K152/C152</f>
        <v>0</v>
      </c>
      <c r="M152" s="238" t="str">
        <f>+M100</f>
        <v>Matí</v>
      </c>
      <c r="N152" s="238"/>
      <c r="O152" s="239">
        <f>+K152*G152</f>
        <v>0</v>
      </c>
    </row>
    <row r="153" spans="1:15" s="153" customFormat="1" x14ac:dyDescent="0.25">
      <c r="A153" s="764" t="s">
        <v>89</v>
      </c>
      <c r="B153" s="764"/>
      <c r="C153" s="180"/>
      <c r="D153" s="180"/>
      <c r="E153" s="241"/>
      <c r="F153" s="241"/>
      <c r="G153" s="664"/>
      <c r="H153" s="664"/>
      <c r="I153" s="664"/>
      <c r="J153" s="664"/>
      <c r="K153" s="664"/>
      <c r="L153" s="180"/>
      <c r="M153" s="180"/>
      <c r="N153" s="180"/>
      <c r="O153" s="180"/>
    </row>
    <row r="154" spans="1:15" s="153" customFormat="1" x14ac:dyDescent="0.25">
      <c r="A154" s="733" t="s">
        <v>67</v>
      </c>
      <c r="B154" s="733"/>
      <c r="C154" s="137">
        <v>6.1666699999999999</v>
      </c>
      <c r="D154" s="138">
        <v>1</v>
      </c>
      <c r="E154" s="139">
        <f>$E$37</f>
        <v>0</v>
      </c>
      <c r="F154" s="139"/>
      <c r="G154" s="273">
        <f>+D154*E154*F154</f>
        <v>0</v>
      </c>
      <c r="H154" s="273"/>
      <c r="I154" s="273"/>
      <c r="J154" s="273"/>
      <c r="K154" s="320">
        <f>$K$136</f>
        <v>0</v>
      </c>
      <c r="L154" s="237">
        <f>+K154/C154</f>
        <v>0</v>
      </c>
      <c r="M154" s="238" t="str">
        <f>+M102</f>
        <v>Tarda</v>
      </c>
      <c r="N154" s="238"/>
      <c r="O154" s="239">
        <f>+K154*G154</f>
        <v>0</v>
      </c>
    </row>
    <row r="155" spans="1:15" s="153" customFormat="1" x14ac:dyDescent="0.25">
      <c r="A155" s="762" t="s">
        <v>196</v>
      </c>
      <c r="B155" s="762"/>
      <c r="C155" s="137"/>
      <c r="D155" s="138"/>
      <c r="E155" s="147"/>
      <c r="F155" s="241"/>
      <c r="G155" s="273"/>
      <c r="H155" s="273"/>
      <c r="I155" s="273"/>
      <c r="J155" s="273"/>
      <c r="K155" s="320"/>
      <c r="L155" s="237"/>
      <c r="M155" s="238"/>
      <c r="N155" s="238"/>
      <c r="O155" s="239"/>
    </row>
    <row r="156" spans="1:15" s="153" customFormat="1" x14ac:dyDescent="0.25">
      <c r="A156" s="763" t="s">
        <v>88</v>
      </c>
      <c r="B156" s="763"/>
      <c r="C156" s="241"/>
      <c r="D156" s="241"/>
      <c r="E156" s="147"/>
      <c r="F156" s="241"/>
      <c r="G156" s="241"/>
      <c r="H156" s="241"/>
      <c r="I156" s="241"/>
      <c r="J156" s="241"/>
      <c r="K156" s="241"/>
      <c r="L156" s="234"/>
      <c r="M156" s="234"/>
      <c r="N156" s="234"/>
      <c r="O156" s="234"/>
    </row>
    <row r="157" spans="1:15" s="153" customFormat="1" x14ac:dyDescent="0.25">
      <c r="A157" s="733" t="s">
        <v>67</v>
      </c>
      <c r="B157" s="733"/>
      <c r="C157" s="137">
        <v>6.1666699999999999</v>
      </c>
      <c r="D157" s="138">
        <v>1</v>
      </c>
      <c r="E157" s="139">
        <f>$E$41</f>
        <v>0</v>
      </c>
      <c r="F157" s="139"/>
      <c r="G157" s="273">
        <f>+D157*E157*F157</f>
        <v>0</v>
      </c>
      <c r="H157" s="273"/>
      <c r="I157" s="273"/>
      <c r="J157" s="273"/>
      <c r="K157" s="320">
        <f>$K$136</f>
        <v>0</v>
      </c>
      <c r="L157" s="237">
        <f>+K157/C157</f>
        <v>0</v>
      </c>
      <c r="M157" s="238" t="str">
        <f>+M105</f>
        <v>Matí</v>
      </c>
      <c r="N157" s="238"/>
      <c r="O157" s="239">
        <f>+K157*G157</f>
        <v>0</v>
      </c>
    </row>
    <row r="158" spans="1:15" s="153" customFormat="1" x14ac:dyDescent="0.25">
      <c r="A158" s="764" t="s">
        <v>89</v>
      </c>
      <c r="B158" s="764"/>
      <c r="C158" s="180"/>
      <c r="D158" s="180"/>
      <c r="E158" s="147"/>
      <c r="F158" s="241"/>
      <c r="G158" s="664"/>
      <c r="H158" s="664"/>
      <c r="I158" s="664"/>
      <c r="J158" s="664"/>
      <c r="K158" s="664"/>
      <c r="L158" s="180"/>
      <c r="M158" s="180"/>
      <c r="N158" s="180"/>
      <c r="O158" s="180"/>
    </row>
    <row r="159" spans="1:15" s="153" customFormat="1" x14ac:dyDescent="0.25">
      <c r="A159" s="733" t="s">
        <v>67</v>
      </c>
      <c r="B159" s="733"/>
      <c r="C159" s="137">
        <v>6.1666699999999999</v>
      </c>
      <c r="D159" s="138">
        <v>1</v>
      </c>
      <c r="E159" s="139">
        <f>$E$44</f>
        <v>0</v>
      </c>
      <c r="F159" s="139"/>
      <c r="G159" s="273">
        <f>+D159*E159*F159</f>
        <v>0</v>
      </c>
      <c r="H159" s="273"/>
      <c r="I159" s="273"/>
      <c r="J159" s="273"/>
      <c r="K159" s="320">
        <f>$K$136</f>
        <v>0</v>
      </c>
      <c r="L159" s="237">
        <f>+K159/C159</f>
        <v>0</v>
      </c>
      <c r="M159" s="238" t="str">
        <f>+M107</f>
        <v>Tarda</v>
      </c>
      <c r="N159" s="238"/>
      <c r="O159" s="239">
        <f>+K159*G159</f>
        <v>0</v>
      </c>
    </row>
    <row r="160" spans="1:15" s="153" customFormat="1" x14ac:dyDescent="0.25">
      <c r="A160" s="762" t="s">
        <v>197</v>
      </c>
      <c r="B160" s="762"/>
      <c r="C160" s="180"/>
      <c r="D160" s="180"/>
      <c r="E160" s="147"/>
      <c r="F160" s="241"/>
      <c r="G160" s="664"/>
      <c r="H160" s="664"/>
      <c r="I160" s="664"/>
      <c r="J160" s="664"/>
      <c r="K160" s="664"/>
      <c r="L160" s="180"/>
      <c r="M160" s="180"/>
      <c r="N160" s="180"/>
      <c r="O160" s="180"/>
    </row>
    <row r="161" spans="1:15" s="153" customFormat="1" x14ac:dyDescent="0.25">
      <c r="A161" s="763" t="s">
        <v>88</v>
      </c>
      <c r="B161" s="763"/>
      <c r="C161" s="180"/>
      <c r="D161" s="180"/>
      <c r="E161" s="147"/>
      <c r="F161" s="241"/>
      <c r="G161" s="664"/>
      <c r="H161" s="664"/>
      <c r="I161" s="664"/>
      <c r="J161" s="664"/>
      <c r="K161" s="664"/>
      <c r="L161" s="180"/>
      <c r="M161" s="180"/>
      <c r="N161" s="180"/>
      <c r="O161" s="180"/>
    </row>
    <row r="162" spans="1:15" s="153" customFormat="1" x14ac:dyDescent="0.25">
      <c r="A162" s="733" t="s">
        <v>67</v>
      </c>
      <c r="B162" s="733"/>
      <c r="C162" s="137">
        <v>6.1666699999999999</v>
      </c>
      <c r="D162" s="138">
        <v>1</v>
      </c>
      <c r="E162" s="139">
        <f>$E$48</f>
        <v>0</v>
      </c>
      <c r="F162" s="139">
        <v>26.76</v>
      </c>
      <c r="G162" s="273">
        <f>+D162*E162*F162</f>
        <v>0</v>
      </c>
      <c r="H162" s="273"/>
      <c r="I162" s="273"/>
      <c r="J162" s="273"/>
      <c r="K162" s="320">
        <f>$K$136</f>
        <v>0</v>
      </c>
      <c r="L162" s="237">
        <f>+K162/C162</f>
        <v>0</v>
      </c>
      <c r="M162" s="238" t="str">
        <f>+M110</f>
        <v>Matí</v>
      </c>
      <c r="N162" s="238"/>
      <c r="O162" s="239">
        <f>+K162*G162</f>
        <v>0</v>
      </c>
    </row>
    <row r="163" spans="1:15" s="153" customFormat="1" x14ac:dyDescent="0.25">
      <c r="A163" s="764" t="s">
        <v>89</v>
      </c>
      <c r="B163" s="764"/>
      <c r="C163" s="180"/>
      <c r="D163" s="180"/>
      <c r="E163" s="147"/>
      <c r="F163" s="241"/>
      <c r="G163" s="664"/>
      <c r="H163" s="664"/>
      <c r="I163" s="664"/>
      <c r="J163" s="664"/>
      <c r="K163" s="664"/>
      <c r="L163" s="180"/>
      <c r="M163" s="180"/>
      <c r="N163" s="180"/>
      <c r="O163" s="180"/>
    </row>
    <row r="164" spans="1:15" s="153" customFormat="1" x14ac:dyDescent="0.25">
      <c r="A164" s="733" t="s">
        <v>67</v>
      </c>
      <c r="B164" s="733"/>
      <c r="C164" s="137">
        <v>6.1666699999999999</v>
      </c>
      <c r="D164" s="138">
        <v>1</v>
      </c>
      <c r="E164" s="139">
        <f>$E$51</f>
        <v>0</v>
      </c>
      <c r="F164" s="139"/>
      <c r="G164" s="273">
        <f>+D164*E164*F164</f>
        <v>0</v>
      </c>
      <c r="H164" s="273"/>
      <c r="I164" s="273"/>
      <c r="J164" s="273"/>
      <c r="K164" s="320">
        <f>$K$136</f>
        <v>0</v>
      </c>
      <c r="L164" s="237">
        <f>+K164/C164</f>
        <v>0</v>
      </c>
      <c r="M164" s="238" t="str">
        <f>+M112</f>
        <v>Tarda</v>
      </c>
      <c r="N164" s="238"/>
      <c r="O164" s="239">
        <f>+K164*G164</f>
        <v>0</v>
      </c>
    </row>
    <row r="165" spans="1:15" s="153" customFormat="1" x14ac:dyDescent="0.25">
      <c r="A165" s="229" t="s">
        <v>326</v>
      </c>
      <c r="B165" s="242"/>
      <c r="C165" s="278"/>
      <c r="D165" s="278"/>
      <c r="E165" s="278"/>
      <c r="F165" s="245"/>
      <c r="G165" s="278"/>
      <c r="H165" s="278"/>
      <c r="I165" s="278"/>
      <c r="J165" s="278"/>
      <c r="K165" s="278"/>
      <c r="L165" s="278"/>
      <c r="M165" s="278"/>
      <c r="N165" s="278"/>
      <c r="O165" s="278"/>
    </row>
    <row r="166" spans="1:15" s="153" customFormat="1" x14ac:dyDescent="0.25">
      <c r="A166" s="782" t="s">
        <v>195</v>
      </c>
      <c r="B166" s="782"/>
      <c r="C166" s="180"/>
      <c r="D166" s="180"/>
      <c r="E166" s="180"/>
      <c r="F166" s="234"/>
      <c r="G166" s="180"/>
      <c r="H166" s="180"/>
      <c r="I166" s="180"/>
      <c r="J166" s="180"/>
      <c r="K166" s="180"/>
      <c r="L166" s="180"/>
      <c r="M166" s="180"/>
      <c r="N166" s="180"/>
      <c r="O166" s="180"/>
    </row>
    <row r="167" spans="1:15" s="153" customFormat="1" x14ac:dyDescent="0.25">
      <c r="A167" s="763" t="s">
        <v>88</v>
      </c>
      <c r="B167" s="763"/>
      <c r="C167" s="180"/>
      <c r="D167" s="180"/>
      <c r="E167" s="180"/>
      <c r="F167" s="234"/>
      <c r="G167" s="180"/>
      <c r="H167" s="180"/>
      <c r="I167" s="180"/>
      <c r="J167" s="180"/>
      <c r="K167" s="180"/>
      <c r="L167" s="180"/>
      <c r="M167" s="180"/>
      <c r="N167" s="180"/>
      <c r="O167" s="180"/>
    </row>
    <row r="168" spans="1:15" x14ac:dyDescent="0.25">
      <c r="A168" s="733" t="s">
        <v>67</v>
      </c>
      <c r="B168" s="733"/>
      <c r="C168" s="137">
        <v>6.1666699999999999</v>
      </c>
      <c r="D168" s="138">
        <v>1</v>
      </c>
      <c r="E168" s="139">
        <f>$E$56</f>
        <v>0</v>
      </c>
      <c r="F168" s="139"/>
      <c r="G168" s="273">
        <f>+D168*E168*F168</f>
        <v>0</v>
      </c>
      <c r="H168" s="273"/>
      <c r="I168" s="273"/>
      <c r="J168" s="273"/>
      <c r="K168" s="320">
        <f>$K$136</f>
        <v>0</v>
      </c>
      <c r="L168" s="237">
        <f>+K168/C168</f>
        <v>0</v>
      </c>
      <c r="M168" s="238" t="str">
        <f>+M116</f>
        <v>Matí</v>
      </c>
      <c r="N168" s="238"/>
      <c r="O168" s="239">
        <f>+K168*G168</f>
        <v>0</v>
      </c>
    </row>
    <row r="169" spans="1:15" x14ac:dyDescent="0.25">
      <c r="A169" s="764" t="s">
        <v>89</v>
      </c>
      <c r="B169" s="764"/>
      <c r="C169" s="180"/>
      <c r="D169" s="180"/>
      <c r="E169" s="147"/>
      <c r="F169" s="241"/>
      <c r="G169" s="664"/>
      <c r="H169" s="664"/>
      <c r="I169" s="664"/>
      <c r="J169" s="664"/>
      <c r="K169" s="664"/>
      <c r="L169" s="180"/>
      <c r="M169" s="180"/>
      <c r="N169" s="180"/>
      <c r="O169" s="180"/>
    </row>
    <row r="170" spans="1:15" s="153" customFormat="1" x14ac:dyDescent="0.25">
      <c r="A170" s="733" t="s">
        <v>67</v>
      </c>
      <c r="B170" s="733"/>
      <c r="C170" s="137">
        <v>6.1666699999999999</v>
      </c>
      <c r="D170" s="138">
        <v>1</v>
      </c>
      <c r="E170" s="139">
        <f>$E$59</f>
        <v>0</v>
      </c>
      <c r="F170" s="139"/>
      <c r="G170" s="273">
        <f>+D170*E170*F170</f>
        <v>0</v>
      </c>
      <c r="H170" s="273"/>
      <c r="I170" s="273"/>
      <c r="J170" s="273"/>
      <c r="K170" s="320">
        <f>$K$136</f>
        <v>0</v>
      </c>
      <c r="L170" s="237">
        <f>+K170/C170</f>
        <v>0</v>
      </c>
      <c r="M170" s="238" t="str">
        <f>+M118</f>
        <v>Tarda</v>
      </c>
      <c r="N170" s="238"/>
      <c r="O170" s="239">
        <f>+K170*G170</f>
        <v>0</v>
      </c>
    </row>
    <row r="171" spans="1:15" s="153" customFormat="1" x14ac:dyDescent="0.25">
      <c r="A171" s="762" t="s">
        <v>196</v>
      </c>
      <c r="B171" s="762"/>
      <c r="C171" s="234"/>
      <c r="D171" s="234"/>
      <c r="E171" s="147"/>
      <c r="F171" s="241"/>
      <c r="G171" s="241"/>
      <c r="H171" s="241"/>
      <c r="I171" s="241"/>
      <c r="J171" s="241"/>
      <c r="K171" s="241"/>
      <c r="L171" s="234"/>
      <c r="M171" s="234"/>
      <c r="N171" s="234"/>
      <c r="O171" s="234"/>
    </row>
    <row r="172" spans="1:15" x14ac:dyDescent="0.25">
      <c r="A172" s="763" t="s">
        <v>88</v>
      </c>
      <c r="B172" s="763"/>
      <c r="C172" s="234"/>
      <c r="D172" s="234"/>
      <c r="E172" s="147"/>
      <c r="F172" s="241"/>
      <c r="G172" s="241"/>
      <c r="H172" s="241"/>
      <c r="I172" s="241"/>
      <c r="J172" s="241"/>
      <c r="K172" s="241"/>
      <c r="L172" s="234"/>
      <c r="M172" s="234"/>
      <c r="N172" s="234"/>
      <c r="O172" s="234"/>
    </row>
    <row r="173" spans="1:15" s="153" customFormat="1" x14ac:dyDescent="0.25">
      <c r="A173" s="733" t="s">
        <v>67</v>
      </c>
      <c r="B173" s="733"/>
      <c r="C173" s="137">
        <v>6.1666699999999999</v>
      </c>
      <c r="D173" s="138">
        <v>1</v>
      </c>
      <c r="E173" s="139">
        <f>$E$63</f>
        <v>0</v>
      </c>
      <c r="F173" s="139"/>
      <c r="G173" s="273">
        <f>+D173*E173*F173</f>
        <v>0</v>
      </c>
      <c r="H173" s="273"/>
      <c r="I173" s="273"/>
      <c r="J173" s="273"/>
      <c r="K173" s="320">
        <f>$K$136</f>
        <v>0</v>
      </c>
      <c r="L173" s="237">
        <f>+K173/C173</f>
        <v>0</v>
      </c>
      <c r="M173" s="238" t="str">
        <f>+M121</f>
        <v>Matí</v>
      </c>
      <c r="N173" s="238"/>
      <c r="O173" s="239">
        <f>+K173*G173</f>
        <v>0</v>
      </c>
    </row>
    <row r="174" spans="1:15" x14ac:dyDescent="0.25">
      <c r="A174" s="764" t="s">
        <v>89</v>
      </c>
      <c r="B174" s="764"/>
      <c r="C174" s="234"/>
      <c r="D174" s="234"/>
      <c r="E174" s="147"/>
      <c r="F174" s="241"/>
      <c r="G174" s="241"/>
      <c r="H174" s="241"/>
      <c r="I174" s="241"/>
      <c r="J174" s="241"/>
      <c r="K174" s="241"/>
      <c r="L174" s="234"/>
      <c r="M174" s="234"/>
      <c r="N174" s="234"/>
      <c r="O174" s="234"/>
    </row>
    <row r="175" spans="1:15" s="153" customFormat="1" x14ac:dyDescent="0.25">
      <c r="A175" s="733" t="s">
        <v>67</v>
      </c>
      <c r="B175" s="733"/>
      <c r="C175" s="137">
        <v>6.1666699999999999</v>
      </c>
      <c r="D175" s="138">
        <v>1</v>
      </c>
      <c r="E175" s="139">
        <f>$E$66</f>
        <v>0</v>
      </c>
      <c r="F175" s="139"/>
      <c r="G175" s="273">
        <f>+D175*E175*F175</f>
        <v>0</v>
      </c>
      <c r="H175" s="273"/>
      <c r="I175" s="273"/>
      <c r="J175" s="273"/>
      <c r="K175" s="320">
        <f>$K$136</f>
        <v>0</v>
      </c>
      <c r="L175" s="237">
        <f>+K175/C175</f>
        <v>0</v>
      </c>
      <c r="M175" s="238" t="str">
        <f>+M123</f>
        <v>Tarda</v>
      </c>
      <c r="N175" s="238"/>
      <c r="O175" s="239">
        <f>+K175*G175</f>
        <v>0</v>
      </c>
    </row>
    <row r="176" spans="1:15" s="153" customFormat="1" x14ac:dyDescent="0.25">
      <c r="A176" s="762" t="s">
        <v>197</v>
      </c>
      <c r="B176" s="762"/>
      <c r="C176" s="234"/>
      <c r="D176" s="234"/>
      <c r="E176" s="147"/>
      <c r="F176" s="241"/>
      <c r="G176" s="241"/>
      <c r="H176" s="241"/>
      <c r="I176" s="241"/>
      <c r="J176" s="241"/>
      <c r="K176" s="241"/>
      <c r="L176" s="234"/>
      <c r="M176" s="234"/>
      <c r="N176" s="234"/>
      <c r="O176" s="234"/>
    </row>
    <row r="177" spans="1:15" s="153" customFormat="1" x14ac:dyDescent="0.25">
      <c r="A177" s="763" t="s">
        <v>88</v>
      </c>
      <c r="B177" s="763"/>
      <c r="C177" s="234"/>
      <c r="D177" s="234"/>
      <c r="E177" s="147"/>
      <c r="F177" s="241"/>
      <c r="G177" s="241"/>
      <c r="H177" s="241"/>
      <c r="I177" s="241"/>
      <c r="J177" s="241"/>
      <c r="K177" s="241"/>
      <c r="L177" s="234"/>
      <c r="M177" s="234"/>
      <c r="N177" s="234"/>
      <c r="O177" s="234"/>
    </row>
    <row r="178" spans="1:15" x14ac:dyDescent="0.25">
      <c r="A178" s="733" t="s">
        <v>67</v>
      </c>
      <c r="B178" s="733"/>
      <c r="C178" s="137">
        <v>6.1666699999999999</v>
      </c>
      <c r="D178" s="138">
        <v>1</v>
      </c>
      <c r="E178" s="139">
        <f>$E$70</f>
        <v>0</v>
      </c>
      <c r="F178" s="139">
        <v>8.35</v>
      </c>
      <c r="G178" s="273">
        <f>+D178*E178*F178</f>
        <v>0</v>
      </c>
      <c r="H178" s="273"/>
      <c r="I178" s="273"/>
      <c r="J178" s="273"/>
      <c r="K178" s="320">
        <f>$K$136</f>
        <v>0</v>
      </c>
      <c r="L178" s="237">
        <f>+K178/C178</f>
        <v>0</v>
      </c>
      <c r="M178" s="238" t="str">
        <f>+M126</f>
        <v>Matí</v>
      </c>
      <c r="N178" s="238"/>
      <c r="O178" s="239">
        <f>+K178*G178</f>
        <v>0</v>
      </c>
    </row>
    <row r="179" spans="1:15" x14ac:dyDescent="0.25">
      <c r="A179" s="764" t="s">
        <v>89</v>
      </c>
      <c r="B179" s="764"/>
      <c r="C179" s="180"/>
      <c r="D179" s="180"/>
      <c r="E179" s="241"/>
      <c r="F179" s="241"/>
      <c r="G179" s="664"/>
      <c r="H179" s="664"/>
      <c r="I179" s="664"/>
      <c r="J179" s="664"/>
      <c r="K179" s="664"/>
      <c r="L179" s="180"/>
      <c r="M179" s="180"/>
      <c r="N179" s="180"/>
      <c r="O179" s="180"/>
    </row>
    <row r="180" spans="1:15" s="153" customFormat="1" x14ac:dyDescent="0.25">
      <c r="A180" s="733" t="s">
        <v>67</v>
      </c>
      <c r="B180" s="733"/>
      <c r="C180" s="137">
        <v>6.1666699999999999</v>
      </c>
      <c r="D180" s="138">
        <v>1</v>
      </c>
      <c r="E180" s="139">
        <f>$E$73</f>
        <v>0</v>
      </c>
      <c r="F180" s="139"/>
      <c r="G180" s="273">
        <f>+D180*E180*F180</f>
        <v>0</v>
      </c>
      <c r="H180" s="273"/>
      <c r="I180" s="273"/>
      <c r="J180" s="273"/>
      <c r="K180" s="320">
        <f>$K$136</f>
        <v>0</v>
      </c>
      <c r="L180" s="237">
        <f>+K180/C180</f>
        <v>0</v>
      </c>
      <c r="M180" s="238" t="str">
        <f>+M128</f>
        <v>Tarda</v>
      </c>
      <c r="N180" s="238"/>
      <c r="O180" s="239">
        <f>+K180*G180</f>
        <v>0</v>
      </c>
    </row>
    <row r="181" spans="1:15" x14ac:dyDescent="0.25">
      <c r="A181" s="402"/>
      <c r="B181" s="324"/>
      <c r="C181" s="324"/>
      <c r="D181" s="324"/>
      <c r="E181" s="323" t="s">
        <v>47</v>
      </c>
      <c r="F181" s="324"/>
      <c r="G181" s="324"/>
      <c r="H181" s="324"/>
      <c r="I181" s="324"/>
      <c r="J181" s="324"/>
      <c r="K181" s="324"/>
      <c r="L181" s="324"/>
      <c r="M181" s="324"/>
      <c r="N181" s="324"/>
      <c r="O181" s="403">
        <f>SUM(O136:O180)</f>
        <v>0</v>
      </c>
    </row>
    <row r="182" spans="1:15" s="153" customFormat="1" ht="26.25" x14ac:dyDescent="0.4">
      <c r="A182" s="259" t="s">
        <v>272</v>
      </c>
      <c r="B182" s="221"/>
      <c r="C182" s="221"/>
      <c r="D182" s="223"/>
      <c r="E182" s="223"/>
      <c r="F182" s="223"/>
      <c r="G182" s="223"/>
      <c r="H182" s="223"/>
      <c r="I182" s="223"/>
      <c r="J182" s="223"/>
      <c r="K182" s="224"/>
      <c r="L182" s="224"/>
      <c r="M182" s="224"/>
      <c r="N182" s="224"/>
      <c r="O182" s="435"/>
    </row>
    <row r="183" spans="1:15" s="281" customFormat="1" x14ac:dyDescent="0.25">
      <c r="A183" s="797" t="s">
        <v>20</v>
      </c>
      <c r="B183" s="773"/>
      <c r="C183" s="773" t="s">
        <v>27</v>
      </c>
      <c r="D183" s="773" t="s">
        <v>28</v>
      </c>
      <c r="E183" s="773" t="s">
        <v>21</v>
      </c>
      <c r="F183" s="773" t="s">
        <v>23</v>
      </c>
      <c r="G183" s="773" t="s">
        <v>22</v>
      </c>
      <c r="H183" s="414"/>
      <c r="I183" s="414"/>
      <c r="J183" s="414"/>
      <c r="K183" s="773" t="s">
        <v>79</v>
      </c>
      <c r="L183" s="414"/>
      <c r="M183" s="773"/>
      <c r="N183" s="773" t="s">
        <v>80</v>
      </c>
      <c r="O183" s="799" t="s">
        <v>32</v>
      </c>
    </row>
    <row r="184" spans="1:15" s="281" customFormat="1" x14ac:dyDescent="0.25">
      <c r="A184" s="779"/>
      <c r="B184" s="768"/>
      <c r="C184" s="768" t="s">
        <v>44</v>
      </c>
      <c r="D184" s="768" t="s">
        <v>5</v>
      </c>
      <c r="E184" s="768" t="s">
        <v>24</v>
      </c>
      <c r="F184" s="768" t="s">
        <v>81</v>
      </c>
      <c r="G184" s="768" t="s">
        <v>82</v>
      </c>
      <c r="H184" s="280"/>
      <c r="I184" s="280"/>
      <c r="J184" s="280"/>
      <c r="K184" s="768" t="s">
        <v>28</v>
      </c>
      <c r="L184" s="280"/>
      <c r="M184" s="768"/>
      <c r="N184" s="768" t="s">
        <v>83</v>
      </c>
      <c r="O184" s="766" t="s">
        <v>40</v>
      </c>
    </row>
    <row r="185" spans="1:15" x14ac:dyDescent="0.25">
      <c r="A185" s="733" t="s">
        <v>311</v>
      </c>
      <c r="B185" s="733"/>
      <c r="C185" s="137">
        <v>6.1666699999999999</v>
      </c>
      <c r="D185" s="138">
        <v>0.5</v>
      </c>
      <c r="E185" s="139">
        <v>1</v>
      </c>
      <c r="F185" s="283">
        <f>Inversions!H15</f>
        <v>17715</v>
      </c>
      <c r="G185" s="273">
        <v>8</v>
      </c>
      <c r="H185" s="273"/>
      <c r="I185" s="273"/>
      <c r="J185" s="273"/>
      <c r="K185" s="284">
        <f>Paràmetres!$C$4</f>
        <v>0</v>
      </c>
      <c r="L185" s="284"/>
      <c r="M185" s="139"/>
      <c r="N185" s="140">
        <f>-12*PMT(K185/12,G185*12,F185)</f>
        <v>2214.375</v>
      </c>
      <c r="O185" s="144">
        <f>E185*N185*D185</f>
        <v>1107.1875</v>
      </c>
    </row>
    <row r="186" spans="1:15" s="281" customFormat="1" x14ac:dyDescent="0.25">
      <c r="A186" s="438"/>
      <c r="B186" s="411"/>
      <c r="C186" s="411"/>
      <c r="D186" s="411"/>
      <c r="E186" s="412"/>
      <c r="F186" s="412" t="s">
        <v>84</v>
      </c>
      <c r="G186" s="411"/>
      <c r="H186" s="411"/>
      <c r="I186" s="411"/>
      <c r="J186" s="411"/>
      <c r="K186" s="411"/>
      <c r="L186" s="411"/>
      <c r="M186" s="411"/>
      <c r="N186" s="411"/>
      <c r="O186" s="439">
        <f>SUM(O185:O185)</f>
        <v>1107.1875</v>
      </c>
    </row>
    <row r="187" spans="1:15" s="5" customFormat="1" ht="26.25" x14ac:dyDescent="0.4">
      <c r="A187" s="440" t="s">
        <v>213</v>
      </c>
      <c r="B187" s="416"/>
      <c r="C187" s="416"/>
      <c r="D187" s="417"/>
      <c r="E187" s="417"/>
      <c r="F187" s="417"/>
      <c r="G187" s="417"/>
      <c r="H187" s="417"/>
      <c r="I187" s="417"/>
      <c r="J187" s="417"/>
      <c r="K187" s="418"/>
      <c r="L187" s="418"/>
      <c r="M187" s="418"/>
      <c r="N187" s="418"/>
      <c r="O187" s="441"/>
    </row>
    <row r="188" spans="1:15" s="281" customFormat="1" x14ac:dyDescent="0.25">
      <c r="A188" s="800" t="s">
        <v>20</v>
      </c>
      <c r="B188" s="792"/>
      <c r="C188" s="420" t="s">
        <v>27</v>
      </c>
      <c r="D188" s="420" t="s">
        <v>28</v>
      </c>
      <c r="E188" s="420" t="s">
        <v>21</v>
      </c>
      <c r="F188" s="420"/>
      <c r="G188" s="420"/>
      <c r="H188" s="420"/>
      <c r="I188" s="420"/>
      <c r="J188" s="420"/>
      <c r="K188" s="420" t="s">
        <v>100</v>
      </c>
      <c r="L188" s="420"/>
      <c r="M188" s="420"/>
      <c r="N188" s="420"/>
      <c r="O188" s="442" t="s">
        <v>32</v>
      </c>
    </row>
    <row r="189" spans="1:15" s="281" customFormat="1" x14ac:dyDescent="0.25">
      <c r="A189" s="758"/>
      <c r="B189" s="759"/>
      <c r="C189" s="422" t="s">
        <v>44</v>
      </c>
      <c r="D189" s="422" t="s">
        <v>5</v>
      </c>
      <c r="E189" s="422" t="s">
        <v>24</v>
      </c>
      <c r="F189" s="423"/>
      <c r="G189" s="422"/>
      <c r="H189" s="422"/>
      <c r="I189" s="422"/>
      <c r="J189" s="422"/>
      <c r="K189" s="422" t="s">
        <v>101</v>
      </c>
      <c r="L189" s="422"/>
      <c r="M189" s="422"/>
      <c r="N189" s="422"/>
      <c r="O189" s="452" t="s">
        <v>40</v>
      </c>
    </row>
    <row r="190" spans="1:15" s="281" customFormat="1" x14ac:dyDescent="0.25">
      <c r="A190" s="733" t="s">
        <v>311</v>
      </c>
      <c r="B190" s="733"/>
      <c r="C190" s="137">
        <v>6.1666699999999999</v>
      </c>
      <c r="D190" s="138">
        <v>0.5</v>
      </c>
      <c r="E190" s="372">
        <v>1</v>
      </c>
      <c r="F190" s="302"/>
      <c r="G190" s="303"/>
      <c r="H190" s="303"/>
      <c r="I190" s="303"/>
      <c r="J190" s="303"/>
      <c r="K190" s="304">
        <f>'Seguro+combustible+reparacions'!E10</f>
        <v>0</v>
      </c>
      <c r="L190" s="304"/>
      <c r="M190" s="303"/>
      <c r="N190" s="302"/>
      <c r="O190" s="239">
        <f>E190*K190*D190</f>
        <v>0</v>
      </c>
    </row>
    <row r="191" spans="1:15" s="281" customFormat="1" x14ac:dyDescent="0.25">
      <c r="A191" s="331"/>
      <c r="B191" s="330"/>
      <c r="C191" s="330"/>
      <c r="D191" s="330"/>
      <c r="E191" s="332"/>
      <c r="F191" s="332" t="s">
        <v>85</v>
      </c>
      <c r="G191" s="330"/>
      <c r="H191" s="330"/>
      <c r="I191" s="330"/>
      <c r="J191" s="330"/>
      <c r="K191" s="330"/>
      <c r="L191" s="330"/>
      <c r="M191" s="330"/>
      <c r="N191" s="330"/>
      <c r="O191" s="334">
        <f>SUM(O190:O190)</f>
        <v>0</v>
      </c>
    </row>
    <row r="192" spans="1:15" s="281" customFormat="1" ht="26.25" x14ac:dyDescent="0.4">
      <c r="A192" s="285" t="s">
        <v>420</v>
      </c>
      <c r="B192" s="286"/>
      <c r="C192" s="286"/>
      <c r="D192" s="287"/>
      <c r="E192" s="287"/>
      <c r="F192" s="287"/>
      <c r="G192" s="287"/>
      <c r="H192" s="287"/>
      <c r="I192" s="287"/>
      <c r="J192" s="287"/>
      <c r="K192" s="288"/>
      <c r="L192" s="288"/>
      <c r="M192" s="288"/>
      <c r="N192" s="288"/>
      <c r="O192" s="289"/>
    </row>
    <row r="193" spans="1:15" s="281" customFormat="1" x14ac:dyDescent="0.25">
      <c r="A193" s="758" t="s">
        <v>225</v>
      </c>
      <c r="B193" s="759"/>
      <c r="C193" s="290"/>
      <c r="D193" s="290" t="s">
        <v>28</v>
      </c>
      <c r="E193" s="290"/>
      <c r="F193" s="290"/>
      <c r="G193" s="290"/>
      <c r="H193" s="290"/>
      <c r="I193" s="290"/>
      <c r="J193" s="290"/>
      <c r="K193" s="290" t="s">
        <v>100</v>
      </c>
      <c r="L193" s="290"/>
      <c r="M193" s="290"/>
      <c r="N193" s="290"/>
      <c r="O193" s="291" t="s">
        <v>32</v>
      </c>
    </row>
    <row r="194" spans="1:15" s="281" customFormat="1" x14ac:dyDescent="0.25">
      <c r="A194" s="760"/>
      <c r="B194" s="761"/>
      <c r="C194" s="292"/>
      <c r="D194" s="292" t="s">
        <v>5</v>
      </c>
      <c r="E194" s="290" t="s">
        <v>21</v>
      </c>
      <c r="F194" s="293"/>
      <c r="G194" s="292"/>
      <c r="H194" s="292"/>
      <c r="I194" s="292"/>
      <c r="J194" s="292"/>
      <c r="K194" s="292" t="s">
        <v>238</v>
      </c>
      <c r="L194" s="292"/>
      <c r="M194" s="292"/>
      <c r="N194" s="292"/>
      <c r="O194" s="294" t="s">
        <v>40</v>
      </c>
    </row>
    <row r="195" spans="1:15" s="281" customFormat="1" x14ac:dyDescent="0.25">
      <c r="A195" s="733" t="s">
        <v>245</v>
      </c>
      <c r="B195" s="733"/>
      <c r="C195" s="137"/>
      <c r="D195" s="138">
        <v>1</v>
      </c>
      <c r="E195" s="650">
        <f>I75</f>
        <v>0</v>
      </c>
      <c r="F195" s="302"/>
      <c r="G195" s="303"/>
      <c r="H195" s="303"/>
      <c r="I195" s="303"/>
      <c r="J195" s="303"/>
      <c r="K195" s="650">
        <f>Consumibles!E46</f>
        <v>0</v>
      </c>
      <c r="L195" s="304"/>
      <c r="M195" s="303"/>
      <c r="N195" s="302"/>
      <c r="O195" s="239">
        <f>E195*K195</f>
        <v>0</v>
      </c>
    </row>
    <row r="196" spans="1:15" s="281" customFormat="1" x14ac:dyDescent="0.25">
      <c r="A196" s="733" t="s">
        <v>226</v>
      </c>
      <c r="B196" s="733"/>
      <c r="C196" s="137"/>
      <c r="D196" s="138">
        <v>1</v>
      </c>
      <c r="E196" s="650">
        <v>1400</v>
      </c>
      <c r="F196" s="302"/>
      <c r="G196" s="303"/>
      <c r="H196" s="303"/>
      <c r="I196" s="303"/>
      <c r="J196" s="303"/>
      <c r="K196" s="650">
        <f>Consumibles!E21</f>
        <v>0</v>
      </c>
      <c r="L196" s="304"/>
      <c r="M196" s="303"/>
      <c r="N196" s="302"/>
      <c r="O196" s="239">
        <f>E196*K196</f>
        <v>0</v>
      </c>
    </row>
    <row r="197" spans="1:15" s="281" customFormat="1" x14ac:dyDescent="0.25">
      <c r="A197" s="733" t="s">
        <v>237</v>
      </c>
      <c r="B197" s="733"/>
      <c r="C197" s="137"/>
      <c r="D197" s="138">
        <v>1</v>
      </c>
      <c r="E197" s="372">
        <v>0</v>
      </c>
      <c r="F197" s="302"/>
      <c r="G197" s="303"/>
      <c r="H197" s="303"/>
      <c r="I197" s="303"/>
      <c r="J197" s="303"/>
      <c r="K197" s="650">
        <f>Consumibles!E22</f>
        <v>0</v>
      </c>
      <c r="L197" s="304"/>
      <c r="M197" s="303"/>
      <c r="N197" s="302"/>
      <c r="O197" s="239">
        <f t="shared" ref="O197:O200" si="14">E197*K197</f>
        <v>0</v>
      </c>
    </row>
    <row r="198" spans="1:15" s="281" customFormat="1" x14ac:dyDescent="0.25">
      <c r="A198" s="733" t="s">
        <v>234</v>
      </c>
      <c r="B198" s="733"/>
      <c r="C198" s="137"/>
      <c r="D198" s="138">
        <v>1</v>
      </c>
      <c r="E198" s="372">
        <v>50</v>
      </c>
      <c r="F198" s="302"/>
      <c r="G198" s="303"/>
      <c r="H198" s="303"/>
      <c r="I198" s="303"/>
      <c r="J198" s="303"/>
      <c r="K198" s="650">
        <f>Consumibles!E23</f>
        <v>0</v>
      </c>
      <c r="L198" s="304"/>
      <c r="M198" s="303"/>
      <c r="N198" s="302"/>
      <c r="O198" s="239">
        <f t="shared" si="14"/>
        <v>0</v>
      </c>
    </row>
    <row r="199" spans="1:15" s="281" customFormat="1" x14ac:dyDescent="0.25">
      <c r="A199" s="733" t="s">
        <v>235</v>
      </c>
      <c r="B199" s="733"/>
      <c r="C199" s="137"/>
      <c r="D199" s="138">
        <v>1</v>
      </c>
      <c r="E199" s="372">
        <v>80</v>
      </c>
      <c r="F199" s="302"/>
      <c r="G199" s="303"/>
      <c r="H199" s="303"/>
      <c r="I199" s="303"/>
      <c r="J199" s="303"/>
      <c r="K199" s="650">
        <f>Consumibles!E24</f>
        <v>0</v>
      </c>
      <c r="L199" s="304"/>
      <c r="M199" s="303"/>
      <c r="N199" s="302"/>
      <c r="O199" s="239">
        <f t="shared" si="14"/>
        <v>0</v>
      </c>
    </row>
    <row r="200" spans="1:15" s="281" customFormat="1" x14ac:dyDescent="0.25">
      <c r="A200" s="733" t="s">
        <v>236</v>
      </c>
      <c r="B200" s="733"/>
      <c r="C200" s="137"/>
      <c r="D200" s="138">
        <v>1</v>
      </c>
      <c r="E200" s="372">
        <v>20</v>
      </c>
      <c r="F200" s="302"/>
      <c r="G200" s="303"/>
      <c r="H200" s="303"/>
      <c r="I200" s="303"/>
      <c r="J200" s="303"/>
      <c r="K200" s="650">
        <f>Consumibles!E25</f>
        <v>0</v>
      </c>
      <c r="L200" s="304"/>
      <c r="M200" s="303"/>
      <c r="N200" s="302"/>
      <c r="O200" s="239">
        <f t="shared" si="14"/>
        <v>0</v>
      </c>
    </row>
    <row r="201" spans="1:15" s="281" customFormat="1" x14ac:dyDescent="0.25">
      <c r="A201" s="254"/>
      <c r="B201" s="255"/>
      <c r="C201" s="255"/>
      <c r="D201" s="255"/>
      <c r="E201" s="256"/>
      <c r="F201" s="256" t="s">
        <v>224</v>
      </c>
      <c r="G201" s="255"/>
      <c r="H201" s="255"/>
      <c r="I201" s="255"/>
      <c r="J201" s="255"/>
      <c r="K201" s="255"/>
      <c r="L201" s="255"/>
      <c r="M201" s="255"/>
      <c r="N201" s="255"/>
      <c r="O201" s="257">
        <f>SUM(O195:O200)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307" t="s">
        <v>271</v>
      </c>
      <c r="G203" s="308"/>
      <c r="H203" s="308"/>
      <c r="I203" s="308"/>
      <c r="J203" s="308"/>
      <c r="K203" s="308"/>
      <c r="L203" s="308"/>
      <c r="M203" s="308"/>
      <c r="N203" s="308"/>
      <c r="O203" s="309">
        <f>+O75+O129+O181+O191+O201</f>
        <v>0</v>
      </c>
    </row>
    <row r="204" spans="1:15" x14ac:dyDescent="0.25">
      <c r="A204" s="218"/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310"/>
    </row>
    <row r="205" spans="1:15" x14ac:dyDescent="0.25">
      <c r="A205" s="218"/>
      <c r="B205" s="218"/>
      <c r="C205" s="218"/>
      <c r="D205" s="218"/>
      <c r="E205" s="218"/>
      <c r="F205" s="311" t="s">
        <v>3</v>
      </c>
      <c r="G205" s="312"/>
      <c r="H205" s="312"/>
      <c r="I205" s="312"/>
      <c r="J205" s="312"/>
      <c r="K205" s="312"/>
      <c r="L205" s="312"/>
      <c r="M205" s="652">
        <f>Paràmetres!C6</f>
        <v>0</v>
      </c>
      <c r="N205" s="312"/>
      <c r="O205" s="313">
        <f>+O203*M205</f>
        <v>0</v>
      </c>
    </row>
    <row r="206" spans="1:15" x14ac:dyDescent="0.25">
      <c r="A206" s="218"/>
      <c r="B206" s="218"/>
      <c r="C206" s="218"/>
      <c r="D206" s="218"/>
      <c r="E206" s="218"/>
      <c r="F206" s="312"/>
      <c r="G206" s="312"/>
      <c r="H206" s="312"/>
      <c r="I206" s="312"/>
      <c r="J206" s="312"/>
      <c r="K206" s="312"/>
      <c r="L206" s="312"/>
      <c r="M206" s="314"/>
      <c r="N206" s="312"/>
      <c r="O206" s="313"/>
    </row>
    <row r="207" spans="1:15" x14ac:dyDescent="0.25">
      <c r="A207" s="218"/>
      <c r="B207" s="218"/>
      <c r="C207" s="218"/>
      <c r="D207" s="218"/>
      <c r="E207" s="218"/>
      <c r="F207" s="311" t="s">
        <v>2</v>
      </c>
      <c r="G207" s="312"/>
      <c r="H207" s="312"/>
      <c r="I207" s="312"/>
      <c r="J207" s="312"/>
      <c r="K207" s="312"/>
      <c r="L207" s="312"/>
      <c r="M207" s="652">
        <f>Paràmetres!C5</f>
        <v>0</v>
      </c>
      <c r="N207" s="312"/>
      <c r="O207" s="313">
        <f>+O203*M207</f>
        <v>0</v>
      </c>
    </row>
    <row r="208" spans="1:15" x14ac:dyDescent="0.25">
      <c r="A208" s="218"/>
      <c r="B208" s="218"/>
      <c r="C208" s="218"/>
      <c r="D208" s="218"/>
      <c r="E208" s="218"/>
      <c r="F208" s="312"/>
      <c r="G208" s="312"/>
      <c r="H208" s="312"/>
      <c r="I208" s="312"/>
      <c r="J208" s="312"/>
      <c r="K208" s="312"/>
      <c r="L208" s="312"/>
      <c r="M208" s="314"/>
      <c r="N208" s="312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48</v>
      </c>
      <c r="G209" s="312"/>
      <c r="H209" s="312"/>
      <c r="I209" s="312"/>
      <c r="J209" s="312"/>
      <c r="K209" s="312"/>
      <c r="L209" s="312"/>
      <c r="M209" s="314"/>
      <c r="N209" s="312"/>
      <c r="O209" s="313">
        <f>+O203*M209</f>
        <v>0</v>
      </c>
    </row>
    <row r="210" spans="1:15" x14ac:dyDescent="0.25">
      <c r="A210" s="218"/>
      <c r="B210" s="218"/>
      <c r="C210" s="218"/>
      <c r="D210" s="218"/>
      <c r="E210" s="218"/>
      <c r="F210" s="312"/>
      <c r="G210" s="312"/>
      <c r="H210" s="312"/>
      <c r="I210" s="312"/>
      <c r="J210" s="312"/>
      <c r="K210" s="312"/>
      <c r="L210" s="312"/>
      <c r="M210" s="314"/>
      <c r="N210" s="312"/>
      <c r="O210" s="313"/>
    </row>
    <row r="211" spans="1:15" x14ac:dyDescent="0.25">
      <c r="A211" s="218"/>
      <c r="B211" s="218"/>
      <c r="C211" s="218"/>
      <c r="D211" s="218"/>
      <c r="E211" s="218"/>
      <c r="F211" s="311" t="s">
        <v>76</v>
      </c>
      <c r="G211" s="312"/>
      <c r="H211" s="312"/>
      <c r="I211" s="312"/>
      <c r="J211" s="312"/>
      <c r="K211" s="312"/>
      <c r="L211" s="312"/>
      <c r="M211" s="314"/>
      <c r="N211" s="312"/>
      <c r="O211" s="313">
        <f>+O203*M211</f>
        <v>0</v>
      </c>
    </row>
    <row r="212" spans="1:15" x14ac:dyDescent="0.25">
      <c r="A212" s="218"/>
      <c r="B212" s="218"/>
      <c r="C212" s="218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310"/>
    </row>
    <row r="213" spans="1:15" x14ac:dyDescent="0.25">
      <c r="A213" s="218"/>
      <c r="B213" s="218"/>
      <c r="C213" s="218"/>
      <c r="D213" s="218"/>
      <c r="E213" s="218"/>
      <c r="F213" s="315" t="s">
        <v>270</v>
      </c>
      <c r="G213" s="316"/>
      <c r="H213" s="316"/>
      <c r="I213" s="316"/>
      <c r="J213" s="316"/>
      <c r="K213" s="316"/>
      <c r="L213" s="316"/>
      <c r="M213" s="316"/>
      <c r="N213" s="316"/>
      <c r="O213" s="317">
        <f>SUM(O203:O211)+O186</f>
        <v>1107.1875</v>
      </c>
    </row>
    <row r="214" spans="1:15" x14ac:dyDescent="0.25">
      <c r="A214" s="218"/>
      <c r="B214" s="218"/>
      <c r="C214" s="218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310"/>
    </row>
    <row r="215" spans="1:15" x14ac:dyDescent="0.25">
      <c r="A215" s="218"/>
      <c r="B215" s="218"/>
      <c r="C215" s="218"/>
      <c r="D215" s="218"/>
      <c r="E215" s="218"/>
      <c r="F215" s="311" t="s">
        <v>4</v>
      </c>
      <c r="G215" s="312"/>
      <c r="H215" s="312"/>
      <c r="I215" s="312"/>
      <c r="J215" s="312"/>
      <c r="K215" s="312"/>
      <c r="L215" s="312"/>
      <c r="M215" s="314">
        <v>0.1</v>
      </c>
      <c r="N215" s="312"/>
      <c r="O215" s="313">
        <f>+O213*M215</f>
        <v>110.71875</v>
      </c>
    </row>
    <row r="216" spans="1:15" x14ac:dyDescent="0.25">
      <c r="A216" s="218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310"/>
    </row>
    <row r="217" spans="1:15" x14ac:dyDescent="0.25">
      <c r="A217" s="218"/>
      <c r="B217" s="218"/>
      <c r="C217" s="218"/>
      <c r="D217" s="218"/>
      <c r="E217" s="218"/>
      <c r="F217" s="315" t="s">
        <v>49</v>
      </c>
      <c r="G217" s="316"/>
      <c r="H217" s="316"/>
      <c r="I217" s="316"/>
      <c r="J217" s="316"/>
      <c r="K217" s="316"/>
      <c r="L217" s="316"/>
      <c r="M217" s="316"/>
      <c r="N217" s="316"/>
      <c r="O217" s="317">
        <f>+O213+O215</f>
        <v>1217.90625</v>
      </c>
    </row>
    <row r="218" spans="1:15" x14ac:dyDescent="0.25">
      <c r="A218" s="218"/>
      <c r="B218" s="218"/>
      <c r="C218" s="218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</row>
    <row r="219" spans="1:15" x14ac:dyDescent="0.25">
      <c r="A219" s="218"/>
      <c r="B219" s="218"/>
      <c r="C219" s="218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</row>
    <row r="220" spans="1:15" x14ac:dyDescent="0.25">
      <c r="A220" s="218"/>
      <c r="B220" s="218"/>
      <c r="C220" s="218"/>
      <c r="D220" s="218"/>
      <c r="E220" s="218"/>
      <c r="F220" s="315" t="s">
        <v>50</v>
      </c>
      <c r="G220" s="316"/>
      <c r="H220" s="316"/>
      <c r="I220" s="316"/>
      <c r="J220" s="316"/>
      <c r="K220" s="316"/>
      <c r="L220" s="316"/>
      <c r="M220" s="316"/>
      <c r="N220" s="316"/>
      <c r="O220" s="317" t="s">
        <v>51</v>
      </c>
    </row>
    <row r="221" spans="1:15" x14ac:dyDescent="0.25">
      <c r="A221" s="218"/>
      <c r="B221" s="218"/>
      <c r="C221" s="218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</row>
    <row r="222" spans="1:15" x14ac:dyDescent="0.25">
      <c r="A222" s="218"/>
      <c r="B222" s="218"/>
      <c r="C222" s="218"/>
      <c r="D222" s="218"/>
      <c r="E222" s="218"/>
      <c r="F222" s="218" t="s">
        <v>52</v>
      </c>
      <c r="G222" s="218"/>
      <c r="H222" s="218"/>
      <c r="I222" s="218"/>
      <c r="J222" s="218"/>
      <c r="K222" s="218"/>
      <c r="L222" s="218"/>
      <c r="M222" s="218"/>
      <c r="N222" s="218"/>
      <c r="O222" s="313">
        <f>+O75*(1+M205+M207)*(1+M215)</f>
        <v>0</v>
      </c>
    </row>
    <row r="223" spans="1:15" x14ac:dyDescent="0.25">
      <c r="A223" s="218"/>
      <c r="B223" s="218"/>
      <c r="C223" s="218"/>
      <c r="D223" s="218"/>
      <c r="E223" s="218"/>
      <c r="F223" s="218" t="s">
        <v>53</v>
      </c>
      <c r="G223" s="218"/>
      <c r="H223" s="218"/>
      <c r="I223" s="218"/>
      <c r="J223" s="218"/>
      <c r="K223" s="218"/>
      <c r="L223" s="218"/>
      <c r="M223" s="218"/>
      <c r="N223" s="218"/>
      <c r="O223" s="313">
        <f>+(O129+O181)*(1+M205+M207)*(1+M215)</f>
        <v>0</v>
      </c>
    </row>
    <row r="224" spans="1:15" x14ac:dyDescent="0.25">
      <c r="A224" s="218"/>
      <c r="B224" s="218"/>
      <c r="C224" s="218"/>
      <c r="D224" s="218"/>
      <c r="E224" s="218"/>
      <c r="F224" s="218" t="s">
        <v>54</v>
      </c>
      <c r="G224" s="218"/>
      <c r="H224" s="218"/>
      <c r="I224" s="218"/>
      <c r="J224" s="218"/>
      <c r="K224" s="218"/>
      <c r="L224" s="218"/>
      <c r="M224" s="218"/>
      <c r="N224" s="218"/>
      <c r="O224" s="313"/>
    </row>
    <row r="225" spans="1:15" x14ac:dyDescent="0.25">
      <c r="A225" s="218"/>
      <c r="B225" s="218"/>
      <c r="C225" s="218"/>
      <c r="D225" s="218"/>
      <c r="E225" s="218"/>
      <c r="F225" s="311" t="s">
        <v>55</v>
      </c>
      <c r="G225" s="312"/>
      <c r="H225" s="312"/>
      <c r="I225" s="312"/>
      <c r="J225" s="312"/>
      <c r="K225" s="312"/>
      <c r="L225" s="312"/>
      <c r="M225" s="312"/>
      <c r="N225" s="312"/>
      <c r="O225" s="313">
        <f>G75</f>
        <v>0</v>
      </c>
    </row>
    <row r="226" spans="1:15" x14ac:dyDescent="0.25">
      <c r="A226" s="218"/>
      <c r="B226" s="218"/>
      <c r="C226" s="218"/>
      <c r="D226" s="218"/>
      <c r="E226" s="218"/>
      <c r="F226" s="311" t="s">
        <v>56</v>
      </c>
      <c r="G226" s="312"/>
      <c r="H226" s="312"/>
      <c r="I226" s="312"/>
      <c r="J226" s="312"/>
      <c r="K226" s="312"/>
      <c r="L226" s="312"/>
      <c r="M226" s="312"/>
      <c r="N226" s="312"/>
      <c r="O226" s="313">
        <f>+O225*6.16667</f>
        <v>0</v>
      </c>
    </row>
    <row r="227" spans="1:15" x14ac:dyDescent="0.25">
      <c r="A227" s="218"/>
      <c r="B227" s="218"/>
      <c r="C227" s="218"/>
      <c r="D227" s="218"/>
      <c r="E227" s="218"/>
      <c r="F227" s="218" t="s">
        <v>57</v>
      </c>
      <c r="G227" s="218"/>
      <c r="H227" s="218"/>
      <c r="I227" s="218"/>
      <c r="J227" s="218"/>
      <c r="K227" s="218"/>
      <c r="L227" s="218"/>
      <c r="M227" s="218"/>
      <c r="N227" s="218"/>
      <c r="O227" s="313" t="e">
        <f>+O217/O225</f>
        <v>#DIV/0!</v>
      </c>
    </row>
    <row r="228" spans="1:15" x14ac:dyDescent="0.25">
      <c r="A228" s="218"/>
      <c r="B228" s="218"/>
      <c r="C228" s="218"/>
      <c r="D228" s="218"/>
      <c r="E228" s="218"/>
      <c r="F228" s="218" t="s">
        <v>58</v>
      </c>
      <c r="G228" s="218"/>
      <c r="H228" s="218"/>
      <c r="I228" s="218"/>
      <c r="J228" s="218"/>
      <c r="K228" s="218"/>
      <c r="L228" s="218"/>
      <c r="M228" s="218"/>
      <c r="N228" s="218"/>
      <c r="O228" s="313" t="e">
        <f>+O217/O226</f>
        <v>#DIV/0!</v>
      </c>
    </row>
    <row r="229" spans="1:15" x14ac:dyDescent="0.25">
      <c r="O229" s="318"/>
    </row>
  </sheetData>
  <sheetProtection algorithmName="SHA-512" hashValue="Qu/10qAOW0UpZlpRQU663gSt/+c8H2bK+3G/us1hl9QWDlWbAJDfit4k9oJDyvZTenRBLzqs58m023zpRTrBmA==" saltValue="LvTW6LmwqR0QzCHdcUkYvA==" spinCount="100000" sheet="1" objects="1" scenarios="1" selectLockedCells="1"/>
  <mergeCells count="177">
    <mergeCell ref="A14:B14"/>
    <mergeCell ref="A15:B15"/>
    <mergeCell ref="A16:B16"/>
    <mergeCell ref="A17:B17"/>
    <mergeCell ref="A18:B18"/>
    <mergeCell ref="A19:B19"/>
    <mergeCell ref="A5:O5"/>
    <mergeCell ref="A7:B8"/>
    <mergeCell ref="A10:B10"/>
    <mergeCell ref="A11:B11"/>
    <mergeCell ref="A12:B12"/>
    <mergeCell ref="A13:B13"/>
    <mergeCell ref="A26:B26"/>
    <mergeCell ref="A27:B27"/>
    <mergeCell ref="A28:B28"/>
    <mergeCell ref="A29:B29"/>
    <mergeCell ref="A30:B30"/>
    <mergeCell ref="A32:B32"/>
    <mergeCell ref="A20:B20"/>
    <mergeCell ref="A21:B21"/>
    <mergeCell ref="A22:B22"/>
    <mergeCell ref="A23:B23"/>
    <mergeCell ref="A24:B24"/>
    <mergeCell ref="A25:B25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51:B51"/>
    <mergeCell ref="A52:B52"/>
    <mergeCell ref="A54:B54"/>
    <mergeCell ref="A55:B55"/>
    <mergeCell ref="A56:B56"/>
    <mergeCell ref="A57:B57"/>
    <mergeCell ref="A45:B45"/>
    <mergeCell ref="A46:B46"/>
    <mergeCell ref="A47:B47"/>
    <mergeCell ref="A48:B48"/>
    <mergeCell ref="A49:B49"/>
    <mergeCell ref="A50:B50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82:B82"/>
    <mergeCell ref="A83:B83"/>
    <mergeCell ref="A84:B84"/>
    <mergeCell ref="A85:B85"/>
    <mergeCell ref="A86:B86"/>
    <mergeCell ref="A87:B87"/>
    <mergeCell ref="A70:B70"/>
    <mergeCell ref="A71:B71"/>
    <mergeCell ref="A72:B72"/>
    <mergeCell ref="A73:B73"/>
    <mergeCell ref="A74:B74"/>
    <mergeCell ref="A79:B80"/>
    <mergeCell ref="A94:B94"/>
    <mergeCell ref="A95:B95"/>
    <mergeCell ref="A96:B96"/>
    <mergeCell ref="A98:B98"/>
    <mergeCell ref="A99:B99"/>
    <mergeCell ref="A100:B100"/>
    <mergeCell ref="A88:B88"/>
    <mergeCell ref="A89:B89"/>
    <mergeCell ref="A90:B90"/>
    <mergeCell ref="A91:B91"/>
    <mergeCell ref="A92:B92"/>
    <mergeCell ref="A93:B93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36:B136"/>
    <mergeCell ref="A137:B137"/>
    <mergeCell ref="A138:B138"/>
    <mergeCell ref="A139:B139"/>
    <mergeCell ref="A140:B140"/>
    <mergeCell ref="A141:B141"/>
    <mergeCell ref="A126:B126"/>
    <mergeCell ref="A127:B127"/>
    <mergeCell ref="A128:B128"/>
    <mergeCell ref="A131:B132"/>
    <mergeCell ref="A134:B134"/>
    <mergeCell ref="A135:B135"/>
    <mergeCell ref="A148:B148"/>
    <mergeCell ref="A150:B150"/>
    <mergeCell ref="A151:B151"/>
    <mergeCell ref="A152:B152"/>
    <mergeCell ref="A153:B153"/>
    <mergeCell ref="A154:B154"/>
    <mergeCell ref="A142:B142"/>
    <mergeCell ref="A143:B143"/>
    <mergeCell ref="A144:B144"/>
    <mergeCell ref="A145:B145"/>
    <mergeCell ref="A146:B146"/>
    <mergeCell ref="A147:B147"/>
    <mergeCell ref="A161:B161"/>
    <mergeCell ref="A162:B162"/>
    <mergeCell ref="A163:B163"/>
    <mergeCell ref="A164:B164"/>
    <mergeCell ref="A166:B166"/>
    <mergeCell ref="A167:B167"/>
    <mergeCell ref="A155:B155"/>
    <mergeCell ref="A156:B156"/>
    <mergeCell ref="A157:B157"/>
    <mergeCell ref="A158:B158"/>
    <mergeCell ref="A159:B159"/>
    <mergeCell ref="A160:B160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G183:G184"/>
    <mergeCell ref="K183:K184"/>
    <mergeCell ref="M183:M184"/>
    <mergeCell ref="N183:N184"/>
    <mergeCell ref="O183:O184"/>
    <mergeCell ref="A185:B185"/>
    <mergeCell ref="A180:B180"/>
    <mergeCell ref="A183:B184"/>
    <mergeCell ref="C183:C184"/>
    <mergeCell ref="D183:D184"/>
    <mergeCell ref="E183:E184"/>
    <mergeCell ref="F183:F184"/>
    <mergeCell ref="A198:B198"/>
    <mergeCell ref="A199:B199"/>
    <mergeCell ref="A200:B200"/>
    <mergeCell ref="A188:B189"/>
    <mergeCell ref="A190:B190"/>
    <mergeCell ref="A193:B194"/>
    <mergeCell ref="A195:B195"/>
    <mergeCell ref="A196:B196"/>
    <mergeCell ref="A197:B19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1" manualBreakCount="1">
    <brk id="129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09F0-DD8B-4413-915F-38EAACFFFE46}">
  <sheetPr>
    <tabColor theme="0"/>
  </sheetPr>
  <dimension ref="A1:O213"/>
  <sheetViews>
    <sheetView showGridLines="0" topLeftCell="A7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220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232" t="s">
        <v>195</v>
      </c>
      <c r="B10" s="233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s="153" customFormat="1" x14ac:dyDescent="0.25">
      <c r="A11" s="763" t="s">
        <v>88</v>
      </c>
      <c r="B11" s="76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s="153" customFormat="1" x14ac:dyDescent="0.25">
      <c r="A12" s="734" t="s">
        <v>72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491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153" customFormat="1" x14ac:dyDescent="0.25">
      <c r="A13" s="764" t="s">
        <v>89</v>
      </c>
      <c r="B13" s="764"/>
      <c r="C13" s="137"/>
      <c r="D13" s="241"/>
      <c r="E13" s="139"/>
      <c r="F13" s="241"/>
      <c r="G13" s="273"/>
      <c r="H13" s="273"/>
      <c r="I13" s="273"/>
      <c r="J13" s="273"/>
      <c r="K13" s="320"/>
      <c r="L13" s="320"/>
      <c r="M13" s="139"/>
      <c r="N13" s="238"/>
      <c r="O13" s="239"/>
    </row>
    <row r="14" spans="1:15" s="153" customFormat="1" x14ac:dyDescent="0.25">
      <c r="A14" s="734" t="s">
        <v>72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491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s="153" customForma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34"/>
      <c r="O15" s="234"/>
    </row>
    <row r="16" spans="1:15" s="153" customFormat="1" x14ac:dyDescent="0.25">
      <c r="A16" s="765" t="s">
        <v>88</v>
      </c>
      <c r="B16" s="765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34"/>
      <c r="O16" s="234"/>
    </row>
    <row r="17" spans="1:15" s="153" customFormat="1" x14ac:dyDescent="0.25">
      <c r="A17" s="734" t="s">
        <v>72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491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s="153" customForma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34"/>
      <c r="O18" s="234"/>
    </row>
    <row r="19" spans="1:15" s="153" customFormat="1" x14ac:dyDescent="0.25">
      <c r="A19" s="734" t="s">
        <v>72</v>
      </c>
      <c r="B19" s="734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491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s="153" customFormat="1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34"/>
      <c r="O20" s="234"/>
    </row>
    <row r="21" spans="1:15" s="153" customFormat="1" x14ac:dyDescent="0.25">
      <c r="A21" s="765" t="s">
        <v>88</v>
      </c>
      <c r="B21" s="765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34"/>
      <c r="O21" s="234"/>
    </row>
    <row r="22" spans="1:15" s="153" customFormat="1" x14ac:dyDescent="0.25">
      <c r="A22" s="734" t="s">
        <v>72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491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s="153" customFormat="1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34"/>
      <c r="O23" s="234"/>
    </row>
    <row r="24" spans="1:15" s="153" customFormat="1" x14ac:dyDescent="0.25">
      <c r="A24" s="734" t="s">
        <v>72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491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s="153" customFormat="1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s="153" customFormat="1" x14ac:dyDescent="0.25">
      <c r="A26" s="762" t="s">
        <v>195</v>
      </c>
      <c r="B26" s="762"/>
      <c r="C26" s="241"/>
      <c r="D26" s="241"/>
      <c r="E26" s="241"/>
      <c r="F26" s="234"/>
      <c r="G26" s="234"/>
      <c r="H26" s="234"/>
      <c r="I26" s="234"/>
      <c r="J26" s="234"/>
      <c r="K26" s="241"/>
      <c r="L26" s="241"/>
      <c r="M26" s="241"/>
      <c r="N26" s="234"/>
      <c r="O26" s="234"/>
    </row>
    <row r="27" spans="1:15" s="153" customFormat="1" x14ac:dyDescent="0.25">
      <c r="A27" s="765" t="s">
        <v>88</v>
      </c>
      <c r="B27" s="765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34"/>
      <c r="O27" s="234"/>
    </row>
    <row r="28" spans="1:15" s="153" customFormat="1" x14ac:dyDescent="0.25">
      <c r="A28" s="734" t="s">
        <v>72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491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s="153" customFormat="1" x14ac:dyDescent="0.25">
      <c r="A29" s="764" t="s">
        <v>89</v>
      </c>
      <c r="B29" s="764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139"/>
      <c r="N29" s="234"/>
      <c r="O29" s="234"/>
    </row>
    <row r="30" spans="1:15" s="153" customFormat="1" x14ac:dyDescent="0.25">
      <c r="A30" s="734" t="s">
        <v>72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491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34"/>
      <c r="O31" s="234"/>
    </row>
    <row r="32" spans="1:15" s="153" customFormat="1" x14ac:dyDescent="0.25">
      <c r="A32" s="765" t="s">
        <v>88</v>
      </c>
      <c r="B32" s="765"/>
      <c r="C32" s="137"/>
      <c r="D32" s="241"/>
      <c r="E32" s="139"/>
      <c r="F32" s="241"/>
      <c r="G32" s="273"/>
      <c r="H32" s="273"/>
      <c r="I32" s="273"/>
      <c r="J32" s="273"/>
      <c r="K32" s="320"/>
      <c r="L32" s="320"/>
      <c r="M32" s="241"/>
      <c r="N32" s="238"/>
      <c r="O32" s="239"/>
    </row>
    <row r="33" spans="1:15" s="153" customFormat="1" x14ac:dyDescent="0.25">
      <c r="A33" s="734" t="s">
        <v>72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491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s="153" customFormat="1" x14ac:dyDescent="0.25">
      <c r="A34" s="764" t="s">
        <v>89</v>
      </c>
      <c r="B34" s="764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34"/>
      <c r="O34" s="234"/>
    </row>
    <row r="35" spans="1:15" s="153" customFormat="1" x14ac:dyDescent="0.25">
      <c r="A35" s="734" t="s">
        <v>72</v>
      </c>
      <c r="B35" s="734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491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s="153" customFormat="1" x14ac:dyDescent="0.25">
      <c r="A36" s="762" t="s">
        <v>197</v>
      </c>
      <c r="B36" s="762"/>
      <c r="C36" s="137"/>
      <c r="D36" s="241"/>
      <c r="E36" s="139"/>
      <c r="F36" s="241"/>
      <c r="G36" s="273"/>
      <c r="H36" s="273"/>
      <c r="I36" s="273"/>
      <c r="J36" s="273"/>
      <c r="K36" s="320"/>
      <c r="L36" s="320"/>
      <c r="M36" s="241"/>
      <c r="N36" s="238"/>
      <c r="O36" s="239"/>
    </row>
    <row r="37" spans="1:15" s="153" customFormat="1" x14ac:dyDescent="0.25">
      <c r="A37" s="765" t="s">
        <v>88</v>
      </c>
      <c r="B37" s="765"/>
      <c r="C37" s="137"/>
      <c r="D37" s="241"/>
      <c r="E37" s="139"/>
      <c r="F37" s="241"/>
      <c r="G37" s="273"/>
      <c r="H37" s="273"/>
      <c r="I37" s="273"/>
      <c r="J37" s="273"/>
      <c r="K37" s="320"/>
      <c r="L37" s="320"/>
      <c r="M37" s="241"/>
      <c r="N37" s="238"/>
      <c r="O37" s="239"/>
    </row>
    <row r="38" spans="1:15" s="153" customFormat="1" x14ac:dyDescent="0.25">
      <c r="A38" s="734" t="s">
        <v>72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491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s="153" customFormat="1" x14ac:dyDescent="0.25">
      <c r="A39" s="764" t="s">
        <v>89</v>
      </c>
      <c r="B39" s="764"/>
      <c r="C39" s="137"/>
      <c r="D39" s="241"/>
      <c r="E39" s="139"/>
      <c r="F39" s="241"/>
      <c r="G39" s="273"/>
      <c r="H39" s="273"/>
      <c r="I39" s="273"/>
      <c r="J39" s="273"/>
      <c r="K39" s="320"/>
      <c r="L39" s="320"/>
      <c r="M39" s="241"/>
      <c r="N39" s="238"/>
      <c r="O39" s="239"/>
    </row>
    <row r="40" spans="1:15" s="153" customFormat="1" x14ac:dyDescent="0.25">
      <c r="A40" s="734" t="s">
        <v>72</v>
      </c>
      <c r="B40" s="734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491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s="153" customFormat="1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s="153" customFormat="1" x14ac:dyDescent="0.25">
      <c r="A42" s="762" t="s">
        <v>195</v>
      </c>
      <c r="B42" s="762"/>
      <c r="C42" s="137"/>
      <c r="D42" s="138"/>
      <c r="E42" s="139"/>
      <c r="F42" s="234"/>
      <c r="G42" s="235"/>
      <c r="H42" s="235"/>
      <c r="I42" s="235"/>
      <c r="J42" s="235"/>
      <c r="K42" s="320"/>
      <c r="L42" s="320"/>
      <c r="M42" s="139"/>
      <c r="N42" s="238"/>
      <c r="O42" s="239"/>
    </row>
    <row r="43" spans="1:15" s="153" customFormat="1" x14ac:dyDescent="0.25">
      <c r="A43" s="763" t="s">
        <v>88</v>
      </c>
      <c r="B43" s="763"/>
      <c r="C43" s="137"/>
      <c r="D43" s="138"/>
      <c r="E43" s="139"/>
      <c r="F43" s="234"/>
      <c r="G43" s="235"/>
      <c r="H43" s="235"/>
      <c r="I43" s="235"/>
      <c r="J43" s="235"/>
      <c r="K43" s="320"/>
      <c r="L43" s="320"/>
      <c r="M43" s="139"/>
      <c r="N43" s="238"/>
      <c r="O43" s="239"/>
    </row>
    <row r="44" spans="1:15" s="153" customFormat="1" x14ac:dyDescent="0.25">
      <c r="A44" s="734" t="s">
        <v>72</v>
      </c>
      <c r="B44" s="734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s="153" customFormat="1" x14ac:dyDescent="0.25">
      <c r="A45" s="770" t="s">
        <v>89</v>
      </c>
      <c r="B45" s="770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139"/>
      <c r="N45" s="234"/>
      <c r="O45" s="234"/>
    </row>
    <row r="46" spans="1:15" s="240" customFormat="1" x14ac:dyDescent="0.25">
      <c r="A46" s="734" t="s">
        <v>72</v>
      </c>
      <c r="B46" s="734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237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s="240" customFormat="1" x14ac:dyDescent="0.25">
      <c r="A47" s="762" t="s">
        <v>196</v>
      </c>
      <c r="B47" s="762"/>
      <c r="C47" s="137"/>
      <c r="D47" s="241"/>
      <c r="E47" s="139"/>
      <c r="F47" s="241"/>
      <c r="G47" s="273"/>
      <c r="H47" s="273"/>
      <c r="I47" s="273"/>
      <c r="J47" s="273"/>
      <c r="K47" s="320"/>
      <c r="L47" s="320"/>
      <c r="M47" s="241"/>
      <c r="N47" s="238"/>
      <c r="O47" s="239"/>
    </row>
    <row r="48" spans="1:15" s="153" customFormat="1" x14ac:dyDescent="0.25">
      <c r="A48" s="763" t="s">
        <v>88</v>
      </c>
      <c r="B48" s="763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34"/>
      <c r="O48" s="234"/>
    </row>
    <row r="49" spans="1:15" s="240" customFormat="1" x14ac:dyDescent="0.25">
      <c r="A49" s="734" t="s">
        <v>72</v>
      </c>
      <c r="B49" s="734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70" t="s">
        <v>89</v>
      </c>
      <c r="B50" s="770"/>
      <c r="C50" s="137"/>
      <c r="D50" s="241"/>
      <c r="E50" s="139"/>
      <c r="F50" s="241"/>
      <c r="G50" s="273"/>
      <c r="H50" s="273"/>
      <c r="I50" s="273"/>
      <c r="J50" s="273"/>
      <c r="K50" s="320"/>
      <c r="L50" s="320"/>
      <c r="M50" s="241"/>
      <c r="N50" s="238"/>
      <c r="O50" s="239"/>
    </row>
    <row r="51" spans="1:15" s="153" customFormat="1" x14ac:dyDescent="0.25">
      <c r="A51" s="734" t="s">
        <v>72</v>
      </c>
      <c r="B51" s="734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153" customFormat="1" x14ac:dyDescent="0.25">
      <c r="A52" s="762" t="s">
        <v>197</v>
      </c>
      <c r="B52" s="762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34"/>
      <c r="O52" s="234"/>
    </row>
    <row r="53" spans="1:15" s="240" customFormat="1" x14ac:dyDescent="0.25">
      <c r="A53" s="763" t="s">
        <v>88</v>
      </c>
      <c r="B53" s="763"/>
      <c r="C53" s="137"/>
      <c r="D53" s="241"/>
      <c r="E53" s="139"/>
      <c r="F53" s="241"/>
      <c r="G53" s="273"/>
      <c r="H53" s="273"/>
      <c r="I53" s="273"/>
      <c r="J53" s="273"/>
      <c r="K53" s="320"/>
      <c r="L53" s="320"/>
      <c r="M53" s="241"/>
      <c r="N53" s="238"/>
      <c r="O53" s="239"/>
    </row>
    <row r="54" spans="1:15" s="240" customFormat="1" x14ac:dyDescent="0.25">
      <c r="A54" s="734" t="s">
        <v>72</v>
      </c>
      <c r="B54" s="734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237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s="153" customFormat="1" x14ac:dyDescent="0.25">
      <c r="A55" s="770" t="s">
        <v>89</v>
      </c>
      <c r="B55" s="770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34"/>
      <c r="O55" s="234"/>
    </row>
    <row r="56" spans="1:15" s="240" customFormat="1" x14ac:dyDescent="0.25">
      <c r="A56" s="734" t="s">
        <v>72</v>
      </c>
      <c r="B56" s="734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$K$12+Personal!D38</f>
        <v>0</v>
      </c>
      <c r="L56" s="237">
        <f>+K56/C56</f>
        <v>0</v>
      </c>
      <c r="M56" s="238" t="s">
        <v>90</v>
      </c>
      <c r="N56" s="238" t="s">
        <v>42</v>
      </c>
      <c r="O56" s="239">
        <f>+K56*G56</f>
        <v>0</v>
      </c>
    </row>
    <row r="57" spans="1:15" x14ac:dyDescent="0.25">
      <c r="A57" s="402"/>
      <c r="B57" s="324"/>
      <c r="C57" s="324"/>
      <c r="D57" s="324"/>
      <c r="E57" s="323" t="s">
        <v>45</v>
      </c>
      <c r="F57" s="324"/>
      <c r="G57" s="324">
        <f>SUM(G12:G56)</f>
        <v>0</v>
      </c>
      <c r="H57" s="324"/>
      <c r="I57" s="324">
        <f>SUM(I12:I56)</f>
        <v>0</v>
      </c>
      <c r="J57" s="324">
        <f>SUM(J12:J56)</f>
        <v>0</v>
      </c>
      <c r="K57" s="324"/>
      <c r="L57" s="324"/>
      <c r="M57" s="324"/>
      <c r="N57" s="324"/>
      <c r="O57" s="403">
        <f>SUM(O12:O56)</f>
        <v>0</v>
      </c>
    </row>
    <row r="58" spans="1:15" x14ac:dyDescent="0.25">
      <c r="A58" s="400"/>
      <c r="B58" s="327"/>
      <c r="C58" s="327"/>
      <c r="D58" s="327"/>
      <c r="E58" s="328"/>
      <c r="F58" s="258" t="s">
        <v>301</v>
      </c>
      <c r="G58" s="327">
        <f>G12+G14+G17+G19+G28+G30+G33+G35+G44+G46+G49+G51</f>
        <v>0</v>
      </c>
      <c r="H58" s="327"/>
      <c r="I58" s="327"/>
      <c r="J58" s="327"/>
      <c r="K58" s="327"/>
      <c r="L58" s="327"/>
      <c r="M58" s="327"/>
      <c r="N58" s="327"/>
      <c r="O58" s="401"/>
    </row>
    <row r="59" spans="1:15" x14ac:dyDescent="0.25">
      <c r="A59" s="400"/>
      <c r="B59" s="327"/>
      <c r="C59" s="327"/>
      <c r="D59" s="327"/>
      <c r="E59" s="328"/>
      <c r="F59" s="258" t="s">
        <v>302</v>
      </c>
      <c r="G59" s="327">
        <f>G22+G24+G38+G40+G54+G56</f>
        <v>0</v>
      </c>
      <c r="H59" s="327"/>
      <c r="I59" s="327"/>
      <c r="J59" s="327"/>
      <c r="K59" s="327"/>
      <c r="L59" s="327"/>
      <c r="M59" s="327"/>
      <c r="N59" s="327"/>
      <c r="O59" s="401"/>
    </row>
    <row r="60" spans="1:15" s="153" customFormat="1" ht="26.25" x14ac:dyDescent="0.4">
      <c r="A60" s="220" t="s">
        <v>211</v>
      </c>
      <c r="B60" s="221"/>
      <c r="C60" s="221"/>
      <c r="D60" s="223"/>
      <c r="E60" s="223"/>
      <c r="F60" s="223"/>
      <c r="G60" s="223"/>
      <c r="H60" s="223"/>
      <c r="I60" s="223"/>
      <c r="J60" s="223"/>
      <c r="K60" s="224"/>
      <c r="L60" s="224"/>
      <c r="M60" s="224"/>
      <c r="N60" s="224"/>
      <c r="O60" s="224"/>
    </row>
    <row r="61" spans="1:15" x14ac:dyDescent="0.25">
      <c r="A61" s="773" t="s">
        <v>20</v>
      </c>
      <c r="B61" s="773"/>
      <c r="C61" s="225" t="s">
        <v>27</v>
      </c>
      <c r="D61" s="225" t="s">
        <v>28</v>
      </c>
      <c r="E61" s="225" t="s">
        <v>21</v>
      </c>
      <c r="F61" s="225" t="s">
        <v>29</v>
      </c>
      <c r="G61" s="225"/>
      <c r="H61" s="225"/>
      <c r="I61" s="225"/>
      <c r="J61" s="225"/>
      <c r="K61" s="225" t="s">
        <v>30</v>
      </c>
      <c r="L61" s="225" t="s">
        <v>23</v>
      </c>
      <c r="M61" s="225" t="s">
        <v>31</v>
      </c>
      <c r="N61" s="225"/>
      <c r="O61" s="225" t="s">
        <v>32</v>
      </c>
    </row>
    <row r="62" spans="1:15" x14ac:dyDescent="0.25">
      <c r="A62" s="768"/>
      <c r="B62" s="768"/>
      <c r="C62" s="226" t="s">
        <v>44</v>
      </c>
      <c r="D62" s="226" t="s">
        <v>5</v>
      </c>
      <c r="E62" s="226" t="s">
        <v>24</v>
      </c>
      <c r="F62" s="227" t="s">
        <v>34</v>
      </c>
      <c r="G62" s="226" t="s">
        <v>35</v>
      </c>
      <c r="H62" s="226"/>
      <c r="I62" s="226"/>
      <c r="J62" s="226"/>
      <c r="K62" s="226" t="s">
        <v>36</v>
      </c>
      <c r="L62" s="228" t="s">
        <v>37</v>
      </c>
      <c r="M62" s="226" t="s">
        <v>38</v>
      </c>
      <c r="N62" s="226"/>
      <c r="O62" s="226" t="s">
        <v>40</v>
      </c>
    </row>
    <row r="63" spans="1:15" x14ac:dyDescent="0.25">
      <c r="A63" s="229" t="s">
        <v>198</v>
      </c>
      <c r="B63" s="230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</row>
    <row r="64" spans="1:15" x14ac:dyDescent="0.25">
      <c r="A64" s="232" t="s">
        <v>195</v>
      </c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x14ac:dyDescent="0.25">
      <c r="A65" s="763" t="s">
        <v>88</v>
      </c>
      <c r="B65" s="76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</row>
    <row r="66" spans="1:15" x14ac:dyDescent="0.25">
      <c r="A66" s="734" t="s">
        <v>218</v>
      </c>
      <c r="B66" s="734"/>
      <c r="C66" s="137">
        <v>6.1666699999999999</v>
      </c>
      <c r="D66" s="138">
        <v>1</v>
      </c>
      <c r="E66" s="139">
        <f>$E$12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'Seguro+combustible+reparacions'!F9</f>
        <v>0</v>
      </c>
      <c r="L66" s="491">
        <f>+K66/C66</f>
        <v>0</v>
      </c>
      <c r="M66" s="238" t="s">
        <v>41</v>
      </c>
      <c r="N66" s="238"/>
      <c r="O66" s="239">
        <f>+K66*G66</f>
        <v>0</v>
      </c>
    </row>
    <row r="67" spans="1:15" x14ac:dyDescent="0.25">
      <c r="A67" s="764" t="s">
        <v>89</v>
      </c>
      <c r="B67" s="764"/>
      <c r="C67" s="234"/>
      <c r="D67" s="234"/>
      <c r="E67" s="241"/>
      <c r="F67" s="241"/>
      <c r="G67" s="241"/>
      <c r="H67" s="241"/>
      <c r="I67" s="241"/>
      <c r="J67" s="241"/>
      <c r="K67" s="241"/>
      <c r="L67" s="241"/>
      <c r="M67" s="139"/>
      <c r="N67" s="234"/>
      <c r="O67" s="234"/>
    </row>
    <row r="68" spans="1:15" x14ac:dyDescent="0.25">
      <c r="A68" s="734" t="s">
        <v>218</v>
      </c>
      <c r="B68" s="734"/>
      <c r="C68" s="137">
        <v>6.1666699999999999</v>
      </c>
      <c r="D68" s="138">
        <v>1</v>
      </c>
      <c r="E68" s="139">
        <f>$E$14</f>
        <v>0</v>
      </c>
      <c r="F68" s="139">
        <f>Dies!$C$48</f>
        <v>95</v>
      </c>
      <c r="G68" s="273">
        <f>+D68*E68*F68</f>
        <v>0</v>
      </c>
      <c r="H68" s="273"/>
      <c r="I68" s="273"/>
      <c r="J68" s="273"/>
      <c r="K68" s="320">
        <f>$K$66</f>
        <v>0</v>
      </c>
      <c r="L68" s="491">
        <f>+K68/C68</f>
        <v>0</v>
      </c>
      <c r="M68" s="238" t="s">
        <v>90</v>
      </c>
      <c r="N68" s="238"/>
      <c r="O68" s="239">
        <f>+K68*G68</f>
        <v>0</v>
      </c>
    </row>
    <row r="69" spans="1:15" x14ac:dyDescent="0.25">
      <c r="A69" s="762" t="s">
        <v>196</v>
      </c>
      <c r="B69" s="762"/>
      <c r="C69" s="234"/>
      <c r="D69" s="234"/>
      <c r="E69" s="241"/>
      <c r="F69" s="241"/>
      <c r="G69" s="241"/>
      <c r="H69" s="241"/>
      <c r="I69" s="241"/>
      <c r="J69" s="241"/>
      <c r="K69" s="241"/>
      <c r="L69" s="241"/>
      <c r="M69" s="241"/>
      <c r="N69" s="234"/>
      <c r="O69" s="234"/>
    </row>
    <row r="70" spans="1:15" x14ac:dyDescent="0.25">
      <c r="A70" s="765" t="s">
        <v>88</v>
      </c>
      <c r="B70" s="765"/>
      <c r="C70" s="234"/>
      <c r="D70" s="234"/>
      <c r="E70" s="241"/>
      <c r="F70" s="241"/>
      <c r="G70" s="241"/>
      <c r="H70" s="241"/>
      <c r="I70" s="241"/>
      <c r="J70" s="241"/>
      <c r="K70" s="241"/>
      <c r="L70" s="241"/>
      <c r="M70" s="241"/>
      <c r="N70" s="234"/>
      <c r="O70" s="234"/>
    </row>
    <row r="71" spans="1:15" x14ac:dyDescent="0.25">
      <c r="A71" s="734" t="s">
        <v>218</v>
      </c>
      <c r="B71" s="734"/>
      <c r="C71" s="137">
        <v>6.1666699999999999</v>
      </c>
      <c r="D71" s="138">
        <v>1</v>
      </c>
      <c r="E71" s="139">
        <f>$E$17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$K$66</f>
        <v>0</v>
      </c>
      <c r="L71" s="491">
        <f>+K71/C71</f>
        <v>0</v>
      </c>
      <c r="M71" s="238" t="s">
        <v>41</v>
      </c>
      <c r="N71" s="238"/>
      <c r="O71" s="239">
        <f>+K71*G71</f>
        <v>0</v>
      </c>
    </row>
    <row r="72" spans="1:15" x14ac:dyDescent="0.25">
      <c r="A72" s="764" t="s">
        <v>89</v>
      </c>
      <c r="B72" s="764"/>
      <c r="C72" s="234"/>
      <c r="D72" s="234"/>
      <c r="E72" s="653"/>
      <c r="F72" s="241"/>
      <c r="G72" s="241"/>
      <c r="H72" s="241"/>
      <c r="I72" s="241"/>
      <c r="J72" s="241"/>
      <c r="K72" s="241"/>
      <c r="L72" s="241"/>
      <c r="M72" s="241"/>
      <c r="N72" s="234"/>
      <c r="O72" s="234"/>
    </row>
    <row r="73" spans="1:15" x14ac:dyDescent="0.25">
      <c r="A73" s="734" t="s">
        <v>218</v>
      </c>
      <c r="B73" s="734"/>
      <c r="C73" s="137">
        <v>6.1666699999999999</v>
      </c>
      <c r="D73" s="138">
        <v>1</v>
      </c>
      <c r="E73" s="139">
        <f>$E$19</f>
        <v>0</v>
      </c>
      <c r="F73" s="139">
        <f>Dies!$C$49</f>
        <v>20</v>
      </c>
      <c r="G73" s="273">
        <f>+D73*E73*F73</f>
        <v>0</v>
      </c>
      <c r="H73" s="273"/>
      <c r="I73" s="273"/>
      <c r="J73" s="273"/>
      <c r="K73" s="320">
        <f>$K$66</f>
        <v>0</v>
      </c>
      <c r="L73" s="491">
        <f>+K73/C73</f>
        <v>0</v>
      </c>
      <c r="M73" s="238" t="s">
        <v>90</v>
      </c>
      <c r="N73" s="238"/>
      <c r="O73" s="239">
        <f>+K73*G73</f>
        <v>0</v>
      </c>
    </row>
    <row r="74" spans="1:15" x14ac:dyDescent="0.25">
      <c r="A74" s="762" t="s">
        <v>197</v>
      </c>
      <c r="B74" s="762"/>
      <c r="C74" s="234"/>
      <c r="D74" s="234"/>
      <c r="E74" s="241"/>
      <c r="F74" s="241"/>
      <c r="G74" s="241"/>
      <c r="H74" s="241"/>
      <c r="I74" s="241"/>
      <c r="J74" s="241"/>
      <c r="K74" s="241"/>
      <c r="L74" s="241"/>
      <c r="M74" s="241"/>
      <c r="N74" s="234"/>
      <c r="O74" s="234"/>
    </row>
    <row r="75" spans="1:15" x14ac:dyDescent="0.25">
      <c r="A75" s="765" t="s">
        <v>88</v>
      </c>
      <c r="B75" s="765"/>
      <c r="C75" s="234"/>
      <c r="D75" s="234"/>
      <c r="E75" s="241"/>
      <c r="F75" s="241"/>
      <c r="G75" s="241"/>
      <c r="H75" s="241"/>
      <c r="I75" s="241"/>
      <c r="J75" s="241"/>
      <c r="K75" s="241"/>
      <c r="L75" s="241"/>
      <c r="M75" s="241"/>
      <c r="N75" s="234"/>
      <c r="O75" s="234"/>
    </row>
    <row r="76" spans="1:15" x14ac:dyDescent="0.25">
      <c r="A76" s="734" t="s">
        <v>218</v>
      </c>
      <c r="B76" s="734"/>
      <c r="C76" s="137">
        <v>6.1666699999999999</v>
      </c>
      <c r="D76" s="138">
        <v>1</v>
      </c>
      <c r="E76" s="139">
        <f>$E$22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$K$66</f>
        <v>0</v>
      </c>
      <c r="L76" s="491">
        <f>+K76/C76</f>
        <v>0</v>
      </c>
      <c r="M76" s="238" t="s">
        <v>41</v>
      </c>
      <c r="N76" s="238"/>
      <c r="O76" s="239">
        <f>+K76*G76</f>
        <v>0</v>
      </c>
    </row>
    <row r="77" spans="1:15" x14ac:dyDescent="0.25">
      <c r="A77" s="764" t="s">
        <v>89</v>
      </c>
      <c r="B77" s="764"/>
      <c r="C77" s="234"/>
      <c r="D77" s="234"/>
      <c r="E77" s="241"/>
      <c r="F77" s="241"/>
      <c r="G77" s="241"/>
      <c r="H77" s="241"/>
      <c r="I77" s="241"/>
      <c r="J77" s="241"/>
      <c r="K77" s="241"/>
      <c r="L77" s="241"/>
      <c r="M77" s="241"/>
      <c r="N77" s="234"/>
      <c r="O77" s="234"/>
    </row>
    <row r="78" spans="1:15" x14ac:dyDescent="0.25">
      <c r="A78" s="734" t="s">
        <v>218</v>
      </c>
      <c r="B78" s="734"/>
      <c r="C78" s="137">
        <v>6.1666699999999999</v>
      </c>
      <c r="D78" s="138">
        <v>1</v>
      </c>
      <c r="E78" s="139">
        <f>$E$24</f>
        <v>0</v>
      </c>
      <c r="F78" s="139">
        <f>Dies!$C$50</f>
        <v>20</v>
      </c>
      <c r="G78" s="273">
        <f>+D78*E78*F78</f>
        <v>0</v>
      </c>
      <c r="H78" s="273"/>
      <c r="I78" s="273"/>
      <c r="J78" s="273"/>
      <c r="K78" s="320">
        <f>$K$66</f>
        <v>0</v>
      </c>
      <c r="L78" s="491">
        <f>+K78/C78</f>
        <v>0</v>
      </c>
      <c r="M78" s="238" t="s">
        <v>90</v>
      </c>
      <c r="N78" s="238"/>
      <c r="O78" s="239">
        <f>+K78*G78</f>
        <v>0</v>
      </c>
    </row>
    <row r="79" spans="1:15" x14ac:dyDescent="0.25">
      <c r="A79" s="229" t="s">
        <v>199</v>
      </c>
      <c r="B79" s="242"/>
      <c r="C79" s="278"/>
      <c r="D79" s="278"/>
      <c r="E79" s="278"/>
      <c r="F79" s="245"/>
      <c r="G79" s="278"/>
      <c r="H79" s="278"/>
      <c r="I79" s="278"/>
      <c r="J79" s="278"/>
      <c r="K79" s="278"/>
      <c r="L79" s="278"/>
      <c r="M79" s="278"/>
      <c r="N79" s="278"/>
      <c r="O79" s="278"/>
    </row>
    <row r="80" spans="1:15" x14ac:dyDescent="0.25">
      <c r="A80" s="762" t="s">
        <v>195</v>
      </c>
      <c r="B80" s="762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</row>
    <row r="81" spans="1:15" x14ac:dyDescent="0.25">
      <c r="A81" s="765" t="s">
        <v>88</v>
      </c>
      <c r="B81" s="765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</row>
    <row r="82" spans="1:15" x14ac:dyDescent="0.25">
      <c r="A82" s="734" t="s">
        <v>218</v>
      </c>
      <c r="B82" s="734"/>
      <c r="C82" s="137">
        <v>6.1666699999999999</v>
      </c>
      <c r="D82" s="138">
        <v>1</v>
      </c>
      <c r="E82" s="139">
        <f>$E$28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$K$66</f>
        <v>0</v>
      </c>
      <c r="L82" s="237">
        <f>+K82/C82</f>
        <v>0</v>
      </c>
      <c r="M82" s="238" t="s">
        <v>41</v>
      </c>
      <c r="N82" s="238"/>
      <c r="O82" s="239">
        <f>+K82*G82</f>
        <v>0</v>
      </c>
    </row>
    <row r="83" spans="1:15" x14ac:dyDescent="0.25">
      <c r="A83" s="764" t="s">
        <v>89</v>
      </c>
      <c r="B83" s="764"/>
      <c r="C83" s="234"/>
      <c r="D83" s="234"/>
      <c r="E83" s="241"/>
      <c r="F83" s="241"/>
      <c r="G83" s="241"/>
      <c r="H83" s="241"/>
      <c r="I83" s="241"/>
      <c r="J83" s="241"/>
      <c r="K83" s="241"/>
      <c r="L83" s="234"/>
      <c r="M83" s="139"/>
      <c r="N83" s="234"/>
      <c r="O83" s="234"/>
    </row>
    <row r="84" spans="1:15" x14ac:dyDescent="0.25">
      <c r="A84" s="734" t="s">
        <v>218</v>
      </c>
      <c r="B84" s="734"/>
      <c r="C84" s="137">
        <v>6.1666699999999999</v>
      </c>
      <c r="D84" s="138">
        <v>1</v>
      </c>
      <c r="E84" s="139">
        <f>$E$30</f>
        <v>0</v>
      </c>
      <c r="F84" s="139">
        <f>Dies!$C$53</f>
        <v>77</v>
      </c>
      <c r="G84" s="273">
        <f>+D84*E84*F84</f>
        <v>0</v>
      </c>
      <c r="H84" s="273"/>
      <c r="I84" s="273"/>
      <c r="J84" s="273"/>
      <c r="K84" s="320">
        <f>$K$66</f>
        <v>0</v>
      </c>
      <c r="L84" s="237">
        <f>+K84/C84</f>
        <v>0</v>
      </c>
      <c r="M84" s="238" t="s">
        <v>90</v>
      </c>
      <c r="N84" s="238"/>
      <c r="O84" s="239">
        <f>+K84*G84</f>
        <v>0</v>
      </c>
    </row>
    <row r="85" spans="1:15" x14ac:dyDescent="0.25">
      <c r="A85" s="762" t="s">
        <v>196</v>
      </c>
      <c r="B85" s="762"/>
      <c r="C85" s="234"/>
      <c r="D85" s="234"/>
      <c r="E85" s="147"/>
      <c r="F85" s="241"/>
      <c r="G85" s="241"/>
      <c r="H85" s="241"/>
      <c r="I85" s="241"/>
      <c r="J85" s="241"/>
      <c r="K85" s="241"/>
      <c r="L85" s="234"/>
      <c r="M85" s="241"/>
      <c r="N85" s="234"/>
      <c r="O85" s="234"/>
    </row>
    <row r="86" spans="1:15" x14ac:dyDescent="0.25">
      <c r="A86" s="765" t="s">
        <v>88</v>
      </c>
      <c r="B86" s="765"/>
      <c r="C86" s="234"/>
      <c r="D86" s="234"/>
      <c r="E86" s="147"/>
      <c r="F86" s="241"/>
      <c r="G86" s="241"/>
      <c r="H86" s="241"/>
      <c r="I86" s="241"/>
      <c r="J86" s="241"/>
      <c r="K86" s="241"/>
      <c r="L86" s="234"/>
      <c r="M86" s="241"/>
      <c r="N86" s="234"/>
      <c r="O86" s="234"/>
    </row>
    <row r="87" spans="1:15" x14ac:dyDescent="0.25">
      <c r="A87" s="734" t="s">
        <v>218</v>
      </c>
      <c r="B87" s="734"/>
      <c r="C87" s="137">
        <v>6.1666699999999999</v>
      </c>
      <c r="D87" s="138">
        <v>1</v>
      </c>
      <c r="E87" s="139">
        <f>$E$33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$K$66</f>
        <v>0</v>
      </c>
      <c r="L87" s="237">
        <f>+K87/C87</f>
        <v>0</v>
      </c>
      <c r="M87" s="238" t="s">
        <v>41</v>
      </c>
      <c r="N87" s="238"/>
      <c r="O87" s="239">
        <f>+K87*G87</f>
        <v>0</v>
      </c>
    </row>
    <row r="88" spans="1:15" x14ac:dyDescent="0.25">
      <c r="A88" s="764" t="s">
        <v>89</v>
      </c>
      <c r="B88" s="764"/>
      <c r="C88" s="234"/>
      <c r="D88" s="234"/>
      <c r="E88" s="147"/>
      <c r="F88" s="241"/>
      <c r="G88" s="241"/>
      <c r="H88" s="241"/>
      <c r="I88" s="241"/>
      <c r="J88" s="241"/>
      <c r="K88" s="241"/>
      <c r="L88" s="234"/>
      <c r="M88" s="241"/>
      <c r="N88" s="234"/>
      <c r="O88" s="234"/>
    </row>
    <row r="89" spans="1:15" x14ac:dyDescent="0.25">
      <c r="A89" s="734" t="s">
        <v>218</v>
      </c>
      <c r="B89" s="734"/>
      <c r="C89" s="137">
        <v>6.1666699999999999</v>
      </c>
      <c r="D89" s="138">
        <v>1</v>
      </c>
      <c r="E89" s="139">
        <f>$E$35</f>
        <v>0</v>
      </c>
      <c r="F89" s="139">
        <f>Dies!$C$54</f>
        <v>15</v>
      </c>
      <c r="G89" s="273">
        <f>+D89*E89*F89</f>
        <v>0</v>
      </c>
      <c r="H89" s="273"/>
      <c r="I89" s="273"/>
      <c r="J89" s="273"/>
      <c r="K89" s="320">
        <f>$K$66</f>
        <v>0</v>
      </c>
      <c r="L89" s="237">
        <f>+K89/C89</f>
        <v>0</v>
      </c>
      <c r="M89" s="238" t="s">
        <v>90</v>
      </c>
      <c r="N89" s="238"/>
      <c r="O89" s="239">
        <f>+K89*G89</f>
        <v>0</v>
      </c>
    </row>
    <row r="90" spans="1:15" x14ac:dyDescent="0.25">
      <c r="A90" s="762" t="s">
        <v>197</v>
      </c>
      <c r="B90" s="762"/>
      <c r="C90" s="234"/>
      <c r="D90" s="234"/>
      <c r="E90" s="147"/>
      <c r="F90" s="241"/>
      <c r="G90" s="241"/>
      <c r="H90" s="241"/>
      <c r="I90" s="241"/>
      <c r="J90" s="241"/>
      <c r="K90" s="241"/>
      <c r="L90" s="234"/>
      <c r="M90" s="241"/>
      <c r="N90" s="234"/>
      <c r="O90" s="234"/>
    </row>
    <row r="91" spans="1:15" x14ac:dyDescent="0.25">
      <c r="A91" s="765" t="s">
        <v>88</v>
      </c>
      <c r="B91" s="765"/>
      <c r="C91" s="180"/>
      <c r="D91" s="180"/>
      <c r="E91" s="147"/>
      <c r="F91" s="241"/>
      <c r="G91" s="664"/>
      <c r="H91" s="664"/>
      <c r="I91" s="664"/>
      <c r="J91" s="664"/>
      <c r="K91" s="664"/>
      <c r="L91" s="180"/>
      <c r="M91" s="241"/>
      <c r="N91" s="180"/>
      <c r="O91" s="180"/>
    </row>
    <row r="92" spans="1:15" x14ac:dyDescent="0.25">
      <c r="A92" s="734" t="s">
        <v>218</v>
      </c>
      <c r="B92" s="734"/>
      <c r="C92" s="137">
        <v>6.1666699999999999</v>
      </c>
      <c r="D92" s="138">
        <v>1</v>
      </c>
      <c r="E92" s="139">
        <f>$E$38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$K$66</f>
        <v>0</v>
      </c>
      <c r="L92" s="237">
        <f>+K92/C92</f>
        <v>0</v>
      </c>
      <c r="M92" s="238" t="s">
        <v>41</v>
      </c>
      <c r="N92" s="238"/>
      <c r="O92" s="239">
        <f>+K92*G92</f>
        <v>0</v>
      </c>
    </row>
    <row r="93" spans="1:15" x14ac:dyDescent="0.25">
      <c r="A93" s="764" t="s">
        <v>89</v>
      </c>
      <c r="B93" s="764"/>
      <c r="C93" s="234"/>
      <c r="D93" s="234"/>
      <c r="E93" s="147"/>
      <c r="F93" s="241"/>
      <c r="G93" s="241"/>
      <c r="H93" s="241"/>
      <c r="I93" s="241"/>
      <c r="J93" s="241"/>
      <c r="K93" s="241"/>
      <c r="L93" s="234"/>
      <c r="M93" s="241"/>
      <c r="N93" s="234"/>
      <c r="O93" s="234"/>
    </row>
    <row r="94" spans="1:15" s="153" customFormat="1" x14ac:dyDescent="0.25">
      <c r="A94" s="734" t="s">
        <v>218</v>
      </c>
      <c r="B94" s="734"/>
      <c r="C94" s="137">
        <v>6.1666699999999999</v>
      </c>
      <c r="D94" s="138">
        <v>1</v>
      </c>
      <c r="E94" s="139">
        <f>$E$40</f>
        <v>0</v>
      </c>
      <c r="F94" s="139">
        <f>Dies!$C$55</f>
        <v>15</v>
      </c>
      <c r="G94" s="273">
        <f>+D94*E94*F94</f>
        <v>0</v>
      </c>
      <c r="H94" s="273"/>
      <c r="I94" s="273"/>
      <c r="J94" s="273"/>
      <c r="K94" s="320">
        <f>$K$66</f>
        <v>0</v>
      </c>
      <c r="L94" s="237">
        <f>+K94/C94</f>
        <v>0</v>
      </c>
      <c r="M94" s="238" t="s">
        <v>90</v>
      </c>
      <c r="N94" s="238"/>
      <c r="O94" s="239">
        <f>+K94*G94</f>
        <v>0</v>
      </c>
    </row>
    <row r="95" spans="1:15" s="153" customFormat="1" x14ac:dyDescent="0.25">
      <c r="A95" s="229" t="s">
        <v>326</v>
      </c>
      <c r="B95" s="242"/>
      <c r="C95" s="278"/>
      <c r="D95" s="278"/>
      <c r="E95" s="278"/>
      <c r="F95" s="245"/>
      <c r="G95" s="278"/>
      <c r="H95" s="278"/>
      <c r="I95" s="278"/>
      <c r="J95" s="278"/>
      <c r="K95" s="278"/>
      <c r="L95" s="278"/>
      <c r="M95" s="278"/>
      <c r="N95" s="278"/>
      <c r="O95" s="278"/>
    </row>
    <row r="96" spans="1:15" s="153" customFormat="1" x14ac:dyDescent="0.25">
      <c r="A96" s="762" t="s">
        <v>195</v>
      </c>
      <c r="B96" s="762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</row>
    <row r="97" spans="1:15" s="153" customFormat="1" x14ac:dyDescent="0.25">
      <c r="A97" s="763" t="s">
        <v>88</v>
      </c>
      <c r="B97" s="763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</row>
    <row r="98" spans="1:15" s="153" customFormat="1" x14ac:dyDescent="0.25">
      <c r="A98" s="734" t="s">
        <v>218</v>
      </c>
      <c r="B98" s="734"/>
      <c r="C98" s="137">
        <v>6.1666699999999999</v>
      </c>
      <c r="D98" s="138">
        <v>1</v>
      </c>
      <c r="E98" s="139">
        <f>$E$44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$K$66</f>
        <v>0</v>
      </c>
      <c r="L98" s="491">
        <f>+K98/C98</f>
        <v>0</v>
      </c>
      <c r="M98" s="238" t="s">
        <v>41</v>
      </c>
      <c r="N98" s="238"/>
      <c r="O98" s="239">
        <f>+K98*G98</f>
        <v>0</v>
      </c>
    </row>
    <row r="99" spans="1:15" s="153" customFormat="1" x14ac:dyDescent="0.25">
      <c r="A99" s="770" t="s">
        <v>89</v>
      </c>
      <c r="B99" s="770"/>
      <c r="C99" s="234"/>
      <c r="D99" s="234"/>
      <c r="E99" s="147"/>
      <c r="F99" s="241"/>
      <c r="G99" s="241"/>
      <c r="H99" s="241"/>
      <c r="I99" s="241"/>
      <c r="J99" s="241"/>
      <c r="K99" s="241"/>
      <c r="L99" s="241"/>
      <c r="M99" s="139"/>
      <c r="N99" s="234"/>
      <c r="O99" s="234"/>
    </row>
    <row r="100" spans="1:15" s="153" customFormat="1" x14ac:dyDescent="0.25">
      <c r="A100" s="734" t="s">
        <v>218</v>
      </c>
      <c r="B100" s="734"/>
      <c r="C100" s="137">
        <v>6.1666699999999999</v>
      </c>
      <c r="D100" s="138">
        <v>1</v>
      </c>
      <c r="E100" s="139">
        <f>$E$46</f>
        <v>0</v>
      </c>
      <c r="F100" s="139">
        <f>Dies!$C$58</f>
        <v>89</v>
      </c>
      <c r="G100" s="273">
        <f>+D100*E100*F100</f>
        <v>0</v>
      </c>
      <c r="H100" s="273"/>
      <c r="I100" s="273"/>
      <c r="J100" s="273"/>
      <c r="K100" s="320">
        <f>$K$66</f>
        <v>0</v>
      </c>
      <c r="L100" s="491">
        <f>+K100/C100</f>
        <v>0</v>
      </c>
      <c r="M100" s="238" t="s">
        <v>90</v>
      </c>
      <c r="N100" s="238"/>
      <c r="O100" s="239">
        <f>+K100*G100</f>
        <v>0</v>
      </c>
    </row>
    <row r="101" spans="1:15" s="153" customFormat="1" x14ac:dyDescent="0.25">
      <c r="A101" s="762" t="s">
        <v>196</v>
      </c>
      <c r="B101" s="762"/>
      <c r="C101" s="234"/>
      <c r="D101" s="234"/>
      <c r="E101" s="147"/>
      <c r="F101" s="241"/>
      <c r="G101" s="241"/>
      <c r="H101" s="241"/>
      <c r="I101" s="241"/>
      <c r="J101" s="241"/>
      <c r="K101" s="241"/>
      <c r="L101" s="241"/>
      <c r="M101" s="241"/>
      <c r="N101" s="234"/>
      <c r="O101" s="234"/>
    </row>
    <row r="102" spans="1:15" s="153" customFormat="1" x14ac:dyDescent="0.25">
      <c r="A102" s="763" t="s">
        <v>88</v>
      </c>
      <c r="B102" s="763"/>
      <c r="C102" s="234"/>
      <c r="D102" s="234"/>
      <c r="E102" s="147"/>
      <c r="F102" s="241"/>
      <c r="G102" s="241"/>
      <c r="H102" s="241"/>
      <c r="I102" s="241"/>
      <c r="J102" s="241"/>
      <c r="K102" s="241"/>
      <c r="L102" s="241"/>
      <c r="M102" s="241"/>
      <c r="N102" s="234"/>
      <c r="O102" s="234"/>
    </row>
    <row r="103" spans="1:15" s="153" customFormat="1" x14ac:dyDescent="0.25">
      <c r="A103" s="734" t="s">
        <v>218</v>
      </c>
      <c r="B103" s="734"/>
      <c r="C103" s="137">
        <v>6.1666699999999999</v>
      </c>
      <c r="D103" s="138">
        <v>1</v>
      </c>
      <c r="E103" s="139">
        <f>$E$49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$K$66</f>
        <v>0</v>
      </c>
      <c r="L103" s="491">
        <f>+K103/C103</f>
        <v>0</v>
      </c>
      <c r="M103" s="238" t="s">
        <v>41</v>
      </c>
      <c r="N103" s="238"/>
      <c r="O103" s="239">
        <f>+K103*G103</f>
        <v>0</v>
      </c>
    </row>
    <row r="104" spans="1:15" s="153" customFormat="1" x14ac:dyDescent="0.25">
      <c r="A104" s="770" t="s">
        <v>89</v>
      </c>
      <c r="B104" s="770"/>
      <c r="C104" s="234"/>
      <c r="D104" s="234"/>
      <c r="E104" s="147"/>
      <c r="F104" s="241"/>
      <c r="G104" s="241"/>
      <c r="H104" s="241"/>
      <c r="I104" s="241"/>
      <c r="J104" s="241"/>
      <c r="K104" s="241"/>
      <c r="L104" s="241"/>
      <c r="M104" s="241"/>
      <c r="N104" s="234"/>
      <c r="O104" s="234"/>
    </row>
    <row r="105" spans="1:15" s="153" customFormat="1" x14ac:dyDescent="0.25">
      <c r="A105" s="734" t="s">
        <v>218</v>
      </c>
      <c r="B105" s="734"/>
      <c r="C105" s="137">
        <v>6.1666699999999999</v>
      </c>
      <c r="D105" s="138">
        <v>1</v>
      </c>
      <c r="E105" s="139">
        <f>$E$51</f>
        <v>0</v>
      </c>
      <c r="F105" s="139">
        <f>Dies!$C$59</f>
        <v>17</v>
      </c>
      <c r="G105" s="273">
        <f>+D105*E105*F105</f>
        <v>0</v>
      </c>
      <c r="H105" s="273"/>
      <c r="I105" s="273"/>
      <c r="J105" s="273"/>
      <c r="K105" s="320">
        <f>$K$66</f>
        <v>0</v>
      </c>
      <c r="L105" s="491">
        <f>+K105/C105</f>
        <v>0</v>
      </c>
      <c r="M105" s="238" t="s">
        <v>90</v>
      </c>
      <c r="N105" s="238"/>
      <c r="O105" s="239">
        <f>+K105*G105</f>
        <v>0</v>
      </c>
    </row>
    <row r="106" spans="1:15" s="153" customFormat="1" x14ac:dyDescent="0.25">
      <c r="A106" s="762" t="s">
        <v>197</v>
      </c>
      <c r="B106" s="762"/>
      <c r="C106" s="234"/>
      <c r="D106" s="234"/>
      <c r="E106" s="147"/>
      <c r="F106" s="241"/>
      <c r="G106" s="241"/>
      <c r="H106" s="241"/>
      <c r="I106" s="241"/>
      <c r="J106" s="241"/>
      <c r="K106" s="241"/>
      <c r="L106" s="241"/>
      <c r="M106" s="241"/>
      <c r="N106" s="234"/>
      <c r="O106" s="234"/>
    </row>
    <row r="107" spans="1:15" s="153" customFormat="1" x14ac:dyDescent="0.25">
      <c r="A107" s="763" t="s">
        <v>88</v>
      </c>
      <c r="B107" s="763"/>
      <c r="C107" s="234"/>
      <c r="D107" s="234"/>
      <c r="E107" s="147"/>
      <c r="F107" s="241"/>
      <c r="G107" s="241"/>
      <c r="H107" s="241"/>
      <c r="I107" s="241"/>
      <c r="J107" s="241"/>
      <c r="K107" s="241"/>
      <c r="L107" s="241"/>
      <c r="M107" s="241"/>
      <c r="N107" s="234"/>
      <c r="O107" s="234"/>
    </row>
    <row r="108" spans="1:15" s="153" customFormat="1" x14ac:dyDescent="0.25">
      <c r="A108" s="734" t="s">
        <v>218</v>
      </c>
      <c r="B108" s="734"/>
      <c r="C108" s="137">
        <v>6.1666699999999999</v>
      </c>
      <c r="D108" s="138">
        <v>1</v>
      </c>
      <c r="E108" s="139">
        <f>$E$54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$K$66</f>
        <v>0</v>
      </c>
      <c r="L108" s="491">
        <f>+K108/C108</f>
        <v>0</v>
      </c>
      <c r="M108" s="238" t="s">
        <v>41</v>
      </c>
      <c r="N108" s="238"/>
      <c r="O108" s="239">
        <f>+K108*G108</f>
        <v>0</v>
      </c>
    </row>
    <row r="109" spans="1:15" s="153" customFormat="1" x14ac:dyDescent="0.25">
      <c r="A109" s="770" t="s">
        <v>89</v>
      </c>
      <c r="B109" s="770"/>
      <c r="C109" s="234"/>
      <c r="D109" s="234"/>
      <c r="E109" s="241"/>
      <c r="F109" s="241"/>
      <c r="G109" s="241"/>
      <c r="H109" s="241"/>
      <c r="I109" s="241"/>
      <c r="J109" s="241"/>
      <c r="K109" s="241"/>
      <c r="L109" s="241"/>
      <c r="M109" s="241"/>
      <c r="N109" s="234"/>
      <c r="O109" s="234"/>
    </row>
    <row r="110" spans="1:15" s="153" customFormat="1" x14ac:dyDescent="0.25">
      <c r="A110" s="734" t="s">
        <v>218</v>
      </c>
      <c r="B110" s="734"/>
      <c r="C110" s="137">
        <v>6.1666699999999999</v>
      </c>
      <c r="D110" s="138">
        <v>1</v>
      </c>
      <c r="E110" s="139">
        <f>$E$56</f>
        <v>0</v>
      </c>
      <c r="F110" s="139">
        <f>Dies!$C$60</f>
        <v>17</v>
      </c>
      <c r="G110" s="273">
        <f>+D110*E110*F110</f>
        <v>0</v>
      </c>
      <c r="H110" s="273"/>
      <c r="I110" s="273"/>
      <c r="J110" s="273"/>
      <c r="K110" s="320">
        <f>$K$66</f>
        <v>0</v>
      </c>
      <c r="L110" s="491">
        <f>+K110/C110</f>
        <v>0</v>
      </c>
      <c r="M110" s="238" t="s">
        <v>90</v>
      </c>
      <c r="N110" s="238"/>
      <c r="O110" s="239">
        <f>+K110*G110</f>
        <v>0</v>
      </c>
    </row>
    <row r="111" spans="1:15" x14ac:dyDescent="0.25">
      <c r="A111" s="402"/>
      <c r="B111" s="324"/>
      <c r="C111" s="324"/>
      <c r="D111" s="324"/>
      <c r="E111" s="323" t="s">
        <v>46</v>
      </c>
      <c r="F111" s="324"/>
      <c r="G111" s="324"/>
      <c r="H111" s="324"/>
      <c r="I111" s="324"/>
      <c r="J111" s="324"/>
      <c r="K111" s="324"/>
      <c r="L111" s="324"/>
      <c r="M111" s="324"/>
      <c r="N111" s="324"/>
      <c r="O111" s="403">
        <f>SUM(O66:O110)</f>
        <v>0</v>
      </c>
    </row>
    <row r="112" spans="1:15" s="153" customFormat="1" ht="26.25" x14ac:dyDescent="0.4">
      <c r="A112" s="220" t="s">
        <v>212</v>
      </c>
      <c r="B112" s="221"/>
      <c r="C112" s="221"/>
      <c r="D112" s="223"/>
      <c r="E112" s="223"/>
      <c r="F112" s="223"/>
      <c r="G112" s="223"/>
      <c r="H112" s="223"/>
      <c r="I112" s="223"/>
      <c r="J112" s="223"/>
      <c r="K112" s="224"/>
      <c r="L112" s="224"/>
      <c r="M112" s="224"/>
      <c r="N112" s="224"/>
      <c r="O112" s="404"/>
    </row>
    <row r="113" spans="1:15" x14ac:dyDescent="0.25">
      <c r="A113" s="773" t="s">
        <v>20</v>
      </c>
      <c r="B113" s="773"/>
      <c r="C113" s="225" t="s">
        <v>27</v>
      </c>
      <c r="D113" s="225" t="s">
        <v>28</v>
      </c>
      <c r="E113" s="225" t="s">
        <v>21</v>
      </c>
      <c r="F113" s="225" t="s">
        <v>29</v>
      </c>
      <c r="G113" s="225"/>
      <c r="H113" s="225"/>
      <c r="I113" s="225"/>
      <c r="J113" s="225"/>
      <c r="K113" s="225" t="s">
        <v>30</v>
      </c>
      <c r="L113" s="225" t="s">
        <v>23</v>
      </c>
      <c r="M113" s="225" t="s">
        <v>31</v>
      </c>
      <c r="N113" s="225"/>
      <c r="O113" s="405" t="s">
        <v>32</v>
      </c>
    </row>
    <row r="114" spans="1:15" x14ac:dyDescent="0.25">
      <c r="A114" s="768"/>
      <c r="B114" s="768"/>
      <c r="C114" s="226" t="s">
        <v>44</v>
      </c>
      <c r="D114" s="226" t="s">
        <v>5</v>
      </c>
      <c r="E114" s="226" t="s">
        <v>24</v>
      </c>
      <c r="F114" s="227" t="s">
        <v>34</v>
      </c>
      <c r="G114" s="226" t="s">
        <v>35</v>
      </c>
      <c r="H114" s="226"/>
      <c r="I114" s="226"/>
      <c r="J114" s="226"/>
      <c r="K114" s="226" t="s">
        <v>36</v>
      </c>
      <c r="L114" s="228" t="s">
        <v>37</v>
      </c>
      <c r="M114" s="226" t="s">
        <v>38</v>
      </c>
      <c r="N114" s="226"/>
      <c r="O114" s="453" t="s">
        <v>40</v>
      </c>
    </row>
    <row r="115" spans="1:15" s="153" customFormat="1" x14ac:dyDescent="0.25">
      <c r="A115" s="229" t="s">
        <v>198</v>
      </c>
      <c r="B115" s="230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</row>
    <row r="116" spans="1:15" s="153" customFormat="1" x14ac:dyDescent="0.25">
      <c r="A116" s="232" t="s">
        <v>195</v>
      </c>
      <c r="B116" s="233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</row>
    <row r="117" spans="1:15" s="153" customFormat="1" x14ac:dyDescent="0.25">
      <c r="A117" s="763" t="s">
        <v>88</v>
      </c>
      <c r="B117" s="763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</row>
    <row r="118" spans="1:15" s="153" customFormat="1" x14ac:dyDescent="0.25">
      <c r="A118" s="734" t="s">
        <v>218</v>
      </c>
      <c r="B118" s="734"/>
      <c r="C118" s="137">
        <v>6.1666699999999999</v>
      </c>
      <c r="D118" s="138">
        <v>1</v>
      </c>
      <c r="E118" s="139">
        <f>$E$12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'Seguro+combustible+reparacions'!G9</f>
        <v>0</v>
      </c>
      <c r="L118" s="237">
        <f>+K118/C118</f>
        <v>0</v>
      </c>
      <c r="M118" s="238" t="s">
        <v>41</v>
      </c>
      <c r="N118" s="238"/>
      <c r="O118" s="239">
        <f>+K118*G118</f>
        <v>0</v>
      </c>
    </row>
    <row r="119" spans="1:15" s="153" customFormat="1" x14ac:dyDescent="0.25">
      <c r="A119" s="764" t="s">
        <v>89</v>
      </c>
      <c r="B119" s="764"/>
      <c r="C119" s="234"/>
      <c r="D119" s="234"/>
      <c r="E119" s="241"/>
      <c r="F119" s="241"/>
      <c r="G119" s="241"/>
      <c r="H119" s="241"/>
      <c r="I119" s="241"/>
      <c r="J119" s="241"/>
      <c r="K119" s="241"/>
      <c r="L119" s="234"/>
      <c r="M119" s="139"/>
      <c r="N119" s="234"/>
      <c r="O119" s="234"/>
    </row>
    <row r="120" spans="1:15" s="153" customFormat="1" x14ac:dyDescent="0.25">
      <c r="A120" s="734" t="s">
        <v>218</v>
      </c>
      <c r="B120" s="734"/>
      <c r="C120" s="137">
        <v>6.1666699999999999</v>
      </c>
      <c r="D120" s="138">
        <v>1</v>
      </c>
      <c r="E120" s="139">
        <f>$E$14</f>
        <v>0</v>
      </c>
      <c r="F120" s="139">
        <f>Dies!$C$48</f>
        <v>95</v>
      </c>
      <c r="G120" s="273">
        <f>+D120*E120*F120</f>
        <v>0</v>
      </c>
      <c r="H120" s="273"/>
      <c r="I120" s="273"/>
      <c r="J120" s="273"/>
      <c r="K120" s="320">
        <f>$K$118</f>
        <v>0</v>
      </c>
      <c r="L120" s="237">
        <f>+K120/C120</f>
        <v>0</v>
      </c>
      <c r="M120" s="238" t="s">
        <v>90</v>
      </c>
      <c r="N120" s="238"/>
      <c r="O120" s="239">
        <f>+K120*G120</f>
        <v>0</v>
      </c>
    </row>
    <row r="121" spans="1:15" s="153" customFormat="1" x14ac:dyDescent="0.25">
      <c r="A121" s="762" t="s">
        <v>196</v>
      </c>
      <c r="B121" s="762"/>
      <c r="C121" s="234"/>
      <c r="D121" s="234"/>
      <c r="E121" s="241"/>
      <c r="F121" s="241"/>
      <c r="G121" s="241"/>
      <c r="H121" s="241"/>
      <c r="I121" s="241"/>
      <c r="J121" s="241"/>
      <c r="K121" s="241"/>
      <c r="L121" s="234"/>
      <c r="M121" s="241"/>
      <c r="N121" s="234"/>
      <c r="O121" s="234"/>
    </row>
    <row r="122" spans="1:15" s="153" customFormat="1" x14ac:dyDescent="0.25">
      <c r="A122" s="765" t="s">
        <v>88</v>
      </c>
      <c r="B122" s="765"/>
      <c r="C122" s="234"/>
      <c r="D122" s="234"/>
      <c r="E122" s="241"/>
      <c r="F122" s="241"/>
      <c r="G122" s="241"/>
      <c r="H122" s="241"/>
      <c r="I122" s="241"/>
      <c r="J122" s="241"/>
      <c r="K122" s="241"/>
      <c r="L122" s="234"/>
      <c r="M122" s="241"/>
      <c r="N122" s="234"/>
      <c r="O122" s="234"/>
    </row>
    <row r="123" spans="1:15" s="153" customFormat="1" x14ac:dyDescent="0.25">
      <c r="A123" s="734" t="s">
        <v>218</v>
      </c>
      <c r="B123" s="734"/>
      <c r="C123" s="137">
        <v>6.1666699999999999</v>
      </c>
      <c r="D123" s="138">
        <v>1</v>
      </c>
      <c r="E123" s="139">
        <f>$E$17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$K$118</f>
        <v>0</v>
      </c>
      <c r="L123" s="237">
        <f>+K123/C123</f>
        <v>0</v>
      </c>
      <c r="M123" s="238" t="s">
        <v>41</v>
      </c>
      <c r="N123" s="238"/>
      <c r="O123" s="239">
        <f>+K123*G123</f>
        <v>0</v>
      </c>
    </row>
    <row r="124" spans="1:15" s="153" customFormat="1" x14ac:dyDescent="0.25">
      <c r="A124" s="764" t="s">
        <v>89</v>
      </c>
      <c r="B124" s="764"/>
      <c r="C124" s="234"/>
      <c r="D124" s="234"/>
      <c r="E124" s="653"/>
      <c r="F124" s="241"/>
      <c r="G124" s="241"/>
      <c r="H124" s="241"/>
      <c r="I124" s="241"/>
      <c r="J124" s="241"/>
      <c r="K124" s="241"/>
      <c r="L124" s="234"/>
      <c r="M124" s="241"/>
      <c r="N124" s="234"/>
      <c r="O124" s="234"/>
    </row>
    <row r="125" spans="1:15" s="153" customFormat="1" x14ac:dyDescent="0.25">
      <c r="A125" s="734" t="s">
        <v>218</v>
      </c>
      <c r="B125" s="734"/>
      <c r="C125" s="137">
        <v>6.1666699999999999</v>
      </c>
      <c r="D125" s="138">
        <v>1</v>
      </c>
      <c r="E125" s="139">
        <f>$E$19</f>
        <v>0</v>
      </c>
      <c r="F125" s="139">
        <f>Dies!$C$49</f>
        <v>20</v>
      </c>
      <c r="G125" s="273">
        <f>+D125*E125*F125</f>
        <v>0</v>
      </c>
      <c r="H125" s="273"/>
      <c r="I125" s="273"/>
      <c r="J125" s="273"/>
      <c r="K125" s="320">
        <f>$K$118</f>
        <v>0</v>
      </c>
      <c r="L125" s="237">
        <f>+K125/C125</f>
        <v>0</v>
      </c>
      <c r="M125" s="238" t="s">
        <v>90</v>
      </c>
      <c r="N125" s="238"/>
      <c r="O125" s="239">
        <f>+K125*G125</f>
        <v>0</v>
      </c>
    </row>
    <row r="126" spans="1:15" s="153" customFormat="1" x14ac:dyDescent="0.25">
      <c r="A126" s="762" t="s">
        <v>197</v>
      </c>
      <c r="B126" s="762"/>
      <c r="C126" s="234"/>
      <c r="D126" s="234"/>
      <c r="E126" s="241"/>
      <c r="F126" s="241"/>
      <c r="G126" s="241"/>
      <c r="H126" s="241"/>
      <c r="I126" s="241"/>
      <c r="J126" s="241"/>
      <c r="K126" s="241"/>
      <c r="L126" s="234"/>
      <c r="M126" s="241"/>
      <c r="N126" s="234"/>
      <c r="O126" s="234"/>
    </row>
    <row r="127" spans="1:15" s="153" customFormat="1" x14ac:dyDescent="0.25">
      <c r="A127" s="765" t="s">
        <v>88</v>
      </c>
      <c r="B127" s="765"/>
      <c r="C127" s="234"/>
      <c r="D127" s="234"/>
      <c r="E127" s="241"/>
      <c r="F127" s="241"/>
      <c r="G127" s="241"/>
      <c r="H127" s="241"/>
      <c r="I127" s="241"/>
      <c r="J127" s="241"/>
      <c r="K127" s="241"/>
      <c r="L127" s="234"/>
      <c r="M127" s="241"/>
      <c r="N127" s="234"/>
      <c r="O127" s="234"/>
    </row>
    <row r="128" spans="1:15" s="153" customFormat="1" x14ac:dyDescent="0.25">
      <c r="A128" s="734" t="s">
        <v>218</v>
      </c>
      <c r="B128" s="734"/>
      <c r="C128" s="137">
        <v>6.1666699999999999</v>
      </c>
      <c r="D128" s="138">
        <v>1</v>
      </c>
      <c r="E128" s="139">
        <f>$E$22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$K$118</f>
        <v>0</v>
      </c>
      <c r="L128" s="237">
        <f>+K128/C128</f>
        <v>0</v>
      </c>
      <c r="M128" s="238" t="s">
        <v>41</v>
      </c>
      <c r="N128" s="238"/>
      <c r="O128" s="239">
        <f>+K128*G128</f>
        <v>0</v>
      </c>
    </row>
    <row r="129" spans="1:15" s="153" customFormat="1" x14ac:dyDescent="0.25">
      <c r="A129" s="764" t="s">
        <v>89</v>
      </c>
      <c r="B129" s="764"/>
      <c r="C129" s="234"/>
      <c r="D129" s="234"/>
      <c r="E129" s="241"/>
      <c r="F129" s="241"/>
      <c r="G129" s="241"/>
      <c r="H129" s="241"/>
      <c r="I129" s="241"/>
      <c r="J129" s="241"/>
      <c r="K129" s="241"/>
      <c r="L129" s="234"/>
      <c r="M129" s="241"/>
      <c r="N129" s="234"/>
      <c r="O129" s="234"/>
    </row>
    <row r="130" spans="1:15" s="153" customFormat="1" x14ac:dyDescent="0.25">
      <c r="A130" s="734" t="s">
        <v>218</v>
      </c>
      <c r="B130" s="734"/>
      <c r="C130" s="137">
        <v>6.1666699999999999</v>
      </c>
      <c r="D130" s="138">
        <v>1</v>
      </c>
      <c r="E130" s="139">
        <f>$E$24</f>
        <v>0</v>
      </c>
      <c r="F130" s="139">
        <f>Dies!$C$50</f>
        <v>20</v>
      </c>
      <c r="G130" s="273">
        <f>+D130*E130*F130</f>
        <v>0</v>
      </c>
      <c r="H130" s="273"/>
      <c r="I130" s="273"/>
      <c r="J130" s="273"/>
      <c r="K130" s="320">
        <f>$K$118</f>
        <v>0</v>
      </c>
      <c r="L130" s="237">
        <f>+K130/C130</f>
        <v>0</v>
      </c>
      <c r="M130" s="238" t="s">
        <v>90</v>
      </c>
      <c r="N130" s="238"/>
      <c r="O130" s="239">
        <f>+K130*G130</f>
        <v>0</v>
      </c>
    </row>
    <row r="131" spans="1:15" s="153" customFormat="1" x14ac:dyDescent="0.25">
      <c r="A131" s="229" t="s">
        <v>199</v>
      </c>
      <c r="B131" s="242"/>
      <c r="C131" s="278"/>
      <c r="D131" s="278"/>
      <c r="E131" s="278"/>
      <c r="F131" s="245"/>
      <c r="G131" s="278"/>
      <c r="H131" s="278"/>
      <c r="I131" s="278"/>
      <c r="J131" s="278"/>
      <c r="K131" s="278"/>
      <c r="L131" s="278"/>
      <c r="M131" s="278"/>
      <c r="N131" s="278"/>
      <c r="O131" s="278"/>
    </row>
    <row r="132" spans="1:15" s="153" customFormat="1" x14ac:dyDescent="0.25">
      <c r="A132" s="762" t="s">
        <v>195</v>
      </c>
      <c r="B132" s="762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</row>
    <row r="133" spans="1:15" s="153" customFormat="1" x14ac:dyDescent="0.25">
      <c r="A133" s="765" t="s">
        <v>88</v>
      </c>
      <c r="B133" s="765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</row>
    <row r="134" spans="1:15" s="153" customFormat="1" x14ac:dyDescent="0.25">
      <c r="A134" s="734" t="s">
        <v>218</v>
      </c>
      <c r="B134" s="734"/>
      <c r="C134" s="137">
        <v>6.1666699999999999</v>
      </c>
      <c r="D134" s="138">
        <v>1</v>
      </c>
      <c r="E134" s="139">
        <f>$E$28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$K$118</f>
        <v>0</v>
      </c>
      <c r="L134" s="491">
        <f>+K134/C134</f>
        <v>0</v>
      </c>
      <c r="M134" s="238" t="s">
        <v>41</v>
      </c>
      <c r="N134" s="238"/>
      <c r="O134" s="239">
        <f>+K134*G134</f>
        <v>0</v>
      </c>
    </row>
    <row r="135" spans="1:15" s="153" customFormat="1" x14ac:dyDescent="0.25">
      <c r="A135" s="764" t="s">
        <v>89</v>
      </c>
      <c r="B135" s="764"/>
      <c r="C135" s="234"/>
      <c r="D135" s="234"/>
      <c r="E135" s="241"/>
      <c r="F135" s="241"/>
      <c r="G135" s="241"/>
      <c r="H135" s="241"/>
      <c r="I135" s="241"/>
      <c r="J135" s="241"/>
      <c r="K135" s="241"/>
      <c r="L135" s="241"/>
      <c r="M135" s="139"/>
      <c r="N135" s="234"/>
      <c r="O135" s="234"/>
    </row>
    <row r="136" spans="1:15" s="153" customFormat="1" x14ac:dyDescent="0.25">
      <c r="A136" s="734" t="s">
        <v>218</v>
      </c>
      <c r="B136" s="734"/>
      <c r="C136" s="137">
        <v>6.1666699999999999</v>
      </c>
      <c r="D136" s="138">
        <v>1</v>
      </c>
      <c r="E136" s="139">
        <f>$E$30</f>
        <v>0</v>
      </c>
      <c r="F136" s="139">
        <f>Dies!$C$53</f>
        <v>77</v>
      </c>
      <c r="G136" s="273">
        <f>+D136*E136*F136</f>
        <v>0</v>
      </c>
      <c r="H136" s="273"/>
      <c r="I136" s="273"/>
      <c r="J136" s="273"/>
      <c r="K136" s="320">
        <f>$K$118</f>
        <v>0</v>
      </c>
      <c r="L136" s="491">
        <f>+K136/C136</f>
        <v>0</v>
      </c>
      <c r="M136" s="238" t="s">
        <v>90</v>
      </c>
      <c r="N136" s="238"/>
      <c r="O136" s="239">
        <f>+K136*G136</f>
        <v>0</v>
      </c>
    </row>
    <row r="137" spans="1:15" s="153" customFormat="1" x14ac:dyDescent="0.25">
      <c r="A137" s="762" t="s">
        <v>196</v>
      </c>
      <c r="B137" s="762"/>
      <c r="C137" s="234"/>
      <c r="D137" s="234"/>
      <c r="E137" s="147"/>
      <c r="F137" s="241"/>
      <c r="G137" s="241"/>
      <c r="H137" s="241"/>
      <c r="I137" s="241"/>
      <c r="J137" s="241"/>
      <c r="K137" s="241"/>
      <c r="L137" s="241"/>
      <c r="M137" s="241"/>
      <c r="N137" s="234"/>
      <c r="O137" s="234"/>
    </row>
    <row r="138" spans="1:15" s="153" customFormat="1" x14ac:dyDescent="0.25">
      <c r="A138" s="765" t="s">
        <v>88</v>
      </c>
      <c r="B138" s="765"/>
      <c r="C138" s="234"/>
      <c r="D138" s="234"/>
      <c r="E138" s="147"/>
      <c r="F138" s="241"/>
      <c r="G138" s="241"/>
      <c r="H138" s="241"/>
      <c r="I138" s="241"/>
      <c r="J138" s="241"/>
      <c r="K138" s="241"/>
      <c r="L138" s="241"/>
      <c r="M138" s="241"/>
      <c r="N138" s="234"/>
      <c r="O138" s="234"/>
    </row>
    <row r="139" spans="1:15" s="153" customFormat="1" x14ac:dyDescent="0.25">
      <c r="A139" s="734" t="s">
        <v>218</v>
      </c>
      <c r="B139" s="734"/>
      <c r="C139" s="137">
        <v>6.1666699999999999</v>
      </c>
      <c r="D139" s="138">
        <v>1</v>
      </c>
      <c r="E139" s="139">
        <f>$E$33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$K$118</f>
        <v>0</v>
      </c>
      <c r="L139" s="491">
        <f>+K139/C139</f>
        <v>0</v>
      </c>
      <c r="M139" s="238" t="s">
        <v>41</v>
      </c>
      <c r="N139" s="238"/>
      <c r="O139" s="239">
        <f>+K139*G139</f>
        <v>0</v>
      </c>
    </row>
    <row r="140" spans="1:15" s="153" customFormat="1" x14ac:dyDescent="0.25">
      <c r="A140" s="764" t="s">
        <v>89</v>
      </c>
      <c r="B140" s="764"/>
      <c r="C140" s="234"/>
      <c r="D140" s="234"/>
      <c r="E140" s="147"/>
      <c r="F140" s="241"/>
      <c r="G140" s="241"/>
      <c r="H140" s="241"/>
      <c r="I140" s="241"/>
      <c r="J140" s="241"/>
      <c r="K140" s="241"/>
      <c r="L140" s="241"/>
      <c r="M140" s="241"/>
      <c r="N140" s="234"/>
      <c r="O140" s="234"/>
    </row>
    <row r="141" spans="1:15" s="153" customFormat="1" x14ac:dyDescent="0.25">
      <c r="A141" s="734" t="s">
        <v>218</v>
      </c>
      <c r="B141" s="734"/>
      <c r="C141" s="137">
        <v>6.1666699999999999</v>
      </c>
      <c r="D141" s="138">
        <v>1</v>
      </c>
      <c r="E141" s="139">
        <f>$E$35</f>
        <v>0</v>
      </c>
      <c r="F141" s="139">
        <f>Dies!$C$54</f>
        <v>15</v>
      </c>
      <c r="G141" s="273">
        <f>+D141*E141*F141</f>
        <v>0</v>
      </c>
      <c r="H141" s="273"/>
      <c r="I141" s="273"/>
      <c r="J141" s="273"/>
      <c r="K141" s="320">
        <f>$K$118</f>
        <v>0</v>
      </c>
      <c r="L141" s="491">
        <f>+K141/C141</f>
        <v>0</v>
      </c>
      <c r="M141" s="238" t="s">
        <v>90</v>
      </c>
      <c r="N141" s="238"/>
      <c r="O141" s="239">
        <f>+K141*G141</f>
        <v>0</v>
      </c>
    </row>
    <row r="142" spans="1:15" s="153" customFormat="1" x14ac:dyDescent="0.25">
      <c r="A142" s="762" t="s">
        <v>197</v>
      </c>
      <c r="B142" s="762"/>
      <c r="C142" s="234"/>
      <c r="D142" s="234"/>
      <c r="E142" s="147"/>
      <c r="F142" s="241"/>
      <c r="G142" s="241"/>
      <c r="H142" s="241"/>
      <c r="I142" s="241"/>
      <c r="J142" s="241"/>
      <c r="K142" s="241"/>
      <c r="L142" s="241"/>
      <c r="M142" s="241"/>
      <c r="N142" s="234"/>
      <c r="O142" s="234"/>
    </row>
    <row r="143" spans="1:15" s="153" customFormat="1" x14ac:dyDescent="0.25">
      <c r="A143" s="765" t="s">
        <v>88</v>
      </c>
      <c r="B143" s="765"/>
      <c r="C143" s="180"/>
      <c r="D143" s="180"/>
      <c r="E143" s="147"/>
      <c r="F143" s="241"/>
      <c r="G143" s="664"/>
      <c r="H143" s="664"/>
      <c r="I143" s="664"/>
      <c r="J143" s="664"/>
      <c r="K143" s="664"/>
      <c r="L143" s="664"/>
      <c r="M143" s="241"/>
      <c r="N143" s="180"/>
      <c r="O143" s="180"/>
    </row>
    <row r="144" spans="1:15" s="153" customFormat="1" x14ac:dyDescent="0.25">
      <c r="A144" s="734" t="s">
        <v>218</v>
      </c>
      <c r="B144" s="734"/>
      <c r="C144" s="137">
        <v>6.1666699999999999</v>
      </c>
      <c r="D144" s="138">
        <v>1</v>
      </c>
      <c r="E144" s="139">
        <f>$E$38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$K$118</f>
        <v>0</v>
      </c>
      <c r="L144" s="491">
        <f>+K144/C144</f>
        <v>0</v>
      </c>
      <c r="M144" s="238" t="s">
        <v>41</v>
      </c>
      <c r="N144" s="238"/>
      <c r="O144" s="239">
        <f>+K144*G144</f>
        <v>0</v>
      </c>
    </row>
    <row r="145" spans="1:15" s="153" customFormat="1" x14ac:dyDescent="0.25">
      <c r="A145" s="764" t="s">
        <v>89</v>
      </c>
      <c r="B145" s="764"/>
      <c r="C145" s="234"/>
      <c r="D145" s="234"/>
      <c r="E145" s="147"/>
      <c r="F145" s="241"/>
      <c r="G145" s="241"/>
      <c r="H145" s="241"/>
      <c r="I145" s="241"/>
      <c r="J145" s="241"/>
      <c r="K145" s="241"/>
      <c r="L145" s="241"/>
      <c r="M145" s="241"/>
      <c r="N145" s="234"/>
      <c r="O145" s="234"/>
    </row>
    <row r="146" spans="1:15" s="153" customFormat="1" x14ac:dyDescent="0.25">
      <c r="A146" s="734" t="s">
        <v>218</v>
      </c>
      <c r="B146" s="734"/>
      <c r="C146" s="137">
        <v>6.1666699999999999</v>
      </c>
      <c r="D146" s="138">
        <v>1</v>
      </c>
      <c r="E146" s="139">
        <f>$E$40</f>
        <v>0</v>
      </c>
      <c r="F146" s="139">
        <f>Dies!$C$55</f>
        <v>15</v>
      </c>
      <c r="G146" s="273">
        <f>+D146*E146*F146</f>
        <v>0</v>
      </c>
      <c r="H146" s="273"/>
      <c r="I146" s="273"/>
      <c r="J146" s="273"/>
      <c r="K146" s="320">
        <f>$K$118</f>
        <v>0</v>
      </c>
      <c r="L146" s="491">
        <f>+K146/C146</f>
        <v>0</v>
      </c>
      <c r="M146" s="238" t="s">
        <v>90</v>
      </c>
      <c r="N146" s="238"/>
      <c r="O146" s="239">
        <f>+K146*G146</f>
        <v>0</v>
      </c>
    </row>
    <row r="147" spans="1:15" s="153" customFormat="1" x14ac:dyDescent="0.25">
      <c r="A147" s="229" t="s">
        <v>326</v>
      </c>
      <c r="B147" s="242"/>
      <c r="C147" s="278"/>
      <c r="D147" s="278"/>
      <c r="E147" s="278"/>
      <c r="F147" s="245"/>
      <c r="G147" s="278"/>
      <c r="H147" s="278"/>
      <c r="I147" s="278"/>
      <c r="J147" s="278"/>
      <c r="K147" s="278"/>
      <c r="L147" s="278"/>
      <c r="M147" s="278"/>
      <c r="N147" s="278"/>
      <c r="O147" s="278"/>
    </row>
    <row r="148" spans="1:15" s="153" customFormat="1" x14ac:dyDescent="0.25">
      <c r="A148" s="762" t="s">
        <v>195</v>
      </c>
      <c r="B148" s="762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</row>
    <row r="149" spans="1:15" s="153" customFormat="1" x14ac:dyDescent="0.25">
      <c r="A149" s="763" t="s">
        <v>88</v>
      </c>
      <c r="B149" s="763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</row>
    <row r="150" spans="1:15" s="153" customFormat="1" x14ac:dyDescent="0.25">
      <c r="A150" s="734" t="s">
        <v>218</v>
      </c>
      <c r="B150" s="734"/>
      <c r="C150" s="137">
        <v>6.1666699999999999</v>
      </c>
      <c r="D150" s="138">
        <v>1</v>
      </c>
      <c r="E150" s="139">
        <f>$E$44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$K$118</f>
        <v>0</v>
      </c>
      <c r="L150" s="237">
        <f>+K150/C150</f>
        <v>0</v>
      </c>
      <c r="M150" s="238" t="s">
        <v>41</v>
      </c>
      <c r="N150" s="238"/>
      <c r="O150" s="239">
        <f>+K150*G150</f>
        <v>0</v>
      </c>
    </row>
    <row r="151" spans="1:15" s="153" customFormat="1" x14ac:dyDescent="0.25">
      <c r="A151" s="770" t="s">
        <v>89</v>
      </c>
      <c r="B151" s="770"/>
      <c r="C151" s="234"/>
      <c r="D151" s="234"/>
      <c r="E151" s="147"/>
      <c r="F151" s="241"/>
      <c r="G151" s="241"/>
      <c r="H151" s="241"/>
      <c r="I151" s="241"/>
      <c r="J151" s="241"/>
      <c r="K151" s="241"/>
      <c r="L151" s="234"/>
      <c r="M151" s="139"/>
      <c r="N151" s="234"/>
      <c r="O151" s="234"/>
    </row>
    <row r="152" spans="1:15" s="153" customFormat="1" x14ac:dyDescent="0.25">
      <c r="A152" s="734" t="s">
        <v>218</v>
      </c>
      <c r="B152" s="734"/>
      <c r="C152" s="137">
        <v>6.1666699999999999</v>
      </c>
      <c r="D152" s="138">
        <v>1</v>
      </c>
      <c r="E152" s="139">
        <f>$E$46</f>
        <v>0</v>
      </c>
      <c r="F152" s="139">
        <f>Dies!$C$58</f>
        <v>89</v>
      </c>
      <c r="G152" s="273">
        <f>+D152*E152*F152</f>
        <v>0</v>
      </c>
      <c r="H152" s="273"/>
      <c r="I152" s="273"/>
      <c r="J152" s="273"/>
      <c r="K152" s="320">
        <f>$K$118</f>
        <v>0</v>
      </c>
      <c r="L152" s="237">
        <f>+K152/C152</f>
        <v>0</v>
      </c>
      <c r="M152" s="238" t="s">
        <v>90</v>
      </c>
      <c r="N152" s="238"/>
      <c r="O152" s="239">
        <f>+K152*G152</f>
        <v>0</v>
      </c>
    </row>
    <row r="153" spans="1:15" s="153" customFormat="1" x14ac:dyDescent="0.25">
      <c r="A153" s="762" t="s">
        <v>196</v>
      </c>
      <c r="B153" s="762"/>
      <c r="C153" s="234"/>
      <c r="D153" s="234"/>
      <c r="E153" s="147"/>
      <c r="F153" s="241"/>
      <c r="G153" s="241"/>
      <c r="H153" s="241"/>
      <c r="I153" s="241"/>
      <c r="J153" s="241"/>
      <c r="K153" s="241"/>
      <c r="L153" s="234"/>
      <c r="M153" s="241"/>
      <c r="N153" s="234"/>
      <c r="O153" s="234"/>
    </row>
    <row r="154" spans="1:15" s="153" customFormat="1" x14ac:dyDescent="0.25">
      <c r="A154" s="763" t="s">
        <v>88</v>
      </c>
      <c r="B154" s="763"/>
      <c r="C154" s="234"/>
      <c r="D154" s="234"/>
      <c r="E154" s="147"/>
      <c r="F154" s="241"/>
      <c r="G154" s="241"/>
      <c r="H154" s="241"/>
      <c r="I154" s="241"/>
      <c r="J154" s="241"/>
      <c r="K154" s="241"/>
      <c r="L154" s="234"/>
      <c r="M154" s="241"/>
      <c r="N154" s="234"/>
      <c r="O154" s="234"/>
    </row>
    <row r="155" spans="1:15" s="153" customFormat="1" x14ac:dyDescent="0.25">
      <c r="A155" s="734" t="s">
        <v>218</v>
      </c>
      <c r="B155" s="734"/>
      <c r="C155" s="137">
        <v>6.1666699999999999</v>
      </c>
      <c r="D155" s="138">
        <v>1</v>
      </c>
      <c r="E155" s="139">
        <f>$E$49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$K$118</f>
        <v>0</v>
      </c>
      <c r="L155" s="237">
        <f>+K155/C155</f>
        <v>0</v>
      </c>
      <c r="M155" s="238" t="s">
        <v>41</v>
      </c>
      <c r="N155" s="238"/>
      <c r="O155" s="239">
        <f>+K155*G155</f>
        <v>0</v>
      </c>
    </row>
    <row r="156" spans="1:15" s="153" customFormat="1" x14ac:dyDescent="0.25">
      <c r="A156" s="770" t="s">
        <v>89</v>
      </c>
      <c r="B156" s="770"/>
      <c r="C156" s="234"/>
      <c r="D156" s="234"/>
      <c r="E156" s="147"/>
      <c r="F156" s="241"/>
      <c r="G156" s="241"/>
      <c r="H156" s="241"/>
      <c r="I156" s="241"/>
      <c r="J156" s="241"/>
      <c r="K156" s="241"/>
      <c r="L156" s="234"/>
      <c r="M156" s="241"/>
      <c r="N156" s="234"/>
      <c r="O156" s="234"/>
    </row>
    <row r="157" spans="1:15" s="153" customFormat="1" x14ac:dyDescent="0.25">
      <c r="A157" s="734" t="s">
        <v>218</v>
      </c>
      <c r="B157" s="734"/>
      <c r="C157" s="137">
        <v>6.1666699999999999</v>
      </c>
      <c r="D157" s="138">
        <v>1</v>
      </c>
      <c r="E157" s="139">
        <f>$E$51</f>
        <v>0</v>
      </c>
      <c r="F157" s="139">
        <f>Dies!$C$59</f>
        <v>17</v>
      </c>
      <c r="G157" s="273">
        <f>+D157*E157*F157</f>
        <v>0</v>
      </c>
      <c r="H157" s="273"/>
      <c r="I157" s="273"/>
      <c r="J157" s="273"/>
      <c r="K157" s="320">
        <f>$K$118</f>
        <v>0</v>
      </c>
      <c r="L157" s="237">
        <f>+K157/C157</f>
        <v>0</v>
      </c>
      <c r="M157" s="238" t="s">
        <v>90</v>
      </c>
      <c r="N157" s="238"/>
      <c r="O157" s="239">
        <f>+K157*G157</f>
        <v>0</v>
      </c>
    </row>
    <row r="158" spans="1:15" s="153" customFormat="1" x14ac:dyDescent="0.25">
      <c r="A158" s="762" t="s">
        <v>197</v>
      </c>
      <c r="B158" s="762"/>
      <c r="C158" s="234"/>
      <c r="D158" s="234"/>
      <c r="E158" s="147"/>
      <c r="F158" s="241"/>
      <c r="G158" s="241"/>
      <c r="H158" s="241"/>
      <c r="I158" s="241"/>
      <c r="J158" s="241"/>
      <c r="K158" s="241"/>
      <c r="L158" s="234"/>
      <c r="M158" s="241"/>
      <c r="N158" s="234"/>
      <c r="O158" s="234"/>
    </row>
    <row r="159" spans="1:15" s="153" customFormat="1" x14ac:dyDescent="0.25">
      <c r="A159" s="763" t="s">
        <v>88</v>
      </c>
      <c r="B159" s="763"/>
      <c r="C159" s="234"/>
      <c r="D159" s="234"/>
      <c r="E159" s="147"/>
      <c r="F159" s="241"/>
      <c r="G159" s="241"/>
      <c r="H159" s="241"/>
      <c r="I159" s="241"/>
      <c r="J159" s="241"/>
      <c r="K159" s="241"/>
      <c r="L159" s="234"/>
      <c r="M159" s="241"/>
      <c r="N159" s="234"/>
      <c r="O159" s="234"/>
    </row>
    <row r="160" spans="1:15" s="153" customFormat="1" x14ac:dyDescent="0.25">
      <c r="A160" s="734" t="s">
        <v>218</v>
      </c>
      <c r="B160" s="734"/>
      <c r="C160" s="137">
        <v>6.1666699999999999</v>
      </c>
      <c r="D160" s="138">
        <v>1</v>
      </c>
      <c r="E160" s="139">
        <f>$E$54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$K$118</f>
        <v>0</v>
      </c>
      <c r="L160" s="237">
        <f>+K160/C160</f>
        <v>0</v>
      </c>
      <c r="M160" s="238" t="s">
        <v>41</v>
      </c>
      <c r="N160" s="238"/>
      <c r="O160" s="239">
        <f>+K160*G160</f>
        <v>0</v>
      </c>
    </row>
    <row r="161" spans="1:15" s="153" customFormat="1" x14ac:dyDescent="0.25">
      <c r="A161" s="770" t="s">
        <v>89</v>
      </c>
      <c r="B161" s="770"/>
      <c r="C161" s="234"/>
      <c r="D161" s="234"/>
      <c r="E161" s="241"/>
      <c r="F161" s="241"/>
      <c r="G161" s="241"/>
      <c r="H161" s="241"/>
      <c r="I161" s="241"/>
      <c r="J161" s="241"/>
      <c r="K161" s="241"/>
      <c r="L161" s="234"/>
      <c r="M161" s="241"/>
      <c r="N161" s="234"/>
      <c r="O161" s="234"/>
    </row>
    <row r="162" spans="1:15" s="153" customFormat="1" x14ac:dyDescent="0.25">
      <c r="A162" s="734" t="s">
        <v>218</v>
      </c>
      <c r="B162" s="734"/>
      <c r="C162" s="137">
        <v>6.1666699999999999</v>
      </c>
      <c r="D162" s="138">
        <v>1</v>
      </c>
      <c r="E162" s="139">
        <f>$E$56</f>
        <v>0</v>
      </c>
      <c r="F162" s="139">
        <f>Dies!$C$60</f>
        <v>17</v>
      </c>
      <c r="G162" s="273">
        <f>+D162*E162*F162</f>
        <v>0</v>
      </c>
      <c r="H162" s="273"/>
      <c r="I162" s="273"/>
      <c r="J162" s="273"/>
      <c r="K162" s="320">
        <f>$K$118</f>
        <v>0</v>
      </c>
      <c r="L162" s="237">
        <f>+K162/C162</f>
        <v>0</v>
      </c>
      <c r="M162" s="238" t="s">
        <v>90</v>
      </c>
      <c r="N162" s="238"/>
      <c r="O162" s="239">
        <f>+K162*G162</f>
        <v>0</v>
      </c>
    </row>
    <row r="163" spans="1:15" x14ac:dyDescent="0.25">
      <c r="A163" s="402"/>
      <c r="B163" s="324"/>
      <c r="C163" s="324"/>
      <c r="D163" s="324"/>
      <c r="E163" s="323" t="s">
        <v>47</v>
      </c>
      <c r="F163" s="324"/>
      <c r="G163" s="324"/>
      <c r="H163" s="324"/>
      <c r="I163" s="324"/>
      <c r="J163" s="324"/>
      <c r="K163" s="324"/>
      <c r="L163" s="324"/>
      <c r="M163" s="324"/>
      <c r="N163" s="324"/>
      <c r="O163" s="403">
        <f>SUM(O118:O162)</f>
        <v>0</v>
      </c>
    </row>
    <row r="164" spans="1:15" s="153" customFormat="1" ht="26.25" x14ac:dyDescent="0.4">
      <c r="A164" s="259" t="s">
        <v>272</v>
      </c>
      <c r="B164" s="221"/>
      <c r="C164" s="221"/>
      <c r="D164" s="223"/>
      <c r="E164" s="223"/>
      <c r="F164" s="223"/>
      <c r="G164" s="223"/>
      <c r="H164" s="223"/>
      <c r="I164" s="223"/>
      <c r="J164" s="223"/>
      <c r="K164" s="224"/>
      <c r="L164" s="224"/>
      <c r="M164" s="224"/>
      <c r="N164" s="224"/>
      <c r="O164" s="404"/>
    </row>
    <row r="165" spans="1:15" s="281" customFormat="1" x14ac:dyDescent="0.25">
      <c r="A165" s="803" t="s">
        <v>20</v>
      </c>
      <c r="B165" s="803"/>
      <c r="C165" s="803" t="s">
        <v>27</v>
      </c>
      <c r="D165" s="803" t="s">
        <v>28</v>
      </c>
      <c r="E165" s="803" t="s">
        <v>21</v>
      </c>
      <c r="F165" s="803" t="s">
        <v>23</v>
      </c>
      <c r="G165" s="803" t="s">
        <v>22</v>
      </c>
      <c r="H165" s="454"/>
      <c r="I165" s="454"/>
      <c r="J165" s="454"/>
      <c r="K165" s="803" t="s">
        <v>79</v>
      </c>
      <c r="L165" s="454"/>
      <c r="M165" s="803"/>
      <c r="N165" s="803" t="s">
        <v>80</v>
      </c>
      <c r="O165" s="803" t="s">
        <v>32</v>
      </c>
    </row>
    <row r="166" spans="1:15" s="281" customFormat="1" x14ac:dyDescent="0.25">
      <c r="A166" s="785"/>
      <c r="B166" s="785"/>
      <c r="C166" s="785" t="s">
        <v>44</v>
      </c>
      <c r="D166" s="785" t="s">
        <v>5</v>
      </c>
      <c r="E166" s="785" t="s">
        <v>24</v>
      </c>
      <c r="F166" s="785" t="s">
        <v>81</v>
      </c>
      <c r="G166" s="785" t="s">
        <v>82</v>
      </c>
      <c r="H166" s="455"/>
      <c r="I166" s="455"/>
      <c r="J166" s="455"/>
      <c r="K166" s="785" t="s">
        <v>28</v>
      </c>
      <c r="L166" s="455"/>
      <c r="M166" s="785"/>
      <c r="N166" s="785" t="s">
        <v>83</v>
      </c>
      <c r="O166" s="785" t="s">
        <v>40</v>
      </c>
    </row>
    <row r="167" spans="1:15" x14ac:dyDescent="0.25">
      <c r="A167" s="734" t="s">
        <v>232</v>
      </c>
      <c r="B167" s="734"/>
      <c r="C167" s="137">
        <v>6.1666699999999999</v>
      </c>
      <c r="D167" s="138">
        <v>1</v>
      </c>
      <c r="E167" s="139">
        <v>1</v>
      </c>
      <c r="F167" s="283">
        <f>Inversions!H16</f>
        <v>0</v>
      </c>
      <c r="G167" s="273">
        <v>8</v>
      </c>
      <c r="H167" s="273"/>
      <c r="I167" s="273"/>
      <c r="J167" s="273"/>
      <c r="K167" s="284">
        <f>Paràmetres!$C$4</f>
        <v>0</v>
      </c>
      <c r="L167" s="284"/>
      <c r="M167" s="139"/>
      <c r="N167" s="140">
        <f>-12*PMT(K167/12,G167*12,F167)</f>
        <v>0</v>
      </c>
      <c r="O167" s="144">
        <f>E167*N167</f>
        <v>0</v>
      </c>
    </row>
    <row r="168" spans="1:15" s="281" customFormat="1" x14ac:dyDescent="0.25">
      <c r="A168" s="410"/>
      <c r="B168" s="411"/>
      <c r="C168" s="411"/>
      <c r="D168" s="411"/>
      <c r="E168" s="412"/>
      <c r="F168" s="412" t="s">
        <v>84</v>
      </c>
      <c r="G168" s="411"/>
      <c r="H168" s="411"/>
      <c r="I168" s="411"/>
      <c r="J168" s="411"/>
      <c r="K168" s="411"/>
      <c r="L168" s="411"/>
      <c r="M168" s="411"/>
      <c r="N168" s="411"/>
      <c r="O168" s="413">
        <f>SUM(O167:O167)</f>
        <v>0</v>
      </c>
    </row>
    <row r="169" spans="1:15" s="5" customFormat="1" ht="26.25" x14ac:dyDescent="0.4">
      <c r="A169" s="415" t="s">
        <v>213</v>
      </c>
      <c r="B169" s="416"/>
      <c r="C169" s="416"/>
      <c r="D169" s="417"/>
      <c r="E169" s="417"/>
      <c r="F169" s="417"/>
      <c r="G169" s="417"/>
      <c r="H169" s="417"/>
      <c r="I169" s="417"/>
      <c r="J169" s="417"/>
      <c r="K169" s="418"/>
      <c r="L169" s="418"/>
      <c r="M169" s="418"/>
      <c r="N169" s="418"/>
      <c r="O169" s="419"/>
    </row>
    <row r="170" spans="1:15" s="281" customFormat="1" x14ac:dyDescent="0.25">
      <c r="A170" s="804"/>
      <c r="B170" s="804" t="s">
        <v>20</v>
      </c>
      <c r="C170" s="456" t="s">
        <v>27</v>
      </c>
      <c r="D170" s="456" t="s">
        <v>28</v>
      </c>
      <c r="E170" s="456" t="s">
        <v>21</v>
      </c>
      <c r="F170" s="456"/>
      <c r="G170" s="456"/>
      <c r="H170" s="456"/>
      <c r="I170" s="456"/>
      <c r="J170" s="456"/>
      <c r="K170" s="456" t="s">
        <v>100</v>
      </c>
      <c r="L170" s="456"/>
      <c r="M170" s="456"/>
      <c r="N170" s="456"/>
      <c r="O170" s="457" t="s">
        <v>32</v>
      </c>
    </row>
    <row r="171" spans="1:15" s="281" customFormat="1" x14ac:dyDescent="0.25">
      <c r="A171" s="805"/>
      <c r="B171" s="805"/>
      <c r="C171" s="458" t="s">
        <v>44</v>
      </c>
      <c r="D171" s="458" t="s">
        <v>5</v>
      </c>
      <c r="E171" s="458" t="s">
        <v>24</v>
      </c>
      <c r="F171" s="459"/>
      <c r="G171" s="458"/>
      <c r="H171" s="458"/>
      <c r="I171" s="458"/>
      <c r="J171" s="458"/>
      <c r="K171" s="458" t="s">
        <v>101</v>
      </c>
      <c r="L171" s="458"/>
      <c r="M171" s="458"/>
      <c r="N171" s="458"/>
      <c r="O171" s="460" t="s">
        <v>40</v>
      </c>
    </row>
    <row r="172" spans="1:15" s="281" customFormat="1" x14ac:dyDescent="0.25">
      <c r="A172" s="734" t="s">
        <v>316</v>
      </c>
      <c r="B172" s="734"/>
      <c r="C172" s="137">
        <v>6.1666699999999999</v>
      </c>
      <c r="D172" s="138">
        <f>+D167</f>
        <v>1</v>
      </c>
      <c r="E172" s="461">
        <v>1</v>
      </c>
      <c r="F172" s="462"/>
      <c r="G172" s="372"/>
      <c r="H172" s="372"/>
      <c r="I172" s="372"/>
      <c r="J172" s="372"/>
      <c r="K172" s="304">
        <f>'Seguro+combustible+reparacions'!E8*D172</f>
        <v>0</v>
      </c>
      <c r="L172" s="304"/>
      <c r="M172" s="303"/>
      <c r="N172" s="302"/>
      <c r="O172" s="239">
        <f>E172*K172</f>
        <v>0</v>
      </c>
    </row>
    <row r="173" spans="1:15" s="281" customFormat="1" x14ac:dyDescent="0.25">
      <c r="A173" s="734" t="s">
        <v>317</v>
      </c>
      <c r="B173" s="734"/>
      <c r="C173" s="137">
        <v>6.1666699999999999</v>
      </c>
      <c r="D173" s="138">
        <v>1</v>
      </c>
      <c r="E173" s="461">
        <v>1</v>
      </c>
      <c r="F173" s="462"/>
      <c r="G173" s="372"/>
      <c r="H173" s="372"/>
      <c r="I173" s="372"/>
      <c r="J173" s="372"/>
      <c r="K173" s="304">
        <f>'Seguro+combustible+reparacions'!E8*D173</f>
        <v>0</v>
      </c>
      <c r="L173" s="304"/>
      <c r="M173" s="303"/>
      <c r="N173" s="302"/>
      <c r="O173" s="239">
        <f>E173*K173</f>
        <v>0</v>
      </c>
    </row>
    <row r="174" spans="1:15" s="281" customFormat="1" x14ac:dyDescent="0.25">
      <c r="A174" s="734" t="s">
        <v>318</v>
      </c>
      <c r="B174" s="734"/>
      <c r="C174" s="137">
        <v>6.1666699999999999</v>
      </c>
      <c r="D174" s="138">
        <v>1</v>
      </c>
      <c r="E174" s="461">
        <v>1</v>
      </c>
      <c r="F174" s="462"/>
      <c r="G174" s="372"/>
      <c r="H174" s="372"/>
      <c r="I174" s="372"/>
      <c r="J174" s="372"/>
      <c r="K174" s="304">
        <f>'Seguro+combustible+reparacions'!E9*D174</f>
        <v>0</v>
      </c>
      <c r="L174" s="304"/>
      <c r="M174" s="303"/>
      <c r="N174" s="302"/>
      <c r="O174" s="239">
        <f>E174*K174</f>
        <v>0</v>
      </c>
    </row>
    <row r="175" spans="1:15" s="281" customFormat="1" x14ac:dyDescent="0.25">
      <c r="A175" s="410"/>
      <c r="B175" s="411"/>
      <c r="C175" s="411"/>
      <c r="D175" s="411"/>
      <c r="E175" s="412"/>
      <c r="F175" s="412" t="s">
        <v>85</v>
      </c>
      <c r="G175" s="411"/>
      <c r="H175" s="411"/>
      <c r="I175" s="411"/>
      <c r="J175" s="411"/>
      <c r="K175" s="411"/>
      <c r="L175" s="411"/>
      <c r="M175" s="411"/>
      <c r="N175" s="411"/>
      <c r="O175" s="413">
        <f>SUM(O172:O174)</f>
        <v>0</v>
      </c>
    </row>
    <row r="176" spans="1:15" s="281" customFormat="1" ht="26.25" x14ac:dyDescent="0.4">
      <c r="A176" s="285" t="s">
        <v>420</v>
      </c>
      <c r="B176" s="286"/>
      <c r="C176" s="286"/>
      <c r="D176" s="287"/>
      <c r="E176" s="287"/>
      <c r="F176" s="287"/>
      <c r="G176" s="287"/>
      <c r="H176" s="287"/>
      <c r="I176" s="287"/>
      <c r="J176" s="287"/>
      <c r="K176" s="288"/>
      <c r="L176" s="288"/>
      <c r="M176" s="288"/>
      <c r="N176" s="288"/>
      <c r="O176" s="289"/>
    </row>
    <row r="177" spans="1:15" s="281" customFormat="1" x14ac:dyDescent="0.25">
      <c r="A177" s="758" t="s">
        <v>225</v>
      </c>
      <c r="B177" s="759"/>
      <c r="C177" s="290"/>
      <c r="D177" s="290" t="s">
        <v>28</v>
      </c>
      <c r="E177" s="290"/>
      <c r="F177" s="290"/>
      <c r="G177" s="290"/>
      <c r="H177" s="290"/>
      <c r="I177" s="290"/>
      <c r="J177" s="290"/>
      <c r="K177" s="290" t="s">
        <v>100</v>
      </c>
      <c r="L177" s="290"/>
      <c r="M177" s="290"/>
      <c r="N177" s="290"/>
      <c r="O177" s="291" t="s">
        <v>32</v>
      </c>
    </row>
    <row r="178" spans="1:15" s="281" customFormat="1" x14ac:dyDescent="0.25">
      <c r="A178" s="760"/>
      <c r="B178" s="761"/>
      <c r="C178" s="292"/>
      <c r="D178" s="292" t="s">
        <v>5</v>
      </c>
      <c r="E178" s="290" t="s">
        <v>21</v>
      </c>
      <c r="F178" s="293"/>
      <c r="G178" s="292"/>
      <c r="H178" s="292"/>
      <c r="I178" s="292"/>
      <c r="J178" s="292"/>
      <c r="K178" s="292" t="s">
        <v>238</v>
      </c>
      <c r="L178" s="292"/>
      <c r="M178" s="292"/>
      <c r="N178" s="292"/>
      <c r="O178" s="294" t="s">
        <v>40</v>
      </c>
    </row>
    <row r="179" spans="1:15" s="281" customFormat="1" x14ac:dyDescent="0.25">
      <c r="A179" s="733" t="s">
        <v>245</v>
      </c>
      <c r="B179" s="733"/>
      <c r="C179" s="137"/>
      <c r="D179" s="138">
        <v>1</v>
      </c>
      <c r="E179" s="650">
        <f>I57</f>
        <v>0</v>
      </c>
      <c r="F179" s="373"/>
      <c r="G179" s="372"/>
      <c r="H179" s="372"/>
      <c r="I179" s="372"/>
      <c r="J179" s="372"/>
      <c r="K179" s="650">
        <f>Consumibles!E46</f>
        <v>0</v>
      </c>
      <c r="L179" s="304"/>
      <c r="M179" s="303"/>
      <c r="N179" s="302"/>
      <c r="O179" s="239">
        <f>E179*K179</f>
        <v>0</v>
      </c>
    </row>
    <row r="180" spans="1:15" s="281" customFormat="1" x14ac:dyDescent="0.25">
      <c r="A180" s="733" t="s">
        <v>226</v>
      </c>
      <c r="B180" s="733"/>
      <c r="C180" s="137"/>
      <c r="D180" s="138">
        <v>1</v>
      </c>
      <c r="E180" s="650">
        <v>0</v>
      </c>
      <c r="F180" s="373"/>
      <c r="G180" s="372"/>
      <c r="H180" s="372"/>
      <c r="I180" s="372"/>
      <c r="J180" s="372"/>
      <c r="K180" s="650">
        <f>Consumibles!E21</f>
        <v>0</v>
      </c>
      <c r="L180" s="304"/>
      <c r="M180" s="303"/>
      <c r="N180" s="302"/>
      <c r="O180" s="239">
        <f>E180*K180</f>
        <v>0</v>
      </c>
    </row>
    <row r="181" spans="1:15" s="281" customFormat="1" x14ac:dyDescent="0.25">
      <c r="A181" s="733" t="s">
        <v>237</v>
      </c>
      <c r="B181" s="733"/>
      <c r="C181" s="137"/>
      <c r="D181" s="138">
        <v>1</v>
      </c>
      <c r="E181" s="372">
        <v>0</v>
      </c>
      <c r="F181" s="373"/>
      <c r="G181" s="372"/>
      <c r="H181" s="372"/>
      <c r="I181" s="372"/>
      <c r="J181" s="372"/>
      <c r="K181" s="650">
        <f>Consumibles!E22</f>
        <v>0</v>
      </c>
      <c r="L181" s="304"/>
      <c r="M181" s="303"/>
      <c r="N181" s="302"/>
      <c r="O181" s="239">
        <f t="shared" ref="O181:O184" si="0">E181*K181</f>
        <v>0</v>
      </c>
    </row>
    <row r="182" spans="1:15" s="281" customFormat="1" x14ac:dyDescent="0.25">
      <c r="A182" s="733" t="s">
        <v>234</v>
      </c>
      <c r="B182" s="733"/>
      <c r="C182" s="137"/>
      <c r="D182" s="138">
        <v>1</v>
      </c>
      <c r="E182" s="372">
        <v>50</v>
      </c>
      <c r="F182" s="373"/>
      <c r="G182" s="372"/>
      <c r="H182" s="372"/>
      <c r="I182" s="372"/>
      <c r="J182" s="372"/>
      <c r="K182" s="650">
        <f>Consumibles!E23</f>
        <v>0</v>
      </c>
      <c r="L182" s="304"/>
      <c r="M182" s="303"/>
      <c r="N182" s="302"/>
      <c r="O182" s="239">
        <f t="shared" si="0"/>
        <v>0</v>
      </c>
    </row>
    <row r="183" spans="1:15" s="281" customFormat="1" x14ac:dyDescent="0.25">
      <c r="A183" s="733" t="s">
        <v>235</v>
      </c>
      <c r="B183" s="733"/>
      <c r="C183" s="137"/>
      <c r="D183" s="138">
        <v>1</v>
      </c>
      <c r="E183" s="372">
        <v>80</v>
      </c>
      <c r="F183" s="373"/>
      <c r="G183" s="372"/>
      <c r="H183" s="372"/>
      <c r="I183" s="372"/>
      <c r="J183" s="372"/>
      <c r="K183" s="650">
        <f>Consumibles!E24</f>
        <v>0</v>
      </c>
      <c r="L183" s="304"/>
      <c r="M183" s="303"/>
      <c r="N183" s="302"/>
      <c r="O183" s="239">
        <f t="shared" si="0"/>
        <v>0</v>
      </c>
    </row>
    <row r="184" spans="1:15" s="281" customFormat="1" x14ac:dyDescent="0.25">
      <c r="A184" s="733" t="s">
        <v>236</v>
      </c>
      <c r="B184" s="733"/>
      <c r="C184" s="137"/>
      <c r="D184" s="138">
        <v>1</v>
      </c>
      <c r="E184" s="372">
        <v>20</v>
      </c>
      <c r="F184" s="373"/>
      <c r="G184" s="372"/>
      <c r="H184" s="372"/>
      <c r="I184" s="372"/>
      <c r="J184" s="372"/>
      <c r="K184" s="650">
        <f>Consumibles!E25</f>
        <v>0</v>
      </c>
      <c r="L184" s="304"/>
      <c r="M184" s="303"/>
      <c r="N184" s="302"/>
      <c r="O184" s="239">
        <f t="shared" si="0"/>
        <v>0</v>
      </c>
    </row>
    <row r="185" spans="1:15" s="281" customFormat="1" x14ac:dyDescent="0.25">
      <c r="A185" s="254"/>
      <c r="B185" s="255"/>
      <c r="C185" s="255"/>
      <c r="D185" s="255"/>
      <c r="E185" s="256"/>
      <c r="F185" s="256" t="s">
        <v>224</v>
      </c>
      <c r="G185" s="255"/>
      <c r="H185" s="255"/>
      <c r="I185" s="255"/>
      <c r="J185" s="255"/>
      <c r="K185" s="255"/>
      <c r="L185" s="255"/>
      <c r="M185" s="255"/>
      <c r="N185" s="255"/>
      <c r="O185" s="257">
        <f>SUM(O179:O184)</f>
        <v>0</v>
      </c>
    </row>
    <row r="186" spans="1: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</row>
    <row r="187" spans="1:15" x14ac:dyDescent="0.25">
      <c r="A187" s="218"/>
      <c r="B187" s="218"/>
      <c r="C187" s="218"/>
      <c r="D187" s="218"/>
      <c r="E187" s="218"/>
      <c r="F187" s="307" t="s">
        <v>271</v>
      </c>
      <c r="G187" s="308"/>
      <c r="H187" s="308"/>
      <c r="I187" s="308"/>
      <c r="J187" s="308"/>
      <c r="K187" s="308"/>
      <c r="L187" s="308"/>
      <c r="M187" s="316"/>
      <c r="N187" s="316"/>
      <c r="O187" s="317">
        <f>+O57+O111+O163+O175+O185</f>
        <v>0</v>
      </c>
    </row>
    <row r="188" spans="1:15" x14ac:dyDescent="0.25">
      <c r="A188" s="218"/>
      <c r="B188" s="218"/>
      <c r="C188" s="218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310"/>
    </row>
    <row r="189" spans="1:15" x14ac:dyDescent="0.25">
      <c r="A189" s="218"/>
      <c r="B189" s="218"/>
      <c r="C189" s="218"/>
      <c r="D189" s="218"/>
      <c r="E189" s="218"/>
      <c r="F189" s="311" t="s">
        <v>3</v>
      </c>
      <c r="G189" s="312"/>
      <c r="H189" s="312"/>
      <c r="I189" s="312"/>
      <c r="J189" s="312"/>
      <c r="K189" s="312"/>
      <c r="L189" s="312"/>
      <c r="M189" s="652">
        <f>Paràmetres!C6</f>
        <v>0</v>
      </c>
      <c r="N189" s="312"/>
      <c r="O189" s="313">
        <f>+O187*M189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2</v>
      </c>
      <c r="G191" s="312"/>
      <c r="H191" s="312"/>
      <c r="I191" s="312"/>
      <c r="J191" s="312"/>
      <c r="K191" s="312"/>
      <c r="L191" s="312"/>
      <c r="M191" s="652">
        <f>Paràmetres!C5</f>
        <v>0</v>
      </c>
      <c r="N191" s="312"/>
      <c r="O191" s="313">
        <f>+O187*M191</f>
        <v>0</v>
      </c>
    </row>
    <row r="192" spans="1:15" x14ac:dyDescent="0.25">
      <c r="A192" s="218"/>
      <c r="B192" s="218"/>
      <c r="C192" s="218"/>
      <c r="D192" s="218"/>
      <c r="E192" s="218"/>
      <c r="F192" s="312"/>
      <c r="G192" s="312"/>
      <c r="H192" s="312"/>
      <c r="I192" s="312"/>
      <c r="J192" s="312"/>
      <c r="K192" s="312"/>
      <c r="L192" s="312"/>
      <c r="M192" s="314"/>
      <c r="N192" s="312"/>
      <c r="O192" s="313"/>
    </row>
    <row r="193" spans="1:15" x14ac:dyDescent="0.25">
      <c r="A193" s="218"/>
      <c r="B193" s="218"/>
      <c r="C193" s="218"/>
      <c r="D193" s="218"/>
      <c r="E193" s="218"/>
      <c r="F193" s="311" t="s">
        <v>48</v>
      </c>
      <c r="G193" s="312"/>
      <c r="H193" s="312"/>
      <c r="I193" s="312"/>
      <c r="J193" s="312"/>
      <c r="K193" s="312"/>
      <c r="L193" s="312"/>
      <c r="M193" s="314"/>
      <c r="N193" s="312"/>
      <c r="O193" s="313">
        <f>+O187*M193</f>
        <v>0</v>
      </c>
    </row>
    <row r="194" spans="1:15" x14ac:dyDescent="0.25">
      <c r="A194" s="218"/>
      <c r="B194" s="218"/>
      <c r="C194" s="218"/>
      <c r="D194" s="218"/>
      <c r="E194" s="218"/>
      <c r="F194" s="312"/>
      <c r="G194" s="312"/>
      <c r="H194" s="312"/>
      <c r="I194" s="312"/>
      <c r="J194" s="312"/>
      <c r="K194" s="312"/>
      <c r="L194" s="312"/>
      <c r="M194" s="314"/>
      <c r="N194" s="312"/>
      <c r="O194" s="313"/>
    </row>
    <row r="195" spans="1:15" x14ac:dyDescent="0.25">
      <c r="A195" s="218"/>
      <c r="B195" s="218"/>
      <c r="C195" s="218"/>
      <c r="D195" s="218"/>
      <c r="E195" s="218"/>
      <c r="F195" s="311" t="s">
        <v>76</v>
      </c>
      <c r="G195" s="312"/>
      <c r="H195" s="312"/>
      <c r="I195" s="312"/>
      <c r="J195" s="312"/>
      <c r="K195" s="312"/>
      <c r="L195" s="312"/>
      <c r="M195" s="314"/>
      <c r="N195" s="312"/>
      <c r="O195" s="313">
        <f>+O187*M195</f>
        <v>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5" t="s">
        <v>270</v>
      </c>
      <c r="G197" s="316"/>
      <c r="H197" s="316"/>
      <c r="I197" s="316"/>
      <c r="J197" s="316"/>
      <c r="K197" s="316"/>
      <c r="L197" s="316"/>
      <c r="M197" s="316"/>
      <c r="N197" s="316"/>
      <c r="O197" s="317">
        <f>SUM(O187:O195)+O168</f>
        <v>0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310"/>
    </row>
    <row r="199" spans="1:15" x14ac:dyDescent="0.25">
      <c r="A199" s="218"/>
      <c r="B199" s="218"/>
      <c r="C199" s="218"/>
      <c r="D199" s="218"/>
      <c r="E199" s="218"/>
      <c r="F199" s="311" t="s">
        <v>4</v>
      </c>
      <c r="G199" s="312"/>
      <c r="H199" s="312"/>
      <c r="I199" s="312"/>
      <c r="J199" s="312"/>
      <c r="K199" s="312"/>
      <c r="L199" s="312"/>
      <c r="M199" s="314">
        <v>0.1</v>
      </c>
      <c r="N199" s="312"/>
      <c r="O199" s="313">
        <f>+O197*M199</f>
        <v>0</v>
      </c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310"/>
    </row>
    <row r="201" spans="1:15" x14ac:dyDescent="0.25">
      <c r="A201" s="218"/>
      <c r="B201" s="218"/>
      <c r="C201" s="218"/>
      <c r="D201" s="218"/>
      <c r="E201" s="218"/>
      <c r="F201" s="315" t="s">
        <v>49</v>
      </c>
      <c r="G201" s="316"/>
      <c r="H201" s="316"/>
      <c r="I201" s="316"/>
      <c r="J201" s="316"/>
      <c r="K201" s="316"/>
      <c r="L201" s="316"/>
      <c r="M201" s="316"/>
      <c r="N201" s="316"/>
      <c r="O201" s="317">
        <f>+O197+O199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</row>
    <row r="204" spans="1:15" x14ac:dyDescent="0.25">
      <c r="A204" s="218"/>
      <c r="B204" s="218"/>
      <c r="C204" s="218"/>
      <c r="D204" s="218"/>
      <c r="E204" s="218"/>
      <c r="F204" s="315" t="s">
        <v>50</v>
      </c>
      <c r="G204" s="316"/>
      <c r="H204" s="316"/>
      <c r="I204" s="316"/>
      <c r="J204" s="316"/>
      <c r="K204" s="316"/>
      <c r="L204" s="316"/>
      <c r="M204" s="316"/>
      <c r="N204" s="316"/>
      <c r="O204" s="317" t="s">
        <v>51</v>
      </c>
    </row>
    <row r="205" spans="1:15" x14ac:dyDescent="0.25">
      <c r="A205" s="218"/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</row>
    <row r="206" spans="1:15" x14ac:dyDescent="0.25">
      <c r="A206" s="218"/>
      <c r="B206" s="218"/>
      <c r="C206" s="218"/>
      <c r="D206" s="218"/>
      <c r="E206" s="218"/>
      <c r="F206" s="218" t="s">
        <v>52</v>
      </c>
      <c r="G206" s="218"/>
      <c r="H206" s="218"/>
      <c r="I206" s="218"/>
      <c r="J206" s="218"/>
      <c r="K206" s="218"/>
      <c r="L206" s="218"/>
      <c r="M206" s="218"/>
      <c r="N206" s="218"/>
      <c r="O206" s="313">
        <f>+O57*(1+M189+M191)*(1+M199)</f>
        <v>0</v>
      </c>
    </row>
    <row r="207" spans="1:15" x14ac:dyDescent="0.25">
      <c r="A207" s="218"/>
      <c r="B207" s="218"/>
      <c r="C207" s="218"/>
      <c r="D207" s="218"/>
      <c r="E207" s="218"/>
      <c r="F207" s="218" t="s">
        <v>53</v>
      </c>
      <c r="G207" s="218"/>
      <c r="H207" s="218"/>
      <c r="I207" s="218"/>
      <c r="J207" s="218"/>
      <c r="K207" s="218"/>
      <c r="L207" s="218"/>
      <c r="M207" s="218"/>
      <c r="N207" s="218"/>
      <c r="O207" s="313">
        <f>+(O111+O163)*(1+M189+M191)*(1+M199)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54</v>
      </c>
      <c r="G208" s="218"/>
      <c r="H208" s="218"/>
      <c r="I208" s="218"/>
      <c r="J208" s="218"/>
      <c r="K208" s="218"/>
      <c r="L208" s="218"/>
      <c r="M208" s="218"/>
      <c r="N208" s="218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55</v>
      </c>
      <c r="G209" s="312"/>
      <c r="H209" s="312"/>
      <c r="I209" s="312"/>
      <c r="J209" s="312"/>
      <c r="K209" s="312"/>
      <c r="L209" s="312"/>
      <c r="M209" s="312"/>
      <c r="N209" s="312"/>
      <c r="O209" s="313">
        <f>G57</f>
        <v>0</v>
      </c>
    </row>
    <row r="210" spans="1:15" x14ac:dyDescent="0.25">
      <c r="A210" s="218"/>
      <c r="B210" s="218"/>
      <c r="C210" s="218"/>
      <c r="D210" s="218"/>
      <c r="E210" s="218"/>
      <c r="F210" s="311" t="s">
        <v>56</v>
      </c>
      <c r="G210" s="312"/>
      <c r="H210" s="312"/>
      <c r="I210" s="312"/>
      <c r="J210" s="312"/>
      <c r="K210" s="312"/>
      <c r="L210" s="312"/>
      <c r="M210" s="312"/>
      <c r="N210" s="312"/>
      <c r="O210" s="313">
        <f>+O209*6.16667</f>
        <v>0</v>
      </c>
    </row>
    <row r="211" spans="1:15" x14ac:dyDescent="0.25">
      <c r="A211" s="218"/>
      <c r="B211" s="218"/>
      <c r="C211" s="218"/>
      <c r="D211" s="218"/>
      <c r="E211" s="218"/>
      <c r="F211" s="218" t="s">
        <v>57</v>
      </c>
      <c r="G211" s="218"/>
      <c r="H211" s="218"/>
      <c r="I211" s="218"/>
      <c r="J211" s="218"/>
      <c r="K211" s="218"/>
      <c r="L211" s="218"/>
      <c r="M211" s="218"/>
      <c r="N211" s="218"/>
      <c r="O211" s="313" t="e">
        <f>+O201/O209</f>
        <v>#DIV/0!</v>
      </c>
    </row>
    <row r="212" spans="1:15" x14ac:dyDescent="0.25">
      <c r="A212" s="218"/>
      <c r="B212" s="218"/>
      <c r="C212" s="218"/>
      <c r="D212" s="218"/>
      <c r="E212" s="218"/>
      <c r="F212" s="218" t="s">
        <v>58</v>
      </c>
      <c r="G212" s="218"/>
      <c r="H212" s="218"/>
      <c r="I212" s="218"/>
      <c r="J212" s="218"/>
      <c r="K212" s="218"/>
      <c r="L212" s="218"/>
      <c r="M212" s="218"/>
      <c r="N212" s="218"/>
      <c r="O212" s="313" t="e">
        <f>+O201/O210</f>
        <v>#DIV/0!</v>
      </c>
    </row>
    <row r="213" spans="1:15" x14ac:dyDescent="0.25">
      <c r="O213" s="318"/>
    </row>
  </sheetData>
  <sheetProtection algorithmName="SHA-512" hashValue="OOlYssC0AsaeXnnHoccEJmj/dqZ+7iTV6xzjNT5KStfhRDoWsynqZmNy/wwhhgF4YJEOsKpmbCaCMjgN7ovSBg==" saltValue="olgi20eZ9fyJJU/VkkEFmg==" spinCount="100000" sheet="1" objects="1" scenarios="1" selectLockedCells="1"/>
  <mergeCells count="159">
    <mergeCell ref="A5:O5"/>
    <mergeCell ref="A7:B8"/>
    <mergeCell ref="A11:B11"/>
    <mergeCell ref="A12:B12"/>
    <mergeCell ref="A13:B13"/>
    <mergeCell ref="A14:B14"/>
    <mergeCell ref="A21:B21"/>
    <mergeCell ref="A22:B22"/>
    <mergeCell ref="A23:B23"/>
    <mergeCell ref="A24:B24"/>
    <mergeCell ref="A26:B26"/>
    <mergeCell ref="A27:B27"/>
    <mergeCell ref="A15:B15"/>
    <mergeCell ref="A16:B16"/>
    <mergeCell ref="A17:B17"/>
    <mergeCell ref="A18:B18"/>
    <mergeCell ref="A19:B19"/>
    <mergeCell ref="A20:B20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47:B47"/>
    <mergeCell ref="A48:B48"/>
    <mergeCell ref="A49:B49"/>
    <mergeCell ref="A50:B50"/>
    <mergeCell ref="A51:B51"/>
    <mergeCell ref="A52:B52"/>
    <mergeCell ref="A40:B40"/>
    <mergeCell ref="A42:B42"/>
    <mergeCell ref="A43:B43"/>
    <mergeCell ref="A44:B44"/>
    <mergeCell ref="A45:B45"/>
    <mergeCell ref="A46:B46"/>
    <mergeCell ref="A66:B66"/>
    <mergeCell ref="A67:B67"/>
    <mergeCell ref="A68:B68"/>
    <mergeCell ref="A69:B69"/>
    <mergeCell ref="A70:B70"/>
    <mergeCell ref="A71:B71"/>
    <mergeCell ref="A53:B53"/>
    <mergeCell ref="A54:B54"/>
    <mergeCell ref="A55:B55"/>
    <mergeCell ref="A56:B56"/>
    <mergeCell ref="A61:B62"/>
    <mergeCell ref="A65:B65"/>
    <mergeCell ref="A78:B78"/>
    <mergeCell ref="A80:B80"/>
    <mergeCell ref="A81:B81"/>
    <mergeCell ref="A82:B82"/>
    <mergeCell ref="A83:B83"/>
    <mergeCell ref="A84:B84"/>
    <mergeCell ref="A72:B72"/>
    <mergeCell ref="A73:B73"/>
    <mergeCell ref="A74:B74"/>
    <mergeCell ref="A75:B75"/>
    <mergeCell ref="A76:B76"/>
    <mergeCell ref="A77:B77"/>
    <mergeCell ref="A91:B91"/>
    <mergeCell ref="A92:B92"/>
    <mergeCell ref="A93:B93"/>
    <mergeCell ref="A94:B94"/>
    <mergeCell ref="A96:B96"/>
    <mergeCell ref="A97:B97"/>
    <mergeCell ref="A85:B85"/>
    <mergeCell ref="A86:B86"/>
    <mergeCell ref="A87:B87"/>
    <mergeCell ref="A88:B88"/>
    <mergeCell ref="A89:B89"/>
    <mergeCell ref="A90:B90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121:B121"/>
    <mergeCell ref="A122:B122"/>
    <mergeCell ref="A123:B123"/>
    <mergeCell ref="A124:B124"/>
    <mergeCell ref="A125:B125"/>
    <mergeCell ref="A126:B126"/>
    <mergeCell ref="A110:B110"/>
    <mergeCell ref="A113:B114"/>
    <mergeCell ref="A117:B117"/>
    <mergeCell ref="A118:B118"/>
    <mergeCell ref="A119:B119"/>
    <mergeCell ref="A120:B120"/>
    <mergeCell ref="A134:B134"/>
    <mergeCell ref="A135:B135"/>
    <mergeCell ref="A136:B136"/>
    <mergeCell ref="A137:B137"/>
    <mergeCell ref="A138:B138"/>
    <mergeCell ref="A139:B139"/>
    <mergeCell ref="A127:B127"/>
    <mergeCell ref="A128:B128"/>
    <mergeCell ref="A129:B129"/>
    <mergeCell ref="A130:B130"/>
    <mergeCell ref="A132:B132"/>
    <mergeCell ref="A133:B133"/>
    <mergeCell ref="A146:B146"/>
    <mergeCell ref="A148:B148"/>
    <mergeCell ref="A149:B149"/>
    <mergeCell ref="A150:B150"/>
    <mergeCell ref="A151:B151"/>
    <mergeCell ref="A152:B152"/>
    <mergeCell ref="A140:B140"/>
    <mergeCell ref="A141:B141"/>
    <mergeCell ref="A142:B142"/>
    <mergeCell ref="A143:B143"/>
    <mergeCell ref="A144:B144"/>
    <mergeCell ref="A145:B145"/>
    <mergeCell ref="A159:B159"/>
    <mergeCell ref="A160:B160"/>
    <mergeCell ref="A161:B161"/>
    <mergeCell ref="A162:B162"/>
    <mergeCell ref="A165:B166"/>
    <mergeCell ref="C165:C166"/>
    <mergeCell ref="A153:B153"/>
    <mergeCell ref="A154:B154"/>
    <mergeCell ref="A155:B155"/>
    <mergeCell ref="A156:B156"/>
    <mergeCell ref="A157:B157"/>
    <mergeCell ref="A158:B158"/>
    <mergeCell ref="O165:O166"/>
    <mergeCell ref="A167:B167"/>
    <mergeCell ref="A170:A171"/>
    <mergeCell ref="B170:B171"/>
    <mergeCell ref="A172:B172"/>
    <mergeCell ref="D165:D166"/>
    <mergeCell ref="E165:E166"/>
    <mergeCell ref="F165:F166"/>
    <mergeCell ref="G165:G166"/>
    <mergeCell ref="K165:K166"/>
    <mergeCell ref="M165:M166"/>
    <mergeCell ref="A177:B178"/>
    <mergeCell ref="A179:B179"/>
    <mergeCell ref="A180:B180"/>
    <mergeCell ref="A181:B181"/>
    <mergeCell ref="A182:B182"/>
    <mergeCell ref="A183:B183"/>
    <mergeCell ref="A184:B184"/>
    <mergeCell ref="A174:B174"/>
    <mergeCell ref="N165:N166"/>
    <mergeCell ref="A173:B17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rowBreaks count="1" manualBreakCount="1">
    <brk id="11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9DF4-32D7-4941-9993-EA55D3A36742}">
  <sheetPr>
    <tabColor theme="0"/>
  </sheetPr>
  <dimension ref="A1:O211"/>
  <sheetViews>
    <sheetView showGridLines="0" topLeftCell="A7" zoomScale="70" zoomScaleNormal="70" zoomScaleSheetLayoutView="70" workbookViewId="0">
      <selection activeCell="E19" sqref="E19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208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232" t="s">
        <v>195</v>
      </c>
      <c r="B10" s="233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s="153" customFormat="1" x14ac:dyDescent="0.25">
      <c r="A11" s="763" t="s">
        <v>88</v>
      </c>
      <c r="B11" s="76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s="153" customFormat="1" x14ac:dyDescent="0.25">
      <c r="A12" s="734" t="s">
        <v>72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153" customFormat="1" x14ac:dyDescent="0.25">
      <c r="A13" s="764" t="s">
        <v>89</v>
      </c>
      <c r="B13" s="764"/>
      <c r="C13" s="137"/>
      <c r="D13" s="241"/>
      <c r="E13" s="139"/>
      <c r="F13" s="241"/>
      <c r="G13" s="273"/>
      <c r="H13" s="273"/>
      <c r="I13" s="273"/>
      <c r="J13" s="273"/>
      <c r="K13" s="320"/>
      <c r="L13" s="320"/>
      <c r="M13" s="139"/>
      <c r="N13" s="238"/>
      <c r="O13" s="239"/>
    </row>
    <row r="14" spans="1:15" s="153" customFormat="1" x14ac:dyDescent="0.25">
      <c r="A14" s="734" t="s">
        <v>72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237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s="153" customForma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34"/>
      <c r="O15" s="234"/>
    </row>
    <row r="16" spans="1:15" s="153" customFormat="1" x14ac:dyDescent="0.25">
      <c r="A16" s="765" t="s">
        <v>88</v>
      </c>
      <c r="B16" s="765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34"/>
      <c r="O16" s="234"/>
    </row>
    <row r="17" spans="1:15" s="153" customFormat="1" x14ac:dyDescent="0.25">
      <c r="A17" s="734" t="s">
        <v>72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237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s="153" customForma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34"/>
      <c r="O18" s="234"/>
    </row>
    <row r="19" spans="1:15" s="153" customFormat="1" x14ac:dyDescent="0.25">
      <c r="A19" s="734" t="s">
        <v>72</v>
      </c>
      <c r="B19" s="734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s="153" customFormat="1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34"/>
      <c r="O20" s="234"/>
    </row>
    <row r="21" spans="1:15" s="153" customFormat="1" x14ac:dyDescent="0.25">
      <c r="A21" s="765" t="s">
        <v>88</v>
      </c>
      <c r="B21" s="765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34"/>
      <c r="O21" s="234"/>
    </row>
    <row r="22" spans="1:15" s="153" customFormat="1" x14ac:dyDescent="0.25">
      <c r="A22" s="734" t="s">
        <v>72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237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s="153" customFormat="1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34"/>
      <c r="O23" s="234"/>
    </row>
    <row r="24" spans="1:15" s="153" customFormat="1" x14ac:dyDescent="0.25">
      <c r="A24" s="734" t="s">
        <v>72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237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s="153" customFormat="1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s="153" customFormat="1" x14ac:dyDescent="0.25">
      <c r="A26" s="762" t="s">
        <v>195</v>
      </c>
      <c r="B26" s="762"/>
      <c r="C26" s="241"/>
      <c r="D26" s="241"/>
      <c r="E26" s="241"/>
      <c r="F26" s="234"/>
      <c r="G26" s="234"/>
      <c r="H26" s="234"/>
      <c r="I26" s="234"/>
      <c r="J26" s="234"/>
      <c r="K26" s="241"/>
      <c r="L26" s="241"/>
      <c r="M26" s="241"/>
      <c r="N26" s="234"/>
      <c r="O26" s="234"/>
    </row>
    <row r="27" spans="1:15" s="153" customFormat="1" x14ac:dyDescent="0.25">
      <c r="A27" s="765" t="s">
        <v>88</v>
      </c>
      <c r="B27" s="765"/>
      <c r="C27" s="241"/>
      <c r="D27" s="241"/>
      <c r="E27" s="241"/>
      <c r="F27" s="234"/>
      <c r="G27" s="234"/>
      <c r="H27" s="234"/>
      <c r="I27" s="234"/>
      <c r="J27" s="234"/>
      <c r="K27" s="241"/>
      <c r="L27" s="241"/>
      <c r="M27" s="241"/>
      <c r="N27" s="234"/>
      <c r="O27" s="234"/>
    </row>
    <row r="28" spans="1:15" s="153" customFormat="1" x14ac:dyDescent="0.25">
      <c r="A28" s="734" t="s">
        <v>72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237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s="153" customFormat="1" x14ac:dyDescent="0.25">
      <c r="A29" s="764" t="s">
        <v>89</v>
      </c>
      <c r="B29" s="764"/>
      <c r="C29" s="137"/>
      <c r="D29" s="241"/>
      <c r="E29" s="241"/>
      <c r="F29" s="241"/>
      <c r="G29" s="241"/>
      <c r="H29" s="273"/>
      <c r="I29" s="241"/>
      <c r="J29" s="273"/>
      <c r="K29" s="241"/>
      <c r="L29" s="241"/>
      <c r="M29" s="139"/>
      <c r="N29" s="238"/>
      <c r="O29" s="234"/>
    </row>
    <row r="30" spans="1:15" s="153" customFormat="1" x14ac:dyDescent="0.25">
      <c r="A30" s="734" t="s">
        <v>72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34"/>
      <c r="O31" s="234"/>
    </row>
    <row r="32" spans="1:15" s="153" customFormat="1" x14ac:dyDescent="0.25">
      <c r="A32" s="765" t="s">
        <v>88</v>
      </c>
      <c r="B32" s="765"/>
      <c r="C32" s="241"/>
      <c r="D32" s="241"/>
      <c r="E32" s="139"/>
      <c r="F32" s="241"/>
      <c r="G32" s="273"/>
      <c r="H32" s="241"/>
      <c r="I32" s="273"/>
      <c r="J32" s="241"/>
      <c r="K32" s="320"/>
      <c r="L32" s="320"/>
      <c r="M32" s="241"/>
      <c r="N32" s="234"/>
      <c r="O32" s="239"/>
    </row>
    <row r="33" spans="1:15" s="153" customFormat="1" x14ac:dyDescent="0.25">
      <c r="A33" s="734" t="s">
        <v>72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237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s="153" customFormat="1" x14ac:dyDescent="0.25">
      <c r="A34" s="764" t="s">
        <v>89</v>
      </c>
      <c r="B34" s="764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34"/>
      <c r="O34" s="234"/>
    </row>
    <row r="35" spans="1:15" s="153" customFormat="1" x14ac:dyDescent="0.25">
      <c r="A35" s="734" t="s">
        <v>72</v>
      </c>
      <c r="B35" s="734"/>
      <c r="C35" s="137">
        <v>6.1666699999999999</v>
      </c>
      <c r="D35" s="7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237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s="153" customFormat="1" x14ac:dyDescent="0.25">
      <c r="A36" s="762" t="s">
        <v>197</v>
      </c>
      <c r="B36" s="762"/>
      <c r="C36" s="241"/>
      <c r="D36" s="241"/>
      <c r="E36" s="139"/>
      <c r="F36" s="241"/>
      <c r="G36" s="273"/>
      <c r="H36" s="241"/>
      <c r="I36" s="273"/>
      <c r="J36" s="241"/>
      <c r="K36" s="320"/>
      <c r="L36" s="320"/>
      <c r="M36" s="241"/>
      <c r="N36" s="234"/>
      <c r="O36" s="239"/>
    </row>
    <row r="37" spans="1:15" s="153" customFormat="1" x14ac:dyDescent="0.25">
      <c r="A37" s="765" t="s">
        <v>88</v>
      </c>
      <c r="B37" s="765"/>
      <c r="C37" s="241"/>
      <c r="D37" s="241"/>
      <c r="E37" s="139"/>
      <c r="F37" s="241"/>
      <c r="G37" s="273"/>
      <c r="H37" s="241"/>
      <c r="I37" s="273"/>
      <c r="J37" s="241"/>
      <c r="K37" s="320"/>
      <c r="L37" s="320"/>
      <c r="M37" s="241"/>
      <c r="N37" s="234"/>
      <c r="O37" s="239"/>
    </row>
    <row r="38" spans="1:15" s="153" customFormat="1" x14ac:dyDescent="0.25">
      <c r="A38" s="734" t="s">
        <v>72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237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s="153" customFormat="1" x14ac:dyDescent="0.25">
      <c r="A39" s="764" t="s">
        <v>89</v>
      </c>
      <c r="B39" s="764"/>
      <c r="C39" s="241"/>
      <c r="D39" s="241"/>
      <c r="E39" s="139"/>
      <c r="F39" s="241"/>
      <c r="G39" s="273"/>
      <c r="H39" s="241"/>
      <c r="I39" s="273"/>
      <c r="J39" s="241"/>
      <c r="K39" s="320"/>
      <c r="L39" s="320"/>
      <c r="M39" s="241"/>
      <c r="N39" s="234"/>
      <c r="O39" s="239"/>
    </row>
    <row r="40" spans="1:15" s="153" customFormat="1" x14ac:dyDescent="0.25">
      <c r="A40" s="734" t="s">
        <v>72</v>
      </c>
      <c r="B40" s="734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237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s="153" customFormat="1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s="153" customFormat="1" x14ac:dyDescent="0.25">
      <c r="A42" s="762" t="s">
        <v>195</v>
      </c>
      <c r="B42" s="762"/>
      <c r="C42" s="137"/>
      <c r="D42" s="138"/>
      <c r="E42" s="139"/>
      <c r="F42" s="234"/>
      <c r="G42" s="235"/>
      <c r="H42" s="235"/>
      <c r="I42" s="235"/>
      <c r="J42" s="235"/>
      <c r="K42" s="320"/>
      <c r="L42" s="320"/>
      <c r="M42" s="139"/>
      <c r="N42" s="238"/>
      <c r="O42" s="239"/>
    </row>
    <row r="43" spans="1:15" s="153" customFormat="1" x14ac:dyDescent="0.25">
      <c r="A43" s="763" t="s">
        <v>88</v>
      </c>
      <c r="B43" s="763"/>
      <c r="C43" s="137"/>
      <c r="D43" s="138"/>
      <c r="E43" s="139"/>
      <c r="F43" s="234"/>
      <c r="G43" s="235"/>
      <c r="H43" s="235"/>
      <c r="I43" s="235"/>
      <c r="J43" s="235"/>
      <c r="K43" s="320"/>
      <c r="L43" s="320"/>
      <c r="M43" s="139"/>
      <c r="N43" s="238"/>
      <c r="O43" s="239"/>
    </row>
    <row r="44" spans="1:15" s="153" customFormat="1" x14ac:dyDescent="0.25">
      <c r="A44" s="734" t="s">
        <v>72</v>
      </c>
      <c r="B44" s="734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s="153" customFormat="1" x14ac:dyDescent="0.25">
      <c r="A45" s="770" t="s">
        <v>89</v>
      </c>
      <c r="B45" s="770"/>
      <c r="C45" s="137"/>
      <c r="D45" s="241"/>
      <c r="E45" s="241"/>
      <c r="F45" s="241"/>
      <c r="G45" s="241"/>
      <c r="H45" s="273"/>
      <c r="I45" s="241"/>
      <c r="J45" s="273"/>
      <c r="K45" s="241"/>
      <c r="L45" s="241"/>
      <c r="M45" s="139"/>
      <c r="N45" s="238"/>
      <c r="O45" s="234"/>
    </row>
    <row r="46" spans="1:15" s="240" customFormat="1" x14ac:dyDescent="0.25">
      <c r="A46" s="734" t="s">
        <v>72</v>
      </c>
      <c r="B46" s="734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491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s="240" customFormat="1" x14ac:dyDescent="0.25">
      <c r="A47" s="762" t="s">
        <v>196</v>
      </c>
      <c r="B47" s="762"/>
      <c r="C47" s="241"/>
      <c r="D47" s="241"/>
      <c r="E47" s="241"/>
      <c r="F47" s="241"/>
      <c r="G47" s="273"/>
      <c r="H47" s="241"/>
      <c r="I47" s="273"/>
      <c r="J47" s="241"/>
      <c r="K47" s="320"/>
      <c r="L47" s="320"/>
      <c r="M47" s="241"/>
      <c r="N47" s="234"/>
      <c r="O47" s="239"/>
    </row>
    <row r="48" spans="1:15" s="153" customFormat="1" x14ac:dyDescent="0.25">
      <c r="A48" s="763" t="s">
        <v>88</v>
      </c>
      <c r="B48" s="763"/>
      <c r="C48" s="241"/>
      <c r="D48" s="241"/>
      <c r="E48" s="139"/>
      <c r="F48" s="241"/>
      <c r="G48" s="241"/>
      <c r="H48" s="241"/>
      <c r="I48" s="241"/>
      <c r="J48" s="241"/>
      <c r="K48" s="241"/>
      <c r="L48" s="241"/>
      <c r="M48" s="241"/>
      <c r="N48" s="234"/>
      <c r="O48" s="234"/>
    </row>
    <row r="49" spans="1:15" s="240" customFormat="1" x14ac:dyDescent="0.25">
      <c r="A49" s="734" t="s">
        <v>72</v>
      </c>
      <c r="B49" s="734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491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70" t="s">
        <v>89</v>
      </c>
      <c r="B50" s="770"/>
      <c r="C50" s="241"/>
      <c r="D50" s="241"/>
      <c r="E50" s="241"/>
      <c r="F50" s="241"/>
      <c r="G50" s="273"/>
      <c r="H50" s="241"/>
      <c r="I50" s="273"/>
      <c r="J50" s="241"/>
      <c r="K50" s="320"/>
      <c r="L50" s="320"/>
      <c r="M50" s="241"/>
      <c r="N50" s="234"/>
      <c r="O50" s="239"/>
    </row>
    <row r="51" spans="1:15" s="153" customFormat="1" x14ac:dyDescent="0.25">
      <c r="A51" s="734" t="s">
        <v>72</v>
      </c>
      <c r="B51" s="734"/>
      <c r="C51" s="137">
        <v>6.1666699999999999</v>
      </c>
      <c r="D51" s="7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491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153" customFormat="1" x14ac:dyDescent="0.25">
      <c r="A52" s="762" t="s">
        <v>197</v>
      </c>
      <c r="B52" s="762"/>
      <c r="C52" s="241"/>
      <c r="D52" s="241"/>
      <c r="E52" s="139"/>
      <c r="F52" s="241"/>
      <c r="G52" s="241"/>
      <c r="H52" s="241"/>
      <c r="I52" s="241"/>
      <c r="J52" s="241"/>
      <c r="K52" s="241"/>
      <c r="L52" s="241"/>
      <c r="M52" s="241"/>
      <c r="N52" s="234"/>
      <c r="O52" s="234"/>
    </row>
    <row r="53" spans="1:15" s="240" customFormat="1" x14ac:dyDescent="0.25">
      <c r="A53" s="763" t="s">
        <v>88</v>
      </c>
      <c r="B53" s="763"/>
      <c r="C53" s="241"/>
      <c r="D53" s="241"/>
      <c r="E53" s="139"/>
      <c r="F53" s="241"/>
      <c r="G53" s="273"/>
      <c r="H53" s="241"/>
      <c r="I53" s="273"/>
      <c r="J53" s="241"/>
      <c r="K53" s="320"/>
      <c r="L53" s="320"/>
      <c r="M53" s="241"/>
      <c r="N53" s="234"/>
      <c r="O53" s="239"/>
    </row>
    <row r="54" spans="1:15" s="240" customFormat="1" x14ac:dyDescent="0.25">
      <c r="A54" s="734" t="s">
        <v>72</v>
      </c>
      <c r="B54" s="734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491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s="153" customFormat="1" x14ac:dyDescent="0.25">
      <c r="A55" s="770" t="s">
        <v>89</v>
      </c>
      <c r="B55" s="770"/>
      <c r="C55" s="241"/>
      <c r="D55" s="241"/>
      <c r="E55" s="139"/>
      <c r="F55" s="241"/>
      <c r="G55" s="241"/>
      <c r="H55" s="241"/>
      <c r="I55" s="241"/>
      <c r="J55" s="241"/>
      <c r="K55" s="241"/>
      <c r="L55" s="241"/>
      <c r="M55" s="241"/>
      <c r="N55" s="234"/>
      <c r="O55" s="234"/>
    </row>
    <row r="56" spans="1:15" s="240" customFormat="1" x14ac:dyDescent="0.25">
      <c r="A56" s="734" t="s">
        <v>72</v>
      </c>
      <c r="B56" s="734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$K$12+Personal!D38</f>
        <v>0</v>
      </c>
      <c r="L56" s="491">
        <f>+K56/C56</f>
        <v>0</v>
      </c>
      <c r="M56" s="238" t="s">
        <v>90</v>
      </c>
      <c r="N56" s="238" t="s">
        <v>42</v>
      </c>
      <c r="O56" s="239">
        <f>+K56*G56</f>
        <v>0</v>
      </c>
    </row>
    <row r="57" spans="1:15" x14ac:dyDescent="0.25">
      <c r="A57" s="395"/>
      <c r="B57" s="396"/>
      <c r="C57" s="396"/>
      <c r="D57" s="396"/>
      <c r="E57" s="397" t="s">
        <v>45</v>
      </c>
      <c r="F57" s="396"/>
      <c r="G57" s="396">
        <f>SUM(G12:G56)</f>
        <v>0</v>
      </c>
      <c r="H57" s="396"/>
      <c r="I57" s="396">
        <f>SUM(I12:I56)</f>
        <v>0</v>
      </c>
      <c r="J57" s="396">
        <f>SUM(J12:J56)</f>
        <v>0</v>
      </c>
      <c r="K57" s="396"/>
      <c r="L57" s="396"/>
      <c r="M57" s="396"/>
      <c r="N57" s="396"/>
      <c r="O57" s="399">
        <f>SUM(O12:O56)</f>
        <v>0</v>
      </c>
    </row>
    <row r="58" spans="1:15" x14ac:dyDescent="0.25">
      <c r="A58" s="400"/>
      <c r="B58" s="327"/>
      <c r="C58" s="327"/>
      <c r="D58" s="327"/>
      <c r="E58" s="328"/>
      <c r="F58" s="258" t="s">
        <v>301</v>
      </c>
      <c r="G58" s="327">
        <f>G12+G14+G17+G19+G28+G30+G33+G35+G44+G46+G49+G51</f>
        <v>0</v>
      </c>
      <c r="H58" s="327"/>
      <c r="I58" s="327"/>
      <c r="J58" s="327"/>
      <c r="K58" s="327"/>
      <c r="L58" s="327"/>
      <c r="M58" s="327"/>
      <c r="N58" s="327"/>
      <c r="O58" s="401"/>
    </row>
    <row r="59" spans="1:15" x14ac:dyDescent="0.25">
      <c r="A59" s="400"/>
      <c r="B59" s="327"/>
      <c r="C59" s="327"/>
      <c r="D59" s="327"/>
      <c r="E59" s="328"/>
      <c r="F59" s="258" t="s">
        <v>302</v>
      </c>
      <c r="G59" s="327">
        <f>G22+G24+G38+G40+G54+G56</f>
        <v>0</v>
      </c>
      <c r="H59" s="327"/>
      <c r="I59" s="327"/>
      <c r="J59" s="327"/>
      <c r="K59" s="327"/>
      <c r="L59" s="327"/>
      <c r="M59" s="327"/>
      <c r="N59" s="327"/>
      <c r="O59" s="401"/>
    </row>
    <row r="60" spans="1:15" s="153" customFormat="1" ht="26.25" x14ac:dyDescent="0.4">
      <c r="A60" s="220" t="s">
        <v>211</v>
      </c>
      <c r="B60" s="221"/>
      <c r="C60" s="221"/>
      <c r="D60" s="223"/>
      <c r="E60" s="223"/>
      <c r="F60" s="223"/>
      <c r="G60" s="223"/>
      <c r="H60" s="223"/>
      <c r="I60" s="223"/>
      <c r="J60" s="223"/>
      <c r="K60" s="224"/>
      <c r="L60" s="224"/>
      <c r="M60" s="224"/>
      <c r="N60" s="224"/>
      <c r="O60" s="224"/>
    </row>
    <row r="61" spans="1:15" x14ac:dyDescent="0.25">
      <c r="A61" s="773" t="s">
        <v>20</v>
      </c>
      <c r="B61" s="773"/>
      <c r="C61" s="225" t="s">
        <v>27</v>
      </c>
      <c r="D61" s="225" t="s">
        <v>28</v>
      </c>
      <c r="E61" s="225" t="s">
        <v>21</v>
      </c>
      <c r="F61" s="225" t="s">
        <v>29</v>
      </c>
      <c r="G61" s="225"/>
      <c r="H61" s="225"/>
      <c r="I61" s="225"/>
      <c r="J61" s="225"/>
      <c r="K61" s="225" t="s">
        <v>30</v>
      </c>
      <c r="L61" s="225" t="s">
        <v>23</v>
      </c>
      <c r="M61" s="225" t="s">
        <v>31</v>
      </c>
      <c r="N61" s="225"/>
      <c r="O61" s="225" t="s">
        <v>32</v>
      </c>
    </row>
    <row r="62" spans="1:15" x14ac:dyDescent="0.25">
      <c r="A62" s="768"/>
      <c r="B62" s="768"/>
      <c r="C62" s="226" t="s">
        <v>44</v>
      </c>
      <c r="D62" s="226" t="s">
        <v>5</v>
      </c>
      <c r="E62" s="226" t="s">
        <v>24</v>
      </c>
      <c r="F62" s="227" t="s">
        <v>34</v>
      </c>
      <c r="G62" s="226" t="s">
        <v>35</v>
      </c>
      <c r="H62" s="226"/>
      <c r="I62" s="226"/>
      <c r="J62" s="226"/>
      <c r="K62" s="226" t="s">
        <v>36</v>
      </c>
      <c r="L62" s="228" t="s">
        <v>37</v>
      </c>
      <c r="M62" s="226" t="s">
        <v>38</v>
      </c>
      <c r="N62" s="226"/>
      <c r="O62" s="226" t="s">
        <v>40</v>
      </c>
    </row>
    <row r="63" spans="1:15" x14ac:dyDescent="0.25">
      <c r="A63" s="229" t="s">
        <v>198</v>
      </c>
      <c r="B63" s="230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</row>
    <row r="64" spans="1:15" x14ac:dyDescent="0.25">
      <c r="A64" s="232" t="s">
        <v>195</v>
      </c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x14ac:dyDescent="0.25">
      <c r="A65" s="763" t="s">
        <v>88</v>
      </c>
      <c r="B65" s="76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</row>
    <row r="66" spans="1:15" x14ac:dyDescent="0.25">
      <c r="A66" s="734" t="s">
        <v>214</v>
      </c>
      <c r="B66" s="734"/>
      <c r="C66" s="137">
        <v>6.1666699999999999</v>
      </c>
      <c r="D66" s="138">
        <v>1</v>
      </c>
      <c r="E66" s="139">
        <f>$E$12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'Seguro+combustible+reparacions'!F8</f>
        <v>0</v>
      </c>
      <c r="L66" s="237">
        <f>+K66/C66</f>
        <v>0</v>
      </c>
      <c r="M66" s="238" t="s">
        <v>41</v>
      </c>
      <c r="N66" s="238"/>
      <c r="O66" s="239">
        <f>+K66*G66</f>
        <v>0</v>
      </c>
    </row>
    <row r="67" spans="1:15" x14ac:dyDescent="0.25">
      <c r="A67" s="764" t="s">
        <v>89</v>
      </c>
      <c r="B67" s="764"/>
      <c r="C67" s="234"/>
      <c r="D67" s="241"/>
      <c r="E67" s="241"/>
      <c r="F67" s="241"/>
      <c r="G67" s="241"/>
      <c r="H67" s="241"/>
      <c r="I67" s="241"/>
      <c r="J67" s="241"/>
      <c r="K67" s="241"/>
      <c r="L67" s="234"/>
      <c r="M67" s="139"/>
      <c r="N67" s="234"/>
      <c r="O67" s="234"/>
    </row>
    <row r="68" spans="1:15" x14ac:dyDescent="0.25">
      <c r="A68" s="734" t="s">
        <v>214</v>
      </c>
      <c r="B68" s="734"/>
      <c r="C68" s="137">
        <v>6.1666699999999999</v>
      </c>
      <c r="D68" s="138">
        <v>1</v>
      </c>
      <c r="E68" s="139">
        <f>$E$14</f>
        <v>0</v>
      </c>
      <c r="F68" s="139">
        <f>Dies!$C$48</f>
        <v>95</v>
      </c>
      <c r="G68" s="273">
        <f>+D68*E68*F68</f>
        <v>0</v>
      </c>
      <c r="H68" s="273"/>
      <c r="I68" s="273"/>
      <c r="J68" s="273"/>
      <c r="K68" s="320">
        <f>$K$66</f>
        <v>0</v>
      </c>
      <c r="L68" s="237">
        <f>+K68/C68</f>
        <v>0</v>
      </c>
      <c r="M68" s="238" t="s">
        <v>90</v>
      </c>
      <c r="N68" s="238"/>
      <c r="O68" s="239">
        <f>+K68*G68</f>
        <v>0</v>
      </c>
    </row>
    <row r="69" spans="1:15" x14ac:dyDescent="0.25">
      <c r="A69" s="762" t="s">
        <v>196</v>
      </c>
      <c r="B69" s="762"/>
      <c r="C69" s="234"/>
      <c r="D69" s="241"/>
      <c r="E69" s="241"/>
      <c r="F69" s="241"/>
      <c r="G69" s="241"/>
      <c r="H69" s="241"/>
      <c r="I69" s="241"/>
      <c r="J69" s="241"/>
      <c r="K69" s="241"/>
      <c r="L69" s="234"/>
      <c r="M69" s="241"/>
      <c r="N69" s="234"/>
      <c r="O69" s="234"/>
    </row>
    <row r="70" spans="1:15" x14ac:dyDescent="0.25">
      <c r="A70" s="765" t="s">
        <v>88</v>
      </c>
      <c r="B70" s="765"/>
      <c r="C70" s="234"/>
      <c r="D70" s="241"/>
      <c r="E70" s="241"/>
      <c r="F70" s="241"/>
      <c r="G70" s="241"/>
      <c r="H70" s="241"/>
      <c r="I70" s="241"/>
      <c r="J70" s="241"/>
      <c r="K70" s="241"/>
      <c r="L70" s="234"/>
      <c r="M70" s="241"/>
      <c r="N70" s="234"/>
      <c r="O70" s="234"/>
    </row>
    <row r="71" spans="1:15" x14ac:dyDescent="0.25">
      <c r="A71" s="734" t="s">
        <v>214</v>
      </c>
      <c r="B71" s="734"/>
      <c r="C71" s="137">
        <v>6.1666699999999999</v>
      </c>
      <c r="D71" s="138">
        <v>1</v>
      </c>
      <c r="E71" s="139">
        <f>$E$17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$K$66</f>
        <v>0</v>
      </c>
      <c r="L71" s="237">
        <f>+K71/C71</f>
        <v>0</v>
      </c>
      <c r="M71" s="238" t="s">
        <v>41</v>
      </c>
      <c r="N71" s="238"/>
      <c r="O71" s="239">
        <f>+K71*G71</f>
        <v>0</v>
      </c>
    </row>
    <row r="72" spans="1:15" x14ac:dyDescent="0.25">
      <c r="A72" s="764" t="s">
        <v>89</v>
      </c>
      <c r="B72" s="764"/>
      <c r="C72" s="234"/>
      <c r="D72" s="241"/>
      <c r="E72" s="653"/>
      <c r="F72" s="241"/>
      <c r="G72" s="241"/>
      <c r="H72" s="241"/>
      <c r="I72" s="241"/>
      <c r="J72" s="241"/>
      <c r="K72" s="241"/>
      <c r="L72" s="234"/>
      <c r="M72" s="241"/>
      <c r="N72" s="234"/>
      <c r="O72" s="234"/>
    </row>
    <row r="73" spans="1:15" x14ac:dyDescent="0.25">
      <c r="A73" s="734" t="s">
        <v>214</v>
      </c>
      <c r="B73" s="734"/>
      <c r="C73" s="137">
        <v>6.1666699999999999</v>
      </c>
      <c r="D73" s="138">
        <v>1</v>
      </c>
      <c r="E73" s="139">
        <f>$E$19</f>
        <v>0</v>
      </c>
      <c r="F73" s="139">
        <f>Dies!$C$49</f>
        <v>20</v>
      </c>
      <c r="G73" s="273">
        <f>+D73*E73*F73</f>
        <v>0</v>
      </c>
      <c r="H73" s="273"/>
      <c r="I73" s="273"/>
      <c r="J73" s="273"/>
      <c r="K73" s="320">
        <f>$K$66</f>
        <v>0</v>
      </c>
      <c r="L73" s="237">
        <f>+K73/C73</f>
        <v>0</v>
      </c>
      <c r="M73" s="238" t="s">
        <v>90</v>
      </c>
      <c r="N73" s="238"/>
      <c r="O73" s="239">
        <f>+K73*G73</f>
        <v>0</v>
      </c>
    </row>
    <row r="74" spans="1:15" x14ac:dyDescent="0.25">
      <c r="A74" s="762" t="s">
        <v>197</v>
      </c>
      <c r="B74" s="762"/>
      <c r="C74" s="234"/>
      <c r="D74" s="241"/>
      <c r="E74" s="241"/>
      <c r="F74" s="241"/>
      <c r="G74" s="241"/>
      <c r="H74" s="241"/>
      <c r="I74" s="241"/>
      <c r="J74" s="241"/>
      <c r="K74" s="241"/>
      <c r="L74" s="234"/>
      <c r="M74" s="241"/>
      <c r="N74" s="234"/>
      <c r="O74" s="234"/>
    </row>
    <row r="75" spans="1:15" x14ac:dyDescent="0.25">
      <c r="A75" s="765" t="s">
        <v>88</v>
      </c>
      <c r="B75" s="765"/>
      <c r="C75" s="234"/>
      <c r="D75" s="241"/>
      <c r="E75" s="241"/>
      <c r="F75" s="241"/>
      <c r="G75" s="241"/>
      <c r="H75" s="241"/>
      <c r="I75" s="241"/>
      <c r="J75" s="241"/>
      <c r="K75" s="241"/>
      <c r="L75" s="234"/>
      <c r="M75" s="241"/>
      <c r="N75" s="234"/>
      <c r="O75" s="234"/>
    </row>
    <row r="76" spans="1:15" x14ac:dyDescent="0.25">
      <c r="A76" s="734" t="s">
        <v>214</v>
      </c>
      <c r="B76" s="734"/>
      <c r="C76" s="137">
        <v>6.1666699999999999</v>
      </c>
      <c r="D76" s="138">
        <v>1</v>
      </c>
      <c r="E76" s="139">
        <f>$E$22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$K$66</f>
        <v>0</v>
      </c>
      <c r="L76" s="237">
        <f>+K76/C76</f>
        <v>0</v>
      </c>
      <c r="M76" s="238" t="s">
        <v>41</v>
      </c>
      <c r="N76" s="238"/>
      <c r="O76" s="239">
        <f>+K76*G76</f>
        <v>0</v>
      </c>
    </row>
    <row r="77" spans="1:15" x14ac:dyDescent="0.25">
      <c r="A77" s="764" t="s">
        <v>89</v>
      </c>
      <c r="B77" s="764"/>
      <c r="C77" s="234"/>
      <c r="D77" s="241"/>
      <c r="E77" s="241"/>
      <c r="F77" s="241"/>
      <c r="G77" s="241"/>
      <c r="H77" s="241"/>
      <c r="I77" s="241"/>
      <c r="J77" s="241"/>
      <c r="K77" s="241"/>
      <c r="L77" s="234"/>
      <c r="M77" s="241"/>
      <c r="N77" s="234"/>
      <c r="O77" s="234"/>
    </row>
    <row r="78" spans="1:15" x14ac:dyDescent="0.25">
      <c r="A78" s="734" t="s">
        <v>214</v>
      </c>
      <c r="B78" s="734"/>
      <c r="C78" s="137">
        <v>6.1666699999999999</v>
      </c>
      <c r="D78" s="138">
        <v>1</v>
      </c>
      <c r="E78" s="139">
        <f>$E$24</f>
        <v>0</v>
      </c>
      <c r="F78" s="139">
        <f>Dies!$C$50</f>
        <v>20</v>
      </c>
      <c r="G78" s="273">
        <f>+D78*E78*F78</f>
        <v>0</v>
      </c>
      <c r="H78" s="273"/>
      <c r="I78" s="273"/>
      <c r="J78" s="273"/>
      <c r="K78" s="320">
        <f>$K$66</f>
        <v>0</v>
      </c>
      <c r="L78" s="237">
        <f>+K78/C78</f>
        <v>0</v>
      </c>
      <c r="M78" s="238" t="s">
        <v>90</v>
      </c>
      <c r="N78" s="238"/>
      <c r="O78" s="239">
        <f>+K78*G78</f>
        <v>0</v>
      </c>
    </row>
    <row r="79" spans="1:15" x14ac:dyDescent="0.25">
      <c r="A79" s="229" t="s">
        <v>199</v>
      </c>
      <c r="B79" s="242"/>
      <c r="C79" s="278"/>
      <c r="D79" s="278"/>
      <c r="E79" s="278"/>
      <c r="F79" s="245"/>
      <c r="G79" s="278"/>
      <c r="H79" s="278"/>
      <c r="I79" s="278"/>
      <c r="J79" s="278"/>
      <c r="K79" s="278"/>
      <c r="L79" s="278"/>
      <c r="M79" s="278"/>
      <c r="N79" s="278"/>
      <c r="O79" s="278"/>
    </row>
    <row r="80" spans="1:15" x14ac:dyDescent="0.25">
      <c r="A80" s="762" t="s">
        <v>195</v>
      </c>
      <c r="B80" s="762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</row>
    <row r="81" spans="1:15" x14ac:dyDescent="0.25">
      <c r="A81" s="765" t="s">
        <v>88</v>
      </c>
      <c r="B81" s="765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</row>
    <row r="82" spans="1:15" x14ac:dyDescent="0.25">
      <c r="A82" s="734" t="s">
        <v>214</v>
      </c>
      <c r="B82" s="734"/>
      <c r="C82" s="137">
        <v>6.1666699999999999</v>
      </c>
      <c r="D82" s="138">
        <v>1</v>
      </c>
      <c r="E82" s="139">
        <f>$E$28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$K$66</f>
        <v>0</v>
      </c>
      <c r="L82" s="237">
        <f>+K82/C82</f>
        <v>0</v>
      </c>
      <c r="M82" s="238" t="s">
        <v>41</v>
      </c>
      <c r="N82" s="238"/>
      <c r="O82" s="239">
        <f>+K82*G82</f>
        <v>0</v>
      </c>
    </row>
    <row r="83" spans="1:15" x14ac:dyDescent="0.25">
      <c r="A83" s="764" t="s">
        <v>89</v>
      </c>
      <c r="B83" s="764"/>
      <c r="C83" s="234"/>
      <c r="D83" s="234"/>
      <c r="E83" s="241"/>
      <c r="F83" s="241"/>
      <c r="G83" s="241"/>
      <c r="H83" s="241"/>
      <c r="I83" s="241"/>
      <c r="J83" s="241"/>
      <c r="K83" s="241"/>
      <c r="L83" s="234"/>
      <c r="M83" s="139"/>
      <c r="N83" s="234"/>
      <c r="O83" s="234"/>
    </row>
    <row r="84" spans="1:15" x14ac:dyDescent="0.25">
      <c r="A84" s="734" t="s">
        <v>214</v>
      </c>
      <c r="B84" s="734"/>
      <c r="C84" s="137">
        <v>6.1666699999999999</v>
      </c>
      <c r="D84" s="138">
        <v>1</v>
      </c>
      <c r="E84" s="139">
        <f>$E$30</f>
        <v>0</v>
      </c>
      <c r="F84" s="139">
        <f>Dies!$C$53</f>
        <v>77</v>
      </c>
      <c r="G84" s="273">
        <f>+D84*E84*F84</f>
        <v>0</v>
      </c>
      <c r="H84" s="273"/>
      <c r="I84" s="273"/>
      <c r="J84" s="273"/>
      <c r="K84" s="320">
        <f>$K$66</f>
        <v>0</v>
      </c>
      <c r="L84" s="237">
        <f>+K84/C84</f>
        <v>0</v>
      </c>
      <c r="M84" s="238" t="s">
        <v>90</v>
      </c>
      <c r="N84" s="238"/>
      <c r="O84" s="239">
        <f>+K84*G84</f>
        <v>0</v>
      </c>
    </row>
    <row r="85" spans="1:15" x14ac:dyDescent="0.25">
      <c r="A85" s="762" t="s">
        <v>196</v>
      </c>
      <c r="B85" s="762"/>
      <c r="C85" s="234"/>
      <c r="D85" s="234"/>
      <c r="E85" s="147"/>
      <c r="F85" s="241"/>
      <c r="G85" s="241"/>
      <c r="H85" s="241"/>
      <c r="I85" s="241"/>
      <c r="J85" s="241"/>
      <c r="K85" s="241"/>
      <c r="L85" s="234"/>
      <c r="M85" s="241"/>
      <c r="N85" s="234"/>
      <c r="O85" s="234"/>
    </row>
    <row r="86" spans="1:15" x14ac:dyDescent="0.25">
      <c r="A86" s="765" t="s">
        <v>88</v>
      </c>
      <c r="B86" s="765"/>
      <c r="C86" s="234"/>
      <c r="D86" s="234"/>
      <c r="E86" s="147"/>
      <c r="F86" s="241"/>
      <c r="G86" s="241"/>
      <c r="H86" s="241"/>
      <c r="I86" s="241"/>
      <c r="J86" s="241"/>
      <c r="K86" s="241"/>
      <c r="L86" s="234"/>
      <c r="M86" s="241"/>
      <c r="N86" s="234"/>
      <c r="O86" s="234"/>
    </row>
    <row r="87" spans="1:15" x14ac:dyDescent="0.25">
      <c r="A87" s="734" t="s">
        <v>214</v>
      </c>
      <c r="B87" s="734"/>
      <c r="C87" s="137">
        <v>6.1666699999999999</v>
      </c>
      <c r="D87" s="138">
        <v>1</v>
      </c>
      <c r="E87" s="139">
        <f>$E$33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$K$66</f>
        <v>0</v>
      </c>
      <c r="L87" s="237">
        <f>+K87/C87</f>
        <v>0</v>
      </c>
      <c r="M87" s="238" t="s">
        <v>41</v>
      </c>
      <c r="N87" s="238"/>
      <c r="O87" s="239">
        <f>+K87*G87</f>
        <v>0</v>
      </c>
    </row>
    <row r="88" spans="1:15" x14ac:dyDescent="0.25">
      <c r="A88" s="764" t="s">
        <v>89</v>
      </c>
      <c r="B88" s="764"/>
      <c r="C88" s="234"/>
      <c r="D88" s="234"/>
      <c r="E88" s="147"/>
      <c r="F88" s="241"/>
      <c r="G88" s="241"/>
      <c r="H88" s="241"/>
      <c r="I88" s="241"/>
      <c r="J88" s="241"/>
      <c r="K88" s="241"/>
      <c r="L88" s="234"/>
      <c r="M88" s="241"/>
      <c r="N88" s="234"/>
      <c r="O88" s="234"/>
    </row>
    <row r="89" spans="1:15" x14ac:dyDescent="0.25">
      <c r="A89" s="734" t="s">
        <v>214</v>
      </c>
      <c r="B89" s="734"/>
      <c r="C89" s="137">
        <v>6.1666699999999999</v>
      </c>
      <c r="D89" s="138">
        <v>1</v>
      </c>
      <c r="E89" s="139">
        <f>$E$35</f>
        <v>0</v>
      </c>
      <c r="F89" s="139">
        <f>Dies!$C$54</f>
        <v>15</v>
      </c>
      <c r="G89" s="273">
        <f>+D89*E89*F89</f>
        <v>0</v>
      </c>
      <c r="H89" s="273"/>
      <c r="I89" s="273"/>
      <c r="J89" s="273"/>
      <c r="K89" s="320">
        <f>$K$66</f>
        <v>0</v>
      </c>
      <c r="L89" s="237">
        <f>+K89/C89</f>
        <v>0</v>
      </c>
      <c r="M89" s="238" t="s">
        <v>90</v>
      </c>
      <c r="N89" s="238"/>
      <c r="O89" s="239">
        <f>+K89*G89</f>
        <v>0</v>
      </c>
    </row>
    <row r="90" spans="1:15" x14ac:dyDescent="0.25">
      <c r="A90" s="762" t="s">
        <v>197</v>
      </c>
      <c r="B90" s="762"/>
      <c r="C90" s="234"/>
      <c r="D90" s="234"/>
      <c r="E90" s="147"/>
      <c r="F90" s="241"/>
      <c r="G90" s="241"/>
      <c r="H90" s="241"/>
      <c r="I90" s="241"/>
      <c r="J90" s="241"/>
      <c r="K90" s="241"/>
      <c r="L90" s="234"/>
      <c r="M90" s="241"/>
      <c r="N90" s="234"/>
      <c r="O90" s="234"/>
    </row>
    <row r="91" spans="1:15" x14ac:dyDescent="0.25">
      <c r="A91" s="765" t="s">
        <v>88</v>
      </c>
      <c r="B91" s="765"/>
      <c r="C91" s="180"/>
      <c r="D91" s="180"/>
      <c r="E91" s="147"/>
      <c r="F91" s="241"/>
      <c r="G91" s="664"/>
      <c r="H91" s="664"/>
      <c r="I91" s="664"/>
      <c r="J91" s="664"/>
      <c r="K91" s="664"/>
      <c r="L91" s="180"/>
      <c r="M91" s="241"/>
      <c r="N91" s="180"/>
      <c r="O91" s="180"/>
    </row>
    <row r="92" spans="1:15" x14ac:dyDescent="0.25">
      <c r="A92" s="734" t="s">
        <v>214</v>
      </c>
      <c r="B92" s="734"/>
      <c r="C92" s="137">
        <v>6.1666699999999999</v>
      </c>
      <c r="D92" s="138">
        <v>1</v>
      </c>
      <c r="E92" s="139">
        <f>$E$38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$K$66</f>
        <v>0</v>
      </c>
      <c r="L92" s="237">
        <f>+K92/C92</f>
        <v>0</v>
      </c>
      <c r="M92" s="238" t="s">
        <v>41</v>
      </c>
      <c r="N92" s="238"/>
      <c r="O92" s="239">
        <f>+K92*G92</f>
        <v>0</v>
      </c>
    </row>
    <row r="93" spans="1:15" x14ac:dyDescent="0.25">
      <c r="A93" s="764" t="s">
        <v>89</v>
      </c>
      <c r="B93" s="764"/>
      <c r="C93" s="234"/>
      <c r="D93" s="234"/>
      <c r="E93" s="147"/>
      <c r="F93" s="241"/>
      <c r="G93" s="241"/>
      <c r="H93" s="241"/>
      <c r="I93" s="241"/>
      <c r="J93" s="241"/>
      <c r="K93" s="241"/>
      <c r="L93" s="234"/>
      <c r="M93" s="241"/>
      <c r="N93" s="234"/>
      <c r="O93" s="234"/>
    </row>
    <row r="94" spans="1:15" s="153" customFormat="1" x14ac:dyDescent="0.25">
      <c r="A94" s="734" t="s">
        <v>214</v>
      </c>
      <c r="B94" s="734"/>
      <c r="C94" s="137">
        <v>6.1666699999999999</v>
      </c>
      <c r="D94" s="138">
        <v>1</v>
      </c>
      <c r="E94" s="139">
        <f>$E$40</f>
        <v>0</v>
      </c>
      <c r="F94" s="139">
        <f>Dies!$C$55</f>
        <v>15</v>
      </c>
      <c r="G94" s="273">
        <f>+D94*E94*F94</f>
        <v>0</v>
      </c>
      <c r="H94" s="273"/>
      <c r="I94" s="273"/>
      <c r="J94" s="273"/>
      <c r="K94" s="320">
        <f>$K$66</f>
        <v>0</v>
      </c>
      <c r="L94" s="237">
        <f>+K94/C94</f>
        <v>0</v>
      </c>
      <c r="M94" s="238" t="s">
        <v>90</v>
      </c>
      <c r="N94" s="238"/>
      <c r="O94" s="239">
        <f>+K94*G94</f>
        <v>0</v>
      </c>
    </row>
    <row r="95" spans="1:15" s="153" customFormat="1" x14ac:dyDescent="0.25">
      <c r="A95" s="229" t="s">
        <v>326</v>
      </c>
      <c r="B95" s="242"/>
      <c r="C95" s="278"/>
      <c r="D95" s="278"/>
      <c r="E95" s="278"/>
      <c r="F95" s="245"/>
      <c r="G95" s="278"/>
      <c r="H95" s="278"/>
      <c r="I95" s="278"/>
      <c r="J95" s="278"/>
      <c r="K95" s="278"/>
      <c r="L95" s="278"/>
      <c r="M95" s="278"/>
      <c r="N95" s="278"/>
      <c r="O95" s="278"/>
    </row>
    <row r="96" spans="1:15" s="153" customFormat="1" x14ac:dyDescent="0.25">
      <c r="A96" s="762" t="s">
        <v>195</v>
      </c>
      <c r="B96" s="762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</row>
    <row r="97" spans="1:15" s="153" customFormat="1" x14ac:dyDescent="0.25">
      <c r="A97" s="763" t="s">
        <v>88</v>
      </c>
      <c r="B97" s="763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</row>
    <row r="98" spans="1:15" s="153" customFormat="1" x14ac:dyDescent="0.25">
      <c r="A98" s="734" t="s">
        <v>214</v>
      </c>
      <c r="B98" s="734"/>
      <c r="C98" s="137">
        <v>6.1666699999999999</v>
      </c>
      <c r="D98" s="138">
        <v>1</v>
      </c>
      <c r="E98" s="139">
        <f>$E$44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$K$66</f>
        <v>0</v>
      </c>
      <c r="L98" s="491">
        <f>+K98/C98</f>
        <v>0</v>
      </c>
      <c r="M98" s="238" t="s">
        <v>41</v>
      </c>
      <c r="N98" s="238"/>
      <c r="O98" s="239">
        <f>+K98*G98</f>
        <v>0</v>
      </c>
    </row>
    <row r="99" spans="1:15" s="153" customFormat="1" x14ac:dyDescent="0.25">
      <c r="A99" s="770" t="s">
        <v>89</v>
      </c>
      <c r="B99" s="770"/>
      <c r="C99" s="234"/>
      <c r="D99" s="234"/>
      <c r="E99" s="147"/>
      <c r="F99" s="241"/>
      <c r="G99" s="241"/>
      <c r="H99" s="241"/>
      <c r="I99" s="241"/>
      <c r="J99" s="241"/>
      <c r="K99" s="241"/>
      <c r="L99" s="241"/>
      <c r="M99" s="139"/>
      <c r="N99" s="234"/>
      <c r="O99" s="234"/>
    </row>
    <row r="100" spans="1:15" s="153" customFormat="1" x14ac:dyDescent="0.25">
      <c r="A100" s="734" t="s">
        <v>214</v>
      </c>
      <c r="B100" s="734"/>
      <c r="C100" s="137">
        <v>6.1666699999999999</v>
      </c>
      <c r="D100" s="138">
        <v>1</v>
      </c>
      <c r="E100" s="139">
        <f>$E$46</f>
        <v>0</v>
      </c>
      <c r="F100" s="139">
        <f>Dies!$C$58</f>
        <v>89</v>
      </c>
      <c r="G100" s="273">
        <f>+D100*E100*F100</f>
        <v>0</v>
      </c>
      <c r="H100" s="273"/>
      <c r="I100" s="273"/>
      <c r="J100" s="273"/>
      <c r="K100" s="320">
        <f>$K$66</f>
        <v>0</v>
      </c>
      <c r="L100" s="491">
        <f>+K100/C100</f>
        <v>0</v>
      </c>
      <c r="M100" s="238" t="s">
        <v>90</v>
      </c>
      <c r="N100" s="238"/>
      <c r="O100" s="239">
        <f>+K100*G100</f>
        <v>0</v>
      </c>
    </row>
    <row r="101" spans="1:15" s="153" customFormat="1" x14ac:dyDescent="0.25">
      <c r="A101" s="762" t="s">
        <v>196</v>
      </c>
      <c r="B101" s="762"/>
      <c r="C101" s="234"/>
      <c r="D101" s="234"/>
      <c r="E101" s="147"/>
      <c r="F101" s="241"/>
      <c r="G101" s="241"/>
      <c r="H101" s="241"/>
      <c r="I101" s="241"/>
      <c r="J101" s="241"/>
      <c r="K101" s="241"/>
      <c r="L101" s="241"/>
      <c r="M101" s="241"/>
      <c r="N101" s="234"/>
      <c r="O101" s="234"/>
    </row>
    <row r="102" spans="1:15" s="153" customFormat="1" x14ac:dyDescent="0.25">
      <c r="A102" s="763" t="s">
        <v>88</v>
      </c>
      <c r="B102" s="763"/>
      <c r="C102" s="234"/>
      <c r="D102" s="234"/>
      <c r="E102" s="147"/>
      <c r="F102" s="241"/>
      <c r="G102" s="241"/>
      <c r="H102" s="241"/>
      <c r="I102" s="241"/>
      <c r="J102" s="241"/>
      <c r="K102" s="241"/>
      <c r="L102" s="241"/>
      <c r="M102" s="241"/>
      <c r="N102" s="234"/>
      <c r="O102" s="234"/>
    </row>
    <row r="103" spans="1:15" s="153" customFormat="1" x14ac:dyDescent="0.25">
      <c r="A103" s="734" t="s">
        <v>214</v>
      </c>
      <c r="B103" s="734"/>
      <c r="C103" s="137">
        <v>6.1666699999999999</v>
      </c>
      <c r="D103" s="138">
        <v>1</v>
      </c>
      <c r="E103" s="139">
        <f>$E$49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$K$66</f>
        <v>0</v>
      </c>
      <c r="L103" s="491">
        <f>+K103/C103</f>
        <v>0</v>
      </c>
      <c r="M103" s="238" t="s">
        <v>41</v>
      </c>
      <c r="N103" s="238"/>
      <c r="O103" s="239">
        <f>+K103*G103</f>
        <v>0</v>
      </c>
    </row>
    <row r="104" spans="1:15" s="153" customFormat="1" x14ac:dyDescent="0.25">
      <c r="A104" s="770" t="s">
        <v>89</v>
      </c>
      <c r="B104" s="770"/>
      <c r="C104" s="234"/>
      <c r="D104" s="234"/>
      <c r="E104" s="147"/>
      <c r="F104" s="241"/>
      <c r="G104" s="241"/>
      <c r="H104" s="241"/>
      <c r="I104" s="241"/>
      <c r="J104" s="241"/>
      <c r="K104" s="241"/>
      <c r="L104" s="241"/>
      <c r="M104" s="241"/>
      <c r="N104" s="234"/>
      <c r="O104" s="234"/>
    </row>
    <row r="105" spans="1:15" s="153" customFormat="1" x14ac:dyDescent="0.25">
      <c r="A105" s="734" t="s">
        <v>214</v>
      </c>
      <c r="B105" s="734"/>
      <c r="C105" s="137">
        <v>6.1666699999999999</v>
      </c>
      <c r="D105" s="138">
        <v>1</v>
      </c>
      <c r="E105" s="139">
        <f>$E$51</f>
        <v>0</v>
      </c>
      <c r="F105" s="139">
        <f>Dies!$C$59</f>
        <v>17</v>
      </c>
      <c r="G105" s="273">
        <f>+D105*E105*F105</f>
        <v>0</v>
      </c>
      <c r="H105" s="273"/>
      <c r="I105" s="273"/>
      <c r="J105" s="273"/>
      <c r="K105" s="320">
        <f>$K$66</f>
        <v>0</v>
      </c>
      <c r="L105" s="491">
        <f>+K105/C105</f>
        <v>0</v>
      </c>
      <c r="M105" s="238" t="s">
        <v>90</v>
      </c>
      <c r="N105" s="238"/>
      <c r="O105" s="239">
        <f>+K105*G105</f>
        <v>0</v>
      </c>
    </row>
    <row r="106" spans="1:15" s="153" customFormat="1" x14ac:dyDescent="0.25">
      <c r="A106" s="762" t="s">
        <v>197</v>
      </c>
      <c r="B106" s="762"/>
      <c r="C106" s="234"/>
      <c r="D106" s="234"/>
      <c r="E106" s="147"/>
      <c r="F106" s="241"/>
      <c r="G106" s="241"/>
      <c r="H106" s="241"/>
      <c r="I106" s="241"/>
      <c r="J106" s="241"/>
      <c r="K106" s="241"/>
      <c r="L106" s="241"/>
      <c r="M106" s="241"/>
      <c r="N106" s="234"/>
      <c r="O106" s="234"/>
    </row>
    <row r="107" spans="1:15" s="153" customFormat="1" x14ac:dyDescent="0.25">
      <c r="A107" s="763" t="s">
        <v>88</v>
      </c>
      <c r="B107" s="763"/>
      <c r="C107" s="234"/>
      <c r="D107" s="234"/>
      <c r="E107" s="147"/>
      <c r="F107" s="241"/>
      <c r="G107" s="241"/>
      <c r="H107" s="241"/>
      <c r="I107" s="241"/>
      <c r="J107" s="241"/>
      <c r="K107" s="241"/>
      <c r="L107" s="241"/>
      <c r="M107" s="241"/>
      <c r="N107" s="234"/>
      <c r="O107" s="234"/>
    </row>
    <row r="108" spans="1:15" s="153" customFormat="1" x14ac:dyDescent="0.25">
      <c r="A108" s="734" t="s">
        <v>214</v>
      </c>
      <c r="B108" s="734"/>
      <c r="C108" s="137">
        <v>6.1666699999999999</v>
      </c>
      <c r="D108" s="138">
        <v>1</v>
      </c>
      <c r="E108" s="139">
        <f>$E$54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$K$66</f>
        <v>0</v>
      </c>
      <c r="L108" s="491">
        <f>+K108/C108</f>
        <v>0</v>
      </c>
      <c r="M108" s="238" t="s">
        <v>41</v>
      </c>
      <c r="N108" s="238"/>
      <c r="O108" s="239">
        <f>+K108*G108</f>
        <v>0</v>
      </c>
    </row>
    <row r="109" spans="1:15" s="153" customFormat="1" x14ac:dyDescent="0.25">
      <c r="A109" s="770" t="s">
        <v>89</v>
      </c>
      <c r="B109" s="770"/>
      <c r="C109" s="234"/>
      <c r="D109" s="234"/>
      <c r="E109" s="241"/>
      <c r="F109" s="241"/>
      <c r="G109" s="241"/>
      <c r="H109" s="241"/>
      <c r="I109" s="241"/>
      <c r="J109" s="241"/>
      <c r="K109" s="241"/>
      <c r="L109" s="241"/>
      <c r="M109" s="241"/>
      <c r="N109" s="234"/>
      <c r="O109" s="234"/>
    </row>
    <row r="110" spans="1:15" s="153" customFormat="1" x14ac:dyDescent="0.25">
      <c r="A110" s="734" t="s">
        <v>214</v>
      </c>
      <c r="B110" s="734"/>
      <c r="C110" s="137">
        <v>6.1666699999999999</v>
      </c>
      <c r="D110" s="138">
        <v>1</v>
      </c>
      <c r="E110" s="139">
        <f>$E$56</f>
        <v>0</v>
      </c>
      <c r="F110" s="139">
        <f>Dies!$C$60</f>
        <v>17</v>
      </c>
      <c r="G110" s="273">
        <f>+D110*E110*F110</f>
        <v>0</v>
      </c>
      <c r="H110" s="273"/>
      <c r="I110" s="273"/>
      <c r="J110" s="273"/>
      <c r="K110" s="320">
        <f>$K$66</f>
        <v>0</v>
      </c>
      <c r="L110" s="491">
        <f>+K110/C110</f>
        <v>0</v>
      </c>
      <c r="M110" s="238" t="s">
        <v>90</v>
      </c>
      <c r="N110" s="238"/>
      <c r="O110" s="239">
        <f>+K110*G110</f>
        <v>0</v>
      </c>
    </row>
    <row r="111" spans="1:15" x14ac:dyDescent="0.25">
      <c r="A111" s="410"/>
      <c r="B111" s="411"/>
      <c r="C111" s="411"/>
      <c r="D111" s="411"/>
      <c r="E111" s="412" t="s">
        <v>46</v>
      </c>
      <c r="F111" s="411"/>
      <c r="G111" s="411"/>
      <c r="H111" s="411"/>
      <c r="I111" s="330"/>
      <c r="J111" s="330"/>
      <c r="K111" s="330"/>
      <c r="L111" s="330"/>
      <c r="M111" s="330"/>
      <c r="N111" s="330"/>
      <c r="O111" s="334">
        <f>SUM(O66:O110)</f>
        <v>0</v>
      </c>
    </row>
    <row r="112" spans="1:15" s="153" customFormat="1" ht="26.25" x14ac:dyDescent="0.4">
      <c r="A112" s="220" t="s">
        <v>212</v>
      </c>
      <c r="B112" s="221"/>
      <c r="C112" s="221"/>
      <c r="D112" s="223"/>
      <c r="E112" s="223"/>
      <c r="F112" s="223"/>
      <c r="G112" s="223"/>
      <c r="H112" s="223"/>
      <c r="I112" s="223"/>
      <c r="J112" s="223"/>
      <c r="K112" s="224"/>
      <c r="L112" s="224"/>
      <c r="M112" s="224"/>
      <c r="N112" s="224"/>
      <c r="O112" s="404"/>
    </row>
    <row r="113" spans="1:15" x14ac:dyDescent="0.25">
      <c r="A113" s="773" t="s">
        <v>20</v>
      </c>
      <c r="B113" s="773"/>
      <c r="C113" s="225" t="s">
        <v>27</v>
      </c>
      <c r="D113" s="225" t="s">
        <v>28</v>
      </c>
      <c r="E113" s="225" t="s">
        <v>21</v>
      </c>
      <c r="F113" s="225" t="s">
        <v>29</v>
      </c>
      <c r="G113" s="225"/>
      <c r="H113" s="225"/>
      <c r="I113" s="225"/>
      <c r="J113" s="225"/>
      <c r="K113" s="225" t="s">
        <v>30</v>
      </c>
      <c r="L113" s="225" t="s">
        <v>23</v>
      </c>
      <c r="M113" s="225" t="s">
        <v>31</v>
      </c>
      <c r="N113" s="225"/>
      <c r="O113" s="405" t="s">
        <v>32</v>
      </c>
    </row>
    <row r="114" spans="1:15" x14ac:dyDescent="0.25">
      <c r="A114" s="768"/>
      <c r="B114" s="768"/>
      <c r="C114" s="226" t="s">
        <v>44</v>
      </c>
      <c r="D114" s="226" t="s">
        <v>5</v>
      </c>
      <c r="E114" s="226" t="s">
        <v>24</v>
      </c>
      <c r="F114" s="227" t="s">
        <v>34</v>
      </c>
      <c r="G114" s="226" t="s">
        <v>35</v>
      </c>
      <c r="H114" s="226"/>
      <c r="I114" s="226"/>
      <c r="J114" s="226"/>
      <c r="K114" s="226" t="s">
        <v>36</v>
      </c>
      <c r="L114" s="228" t="s">
        <v>37</v>
      </c>
      <c r="M114" s="226" t="s">
        <v>38</v>
      </c>
      <c r="N114" s="226"/>
      <c r="O114" s="453" t="s">
        <v>40</v>
      </c>
    </row>
    <row r="115" spans="1:15" s="153" customFormat="1" x14ac:dyDescent="0.25">
      <c r="A115" s="229" t="s">
        <v>198</v>
      </c>
      <c r="B115" s="230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</row>
    <row r="116" spans="1:15" s="153" customFormat="1" x14ac:dyDescent="0.25">
      <c r="A116" s="232" t="s">
        <v>195</v>
      </c>
      <c r="B116" s="233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</row>
    <row r="117" spans="1:15" s="153" customFormat="1" x14ac:dyDescent="0.25">
      <c r="A117" s="763" t="s">
        <v>88</v>
      </c>
      <c r="B117" s="763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</row>
    <row r="118" spans="1:15" s="153" customFormat="1" x14ac:dyDescent="0.25">
      <c r="A118" s="734" t="s">
        <v>214</v>
      </c>
      <c r="B118" s="734"/>
      <c r="C118" s="137">
        <v>6.1666699999999999</v>
      </c>
      <c r="D118" s="138">
        <v>1</v>
      </c>
      <c r="E118" s="139">
        <f>$E$12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'Seguro+combustible+reparacions'!G8</f>
        <v>0</v>
      </c>
      <c r="L118" s="237">
        <f>+K118/C118</f>
        <v>0</v>
      </c>
      <c r="M118" s="238" t="s">
        <v>41</v>
      </c>
      <c r="N118" s="238"/>
      <c r="O118" s="239">
        <f>+K118*G118</f>
        <v>0</v>
      </c>
    </row>
    <row r="119" spans="1:15" s="153" customFormat="1" x14ac:dyDescent="0.25">
      <c r="A119" s="764" t="s">
        <v>89</v>
      </c>
      <c r="B119" s="764"/>
      <c r="C119" s="234"/>
      <c r="D119" s="234"/>
      <c r="E119" s="241"/>
      <c r="F119" s="241"/>
      <c r="G119" s="241"/>
      <c r="H119" s="241"/>
      <c r="I119" s="241"/>
      <c r="J119" s="241"/>
      <c r="K119" s="241"/>
      <c r="L119" s="234"/>
      <c r="M119" s="139"/>
      <c r="N119" s="234"/>
      <c r="O119" s="234"/>
    </row>
    <row r="120" spans="1:15" s="153" customFormat="1" x14ac:dyDescent="0.25">
      <c r="A120" s="734" t="s">
        <v>214</v>
      </c>
      <c r="B120" s="734"/>
      <c r="C120" s="137">
        <v>6.1666699999999999</v>
      </c>
      <c r="D120" s="138">
        <v>1</v>
      </c>
      <c r="E120" s="139">
        <f>$E$14</f>
        <v>0</v>
      </c>
      <c r="F120" s="139">
        <f>Dies!$C$48</f>
        <v>95</v>
      </c>
      <c r="G120" s="273">
        <f>+D120*E120*F120</f>
        <v>0</v>
      </c>
      <c r="H120" s="273"/>
      <c r="I120" s="273"/>
      <c r="J120" s="273"/>
      <c r="K120" s="320">
        <f>$K$118</f>
        <v>0</v>
      </c>
      <c r="L120" s="237">
        <f>+K120/C120</f>
        <v>0</v>
      </c>
      <c r="M120" s="238" t="s">
        <v>90</v>
      </c>
      <c r="N120" s="238"/>
      <c r="O120" s="239">
        <f>+K120*G120</f>
        <v>0</v>
      </c>
    </row>
    <row r="121" spans="1:15" s="153" customFormat="1" x14ac:dyDescent="0.25">
      <c r="A121" s="762" t="s">
        <v>196</v>
      </c>
      <c r="B121" s="762"/>
      <c r="C121" s="234"/>
      <c r="D121" s="234"/>
      <c r="E121" s="241"/>
      <c r="F121" s="241"/>
      <c r="G121" s="241"/>
      <c r="H121" s="241"/>
      <c r="I121" s="241"/>
      <c r="J121" s="241"/>
      <c r="K121" s="241"/>
      <c r="L121" s="234"/>
      <c r="M121" s="241"/>
      <c r="N121" s="234"/>
      <c r="O121" s="234"/>
    </row>
    <row r="122" spans="1:15" s="153" customFormat="1" x14ac:dyDescent="0.25">
      <c r="A122" s="765" t="s">
        <v>88</v>
      </c>
      <c r="B122" s="765"/>
      <c r="C122" s="234"/>
      <c r="D122" s="234"/>
      <c r="E122" s="241"/>
      <c r="F122" s="241"/>
      <c r="G122" s="241"/>
      <c r="H122" s="241"/>
      <c r="I122" s="241"/>
      <c r="J122" s="241"/>
      <c r="K122" s="241"/>
      <c r="L122" s="234"/>
      <c r="M122" s="241"/>
      <c r="N122" s="234"/>
      <c r="O122" s="234"/>
    </row>
    <row r="123" spans="1:15" s="153" customFormat="1" x14ac:dyDescent="0.25">
      <c r="A123" s="734" t="s">
        <v>214</v>
      </c>
      <c r="B123" s="734"/>
      <c r="C123" s="137">
        <v>6.1666699999999999</v>
      </c>
      <c r="D123" s="138">
        <v>1</v>
      </c>
      <c r="E123" s="139">
        <f>$E$17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$K$118</f>
        <v>0</v>
      </c>
      <c r="L123" s="237">
        <f>+K123/C123</f>
        <v>0</v>
      </c>
      <c r="M123" s="238" t="s">
        <v>41</v>
      </c>
      <c r="N123" s="238"/>
      <c r="O123" s="239">
        <f>+K123*G123</f>
        <v>0</v>
      </c>
    </row>
    <row r="124" spans="1:15" s="153" customFormat="1" x14ac:dyDescent="0.25">
      <c r="A124" s="764" t="s">
        <v>89</v>
      </c>
      <c r="B124" s="764"/>
      <c r="C124" s="234"/>
      <c r="D124" s="234"/>
      <c r="E124" s="653"/>
      <c r="F124" s="241"/>
      <c r="G124" s="241"/>
      <c r="H124" s="241"/>
      <c r="I124" s="241"/>
      <c r="J124" s="241"/>
      <c r="K124" s="241"/>
      <c r="L124" s="234"/>
      <c r="M124" s="241"/>
      <c r="N124" s="234"/>
      <c r="O124" s="234"/>
    </row>
    <row r="125" spans="1:15" s="153" customFormat="1" x14ac:dyDescent="0.25">
      <c r="A125" s="734" t="s">
        <v>214</v>
      </c>
      <c r="B125" s="734"/>
      <c r="C125" s="137">
        <v>6.1666699999999999</v>
      </c>
      <c r="D125" s="138">
        <v>1</v>
      </c>
      <c r="E125" s="139">
        <f>$E$19</f>
        <v>0</v>
      </c>
      <c r="F125" s="139">
        <f>Dies!$C$49</f>
        <v>20</v>
      </c>
      <c r="G125" s="273">
        <f>+D125*E125*F125</f>
        <v>0</v>
      </c>
      <c r="H125" s="273"/>
      <c r="I125" s="273"/>
      <c r="J125" s="273"/>
      <c r="K125" s="320">
        <f>$K$118</f>
        <v>0</v>
      </c>
      <c r="L125" s="237">
        <f>+K125/C125</f>
        <v>0</v>
      </c>
      <c r="M125" s="238" t="s">
        <v>90</v>
      </c>
      <c r="N125" s="238"/>
      <c r="O125" s="239">
        <f>+K125*G125</f>
        <v>0</v>
      </c>
    </row>
    <row r="126" spans="1:15" s="153" customFormat="1" x14ac:dyDescent="0.25">
      <c r="A126" s="762" t="s">
        <v>197</v>
      </c>
      <c r="B126" s="762"/>
      <c r="C126" s="234"/>
      <c r="D126" s="234"/>
      <c r="E126" s="241"/>
      <c r="F126" s="241"/>
      <c r="G126" s="241"/>
      <c r="H126" s="241"/>
      <c r="I126" s="241"/>
      <c r="J126" s="241"/>
      <c r="K126" s="241"/>
      <c r="L126" s="234"/>
      <c r="M126" s="241"/>
      <c r="N126" s="234"/>
      <c r="O126" s="234"/>
    </row>
    <row r="127" spans="1:15" s="153" customFormat="1" x14ac:dyDescent="0.25">
      <c r="A127" s="765" t="s">
        <v>88</v>
      </c>
      <c r="B127" s="765"/>
      <c r="C127" s="234"/>
      <c r="D127" s="234"/>
      <c r="E127" s="241"/>
      <c r="F127" s="241"/>
      <c r="G127" s="241"/>
      <c r="H127" s="241"/>
      <c r="I127" s="241"/>
      <c r="J127" s="241"/>
      <c r="K127" s="241"/>
      <c r="L127" s="234"/>
      <c r="M127" s="241"/>
      <c r="N127" s="234"/>
      <c r="O127" s="234"/>
    </row>
    <row r="128" spans="1:15" s="153" customFormat="1" x14ac:dyDescent="0.25">
      <c r="A128" s="734" t="s">
        <v>214</v>
      </c>
      <c r="B128" s="734"/>
      <c r="C128" s="137">
        <v>6.1666699999999999</v>
      </c>
      <c r="D128" s="138">
        <v>1</v>
      </c>
      <c r="E128" s="139">
        <f>$E$22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$K$118</f>
        <v>0</v>
      </c>
      <c r="L128" s="237">
        <f>+K128/C128</f>
        <v>0</v>
      </c>
      <c r="M128" s="238" t="s">
        <v>41</v>
      </c>
      <c r="N128" s="238"/>
      <c r="O128" s="239">
        <f>+K128*G128</f>
        <v>0</v>
      </c>
    </row>
    <row r="129" spans="1:15" s="153" customFormat="1" x14ac:dyDescent="0.25">
      <c r="A129" s="764" t="s">
        <v>89</v>
      </c>
      <c r="B129" s="764"/>
      <c r="C129" s="234"/>
      <c r="D129" s="234"/>
      <c r="E129" s="241"/>
      <c r="F129" s="241"/>
      <c r="G129" s="241"/>
      <c r="H129" s="241"/>
      <c r="I129" s="241"/>
      <c r="J129" s="241"/>
      <c r="K129" s="241"/>
      <c r="L129" s="234"/>
      <c r="M129" s="241"/>
      <c r="N129" s="234"/>
      <c r="O129" s="234"/>
    </row>
    <row r="130" spans="1:15" s="153" customFormat="1" x14ac:dyDescent="0.25">
      <c r="A130" s="734" t="s">
        <v>214</v>
      </c>
      <c r="B130" s="734"/>
      <c r="C130" s="137">
        <v>6.1666699999999999</v>
      </c>
      <c r="D130" s="138">
        <v>1</v>
      </c>
      <c r="E130" s="139">
        <f>$E$24</f>
        <v>0</v>
      </c>
      <c r="F130" s="139">
        <f>Dies!$C$50</f>
        <v>20</v>
      </c>
      <c r="G130" s="273">
        <f>+D130*E130*F130</f>
        <v>0</v>
      </c>
      <c r="H130" s="273"/>
      <c r="I130" s="273"/>
      <c r="J130" s="273"/>
      <c r="K130" s="320">
        <f>$K$118</f>
        <v>0</v>
      </c>
      <c r="L130" s="237">
        <f>+K130/C130</f>
        <v>0</v>
      </c>
      <c r="M130" s="238" t="s">
        <v>90</v>
      </c>
      <c r="N130" s="238"/>
      <c r="O130" s="239">
        <f>+K130*G130</f>
        <v>0</v>
      </c>
    </row>
    <row r="131" spans="1:15" s="153" customFormat="1" x14ac:dyDescent="0.25">
      <c r="A131" s="229" t="s">
        <v>199</v>
      </c>
      <c r="B131" s="242"/>
      <c r="C131" s="278"/>
      <c r="D131" s="278"/>
      <c r="E131" s="278"/>
      <c r="F131" s="245"/>
      <c r="G131" s="278"/>
      <c r="H131" s="278"/>
      <c r="I131" s="278"/>
      <c r="J131" s="278"/>
      <c r="K131" s="278"/>
      <c r="L131" s="278"/>
      <c r="M131" s="278"/>
      <c r="N131" s="278"/>
      <c r="O131" s="278"/>
    </row>
    <row r="132" spans="1:15" s="153" customFormat="1" x14ac:dyDescent="0.25">
      <c r="A132" s="762" t="s">
        <v>195</v>
      </c>
      <c r="B132" s="762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</row>
    <row r="133" spans="1:15" s="153" customFormat="1" x14ac:dyDescent="0.25">
      <c r="A133" s="765" t="s">
        <v>88</v>
      </c>
      <c r="B133" s="765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</row>
    <row r="134" spans="1:15" s="153" customFormat="1" x14ac:dyDescent="0.25">
      <c r="A134" s="734" t="s">
        <v>214</v>
      </c>
      <c r="B134" s="734"/>
      <c r="C134" s="137">
        <v>6.1666699999999999</v>
      </c>
      <c r="D134" s="138">
        <v>1</v>
      </c>
      <c r="E134" s="139">
        <f>$E$28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$K$118</f>
        <v>0</v>
      </c>
      <c r="L134" s="237">
        <f>+K134/C134</f>
        <v>0</v>
      </c>
      <c r="M134" s="238" t="s">
        <v>41</v>
      </c>
      <c r="N134" s="238"/>
      <c r="O134" s="239">
        <f>+K134*G134</f>
        <v>0</v>
      </c>
    </row>
    <row r="135" spans="1:15" s="153" customFormat="1" x14ac:dyDescent="0.25">
      <c r="A135" s="764" t="s">
        <v>89</v>
      </c>
      <c r="B135" s="764"/>
      <c r="C135" s="234"/>
      <c r="D135" s="234"/>
      <c r="E135" s="241"/>
      <c r="F135" s="241"/>
      <c r="G135" s="241"/>
      <c r="H135" s="241"/>
      <c r="I135" s="241"/>
      <c r="J135" s="241"/>
      <c r="K135" s="241"/>
      <c r="L135" s="234"/>
      <c r="M135" s="139"/>
      <c r="N135" s="234"/>
      <c r="O135" s="234"/>
    </row>
    <row r="136" spans="1:15" s="153" customFormat="1" x14ac:dyDescent="0.25">
      <c r="A136" s="734" t="s">
        <v>214</v>
      </c>
      <c r="B136" s="734"/>
      <c r="C136" s="137">
        <v>6.1666699999999999</v>
      </c>
      <c r="D136" s="138">
        <v>1</v>
      </c>
      <c r="E136" s="139">
        <f>$E$30</f>
        <v>0</v>
      </c>
      <c r="F136" s="139">
        <f>Dies!$C$53</f>
        <v>77</v>
      </c>
      <c r="G136" s="273">
        <f>+D136*E136*F136</f>
        <v>0</v>
      </c>
      <c r="H136" s="273"/>
      <c r="I136" s="273"/>
      <c r="J136" s="273"/>
      <c r="K136" s="320">
        <f>$K$118</f>
        <v>0</v>
      </c>
      <c r="L136" s="237">
        <f>+K136/C136</f>
        <v>0</v>
      </c>
      <c r="M136" s="238" t="s">
        <v>90</v>
      </c>
      <c r="N136" s="238"/>
      <c r="O136" s="239">
        <f>+K136*G136</f>
        <v>0</v>
      </c>
    </row>
    <row r="137" spans="1:15" s="153" customFormat="1" x14ac:dyDescent="0.25">
      <c r="A137" s="762" t="s">
        <v>196</v>
      </c>
      <c r="B137" s="762"/>
      <c r="C137" s="234"/>
      <c r="D137" s="234"/>
      <c r="E137" s="147"/>
      <c r="F137" s="241"/>
      <c r="G137" s="241"/>
      <c r="H137" s="241"/>
      <c r="I137" s="241"/>
      <c r="J137" s="241"/>
      <c r="K137" s="241"/>
      <c r="L137" s="234"/>
      <c r="M137" s="241"/>
      <c r="N137" s="234"/>
      <c r="O137" s="234"/>
    </row>
    <row r="138" spans="1:15" s="153" customFormat="1" x14ac:dyDescent="0.25">
      <c r="A138" s="765" t="s">
        <v>88</v>
      </c>
      <c r="B138" s="765"/>
      <c r="C138" s="234"/>
      <c r="D138" s="234"/>
      <c r="E138" s="147"/>
      <c r="F138" s="241"/>
      <c r="G138" s="241"/>
      <c r="H138" s="241"/>
      <c r="I138" s="241"/>
      <c r="J138" s="241"/>
      <c r="K138" s="241"/>
      <c r="L138" s="234"/>
      <c r="M138" s="241"/>
      <c r="N138" s="234"/>
      <c r="O138" s="234"/>
    </row>
    <row r="139" spans="1:15" s="153" customFormat="1" x14ac:dyDescent="0.25">
      <c r="A139" s="734" t="s">
        <v>214</v>
      </c>
      <c r="B139" s="734"/>
      <c r="C139" s="137">
        <v>6.1666699999999999</v>
      </c>
      <c r="D139" s="138">
        <v>1</v>
      </c>
      <c r="E139" s="139">
        <f>$E$33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$K$118</f>
        <v>0</v>
      </c>
      <c r="L139" s="237">
        <f>+K139/C139</f>
        <v>0</v>
      </c>
      <c r="M139" s="238" t="s">
        <v>41</v>
      </c>
      <c r="N139" s="238"/>
      <c r="O139" s="239">
        <f>+K139*G139</f>
        <v>0</v>
      </c>
    </row>
    <row r="140" spans="1:15" s="153" customFormat="1" x14ac:dyDescent="0.25">
      <c r="A140" s="764" t="s">
        <v>89</v>
      </c>
      <c r="B140" s="764"/>
      <c r="C140" s="234"/>
      <c r="D140" s="234"/>
      <c r="E140" s="147"/>
      <c r="F140" s="241"/>
      <c r="G140" s="241"/>
      <c r="H140" s="241"/>
      <c r="I140" s="241"/>
      <c r="J140" s="241"/>
      <c r="K140" s="241"/>
      <c r="L140" s="234"/>
      <c r="M140" s="241"/>
      <c r="N140" s="234"/>
      <c r="O140" s="234"/>
    </row>
    <row r="141" spans="1:15" s="153" customFormat="1" x14ac:dyDescent="0.25">
      <c r="A141" s="734" t="s">
        <v>214</v>
      </c>
      <c r="B141" s="734"/>
      <c r="C141" s="137">
        <v>6.1666699999999999</v>
      </c>
      <c r="D141" s="138">
        <v>1</v>
      </c>
      <c r="E141" s="139">
        <f>$E$35</f>
        <v>0</v>
      </c>
      <c r="F141" s="139">
        <f>Dies!$C$54</f>
        <v>15</v>
      </c>
      <c r="G141" s="273">
        <f>+D141*E141*F141</f>
        <v>0</v>
      </c>
      <c r="H141" s="273"/>
      <c r="I141" s="273"/>
      <c r="J141" s="273"/>
      <c r="K141" s="320">
        <f>$K$118</f>
        <v>0</v>
      </c>
      <c r="L141" s="237">
        <f>+K141/C141</f>
        <v>0</v>
      </c>
      <c r="M141" s="238" t="s">
        <v>90</v>
      </c>
      <c r="N141" s="238"/>
      <c r="O141" s="239">
        <f>+K141*G141</f>
        <v>0</v>
      </c>
    </row>
    <row r="142" spans="1:15" s="153" customFormat="1" x14ac:dyDescent="0.25">
      <c r="A142" s="762" t="s">
        <v>197</v>
      </c>
      <c r="B142" s="762"/>
      <c r="C142" s="234"/>
      <c r="D142" s="234"/>
      <c r="E142" s="147"/>
      <c r="F142" s="241"/>
      <c r="G142" s="241"/>
      <c r="H142" s="241"/>
      <c r="I142" s="241"/>
      <c r="J142" s="241"/>
      <c r="K142" s="241"/>
      <c r="L142" s="234"/>
      <c r="M142" s="241"/>
      <c r="N142" s="234"/>
      <c r="O142" s="234"/>
    </row>
    <row r="143" spans="1:15" s="153" customFormat="1" x14ac:dyDescent="0.25">
      <c r="A143" s="765" t="s">
        <v>88</v>
      </c>
      <c r="B143" s="765"/>
      <c r="C143" s="180"/>
      <c r="D143" s="180"/>
      <c r="E143" s="147"/>
      <c r="F143" s="241"/>
      <c r="G143" s="664"/>
      <c r="H143" s="664"/>
      <c r="I143" s="664"/>
      <c r="J143" s="664"/>
      <c r="K143" s="664"/>
      <c r="L143" s="180"/>
      <c r="M143" s="241"/>
      <c r="N143" s="180"/>
      <c r="O143" s="180"/>
    </row>
    <row r="144" spans="1:15" s="153" customFormat="1" x14ac:dyDescent="0.25">
      <c r="A144" s="734" t="s">
        <v>214</v>
      </c>
      <c r="B144" s="734"/>
      <c r="C144" s="137">
        <v>6.1666699999999999</v>
      </c>
      <c r="D144" s="138">
        <v>1</v>
      </c>
      <c r="E144" s="139">
        <f>$E$38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$K$118</f>
        <v>0</v>
      </c>
      <c r="L144" s="237">
        <f>+K144/C144</f>
        <v>0</v>
      </c>
      <c r="M144" s="238" t="s">
        <v>41</v>
      </c>
      <c r="N144" s="238"/>
      <c r="O144" s="239">
        <f>+K144*G144</f>
        <v>0</v>
      </c>
    </row>
    <row r="145" spans="1:15" s="153" customFormat="1" x14ac:dyDescent="0.25">
      <c r="A145" s="764" t="s">
        <v>89</v>
      </c>
      <c r="B145" s="764"/>
      <c r="C145" s="234"/>
      <c r="D145" s="234"/>
      <c r="E145" s="147"/>
      <c r="F145" s="241"/>
      <c r="G145" s="241"/>
      <c r="H145" s="241"/>
      <c r="I145" s="241"/>
      <c r="J145" s="241"/>
      <c r="K145" s="241"/>
      <c r="L145" s="234"/>
      <c r="M145" s="241"/>
      <c r="N145" s="234"/>
      <c r="O145" s="234"/>
    </row>
    <row r="146" spans="1:15" s="153" customFormat="1" x14ac:dyDescent="0.25">
      <c r="A146" s="734" t="s">
        <v>214</v>
      </c>
      <c r="B146" s="734"/>
      <c r="C146" s="137">
        <v>6.1666699999999999</v>
      </c>
      <c r="D146" s="138">
        <v>1</v>
      </c>
      <c r="E146" s="139">
        <f>$E$40</f>
        <v>0</v>
      </c>
      <c r="F146" s="139">
        <f>Dies!$C$55</f>
        <v>15</v>
      </c>
      <c r="G146" s="273">
        <f>+D146*E146*F146</f>
        <v>0</v>
      </c>
      <c r="H146" s="273"/>
      <c r="I146" s="273"/>
      <c r="J146" s="273"/>
      <c r="K146" s="320">
        <f>$K$118</f>
        <v>0</v>
      </c>
      <c r="L146" s="237">
        <f>+K146/C146</f>
        <v>0</v>
      </c>
      <c r="M146" s="238" t="s">
        <v>90</v>
      </c>
      <c r="N146" s="238"/>
      <c r="O146" s="239">
        <f>+K146*G146</f>
        <v>0</v>
      </c>
    </row>
    <row r="147" spans="1:15" s="153" customFormat="1" x14ac:dyDescent="0.25">
      <c r="A147" s="229" t="s">
        <v>326</v>
      </c>
      <c r="B147" s="242"/>
      <c r="C147" s="278"/>
      <c r="D147" s="278"/>
      <c r="E147" s="278"/>
      <c r="F147" s="245"/>
      <c r="G147" s="278"/>
      <c r="H147" s="278"/>
      <c r="I147" s="278"/>
      <c r="J147" s="278"/>
      <c r="K147" s="278"/>
      <c r="L147" s="278"/>
      <c r="M147" s="278"/>
      <c r="N147" s="278"/>
      <c r="O147" s="278"/>
    </row>
    <row r="148" spans="1:15" s="153" customFormat="1" x14ac:dyDescent="0.25">
      <c r="A148" s="762" t="s">
        <v>195</v>
      </c>
      <c r="B148" s="762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</row>
    <row r="149" spans="1:15" s="153" customFormat="1" x14ac:dyDescent="0.25">
      <c r="A149" s="763" t="s">
        <v>88</v>
      </c>
      <c r="B149" s="763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</row>
    <row r="150" spans="1:15" s="153" customFormat="1" x14ac:dyDescent="0.25">
      <c r="A150" s="734" t="s">
        <v>214</v>
      </c>
      <c r="B150" s="734"/>
      <c r="C150" s="137">
        <v>6.1666699999999999</v>
      </c>
      <c r="D150" s="138">
        <v>1</v>
      </c>
      <c r="E150" s="139">
        <f>$E$44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$K$118</f>
        <v>0</v>
      </c>
      <c r="L150" s="237">
        <f>+K150/C150</f>
        <v>0</v>
      </c>
      <c r="M150" s="238" t="s">
        <v>41</v>
      </c>
      <c r="N150" s="238"/>
      <c r="O150" s="239">
        <f>+K150*G150</f>
        <v>0</v>
      </c>
    </row>
    <row r="151" spans="1:15" s="153" customFormat="1" x14ac:dyDescent="0.25">
      <c r="A151" s="770" t="s">
        <v>89</v>
      </c>
      <c r="B151" s="770"/>
      <c r="C151" s="234"/>
      <c r="D151" s="234"/>
      <c r="E151" s="147"/>
      <c r="F151" s="241"/>
      <c r="G151" s="241"/>
      <c r="H151" s="241"/>
      <c r="I151" s="241"/>
      <c r="J151" s="241"/>
      <c r="K151" s="241"/>
      <c r="L151" s="234"/>
      <c r="M151" s="139"/>
      <c r="N151" s="234"/>
      <c r="O151" s="234"/>
    </row>
    <row r="152" spans="1:15" s="153" customFormat="1" x14ac:dyDescent="0.25">
      <c r="A152" s="734" t="s">
        <v>214</v>
      </c>
      <c r="B152" s="734"/>
      <c r="C152" s="137">
        <v>6.1666699999999999</v>
      </c>
      <c r="D152" s="138">
        <v>1</v>
      </c>
      <c r="E152" s="139">
        <f>$E$46</f>
        <v>0</v>
      </c>
      <c r="F152" s="139">
        <f>Dies!$C$58</f>
        <v>89</v>
      </c>
      <c r="G152" s="273">
        <f>+D152*E152*F152</f>
        <v>0</v>
      </c>
      <c r="H152" s="273"/>
      <c r="I152" s="273"/>
      <c r="J152" s="273"/>
      <c r="K152" s="320">
        <f>$K$118</f>
        <v>0</v>
      </c>
      <c r="L152" s="237">
        <f>+K152/C152</f>
        <v>0</v>
      </c>
      <c r="M152" s="238" t="s">
        <v>90</v>
      </c>
      <c r="N152" s="238"/>
      <c r="O152" s="239">
        <f>+K152*G152</f>
        <v>0</v>
      </c>
    </row>
    <row r="153" spans="1:15" s="153" customFormat="1" x14ac:dyDescent="0.25">
      <c r="A153" s="762" t="s">
        <v>196</v>
      </c>
      <c r="B153" s="762"/>
      <c r="C153" s="234"/>
      <c r="D153" s="234"/>
      <c r="E153" s="147"/>
      <c r="F153" s="241"/>
      <c r="G153" s="241"/>
      <c r="H153" s="241"/>
      <c r="I153" s="241"/>
      <c r="J153" s="241"/>
      <c r="K153" s="241"/>
      <c r="L153" s="234"/>
      <c r="M153" s="241"/>
      <c r="N153" s="234"/>
      <c r="O153" s="234"/>
    </row>
    <row r="154" spans="1:15" s="153" customFormat="1" x14ac:dyDescent="0.25">
      <c r="A154" s="763" t="s">
        <v>88</v>
      </c>
      <c r="B154" s="763"/>
      <c r="C154" s="234"/>
      <c r="D154" s="234"/>
      <c r="E154" s="147"/>
      <c r="F154" s="241"/>
      <c r="G154" s="241"/>
      <c r="H154" s="241"/>
      <c r="I154" s="241"/>
      <c r="J154" s="241"/>
      <c r="K154" s="241"/>
      <c r="L154" s="234"/>
      <c r="M154" s="241"/>
      <c r="N154" s="234"/>
      <c r="O154" s="234"/>
    </row>
    <row r="155" spans="1:15" s="153" customFormat="1" x14ac:dyDescent="0.25">
      <c r="A155" s="734" t="s">
        <v>214</v>
      </c>
      <c r="B155" s="734"/>
      <c r="C155" s="137">
        <v>6.1666699999999999</v>
      </c>
      <c r="D155" s="138">
        <v>1</v>
      </c>
      <c r="E155" s="139">
        <f>$E$49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$K$118</f>
        <v>0</v>
      </c>
      <c r="L155" s="237">
        <f>+K155/C155</f>
        <v>0</v>
      </c>
      <c r="M155" s="238" t="s">
        <v>41</v>
      </c>
      <c r="N155" s="238"/>
      <c r="O155" s="239">
        <f>+K155*G155</f>
        <v>0</v>
      </c>
    </row>
    <row r="156" spans="1:15" s="153" customFormat="1" x14ac:dyDescent="0.25">
      <c r="A156" s="770" t="s">
        <v>89</v>
      </c>
      <c r="B156" s="770"/>
      <c r="C156" s="234"/>
      <c r="D156" s="234"/>
      <c r="E156" s="147"/>
      <c r="F156" s="241"/>
      <c r="G156" s="241"/>
      <c r="H156" s="241"/>
      <c r="I156" s="241"/>
      <c r="J156" s="241"/>
      <c r="K156" s="241"/>
      <c r="L156" s="234"/>
      <c r="M156" s="241"/>
      <c r="N156" s="234"/>
      <c r="O156" s="234"/>
    </row>
    <row r="157" spans="1:15" s="153" customFormat="1" x14ac:dyDescent="0.25">
      <c r="A157" s="734" t="s">
        <v>214</v>
      </c>
      <c r="B157" s="734"/>
      <c r="C157" s="137">
        <v>6.1666699999999999</v>
      </c>
      <c r="D157" s="138">
        <v>1</v>
      </c>
      <c r="E157" s="139">
        <f>$E$51</f>
        <v>0</v>
      </c>
      <c r="F157" s="139">
        <f>Dies!$C$59</f>
        <v>17</v>
      </c>
      <c r="G157" s="273">
        <f>+D157*E157*F157</f>
        <v>0</v>
      </c>
      <c r="H157" s="273"/>
      <c r="I157" s="273"/>
      <c r="J157" s="273"/>
      <c r="K157" s="320">
        <f>$K$118</f>
        <v>0</v>
      </c>
      <c r="L157" s="237">
        <f>+K157/C157</f>
        <v>0</v>
      </c>
      <c r="M157" s="238" t="s">
        <v>90</v>
      </c>
      <c r="N157" s="238"/>
      <c r="O157" s="239">
        <f>+K157*G157</f>
        <v>0</v>
      </c>
    </row>
    <row r="158" spans="1:15" s="153" customFormat="1" x14ac:dyDescent="0.25">
      <c r="A158" s="762" t="s">
        <v>197</v>
      </c>
      <c r="B158" s="762"/>
      <c r="C158" s="234"/>
      <c r="D158" s="234"/>
      <c r="E158" s="147"/>
      <c r="F158" s="241"/>
      <c r="G158" s="241"/>
      <c r="H158" s="241"/>
      <c r="I158" s="241"/>
      <c r="J158" s="241"/>
      <c r="K158" s="241"/>
      <c r="L158" s="234"/>
      <c r="M158" s="241"/>
      <c r="N158" s="234"/>
      <c r="O158" s="234"/>
    </row>
    <row r="159" spans="1:15" s="153" customFormat="1" x14ac:dyDescent="0.25">
      <c r="A159" s="763" t="s">
        <v>88</v>
      </c>
      <c r="B159" s="763"/>
      <c r="C159" s="234"/>
      <c r="D159" s="234"/>
      <c r="E159" s="147"/>
      <c r="F159" s="241"/>
      <c r="G159" s="241"/>
      <c r="H159" s="241"/>
      <c r="I159" s="241"/>
      <c r="J159" s="241"/>
      <c r="K159" s="241"/>
      <c r="L159" s="234"/>
      <c r="M159" s="241"/>
      <c r="N159" s="234"/>
      <c r="O159" s="234"/>
    </row>
    <row r="160" spans="1:15" s="153" customFormat="1" x14ac:dyDescent="0.25">
      <c r="A160" s="734" t="s">
        <v>214</v>
      </c>
      <c r="B160" s="734"/>
      <c r="C160" s="137">
        <v>6.1666699999999999</v>
      </c>
      <c r="D160" s="138">
        <v>1</v>
      </c>
      <c r="E160" s="139">
        <f>$E$54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$K$118</f>
        <v>0</v>
      </c>
      <c r="L160" s="237">
        <f>+K160/C160</f>
        <v>0</v>
      </c>
      <c r="M160" s="238" t="s">
        <v>41</v>
      </c>
      <c r="N160" s="238"/>
      <c r="O160" s="239">
        <f>+K160*G160</f>
        <v>0</v>
      </c>
    </row>
    <row r="161" spans="1:15" s="153" customFormat="1" x14ac:dyDescent="0.25">
      <c r="A161" s="770" t="s">
        <v>89</v>
      </c>
      <c r="B161" s="770"/>
      <c r="C161" s="234"/>
      <c r="D161" s="234"/>
      <c r="E161" s="241"/>
      <c r="F161" s="241"/>
      <c r="G161" s="241"/>
      <c r="H161" s="241"/>
      <c r="I161" s="241"/>
      <c r="J161" s="241"/>
      <c r="K161" s="241"/>
      <c r="L161" s="234"/>
      <c r="M161" s="241"/>
      <c r="N161" s="234"/>
      <c r="O161" s="234"/>
    </row>
    <row r="162" spans="1:15" s="153" customFormat="1" x14ac:dyDescent="0.25">
      <c r="A162" s="734" t="s">
        <v>214</v>
      </c>
      <c r="B162" s="734"/>
      <c r="C162" s="137">
        <v>6.1666699999999999</v>
      </c>
      <c r="D162" s="138">
        <v>1</v>
      </c>
      <c r="E162" s="139">
        <f>$E$56</f>
        <v>0</v>
      </c>
      <c r="F162" s="139">
        <f>Dies!$C$60</f>
        <v>17</v>
      </c>
      <c r="G162" s="273">
        <f>+D162*E162*F162</f>
        <v>0</v>
      </c>
      <c r="H162" s="273"/>
      <c r="I162" s="273"/>
      <c r="J162" s="273"/>
      <c r="K162" s="320">
        <f>$K$118</f>
        <v>0</v>
      </c>
      <c r="L162" s="237">
        <f>+K162/C162</f>
        <v>0</v>
      </c>
      <c r="M162" s="238" t="s">
        <v>90</v>
      </c>
      <c r="N162" s="238"/>
      <c r="O162" s="239">
        <f>+K162*G162</f>
        <v>0</v>
      </c>
    </row>
    <row r="163" spans="1:15" x14ac:dyDescent="0.25">
      <c r="A163" s="410"/>
      <c r="B163" s="411"/>
      <c r="C163" s="411"/>
      <c r="D163" s="411"/>
      <c r="E163" s="412" t="s">
        <v>47</v>
      </c>
      <c r="F163" s="411"/>
      <c r="G163" s="411"/>
      <c r="H163" s="411"/>
      <c r="I163" s="411"/>
      <c r="J163" s="411"/>
      <c r="K163" s="411"/>
      <c r="L163" s="411"/>
      <c r="M163" s="411"/>
      <c r="N163" s="411"/>
      <c r="O163" s="413">
        <f>SUM(O118:O162)</f>
        <v>0</v>
      </c>
    </row>
    <row r="164" spans="1:15" s="153" customFormat="1" ht="26.25" x14ac:dyDescent="0.4">
      <c r="A164" s="259" t="s">
        <v>272</v>
      </c>
      <c r="B164" s="221"/>
      <c r="C164" s="221"/>
      <c r="D164" s="223"/>
      <c r="E164" s="223"/>
      <c r="F164" s="223"/>
      <c r="G164" s="223"/>
      <c r="H164" s="223"/>
      <c r="I164" s="223"/>
      <c r="J164" s="223"/>
      <c r="K164" s="224"/>
      <c r="L164" s="224"/>
      <c r="M164" s="224"/>
      <c r="N164" s="224"/>
      <c r="O164" s="404"/>
    </row>
    <row r="165" spans="1:15" s="281" customFormat="1" x14ac:dyDescent="0.25">
      <c r="A165" s="803" t="s">
        <v>20</v>
      </c>
      <c r="B165" s="803"/>
      <c r="C165" s="803" t="s">
        <v>27</v>
      </c>
      <c r="D165" s="803" t="s">
        <v>28</v>
      </c>
      <c r="E165" s="803" t="s">
        <v>21</v>
      </c>
      <c r="F165" s="803" t="s">
        <v>23</v>
      </c>
      <c r="G165" s="803" t="s">
        <v>22</v>
      </c>
      <c r="H165" s="454"/>
      <c r="I165" s="454"/>
      <c r="J165" s="454"/>
      <c r="K165" s="803" t="s">
        <v>79</v>
      </c>
      <c r="L165" s="454"/>
      <c r="M165" s="803"/>
      <c r="N165" s="803" t="s">
        <v>80</v>
      </c>
      <c r="O165" s="803" t="s">
        <v>32</v>
      </c>
    </row>
    <row r="166" spans="1:15" s="281" customFormat="1" x14ac:dyDescent="0.25">
      <c r="A166" s="785"/>
      <c r="B166" s="785"/>
      <c r="C166" s="785" t="s">
        <v>44</v>
      </c>
      <c r="D166" s="785" t="s">
        <v>5</v>
      </c>
      <c r="E166" s="785" t="s">
        <v>24</v>
      </c>
      <c r="F166" s="785" t="s">
        <v>81</v>
      </c>
      <c r="G166" s="785" t="s">
        <v>82</v>
      </c>
      <c r="H166" s="455"/>
      <c r="I166" s="455"/>
      <c r="J166" s="455"/>
      <c r="K166" s="785" t="s">
        <v>28</v>
      </c>
      <c r="L166" s="455"/>
      <c r="M166" s="785"/>
      <c r="N166" s="785" t="s">
        <v>83</v>
      </c>
      <c r="O166" s="785" t="s">
        <v>40</v>
      </c>
    </row>
    <row r="167" spans="1:15" x14ac:dyDescent="0.25">
      <c r="A167" s="734" t="s">
        <v>430</v>
      </c>
      <c r="B167" s="734"/>
      <c r="C167" s="137">
        <v>6.1666699999999999</v>
      </c>
      <c r="D167" s="138">
        <v>1</v>
      </c>
      <c r="E167" s="139">
        <v>1</v>
      </c>
      <c r="F167" s="283">
        <f>Inversions!H17</f>
        <v>26320</v>
      </c>
      <c r="G167" s="273">
        <v>8</v>
      </c>
      <c r="H167" s="273"/>
      <c r="I167" s="273"/>
      <c r="J167" s="273"/>
      <c r="K167" s="284">
        <f>Paràmetres!$C$4</f>
        <v>0</v>
      </c>
      <c r="L167" s="284"/>
      <c r="M167" s="139"/>
      <c r="N167" s="140">
        <f>-12*PMT(K167/12,G167*12,F167)</f>
        <v>3290</v>
      </c>
      <c r="O167" s="144">
        <f>E167*N167</f>
        <v>3290</v>
      </c>
    </row>
    <row r="168" spans="1:15" s="281" customFormat="1" x14ac:dyDescent="0.25">
      <c r="A168" s="410"/>
      <c r="B168" s="411"/>
      <c r="C168" s="411"/>
      <c r="D168" s="411"/>
      <c r="E168" s="412"/>
      <c r="F168" s="412" t="s">
        <v>84</v>
      </c>
      <c r="G168" s="411"/>
      <c r="H168" s="411"/>
      <c r="I168" s="411"/>
      <c r="J168" s="411"/>
      <c r="K168" s="411"/>
      <c r="L168" s="411"/>
      <c r="M168" s="411"/>
      <c r="N168" s="411"/>
      <c r="O168" s="413">
        <f>SUM(O167:O167)</f>
        <v>3290</v>
      </c>
    </row>
    <row r="169" spans="1:15" s="5" customFormat="1" ht="26.25" x14ac:dyDescent="0.4">
      <c r="A169" s="415" t="s">
        <v>213</v>
      </c>
      <c r="B169" s="416"/>
      <c r="C169" s="416"/>
      <c r="D169" s="417"/>
      <c r="E169" s="417"/>
      <c r="F169" s="417"/>
      <c r="G169" s="417"/>
      <c r="H169" s="417"/>
      <c r="I169" s="417"/>
      <c r="J169" s="417"/>
      <c r="K169" s="418"/>
      <c r="L169" s="418"/>
      <c r="M169" s="418"/>
      <c r="N169" s="418"/>
      <c r="O169" s="419"/>
    </row>
    <row r="170" spans="1:15" s="281" customFormat="1" x14ac:dyDescent="0.25">
      <c r="A170" s="804"/>
      <c r="B170" s="804" t="s">
        <v>20</v>
      </c>
      <c r="C170" s="456" t="s">
        <v>27</v>
      </c>
      <c r="D170" s="456" t="s">
        <v>28</v>
      </c>
      <c r="E170" s="456" t="s">
        <v>21</v>
      </c>
      <c r="F170" s="456"/>
      <c r="G170" s="456"/>
      <c r="H170" s="456"/>
      <c r="I170" s="456"/>
      <c r="J170" s="456"/>
      <c r="K170" s="456" t="s">
        <v>100</v>
      </c>
      <c r="L170" s="456"/>
      <c r="M170" s="456"/>
      <c r="N170" s="456"/>
      <c r="O170" s="457" t="s">
        <v>32</v>
      </c>
    </row>
    <row r="171" spans="1:15" s="281" customFormat="1" x14ac:dyDescent="0.25">
      <c r="A171" s="806"/>
      <c r="B171" s="806"/>
      <c r="C171" s="463" t="s">
        <v>44</v>
      </c>
      <c r="D171" s="463" t="s">
        <v>5</v>
      </c>
      <c r="E171" s="463" t="s">
        <v>24</v>
      </c>
      <c r="F171" s="464"/>
      <c r="G171" s="463"/>
      <c r="H171" s="463"/>
      <c r="I171" s="463"/>
      <c r="J171" s="463"/>
      <c r="K171" s="463" t="s">
        <v>101</v>
      </c>
      <c r="L171" s="463"/>
      <c r="M171" s="463"/>
      <c r="N171" s="463"/>
      <c r="O171" s="465" t="s">
        <v>40</v>
      </c>
    </row>
    <row r="172" spans="1:15" s="281" customFormat="1" x14ac:dyDescent="0.25">
      <c r="A172" s="807" t="s">
        <v>429</v>
      </c>
      <c r="B172" s="807"/>
      <c r="C172" s="466">
        <f>+C167</f>
        <v>6.1666699999999999</v>
      </c>
      <c r="D172" s="467">
        <f>+D167</f>
        <v>1</v>
      </c>
      <c r="E172" s="468">
        <f>+E167</f>
        <v>1</v>
      </c>
      <c r="F172" s="469"/>
      <c r="G172" s="470"/>
      <c r="H172" s="470"/>
      <c r="I172" s="470"/>
      <c r="J172" s="470"/>
      <c r="K172" s="471">
        <f>'Seguro+combustible+reparacions'!E8</f>
        <v>0</v>
      </c>
      <c r="L172" s="471"/>
      <c r="M172" s="472"/>
      <c r="N172" s="473"/>
      <c r="O172" s="313">
        <f>E172*K172</f>
        <v>0</v>
      </c>
    </row>
    <row r="173" spans="1:15" s="281" customFormat="1" x14ac:dyDescent="0.25">
      <c r="A173" s="395"/>
      <c r="B173" s="396"/>
      <c r="C173" s="396"/>
      <c r="D173" s="396"/>
      <c r="E173" s="397"/>
      <c r="F173" s="397" t="s">
        <v>85</v>
      </c>
      <c r="G173" s="396"/>
      <c r="H173" s="396"/>
      <c r="I173" s="396"/>
      <c r="J173" s="396"/>
      <c r="K173" s="396"/>
      <c r="L173" s="396"/>
      <c r="M173" s="396"/>
      <c r="N173" s="396"/>
      <c r="O173" s="399">
        <f>SUM(O172:O172)</f>
        <v>0</v>
      </c>
    </row>
    <row r="174" spans="1:15" s="281" customFormat="1" ht="26.25" x14ac:dyDescent="0.4">
      <c r="A174" s="285" t="s">
        <v>420</v>
      </c>
      <c r="B174" s="286"/>
      <c r="C174" s="286"/>
      <c r="D174" s="287"/>
      <c r="E174" s="287"/>
      <c r="F174" s="287"/>
      <c r="G174" s="287"/>
      <c r="H174" s="287"/>
      <c r="I174" s="287"/>
      <c r="J174" s="287"/>
      <c r="K174" s="288"/>
      <c r="L174" s="288"/>
      <c r="M174" s="288"/>
      <c r="N174" s="288"/>
      <c r="O174" s="289"/>
    </row>
    <row r="175" spans="1:15" s="281" customFormat="1" x14ac:dyDescent="0.25">
      <c r="A175" s="758" t="s">
        <v>225</v>
      </c>
      <c r="B175" s="759"/>
      <c r="C175" s="290"/>
      <c r="D175" s="290" t="s">
        <v>28</v>
      </c>
      <c r="E175" s="290"/>
      <c r="F175" s="290"/>
      <c r="G175" s="290"/>
      <c r="H175" s="290"/>
      <c r="I175" s="290"/>
      <c r="J175" s="290"/>
      <c r="K175" s="290" t="s">
        <v>100</v>
      </c>
      <c r="L175" s="290"/>
      <c r="M175" s="290"/>
      <c r="N175" s="290"/>
      <c r="O175" s="291" t="s">
        <v>32</v>
      </c>
    </row>
    <row r="176" spans="1:15" s="281" customFormat="1" x14ac:dyDescent="0.25">
      <c r="A176" s="760"/>
      <c r="B176" s="761"/>
      <c r="C176" s="292"/>
      <c r="D176" s="292" t="s">
        <v>5</v>
      </c>
      <c r="E176" s="290" t="s">
        <v>21</v>
      </c>
      <c r="F176" s="293"/>
      <c r="G176" s="292"/>
      <c r="H176" s="292"/>
      <c r="I176" s="292"/>
      <c r="J176" s="292"/>
      <c r="K176" s="292" t="s">
        <v>238</v>
      </c>
      <c r="L176" s="292"/>
      <c r="M176" s="292"/>
      <c r="N176" s="292"/>
      <c r="O176" s="294" t="s">
        <v>40</v>
      </c>
    </row>
    <row r="177" spans="1:15" s="281" customFormat="1" x14ac:dyDescent="0.25">
      <c r="A177" s="733" t="s">
        <v>245</v>
      </c>
      <c r="B177" s="733"/>
      <c r="C177" s="137"/>
      <c r="D177" s="138">
        <v>1</v>
      </c>
      <c r="E177" s="650">
        <f>I57</f>
        <v>0</v>
      </c>
      <c r="F177" s="373"/>
      <c r="G177" s="372"/>
      <c r="H177" s="372"/>
      <c r="I177" s="372"/>
      <c r="J177" s="372"/>
      <c r="K177" s="650">
        <f>Consumibles!E46</f>
        <v>0</v>
      </c>
      <c r="L177" s="304"/>
      <c r="M177" s="303"/>
      <c r="N177" s="302"/>
      <c r="O177" s="239">
        <f>E177*K177</f>
        <v>0</v>
      </c>
    </row>
    <row r="178" spans="1:15" s="281" customFormat="1" x14ac:dyDescent="0.25">
      <c r="A178" s="733" t="s">
        <v>226</v>
      </c>
      <c r="B178" s="733"/>
      <c r="C178" s="137"/>
      <c r="D178" s="138">
        <v>1</v>
      </c>
      <c r="E178" s="651">
        <v>0</v>
      </c>
      <c r="F178" s="373"/>
      <c r="G178" s="372"/>
      <c r="H178" s="372"/>
      <c r="I178" s="372"/>
      <c r="J178" s="372"/>
      <c r="K178" s="650">
        <f>Consumibles!E21</f>
        <v>0</v>
      </c>
      <c r="L178" s="304"/>
      <c r="M178" s="303"/>
      <c r="N178" s="302"/>
      <c r="O178" s="239">
        <f>E178*K178</f>
        <v>0</v>
      </c>
    </row>
    <row r="179" spans="1:15" s="281" customFormat="1" x14ac:dyDescent="0.25">
      <c r="A179" s="733" t="s">
        <v>237</v>
      </c>
      <c r="B179" s="733"/>
      <c r="C179" s="137"/>
      <c r="D179" s="138">
        <v>1</v>
      </c>
      <c r="E179" s="372">
        <v>0</v>
      </c>
      <c r="F179" s="373"/>
      <c r="G179" s="372"/>
      <c r="H179" s="372"/>
      <c r="I179" s="372"/>
      <c r="J179" s="372"/>
      <c r="K179" s="650">
        <f>Consumibles!E22</f>
        <v>0</v>
      </c>
      <c r="L179" s="304"/>
      <c r="M179" s="303"/>
      <c r="N179" s="302"/>
      <c r="O179" s="239">
        <f t="shared" ref="O179:O182" si="0">E179*K179</f>
        <v>0</v>
      </c>
    </row>
    <row r="180" spans="1:15" s="281" customFormat="1" x14ac:dyDescent="0.25">
      <c r="A180" s="733" t="s">
        <v>234</v>
      </c>
      <c r="B180" s="733"/>
      <c r="C180" s="137"/>
      <c r="D180" s="138">
        <v>1</v>
      </c>
      <c r="E180" s="372">
        <v>50</v>
      </c>
      <c r="F180" s="373"/>
      <c r="G180" s="372"/>
      <c r="H180" s="372"/>
      <c r="I180" s="372"/>
      <c r="J180" s="372"/>
      <c r="K180" s="650">
        <f>Consumibles!E23</f>
        <v>0</v>
      </c>
      <c r="L180" s="304"/>
      <c r="M180" s="303"/>
      <c r="N180" s="302"/>
      <c r="O180" s="239">
        <f t="shared" si="0"/>
        <v>0</v>
      </c>
    </row>
    <row r="181" spans="1:15" s="281" customFormat="1" x14ac:dyDescent="0.25">
      <c r="A181" s="733" t="s">
        <v>235</v>
      </c>
      <c r="B181" s="733"/>
      <c r="C181" s="137"/>
      <c r="D181" s="138">
        <v>1</v>
      </c>
      <c r="E181" s="372">
        <v>80</v>
      </c>
      <c r="F181" s="373"/>
      <c r="G181" s="372"/>
      <c r="H181" s="372"/>
      <c r="I181" s="372"/>
      <c r="J181" s="372"/>
      <c r="K181" s="650">
        <f>Consumibles!E24</f>
        <v>0</v>
      </c>
      <c r="L181" s="304"/>
      <c r="M181" s="303"/>
      <c r="N181" s="302"/>
      <c r="O181" s="239">
        <f t="shared" si="0"/>
        <v>0</v>
      </c>
    </row>
    <row r="182" spans="1:15" s="281" customFormat="1" x14ac:dyDescent="0.25">
      <c r="A182" s="733" t="s">
        <v>236</v>
      </c>
      <c r="B182" s="733"/>
      <c r="C182" s="137"/>
      <c r="D182" s="138">
        <v>1</v>
      </c>
      <c r="E182" s="372">
        <v>20</v>
      </c>
      <c r="F182" s="373"/>
      <c r="G182" s="372"/>
      <c r="H182" s="372"/>
      <c r="I182" s="372"/>
      <c r="J182" s="372"/>
      <c r="K182" s="650">
        <f>Consumibles!E25</f>
        <v>0</v>
      </c>
      <c r="L182" s="304"/>
      <c r="M182" s="303"/>
      <c r="N182" s="302"/>
      <c r="O182" s="239">
        <f t="shared" si="0"/>
        <v>0</v>
      </c>
    </row>
    <row r="183" spans="1:15" s="281" customFormat="1" x14ac:dyDescent="0.25">
      <c r="A183" s="254"/>
      <c r="B183" s="255"/>
      <c r="C183" s="255"/>
      <c r="D183" s="255"/>
      <c r="E183" s="256"/>
      <c r="F183" s="256" t="s">
        <v>224</v>
      </c>
      <c r="G183" s="255"/>
      <c r="H183" s="255"/>
      <c r="I183" s="255"/>
      <c r="J183" s="255"/>
      <c r="K183" s="255"/>
      <c r="L183" s="255"/>
      <c r="M183" s="255"/>
      <c r="N183" s="255"/>
      <c r="O183" s="257">
        <f>SUM(O177:O182)</f>
        <v>0</v>
      </c>
    </row>
    <row r="184" spans="1:15" x14ac:dyDescent="0.25">
      <c r="A184" s="218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</row>
    <row r="185" spans="1:15" x14ac:dyDescent="0.25">
      <c r="A185" s="218"/>
      <c r="B185" s="218"/>
      <c r="C185" s="218"/>
      <c r="D185" s="218"/>
      <c r="E185" s="218"/>
      <c r="F185" s="307" t="s">
        <v>271</v>
      </c>
      <c r="G185" s="308"/>
      <c r="H185" s="308"/>
      <c r="I185" s="308"/>
      <c r="J185" s="308"/>
      <c r="K185" s="308"/>
      <c r="L185" s="308"/>
      <c r="M185" s="316"/>
      <c r="N185" s="316"/>
      <c r="O185" s="317">
        <f>+O57+O111+O163+O173+O183</f>
        <v>0</v>
      </c>
    </row>
    <row r="186" spans="1: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310"/>
    </row>
    <row r="187" spans="1:15" x14ac:dyDescent="0.25">
      <c r="A187" s="218"/>
      <c r="B187" s="218"/>
      <c r="C187" s="218"/>
      <c r="D187" s="218"/>
      <c r="E187" s="218"/>
      <c r="F187" s="311" t="s">
        <v>3</v>
      </c>
      <c r="G187" s="312"/>
      <c r="H187" s="312"/>
      <c r="I187" s="312"/>
      <c r="J187" s="312"/>
      <c r="K187" s="312"/>
      <c r="L187" s="312"/>
      <c r="M187" s="652">
        <f>Paràmetres!C6</f>
        <v>0</v>
      </c>
      <c r="N187" s="312"/>
      <c r="O187" s="313">
        <f>+O185*M187</f>
        <v>0</v>
      </c>
    </row>
    <row r="188" spans="1:15" x14ac:dyDescent="0.25">
      <c r="A188" s="218"/>
      <c r="B188" s="218"/>
      <c r="C188" s="218"/>
      <c r="D188" s="218"/>
      <c r="E188" s="218"/>
      <c r="F188" s="312"/>
      <c r="G188" s="312"/>
      <c r="H188" s="312"/>
      <c r="I188" s="312"/>
      <c r="J188" s="312"/>
      <c r="K188" s="312"/>
      <c r="L188" s="312"/>
      <c r="M188" s="314"/>
      <c r="N188" s="312"/>
      <c r="O188" s="313"/>
    </row>
    <row r="189" spans="1:15" x14ac:dyDescent="0.25">
      <c r="A189" s="218"/>
      <c r="B189" s="218"/>
      <c r="C189" s="218"/>
      <c r="D189" s="218"/>
      <c r="E189" s="218"/>
      <c r="F189" s="311" t="s">
        <v>2</v>
      </c>
      <c r="G189" s="312"/>
      <c r="H189" s="312"/>
      <c r="I189" s="312"/>
      <c r="J189" s="312"/>
      <c r="K189" s="312"/>
      <c r="L189" s="312"/>
      <c r="M189" s="652">
        <f>Paràmetres!C5</f>
        <v>0</v>
      </c>
      <c r="N189" s="312"/>
      <c r="O189" s="313">
        <f>+O185*M189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48</v>
      </c>
      <c r="G191" s="312"/>
      <c r="H191" s="312"/>
      <c r="I191" s="312"/>
      <c r="J191" s="312"/>
      <c r="K191" s="312"/>
      <c r="L191" s="312"/>
      <c r="M191" s="314"/>
      <c r="N191" s="312"/>
      <c r="O191" s="313">
        <f>+O185*M191</f>
        <v>0</v>
      </c>
    </row>
    <row r="192" spans="1:15" x14ac:dyDescent="0.25">
      <c r="A192" s="218"/>
      <c r="B192" s="218"/>
      <c r="C192" s="218"/>
      <c r="D192" s="218"/>
      <c r="E192" s="218"/>
      <c r="F192" s="312"/>
      <c r="G192" s="312"/>
      <c r="H192" s="312"/>
      <c r="I192" s="312"/>
      <c r="J192" s="312"/>
      <c r="K192" s="312"/>
      <c r="L192" s="312"/>
      <c r="M192" s="314"/>
      <c r="N192" s="312"/>
      <c r="O192" s="313"/>
    </row>
    <row r="193" spans="1:15" x14ac:dyDescent="0.25">
      <c r="A193" s="218"/>
      <c r="B193" s="218"/>
      <c r="C193" s="218"/>
      <c r="D193" s="218"/>
      <c r="E193" s="218"/>
      <c r="F193" s="311" t="s">
        <v>76</v>
      </c>
      <c r="G193" s="312"/>
      <c r="H193" s="312"/>
      <c r="I193" s="312"/>
      <c r="J193" s="312"/>
      <c r="K193" s="312"/>
      <c r="L193" s="312"/>
      <c r="M193" s="314"/>
      <c r="N193" s="312"/>
      <c r="O193" s="313">
        <f>+O185*M193</f>
        <v>0</v>
      </c>
    </row>
    <row r="194" spans="1:15" x14ac:dyDescent="0.25">
      <c r="A194" s="218"/>
      <c r="B194" s="218"/>
      <c r="C194" s="218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310"/>
    </row>
    <row r="195" spans="1:15" x14ac:dyDescent="0.25">
      <c r="A195" s="218"/>
      <c r="B195" s="218"/>
      <c r="C195" s="218"/>
      <c r="D195" s="218"/>
      <c r="E195" s="218"/>
      <c r="F195" s="315" t="s">
        <v>270</v>
      </c>
      <c r="G195" s="316"/>
      <c r="H195" s="316"/>
      <c r="I195" s="316"/>
      <c r="J195" s="316"/>
      <c r="K195" s="316"/>
      <c r="L195" s="316"/>
      <c r="M195" s="316"/>
      <c r="N195" s="316"/>
      <c r="O195" s="317">
        <f>SUM(O185:O193)+O168</f>
        <v>3290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1" t="s">
        <v>4</v>
      </c>
      <c r="G197" s="312"/>
      <c r="H197" s="312"/>
      <c r="I197" s="312"/>
      <c r="J197" s="312"/>
      <c r="K197" s="312"/>
      <c r="L197" s="312"/>
      <c r="M197" s="314">
        <v>0.1</v>
      </c>
      <c r="N197" s="312"/>
      <c r="O197" s="313">
        <f>+O195*M197</f>
        <v>329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310"/>
    </row>
    <row r="199" spans="1:15" x14ac:dyDescent="0.25">
      <c r="A199" s="218"/>
      <c r="B199" s="218"/>
      <c r="C199" s="218"/>
      <c r="D199" s="218"/>
      <c r="E199" s="218"/>
      <c r="F199" s="315" t="s">
        <v>49</v>
      </c>
      <c r="G199" s="316"/>
      <c r="H199" s="316"/>
      <c r="I199" s="316"/>
      <c r="J199" s="316"/>
      <c r="K199" s="316"/>
      <c r="L199" s="316"/>
      <c r="M199" s="316"/>
      <c r="N199" s="316"/>
      <c r="O199" s="317">
        <f>+O195+O197</f>
        <v>3619</v>
      </c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</row>
    <row r="201" spans="1:15" x14ac:dyDescent="0.25">
      <c r="A201" s="218"/>
      <c r="B201" s="218"/>
      <c r="C201" s="218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</row>
    <row r="202" spans="1:15" x14ac:dyDescent="0.25">
      <c r="A202" s="218"/>
      <c r="B202" s="218"/>
      <c r="C202" s="218"/>
      <c r="D202" s="218"/>
      <c r="E202" s="218"/>
      <c r="F202" s="315" t="s">
        <v>50</v>
      </c>
      <c r="G202" s="316"/>
      <c r="H202" s="316"/>
      <c r="I202" s="316"/>
      <c r="J202" s="316"/>
      <c r="K202" s="316"/>
      <c r="L202" s="316"/>
      <c r="M202" s="316"/>
      <c r="N202" s="316"/>
      <c r="O202" s="317" t="s">
        <v>51</v>
      </c>
    </row>
    <row r="203" spans="1:15" x14ac:dyDescent="0.25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</row>
    <row r="204" spans="1:15" x14ac:dyDescent="0.25">
      <c r="A204" s="218"/>
      <c r="B204" s="218"/>
      <c r="C204" s="218"/>
      <c r="D204" s="218"/>
      <c r="E204" s="218"/>
      <c r="F204" s="218" t="s">
        <v>52</v>
      </c>
      <c r="G204" s="218"/>
      <c r="H204" s="218"/>
      <c r="I204" s="218"/>
      <c r="J204" s="218"/>
      <c r="K204" s="218"/>
      <c r="L204" s="218"/>
      <c r="M204" s="218"/>
      <c r="N204" s="218"/>
      <c r="O204" s="313">
        <f>+O57*(1+M187+M189)*(1+M197)</f>
        <v>0</v>
      </c>
    </row>
    <row r="205" spans="1:15" x14ac:dyDescent="0.25">
      <c r="A205" s="218"/>
      <c r="B205" s="218"/>
      <c r="C205" s="218"/>
      <c r="D205" s="218"/>
      <c r="E205" s="218"/>
      <c r="F205" s="218" t="s">
        <v>53</v>
      </c>
      <c r="G205" s="218"/>
      <c r="H205" s="218"/>
      <c r="I205" s="218"/>
      <c r="J205" s="218"/>
      <c r="K205" s="218"/>
      <c r="L205" s="218"/>
      <c r="M205" s="218"/>
      <c r="N205" s="218"/>
      <c r="O205" s="313">
        <f>+(O111+O163)*(1+M187+M189)*(1+M197)</f>
        <v>0</v>
      </c>
    </row>
    <row r="206" spans="1:15" x14ac:dyDescent="0.25">
      <c r="A206" s="218"/>
      <c r="B206" s="218"/>
      <c r="C206" s="218"/>
      <c r="D206" s="218"/>
      <c r="E206" s="218"/>
      <c r="F206" s="218" t="s">
        <v>54</v>
      </c>
      <c r="G206" s="218"/>
      <c r="H206" s="218"/>
      <c r="I206" s="218"/>
      <c r="J206" s="218"/>
      <c r="K206" s="218"/>
      <c r="L206" s="218"/>
      <c r="M206" s="218"/>
      <c r="N206" s="218"/>
      <c r="O206" s="313"/>
    </row>
    <row r="207" spans="1:15" x14ac:dyDescent="0.25">
      <c r="A207" s="218"/>
      <c r="B207" s="218"/>
      <c r="C207" s="218"/>
      <c r="D207" s="218"/>
      <c r="E207" s="218"/>
      <c r="F207" s="311" t="s">
        <v>55</v>
      </c>
      <c r="G207" s="312"/>
      <c r="H207" s="312"/>
      <c r="I207" s="312"/>
      <c r="J207" s="312"/>
      <c r="K207" s="312"/>
      <c r="L207" s="312"/>
      <c r="M207" s="312"/>
      <c r="N207" s="312"/>
      <c r="O207" s="313">
        <f>G57</f>
        <v>0</v>
      </c>
    </row>
    <row r="208" spans="1:15" x14ac:dyDescent="0.25">
      <c r="A208" s="218"/>
      <c r="B208" s="218"/>
      <c r="C208" s="218"/>
      <c r="D208" s="218"/>
      <c r="E208" s="218"/>
      <c r="F208" s="311" t="s">
        <v>56</v>
      </c>
      <c r="G208" s="312"/>
      <c r="H208" s="312"/>
      <c r="I208" s="312"/>
      <c r="J208" s="312"/>
      <c r="K208" s="312"/>
      <c r="L208" s="312"/>
      <c r="M208" s="312"/>
      <c r="N208" s="312"/>
      <c r="O208" s="313">
        <f>+O207*6.16667</f>
        <v>0</v>
      </c>
    </row>
    <row r="209" spans="1:15" x14ac:dyDescent="0.25">
      <c r="A209" s="218"/>
      <c r="B209" s="218"/>
      <c r="C209" s="218"/>
      <c r="D209" s="218"/>
      <c r="E209" s="218"/>
      <c r="F209" s="218" t="s">
        <v>57</v>
      </c>
      <c r="G209" s="218"/>
      <c r="H209" s="218"/>
      <c r="I209" s="218"/>
      <c r="J209" s="218"/>
      <c r="K209" s="218"/>
      <c r="L209" s="218"/>
      <c r="M209" s="218"/>
      <c r="N209" s="218"/>
      <c r="O209" s="313" t="e">
        <f>+O199/O207</f>
        <v>#DIV/0!</v>
      </c>
    </row>
    <row r="210" spans="1:15" x14ac:dyDescent="0.25">
      <c r="A210" s="218"/>
      <c r="B210" s="218"/>
      <c r="C210" s="218"/>
      <c r="D210" s="218"/>
      <c r="E210" s="218"/>
      <c r="F210" s="218" t="s">
        <v>58</v>
      </c>
      <c r="G210" s="218"/>
      <c r="H210" s="218"/>
      <c r="I210" s="218"/>
      <c r="J210" s="218"/>
      <c r="K210" s="218"/>
      <c r="L210" s="218"/>
      <c r="M210" s="218"/>
      <c r="N210" s="218"/>
      <c r="O210" s="313" t="e">
        <f>+O199/O208</f>
        <v>#DIV/0!</v>
      </c>
    </row>
    <row r="211" spans="1:15" x14ac:dyDescent="0.25">
      <c r="O211" s="318"/>
    </row>
  </sheetData>
  <sheetProtection algorithmName="SHA-512" hashValue="7Nn2Z/jmtQhexvMO0eF9cEmYZtdWpQGIE2lOMhZIo9UZp2teIXuhMw92Bn10aIEfxI1L2qHnemkdpKm8pAsWZw==" saltValue="tsKZ7nsGvje7u9VbslN34A==" spinCount="100000" sheet="1" objects="1" scenarios="1" selectLockedCells="1"/>
  <mergeCells count="157"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51:B151"/>
    <mergeCell ref="A152:B152"/>
    <mergeCell ref="A142:B142"/>
    <mergeCell ref="A143:B143"/>
    <mergeCell ref="A144:B144"/>
    <mergeCell ref="A145:B145"/>
    <mergeCell ref="A146:B146"/>
    <mergeCell ref="A158:B158"/>
    <mergeCell ref="A159:B159"/>
    <mergeCell ref="A141:B141"/>
    <mergeCell ref="A132:B132"/>
    <mergeCell ref="A133:B133"/>
    <mergeCell ref="A134:B134"/>
    <mergeCell ref="A135:B135"/>
    <mergeCell ref="A136:B136"/>
    <mergeCell ref="A148:B148"/>
    <mergeCell ref="A149:B149"/>
    <mergeCell ref="A150:B150"/>
    <mergeCell ref="A126:B126"/>
    <mergeCell ref="A127:B127"/>
    <mergeCell ref="A128:B128"/>
    <mergeCell ref="A129:B129"/>
    <mergeCell ref="A130:B130"/>
    <mergeCell ref="A137:B137"/>
    <mergeCell ref="A138:B138"/>
    <mergeCell ref="A139:B139"/>
    <mergeCell ref="A140:B140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08:B108"/>
    <mergeCell ref="A109:B109"/>
    <mergeCell ref="A110:B110"/>
    <mergeCell ref="A61:B62"/>
    <mergeCell ref="A113:B114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92:B92"/>
    <mergeCell ref="A93:B93"/>
    <mergeCell ref="A94:B94"/>
    <mergeCell ref="A96:B96"/>
    <mergeCell ref="A97:B97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6:B76"/>
    <mergeCell ref="A77:B77"/>
    <mergeCell ref="A78:B78"/>
    <mergeCell ref="A80:B80"/>
    <mergeCell ref="A81:B81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53:B53"/>
    <mergeCell ref="A54:B54"/>
    <mergeCell ref="A55:B55"/>
    <mergeCell ref="A56:B56"/>
    <mergeCell ref="A65:B65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7:B37"/>
    <mergeCell ref="A38:B38"/>
    <mergeCell ref="A39:B39"/>
    <mergeCell ref="A40:B40"/>
    <mergeCell ref="A42:B42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6:B26"/>
    <mergeCell ref="A5:O5"/>
    <mergeCell ref="A7:B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75:B176"/>
    <mergeCell ref="A177:B177"/>
    <mergeCell ref="A178:B178"/>
    <mergeCell ref="A179:B179"/>
    <mergeCell ref="A180:B180"/>
    <mergeCell ref="A181:B181"/>
    <mergeCell ref="A182:B182"/>
    <mergeCell ref="O165:O166"/>
    <mergeCell ref="A170:A171"/>
    <mergeCell ref="B170:B171"/>
    <mergeCell ref="D165:D166"/>
    <mergeCell ref="E165:E166"/>
    <mergeCell ref="F165:F166"/>
    <mergeCell ref="G165:G166"/>
    <mergeCell ref="K165:K166"/>
    <mergeCell ref="C165:C166"/>
    <mergeCell ref="M165:M166"/>
    <mergeCell ref="N165:N166"/>
    <mergeCell ref="A165:B166"/>
    <mergeCell ref="A167:B167"/>
    <mergeCell ref="A172:B17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rowBreaks count="1" manualBreakCount="1">
    <brk id="11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FD78-61E2-48F9-9904-9A4726B7C30E}">
  <sheetPr>
    <tabColor theme="0"/>
  </sheetPr>
  <dimension ref="A1:O209"/>
  <sheetViews>
    <sheetView showGridLines="0" topLeftCell="A7" zoomScale="70" zoomScaleNormal="70" zoomScaleSheetLayoutView="70" workbookViewId="0">
      <selection activeCell="E19" sqref="E19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209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232" t="s">
        <v>195</v>
      </c>
      <c r="B10" s="233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spans="1:15" s="153" customFormat="1" x14ac:dyDescent="0.25">
      <c r="A11" s="763" t="s">
        <v>88</v>
      </c>
      <c r="B11" s="76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s="240" customFormat="1" x14ac:dyDescent="0.25">
      <c r="A12" s="734" t="s">
        <v>72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64" t="s">
        <v>89</v>
      </c>
      <c r="B13" s="764"/>
      <c r="C13" s="137"/>
      <c r="D13" s="241"/>
      <c r="E13" s="139"/>
      <c r="F13" s="241"/>
      <c r="G13" s="273"/>
      <c r="H13" s="273"/>
      <c r="I13" s="273"/>
      <c r="J13" s="273"/>
      <c r="K13" s="320"/>
      <c r="L13" s="320"/>
      <c r="M13" s="139"/>
      <c r="N13" s="238"/>
      <c r="O13" s="239"/>
    </row>
    <row r="14" spans="1:15" s="153" customFormat="1" x14ac:dyDescent="0.25">
      <c r="A14" s="734" t="s">
        <v>72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237">
        <f>+K14/C14</f>
        <v>0</v>
      </c>
      <c r="M14" s="238" t="s">
        <v>90</v>
      </c>
      <c r="N14" s="238" t="s">
        <v>42</v>
      </c>
      <c r="O14" s="239">
        <f>+K14*G14</f>
        <v>0</v>
      </c>
    </row>
    <row r="15" spans="1:15" s="153" customForma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34"/>
      <c r="O15" s="234"/>
    </row>
    <row r="16" spans="1:15" s="153" customFormat="1" x14ac:dyDescent="0.25">
      <c r="A16" s="765" t="s">
        <v>88</v>
      </c>
      <c r="B16" s="765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34"/>
      <c r="O16" s="234"/>
    </row>
    <row r="17" spans="1:15" s="153" customFormat="1" x14ac:dyDescent="0.25">
      <c r="A17" s="734" t="s">
        <v>72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237">
        <f>+K17/C17</f>
        <v>0</v>
      </c>
      <c r="M17" s="238" t="s">
        <v>41</v>
      </c>
      <c r="N17" s="238" t="s">
        <v>42</v>
      </c>
      <c r="O17" s="239">
        <f>+K17*G17</f>
        <v>0</v>
      </c>
    </row>
    <row r="18" spans="1:15" s="153" customForma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34"/>
      <c r="O18" s="234"/>
    </row>
    <row r="19" spans="1:15" s="153" customFormat="1" x14ac:dyDescent="0.25">
      <c r="A19" s="734" t="s">
        <v>72</v>
      </c>
      <c r="B19" s="734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90</v>
      </c>
      <c r="N19" s="238" t="s">
        <v>42</v>
      </c>
      <c r="O19" s="239">
        <f>+K19*G19</f>
        <v>0</v>
      </c>
    </row>
    <row r="20" spans="1:15" s="153" customFormat="1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34"/>
      <c r="O20" s="234"/>
    </row>
    <row r="21" spans="1:15" s="153" customFormat="1" x14ac:dyDescent="0.25">
      <c r="A21" s="765" t="s">
        <v>88</v>
      </c>
      <c r="B21" s="765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34"/>
      <c r="O21" s="234"/>
    </row>
    <row r="22" spans="1:15" s="153" customFormat="1" x14ac:dyDescent="0.25">
      <c r="A22" s="734" t="s">
        <v>72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237">
        <f>+K22/C22</f>
        <v>0</v>
      </c>
      <c r="M22" s="238" t="s">
        <v>41</v>
      </c>
      <c r="N22" s="238" t="s">
        <v>42</v>
      </c>
      <c r="O22" s="239">
        <f>+K22*G22</f>
        <v>0</v>
      </c>
    </row>
    <row r="23" spans="1:15" s="153" customFormat="1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34"/>
      <c r="O23" s="234"/>
    </row>
    <row r="24" spans="1:15" s="153" customFormat="1" x14ac:dyDescent="0.25">
      <c r="A24" s="734" t="s">
        <v>72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237">
        <f>+K24/C24</f>
        <v>0</v>
      </c>
      <c r="M24" s="238" t="s">
        <v>90</v>
      </c>
      <c r="N24" s="238" t="s">
        <v>42</v>
      </c>
      <c r="O24" s="239">
        <f>+K24*G24</f>
        <v>0</v>
      </c>
    </row>
    <row r="25" spans="1:15" s="153" customFormat="1" x14ac:dyDescent="0.25">
      <c r="A25" s="229" t="s">
        <v>199</v>
      </c>
      <c r="B25" s="242"/>
      <c r="C25" s="278"/>
      <c r="D25" s="278"/>
      <c r="E25" s="278"/>
      <c r="F25" s="245"/>
      <c r="G25" s="278"/>
      <c r="H25" s="278"/>
      <c r="I25" s="278"/>
      <c r="J25" s="278"/>
      <c r="K25" s="278"/>
      <c r="L25" s="278"/>
      <c r="M25" s="278"/>
      <c r="N25" s="278"/>
      <c r="O25" s="278"/>
    </row>
    <row r="26" spans="1:15" s="153" customFormat="1" x14ac:dyDescent="0.25">
      <c r="A26" s="762" t="s">
        <v>195</v>
      </c>
      <c r="B26" s="762"/>
      <c r="C26" s="241"/>
      <c r="D26" s="241"/>
      <c r="E26" s="241"/>
      <c r="F26" s="234"/>
      <c r="G26" s="234"/>
      <c r="H26" s="234"/>
      <c r="I26" s="234"/>
      <c r="J26" s="234"/>
      <c r="K26" s="241"/>
      <c r="L26" s="241"/>
      <c r="M26" s="241"/>
      <c r="N26" s="234"/>
      <c r="O26" s="234"/>
    </row>
    <row r="27" spans="1:15" s="153" customFormat="1" x14ac:dyDescent="0.25">
      <c r="A27" s="765" t="s">
        <v>88</v>
      </c>
      <c r="B27" s="765"/>
      <c r="C27" s="241"/>
      <c r="D27" s="241"/>
      <c r="E27" s="241"/>
      <c r="F27" s="234"/>
      <c r="G27" s="234"/>
      <c r="H27" s="234"/>
      <c r="I27" s="234"/>
      <c r="J27" s="234"/>
      <c r="K27" s="241"/>
      <c r="L27" s="241"/>
      <c r="M27" s="241"/>
      <c r="N27" s="234"/>
      <c r="O27" s="234"/>
    </row>
    <row r="28" spans="1:15" s="153" customFormat="1" x14ac:dyDescent="0.25">
      <c r="A28" s="734" t="s">
        <v>72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237">
        <f>+K28/C28</f>
        <v>0</v>
      </c>
      <c r="M28" s="238" t="s">
        <v>41</v>
      </c>
      <c r="N28" s="238" t="s">
        <v>42</v>
      </c>
      <c r="O28" s="239">
        <f>+K28*G28</f>
        <v>0</v>
      </c>
    </row>
    <row r="29" spans="1:15" s="153" customFormat="1" x14ac:dyDescent="0.25">
      <c r="A29" s="764" t="s">
        <v>89</v>
      </c>
      <c r="B29" s="764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139"/>
      <c r="N29" s="234"/>
      <c r="O29" s="234"/>
    </row>
    <row r="30" spans="1:15" s="153" customFormat="1" x14ac:dyDescent="0.25">
      <c r="A30" s="734" t="s">
        <v>72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153" customFormat="1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34"/>
      <c r="O31" s="234"/>
    </row>
    <row r="32" spans="1:15" s="240" customFormat="1" x14ac:dyDescent="0.25">
      <c r="A32" s="765" t="s">
        <v>88</v>
      </c>
      <c r="B32" s="765"/>
      <c r="C32" s="137"/>
      <c r="D32" s="241"/>
      <c r="E32" s="139"/>
      <c r="F32" s="241"/>
      <c r="G32" s="273"/>
      <c r="H32" s="273"/>
      <c r="I32" s="273"/>
      <c r="J32" s="273"/>
      <c r="K32" s="320"/>
      <c r="L32" s="320"/>
      <c r="M32" s="241"/>
      <c r="N32" s="238"/>
      <c r="O32" s="239"/>
    </row>
    <row r="33" spans="1:15" s="240" customFormat="1" x14ac:dyDescent="0.25">
      <c r="A33" s="734" t="s">
        <v>72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237">
        <f>+K33/C33</f>
        <v>0</v>
      </c>
      <c r="M33" s="238" t="s">
        <v>41</v>
      </c>
      <c r="N33" s="238" t="s">
        <v>42</v>
      </c>
      <c r="O33" s="239">
        <f>+K33*G33</f>
        <v>0</v>
      </c>
    </row>
    <row r="34" spans="1:15" s="153" customFormat="1" x14ac:dyDescent="0.25">
      <c r="A34" s="764" t="s">
        <v>89</v>
      </c>
      <c r="B34" s="764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34"/>
      <c r="O34" s="234"/>
    </row>
    <row r="35" spans="1:15" s="153" customFormat="1" x14ac:dyDescent="0.25">
      <c r="A35" s="734" t="s">
        <v>72</v>
      </c>
      <c r="B35" s="734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237">
        <f>+K35/C35</f>
        <v>0</v>
      </c>
      <c r="M35" s="238" t="s">
        <v>90</v>
      </c>
      <c r="N35" s="238" t="s">
        <v>42</v>
      </c>
      <c r="O35" s="239">
        <f>+K35*G35</f>
        <v>0</v>
      </c>
    </row>
    <row r="36" spans="1:15" s="240" customFormat="1" x14ac:dyDescent="0.25">
      <c r="A36" s="762" t="s">
        <v>197</v>
      </c>
      <c r="B36" s="762"/>
      <c r="C36" s="137"/>
      <c r="D36" s="241"/>
      <c r="E36" s="139"/>
      <c r="F36" s="241"/>
      <c r="G36" s="273"/>
      <c r="H36" s="273"/>
      <c r="I36" s="273"/>
      <c r="J36" s="273"/>
      <c r="K36" s="320"/>
      <c r="L36" s="320"/>
      <c r="M36" s="241"/>
      <c r="N36" s="238"/>
      <c r="O36" s="239"/>
    </row>
    <row r="37" spans="1:15" s="240" customFormat="1" x14ac:dyDescent="0.25">
      <c r="A37" s="765" t="s">
        <v>88</v>
      </c>
      <c r="B37" s="765"/>
      <c r="C37" s="137"/>
      <c r="D37" s="241"/>
      <c r="E37" s="139"/>
      <c r="F37" s="241"/>
      <c r="G37" s="273"/>
      <c r="H37" s="273"/>
      <c r="I37" s="273"/>
      <c r="J37" s="273"/>
      <c r="K37" s="320"/>
      <c r="L37" s="320"/>
      <c r="M37" s="241"/>
      <c r="N37" s="238"/>
      <c r="O37" s="239"/>
    </row>
    <row r="38" spans="1:15" s="153" customFormat="1" x14ac:dyDescent="0.25">
      <c r="A38" s="734" t="s">
        <v>72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237">
        <f>+K38/C38</f>
        <v>0</v>
      </c>
      <c r="M38" s="238" t="s">
        <v>41</v>
      </c>
      <c r="N38" s="238" t="s">
        <v>42</v>
      </c>
      <c r="O38" s="239">
        <f>+K38*G38</f>
        <v>0</v>
      </c>
    </row>
    <row r="39" spans="1:15" s="240" customFormat="1" x14ac:dyDescent="0.25">
      <c r="A39" s="764" t="s">
        <v>89</v>
      </c>
      <c r="B39" s="764"/>
      <c r="C39" s="137"/>
      <c r="D39" s="241"/>
      <c r="E39" s="139"/>
      <c r="F39" s="241"/>
      <c r="G39" s="273"/>
      <c r="H39" s="273"/>
      <c r="I39" s="273"/>
      <c r="J39" s="273"/>
      <c r="K39" s="320"/>
      <c r="L39" s="320"/>
      <c r="M39" s="241"/>
      <c r="N39" s="238"/>
      <c r="O39" s="239"/>
    </row>
    <row r="40" spans="1:15" s="240" customFormat="1" x14ac:dyDescent="0.25">
      <c r="A40" s="734" t="s">
        <v>72</v>
      </c>
      <c r="B40" s="734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237">
        <f>+K40/C40</f>
        <v>0</v>
      </c>
      <c r="M40" s="238" t="s">
        <v>90</v>
      </c>
      <c r="N40" s="238" t="s">
        <v>42</v>
      </c>
      <c r="O40" s="239">
        <f>+K40*G40</f>
        <v>0</v>
      </c>
    </row>
    <row r="41" spans="1:15" s="153" customFormat="1" x14ac:dyDescent="0.25">
      <c r="A41" s="229" t="s">
        <v>326</v>
      </c>
      <c r="B41" s="242"/>
      <c r="C41" s="278"/>
      <c r="D41" s="278"/>
      <c r="E41" s="278"/>
      <c r="F41" s="245"/>
      <c r="G41" s="278"/>
      <c r="H41" s="278"/>
      <c r="I41" s="278"/>
      <c r="J41" s="278"/>
      <c r="K41" s="278"/>
      <c r="L41" s="278"/>
      <c r="M41" s="278"/>
      <c r="N41" s="278"/>
      <c r="O41" s="278"/>
    </row>
    <row r="42" spans="1:15" s="240" customFormat="1" x14ac:dyDescent="0.25">
      <c r="A42" s="762" t="s">
        <v>195</v>
      </c>
      <c r="B42" s="762"/>
      <c r="C42" s="137"/>
      <c r="D42" s="138"/>
      <c r="E42" s="139"/>
      <c r="F42" s="234"/>
      <c r="G42" s="235"/>
      <c r="H42" s="235"/>
      <c r="I42" s="235"/>
      <c r="J42" s="235"/>
      <c r="K42" s="320"/>
      <c r="L42" s="320"/>
      <c r="M42" s="139"/>
      <c r="N42" s="238"/>
      <c r="O42" s="239"/>
    </row>
    <row r="43" spans="1:15" s="240" customFormat="1" x14ac:dyDescent="0.25">
      <c r="A43" s="763" t="s">
        <v>88</v>
      </c>
      <c r="B43" s="763"/>
      <c r="C43" s="137"/>
      <c r="D43" s="138"/>
      <c r="E43" s="139"/>
      <c r="F43" s="234"/>
      <c r="G43" s="235"/>
      <c r="H43" s="235"/>
      <c r="I43" s="235"/>
      <c r="J43" s="235"/>
      <c r="K43" s="320"/>
      <c r="L43" s="320"/>
      <c r="M43" s="139"/>
      <c r="N43" s="238"/>
      <c r="O43" s="239"/>
    </row>
    <row r="44" spans="1:15" s="153" customFormat="1" x14ac:dyDescent="0.25">
      <c r="A44" s="734" t="s">
        <v>72</v>
      </c>
      <c r="B44" s="734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238" t="s">
        <v>41</v>
      </c>
      <c r="N44" s="238" t="s">
        <v>42</v>
      </c>
      <c r="O44" s="239">
        <f>+K44*G44</f>
        <v>0</v>
      </c>
    </row>
    <row r="45" spans="1:15" s="153" customFormat="1" x14ac:dyDescent="0.25">
      <c r="A45" s="770" t="s">
        <v>89</v>
      </c>
      <c r="B45" s="770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139"/>
      <c r="N45" s="234"/>
      <c r="O45" s="234"/>
    </row>
    <row r="46" spans="1:15" s="240" customFormat="1" x14ac:dyDescent="0.25">
      <c r="A46" s="734" t="s">
        <v>72</v>
      </c>
      <c r="B46" s="734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491">
        <f>+K46/C46</f>
        <v>0</v>
      </c>
      <c r="M46" s="238" t="s">
        <v>90</v>
      </c>
      <c r="N46" s="238" t="s">
        <v>42</v>
      </c>
      <c r="O46" s="239">
        <f>+K46*G46</f>
        <v>0</v>
      </c>
    </row>
    <row r="47" spans="1:15" s="240" customFormat="1" x14ac:dyDescent="0.25">
      <c r="A47" s="762" t="s">
        <v>196</v>
      </c>
      <c r="B47" s="762"/>
      <c r="C47" s="137"/>
      <c r="D47" s="241"/>
      <c r="E47" s="139"/>
      <c r="F47" s="241"/>
      <c r="G47" s="273"/>
      <c r="H47" s="273"/>
      <c r="I47" s="273"/>
      <c r="J47" s="273"/>
      <c r="K47" s="320"/>
      <c r="L47" s="320"/>
      <c r="M47" s="241"/>
      <c r="N47" s="238"/>
      <c r="O47" s="239"/>
    </row>
    <row r="48" spans="1:15" s="153" customFormat="1" x14ac:dyDescent="0.25">
      <c r="A48" s="763" t="s">
        <v>88</v>
      </c>
      <c r="B48" s="763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34"/>
      <c r="O48" s="234"/>
    </row>
    <row r="49" spans="1:15" s="240" customFormat="1" x14ac:dyDescent="0.25">
      <c r="A49" s="734" t="s">
        <v>72</v>
      </c>
      <c r="B49" s="734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491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70" t="s">
        <v>89</v>
      </c>
      <c r="B50" s="770"/>
      <c r="C50" s="137"/>
      <c r="D50" s="241"/>
      <c r="E50" s="139"/>
      <c r="F50" s="241"/>
      <c r="G50" s="273"/>
      <c r="H50" s="273"/>
      <c r="I50" s="273"/>
      <c r="J50" s="273"/>
      <c r="K50" s="320"/>
      <c r="L50" s="320"/>
      <c r="M50" s="241"/>
      <c r="N50" s="238"/>
      <c r="O50" s="239"/>
    </row>
    <row r="51" spans="1:15" s="153" customFormat="1" x14ac:dyDescent="0.25">
      <c r="A51" s="734" t="s">
        <v>72</v>
      </c>
      <c r="B51" s="734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491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153" customFormat="1" x14ac:dyDescent="0.25">
      <c r="A52" s="762" t="s">
        <v>197</v>
      </c>
      <c r="B52" s="762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34"/>
      <c r="O52" s="234"/>
    </row>
    <row r="53" spans="1:15" s="240" customFormat="1" x14ac:dyDescent="0.25">
      <c r="A53" s="763" t="s">
        <v>88</v>
      </c>
      <c r="B53" s="763"/>
      <c r="C53" s="137"/>
      <c r="D53" s="241"/>
      <c r="E53" s="139"/>
      <c r="F53" s="241"/>
      <c r="G53" s="273"/>
      <c r="H53" s="273"/>
      <c r="I53" s="273"/>
      <c r="J53" s="273"/>
      <c r="K53" s="320"/>
      <c r="L53" s="320"/>
      <c r="M53" s="241"/>
      <c r="N53" s="238"/>
      <c r="O53" s="239"/>
    </row>
    <row r="54" spans="1:15" s="240" customFormat="1" x14ac:dyDescent="0.25">
      <c r="A54" s="734" t="s">
        <v>72</v>
      </c>
      <c r="B54" s="734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491">
        <f>+K54/C54</f>
        <v>0</v>
      </c>
      <c r="M54" s="238" t="s">
        <v>41</v>
      </c>
      <c r="N54" s="238" t="s">
        <v>42</v>
      </c>
      <c r="O54" s="239">
        <f>+K54*G54</f>
        <v>0</v>
      </c>
    </row>
    <row r="55" spans="1:15" s="153" customFormat="1" x14ac:dyDescent="0.25">
      <c r="A55" s="770" t="s">
        <v>89</v>
      </c>
      <c r="B55" s="770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34"/>
      <c r="O55" s="234"/>
    </row>
    <row r="56" spans="1:15" s="240" customFormat="1" x14ac:dyDescent="0.25">
      <c r="A56" s="734" t="s">
        <v>72</v>
      </c>
      <c r="B56" s="734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$K$12+Personal!D38</f>
        <v>0</v>
      </c>
      <c r="L56" s="491">
        <f>+K56/C56</f>
        <v>0</v>
      </c>
      <c r="M56" s="238" t="s">
        <v>90</v>
      </c>
      <c r="N56" s="238" t="s">
        <v>42</v>
      </c>
      <c r="O56" s="239">
        <f>+K56*G56</f>
        <v>0</v>
      </c>
    </row>
    <row r="57" spans="1:15" x14ac:dyDescent="0.25">
      <c r="A57" s="395"/>
      <c r="B57" s="396"/>
      <c r="C57" s="396"/>
      <c r="D57" s="396"/>
      <c r="E57" s="397" t="s">
        <v>45</v>
      </c>
      <c r="F57" s="396"/>
      <c r="G57" s="396">
        <f>SUM(G12:G56)</f>
        <v>0</v>
      </c>
      <c r="H57" s="396"/>
      <c r="I57" s="396">
        <f>SUM(I12:I56)</f>
        <v>0</v>
      </c>
      <c r="J57" s="396">
        <f>SUM(J12:J56)</f>
        <v>0</v>
      </c>
      <c r="K57" s="396"/>
      <c r="L57" s="396"/>
      <c r="M57" s="396"/>
      <c r="N57" s="396"/>
      <c r="O57" s="399">
        <f>SUM(O12:O56)</f>
        <v>0</v>
      </c>
    </row>
    <row r="58" spans="1:15" s="153" customFormat="1" ht="26.25" x14ac:dyDescent="0.4">
      <c r="A58" s="220" t="s">
        <v>211</v>
      </c>
      <c r="B58" s="221"/>
      <c r="C58" s="221"/>
      <c r="D58" s="223"/>
      <c r="E58" s="223"/>
      <c r="F58" s="223"/>
      <c r="G58" s="223"/>
      <c r="H58" s="223"/>
      <c r="I58" s="223"/>
      <c r="J58" s="223"/>
      <c r="K58" s="224"/>
      <c r="L58" s="224"/>
      <c r="M58" s="224"/>
      <c r="N58" s="224"/>
      <c r="O58" s="224"/>
    </row>
    <row r="59" spans="1:15" x14ac:dyDescent="0.25">
      <c r="A59" s="773" t="s">
        <v>20</v>
      </c>
      <c r="B59" s="773"/>
      <c r="C59" s="225" t="s">
        <v>27</v>
      </c>
      <c r="D59" s="225" t="s">
        <v>28</v>
      </c>
      <c r="E59" s="225" t="s">
        <v>21</v>
      </c>
      <c r="F59" s="225" t="s">
        <v>29</v>
      </c>
      <c r="G59" s="225"/>
      <c r="H59" s="225"/>
      <c r="I59" s="225"/>
      <c r="J59" s="225"/>
      <c r="K59" s="225" t="s">
        <v>30</v>
      </c>
      <c r="L59" s="225" t="s">
        <v>23</v>
      </c>
      <c r="M59" s="225" t="s">
        <v>31</v>
      </c>
      <c r="N59" s="225"/>
      <c r="O59" s="225" t="s">
        <v>32</v>
      </c>
    </row>
    <row r="60" spans="1:15" x14ac:dyDescent="0.25">
      <c r="A60" s="768"/>
      <c r="B60" s="768"/>
      <c r="C60" s="226" t="s">
        <v>44</v>
      </c>
      <c r="D60" s="226" t="s">
        <v>5</v>
      </c>
      <c r="E60" s="226" t="s">
        <v>24</v>
      </c>
      <c r="F60" s="227" t="s">
        <v>34</v>
      </c>
      <c r="G60" s="226" t="s">
        <v>35</v>
      </c>
      <c r="H60" s="226"/>
      <c r="I60" s="226"/>
      <c r="J60" s="226"/>
      <c r="K60" s="226" t="s">
        <v>36</v>
      </c>
      <c r="L60" s="228" t="s">
        <v>37</v>
      </c>
      <c r="M60" s="226" t="s">
        <v>38</v>
      </c>
      <c r="N60" s="226"/>
      <c r="O60" s="226" t="s">
        <v>40</v>
      </c>
    </row>
    <row r="61" spans="1:15" s="153" customFormat="1" x14ac:dyDescent="0.25">
      <c r="A61" s="229" t="s">
        <v>198</v>
      </c>
      <c r="B61" s="230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</row>
    <row r="62" spans="1:15" s="153" customFormat="1" x14ac:dyDescent="0.25">
      <c r="A62" s="232" t="s">
        <v>195</v>
      </c>
      <c r="B62" s="233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</row>
    <row r="63" spans="1:15" s="153" customFormat="1" x14ac:dyDescent="0.25">
      <c r="A63" s="763" t="s">
        <v>88</v>
      </c>
      <c r="B63" s="763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</row>
    <row r="64" spans="1:15" s="153" customFormat="1" x14ac:dyDescent="0.25">
      <c r="A64" s="734" t="s">
        <v>71</v>
      </c>
      <c r="B64" s="734"/>
      <c r="C64" s="137">
        <v>6.1666699999999999</v>
      </c>
      <c r="D64" s="138">
        <v>1</v>
      </c>
      <c r="E64" s="139">
        <f>$E$12</f>
        <v>0</v>
      </c>
      <c r="F64" s="139">
        <f>Dies!$C$48</f>
        <v>95</v>
      </c>
      <c r="G64" s="273">
        <f>+D64*E64*F64</f>
        <v>0</v>
      </c>
      <c r="H64" s="273"/>
      <c r="I64" s="273"/>
      <c r="J64" s="273"/>
      <c r="K64" s="320">
        <f>'Seguro+combustible+reparacions'!F7</f>
        <v>0</v>
      </c>
      <c r="L64" s="237">
        <f>+K64/C64</f>
        <v>0</v>
      </c>
      <c r="M64" s="238" t="s">
        <v>41</v>
      </c>
      <c r="N64" s="238"/>
      <c r="O64" s="239">
        <f>+K64*G64</f>
        <v>0</v>
      </c>
    </row>
    <row r="65" spans="1:15" s="153" customFormat="1" x14ac:dyDescent="0.25">
      <c r="A65" s="764" t="s">
        <v>89</v>
      </c>
      <c r="B65" s="764"/>
      <c r="C65" s="234"/>
      <c r="D65" s="234"/>
      <c r="E65" s="241"/>
      <c r="F65" s="241"/>
      <c r="G65" s="241"/>
      <c r="H65" s="241"/>
      <c r="I65" s="241"/>
      <c r="J65" s="241"/>
      <c r="K65" s="241"/>
      <c r="L65" s="234"/>
      <c r="M65" s="139"/>
      <c r="N65" s="234"/>
      <c r="O65" s="234"/>
    </row>
    <row r="66" spans="1:15" s="153" customFormat="1" x14ac:dyDescent="0.25">
      <c r="A66" s="734" t="s">
        <v>71</v>
      </c>
      <c r="B66" s="734"/>
      <c r="C66" s="137">
        <v>6.1666699999999999</v>
      </c>
      <c r="D66" s="138">
        <v>1</v>
      </c>
      <c r="E66" s="139">
        <f>$E$14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$K$64</f>
        <v>0</v>
      </c>
      <c r="L66" s="237">
        <f>+K66/C66</f>
        <v>0</v>
      </c>
      <c r="M66" s="238" t="s">
        <v>90</v>
      </c>
      <c r="N66" s="238"/>
      <c r="O66" s="239">
        <f>+K66*G66</f>
        <v>0</v>
      </c>
    </row>
    <row r="67" spans="1:15" s="153" customFormat="1" x14ac:dyDescent="0.25">
      <c r="A67" s="762" t="s">
        <v>196</v>
      </c>
      <c r="B67" s="762"/>
      <c r="C67" s="234"/>
      <c r="D67" s="234"/>
      <c r="E67" s="241"/>
      <c r="F67" s="241"/>
      <c r="G67" s="241"/>
      <c r="H67" s="241"/>
      <c r="I67" s="241"/>
      <c r="J67" s="241"/>
      <c r="K67" s="241"/>
      <c r="L67" s="234"/>
      <c r="M67" s="241"/>
      <c r="N67" s="234"/>
      <c r="O67" s="234"/>
    </row>
    <row r="68" spans="1:15" s="153" customFormat="1" x14ac:dyDescent="0.25">
      <c r="A68" s="765" t="s">
        <v>88</v>
      </c>
      <c r="B68" s="765"/>
      <c r="C68" s="234"/>
      <c r="D68" s="234"/>
      <c r="E68" s="241"/>
      <c r="F68" s="241"/>
      <c r="G68" s="241"/>
      <c r="H68" s="241"/>
      <c r="I68" s="241"/>
      <c r="J68" s="241"/>
      <c r="K68" s="241"/>
      <c r="L68" s="234"/>
      <c r="M68" s="241"/>
      <c r="N68" s="234"/>
      <c r="O68" s="234"/>
    </row>
    <row r="69" spans="1:15" s="153" customFormat="1" x14ac:dyDescent="0.25">
      <c r="A69" s="734" t="s">
        <v>71</v>
      </c>
      <c r="B69" s="734"/>
      <c r="C69" s="137">
        <v>6.1666699999999999</v>
      </c>
      <c r="D69" s="138">
        <v>1</v>
      </c>
      <c r="E69" s="139">
        <f>$E$17</f>
        <v>0</v>
      </c>
      <c r="F69" s="139">
        <f>Dies!$C$49</f>
        <v>20</v>
      </c>
      <c r="G69" s="273">
        <f>+D69*E69*F69</f>
        <v>0</v>
      </c>
      <c r="H69" s="273"/>
      <c r="I69" s="273"/>
      <c r="J69" s="273"/>
      <c r="K69" s="320">
        <f>$K$64</f>
        <v>0</v>
      </c>
      <c r="L69" s="237">
        <f>+K69/C69</f>
        <v>0</v>
      </c>
      <c r="M69" s="238" t="s">
        <v>41</v>
      </c>
      <c r="N69" s="238"/>
      <c r="O69" s="239">
        <f>+K69*G69</f>
        <v>0</v>
      </c>
    </row>
    <row r="70" spans="1:15" s="153" customFormat="1" x14ac:dyDescent="0.25">
      <c r="A70" s="764" t="s">
        <v>89</v>
      </c>
      <c r="B70" s="764"/>
      <c r="C70" s="234"/>
      <c r="D70" s="234"/>
      <c r="E70" s="653"/>
      <c r="F70" s="241"/>
      <c r="G70" s="241"/>
      <c r="H70" s="241"/>
      <c r="I70" s="241"/>
      <c r="J70" s="241"/>
      <c r="K70" s="241"/>
      <c r="L70" s="234"/>
      <c r="M70" s="241"/>
      <c r="N70" s="234"/>
      <c r="O70" s="234"/>
    </row>
    <row r="71" spans="1:15" s="153" customFormat="1" x14ac:dyDescent="0.25">
      <c r="A71" s="734" t="s">
        <v>71</v>
      </c>
      <c r="B71" s="734"/>
      <c r="C71" s="137">
        <v>6.1666699999999999</v>
      </c>
      <c r="D71" s="138">
        <v>1</v>
      </c>
      <c r="E71" s="139">
        <f>$E$19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$K$64</f>
        <v>0</v>
      </c>
      <c r="L71" s="237">
        <f>+K71/C71</f>
        <v>0</v>
      </c>
      <c r="M71" s="238" t="s">
        <v>90</v>
      </c>
      <c r="N71" s="238"/>
      <c r="O71" s="239">
        <f>+K71*G71</f>
        <v>0</v>
      </c>
    </row>
    <row r="72" spans="1:15" s="153" customFormat="1" x14ac:dyDescent="0.25">
      <c r="A72" s="762" t="s">
        <v>197</v>
      </c>
      <c r="B72" s="762"/>
      <c r="C72" s="234"/>
      <c r="D72" s="234"/>
      <c r="E72" s="241"/>
      <c r="F72" s="241"/>
      <c r="G72" s="241"/>
      <c r="H72" s="241"/>
      <c r="I72" s="241"/>
      <c r="J72" s="241"/>
      <c r="K72" s="241"/>
      <c r="L72" s="234"/>
      <c r="M72" s="241"/>
      <c r="N72" s="234"/>
      <c r="O72" s="234"/>
    </row>
    <row r="73" spans="1:15" s="153" customFormat="1" x14ac:dyDescent="0.25">
      <c r="A73" s="765" t="s">
        <v>88</v>
      </c>
      <c r="B73" s="765"/>
      <c r="C73" s="234"/>
      <c r="D73" s="234"/>
      <c r="E73" s="241"/>
      <c r="F73" s="241"/>
      <c r="G73" s="241"/>
      <c r="H73" s="241"/>
      <c r="I73" s="241"/>
      <c r="J73" s="241"/>
      <c r="K73" s="241"/>
      <c r="L73" s="234"/>
      <c r="M73" s="241"/>
      <c r="N73" s="234"/>
      <c r="O73" s="234"/>
    </row>
    <row r="74" spans="1:15" s="153" customFormat="1" x14ac:dyDescent="0.25">
      <c r="A74" s="734" t="s">
        <v>71</v>
      </c>
      <c r="B74" s="734"/>
      <c r="C74" s="137">
        <v>6.1666699999999999</v>
      </c>
      <c r="D74" s="138">
        <v>1</v>
      </c>
      <c r="E74" s="139">
        <f>$E$22</f>
        <v>0</v>
      </c>
      <c r="F74" s="139">
        <f>Dies!$C$50</f>
        <v>20</v>
      </c>
      <c r="G74" s="273">
        <f>+D74*E74*F74</f>
        <v>0</v>
      </c>
      <c r="H74" s="273"/>
      <c r="I74" s="273"/>
      <c r="J74" s="273"/>
      <c r="K74" s="320">
        <f>$K$64</f>
        <v>0</v>
      </c>
      <c r="L74" s="237">
        <f>+K74/C74</f>
        <v>0</v>
      </c>
      <c r="M74" s="238" t="s">
        <v>41</v>
      </c>
      <c r="N74" s="238"/>
      <c r="O74" s="239">
        <f>+K74*G74</f>
        <v>0</v>
      </c>
    </row>
    <row r="75" spans="1:15" s="153" customFormat="1" x14ac:dyDescent="0.25">
      <c r="A75" s="764" t="s">
        <v>89</v>
      </c>
      <c r="B75" s="764"/>
      <c r="C75" s="234"/>
      <c r="D75" s="234"/>
      <c r="E75" s="241"/>
      <c r="F75" s="241"/>
      <c r="G75" s="241"/>
      <c r="H75" s="241"/>
      <c r="I75" s="241"/>
      <c r="J75" s="241"/>
      <c r="K75" s="241"/>
      <c r="L75" s="234"/>
      <c r="M75" s="241"/>
      <c r="N75" s="234"/>
      <c r="O75" s="234"/>
    </row>
    <row r="76" spans="1:15" s="153" customFormat="1" x14ac:dyDescent="0.25">
      <c r="A76" s="734" t="s">
        <v>71</v>
      </c>
      <c r="B76" s="734"/>
      <c r="C76" s="137">
        <v>6.1666699999999999</v>
      </c>
      <c r="D76" s="138">
        <v>1</v>
      </c>
      <c r="E76" s="139">
        <f>$E$24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$K$64</f>
        <v>0</v>
      </c>
      <c r="L76" s="237">
        <f>+K76/C76</f>
        <v>0</v>
      </c>
      <c r="M76" s="238" t="s">
        <v>90</v>
      </c>
      <c r="N76" s="238"/>
      <c r="O76" s="239">
        <f>+K76*G76</f>
        <v>0</v>
      </c>
    </row>
    <row r="77" spans="1:15" s="153" customFormat="1" x14ac:dyDescent="0.25">
      <c r="A77" s="229" t="s">
        <v>199</v>
      </c>
      <c r="B77" s="242"/>
      <c r="C77" s="278"/>
      <c r="D77" s="278"/>
      <c r="E77" s="278"/>
      <c r="F77" s="245"/>
      <c r="G77" s="278"/>
      <c r="H77" s="278"/>
      <c r="I77" s="278"/>
      <c r="J77" s="278"/>
      <c r="K77" s="278"/>
      <c r="L77" s="278"/>
      <c r="M77" s="278"/>
      <c r="N77" s="278"/>
      <c r="O77" s="278"/>
    </row>
    <row r="78" spans="1:15" s="153" customFormat="1" x14ac:dyDescent="0.25">
      <c r="A78" s="762" t="s">
        <v>195</v>
      </c>
      <c r="B78" s="762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</row>
    <row r="79" spans="1:15" s="153" customFormat="1" x14ac:dyDescent="0.25">
      <c r="A79" s="765" t="s">
        <v>88</v>
      </c>
      <c r="B79" s="765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</row>
    <row r="80" spans="1:15" s="153" customFormat="1" x14ac:dyDescent="0.25">
      <c r="A80" s="734" t="s">
        <v>71</v>
      </c>
      <c r="B80" s="734"/>
      <c r="C80" s="137">
        <v>6.1666699999999999</v>
      </c>
      <c r="D80" s="138">
        <v>1</v>
      </c>
      <c r="E80" s="139">
        <f>$E$28</f>
        <v>0</v>
      </c>
      <c r="F80" s="139">
        <f>Dies!$C$53</f>
        <v>77</v>
      </c>
      <c r="G80" s="273">
        <f>+D80*E80*F80</f>
        <v>0</v>
      </c>
      <c r="H80" s="273"/>
      <c r="I80" s="273"/>
      <c r="J80" s="273"/>
      <c r="K80" s="320">
        <f>$K$64</f>
        <v>0</v>
      </c>
      <c r="L80" s="491">
        <f>+K80/C80</f>
        <v>0</v>
      </c>
      <c r="M80" s="238" t="s">
        <v>41</v>
      </c>
      <c r="N80" s="238"/>
      <c r="O80" s="239">
        <f>+K80*G80</f>
        <v>0</v>
      </c>
    </row>
    <row r="81" spans="1:15" s="153" customFormat="1" x14ac:dyDescent="0.25">
      <c r="A81" s="764" t="s">
        <v>89</v>
      </c>
      <c r="B81" s="764"/>
      <c r="C81" s="234"/>
      <c r="D81" s="234"/>
      <c r="E81" s="241"/>
      <c r="F81" s="241"/>
      <c r="G81" s="241"/>
      <c r="H81" s="241"/>
      <c r="I81" s="241"/>
      <c r="J81" s="241"/>
      <c r="K81" s="241"/>
      <c r="L81" s="241"/>
      <c r="M81" s="139"/>
      <c r="N81" s="234"/>
      <c r="O81" s="234"/>
    </row>
    <row r="82" spans="1:15" s="153" customFormat="1" x14ac:dyDescent="0.25">
      <c r="A82" s="734" t="s">
        <v>71</v>
      </c>
      <c r="B82" s="734"/>
      <c r="C82" s="137">
        <v>6.1666699999999999</v>
      </c>
      <c r="D82" s="138">
        <v>1</v>
      </c>
      <c r="E82" s="139">
        <f>$E$30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$K$64</f>
        <v>0</v>
      </c>
      <c r="L82" s="491">
        <f>+K82/C82</f>
        <v>0</v>
      </c>
      <c r="M82" s="238" t="s">
        <v>90</v>
      </c>
      <c r="N82" s="238"/>
      <c r="O82" s="239">
        <f>+K82*G82</f>
        <v>0</v>
      </c>
    </row>
    <row r="83" spans="1:15" s="153" customFormat="1" x14ac:dyDescent="0.25">
      <c r="A83" s="762" t="s">
        <v>196</v>
      </c>
      <c r="B83" s="762"/>
      <c r="C83" s="234"/>
      <c r="D83" s="234"/>
      <c r="E83" s="147"/>
      <c r="F83" s="241"/>
      <c r="G83" s="241"/>
      <c r="H83" s="241"/>
      <c r="I83" s="241"/>
      <c r="J83" s="241"/>
      <c r="K83" s="241"/>
      <c r="L83" s="241"/>
      <c r="M83" s="241"/>
      <c r="N83" s="234"/>
      <c r="O83" s="234"/>
    </row>
    <row r="84" spans="1:15" s="153" customFormat="1" x14ac:dyDescent="0.25">
      <c r="A84" s="765" t="s">
        <v>88</v>
      </c>
      <c r="B84" s="765"/>
      <c r="C84" s="234"/>
      <c r="D84" s="234"/>
      <c r="E84" s="147"/>
      <c r="F84" s="241"/>
      <c r="G84" s="241"/>
      <c r="H84" s="241"/>
      <c r="I84" s="241"/>
      <c r="J84" s="241"/>
      <c r="K84" s="241"/>
      <c r="L84" s="241"/>
      <c r="M84" s="241"/>
      <c r="N84" s="234"/>
      <c r="O84" s="234"/>
    </row>
    <row r="85" spans="1:15" s="153" customFormat="1" x14ac:dyDescent="0.25">
      <c r="A85" s="734" t="s">
        <v>71</v>
      </c>
      <c r="B85" s="734"/>
      <c r="C85" s="137">
        <v>6.1666699999999999</v>
      </c>
      <c r="D85" s="138">
        <v>1</v>
      </c>
      <c r="E85" s="139">
        <f>$E$33</f>
        <v>0</v>
      </c>
      <c r="F85" s="139">
        <f>Dies!$C$54</f>
        <v>15</v>
      </c>
      <c r="G85" s="273">
        <f>+D85*E85*F85</f>
        <v>0</v>
      </c>
      <c r="H85" s="273"/>
      <c r="I85" s="273"/>
      <c r="J85" s="273"/>
      <c r="K85" s="320">
        <f>$K$64</f>
        <v>0</v>
      </c>
      <c r="L85" s="491">
        <f>+K85/C85</f>
        <v>0</v>
      </c>
      <c r="M85" s="238" t="s">
        <v>41</v>
      </c>
      <c r="N85" s="238"/>
      <c r="O85" s="239">
        <f>+K85*G85</f>
        <v>0</v>
      </c>
    </row>
    <row r="86" spans="1:15" s="153" customFormat="1" x14ac:dyDescent="0.25">
      <c r="A86" s="764" t="s">
        <v>89</v>
      </c>
      <c r="B86" s="764"/>
      <c r="C86" s="234"/>
      <c r="D86" s="234"/>
      <c r="E86" s="147"/>
      <c r="F86" s="241"/>
      <c r="G86" s="241"/>
      <c r="H86" s="241"/>
      <c r="I86" s="241"/>
      <c r="J86" s="241"/>
      <c r="K86" s="241"/>
      <c r="L86" s="241"/>
      <c r="M86" s="241"/>
      <c r="N86" s="234"/>
      <c r="O86" s="234"/>
    </row>
    <row r="87" spans="1:15" s="153" customFormat="1" x14ac:dyDescent="0.25">
      <c r="A87" s="734" t="s">
        <v>71</v>
      </c>
      <c r="B87" s="734"/>
      <c r="C87" s="137">
        <v>6.1666699999999999</v>
      </c>
      <c r="D87" s="138">
        <v>1</v>
      </c>
      <c r="E87" s="139">
        <f>$E$35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$K$64</f>
        <v>0</v>
      </c>
      <c r="L87" s="491">
        <f>+K87/C87</f>
        <v>0</v>
      </c>
      <c r="M87" s="238" t="s">
        <v>90</v>
      </c>
      <c r="N87" s="238"/>
      <c r="O87" s="239">
        <f>+K87*G87</f>
        <v>0</v>
      </c>
    </row>
    <row r="88" spans="1:15" s="153" customFormat="1" x14ac:dyDescent="0.25">
      <c r="A88" s="762" t="s">
        <v>197</v>
      </c>
      <c r="B88" s="762"/>
      <c r="C88" s="234"/>
      <c r="D88" s="234"/>
      <c r="E88" s="147"/>
      <c r="F88" s="241"/>
      <c r="G88" s="241"/>
      <c r="H88" s="241"/>
      <c r="I88" s="241"/>
      <c r="J88" s="241"/>
      <c r="K88" s="241"/>
      <c r="L88" s="241"/>
      <c r="M88" s="241"/>
      <c r="N88" s="234"/>
      <c r="O88" s="234"/>
    </row>
    <row r="89" spans="1:15" s="153" customFormat="1" x14ac:dyDescent="0.25">
      <c r="A89" s="765" t="s">
        <v>88</v>
      </c>
      <c r="B89" s="765"/>
      <c r="C89" s="180"/>
      <c r="D89" s="180"/>
      <c r="E89" s="147"/>
      <c r="F89" s="241"/>
      <c r="G89" s="664"/>
      <c r="H89" s="664"/>
      <c r="I89" s="664"/>
      <c r="J89" s="664"/>
      <c r="K89" s="664"/>
      <c r="L89" s="664"/>
      <c r="M89" s="241"/>
      <c r="N89" s="180"/>
      <c r="O89" s="180"/>
    </row>
    <row r="90" spans="1:15" s="153" customFormat="1" x14ac:dyDescent="0.25">
      <c r="A90" s="734" t="s">
        <v>71</v>
      </c>
      <c r="B90" s="734"/>
      <c r="C90" s="137">
        <v>6.1666699999999999</v>
      </c>
      <c r="D90" s="138">
        <v>1</v>
      </c>
      <c r="E90" s="139">
        <f>$E$38</f>
        <v>0</v>
      </c>
      <c r="F90" s="139">
        <f>Dies!$C$55</f>
        <v>15</v>
      </c>
      <c r="G90" s="273">
        <f>+D90*E90*F90</f>
        <v>0</v>
      </c>
      <c r="H90" s="273"/>
      <c r="I90" s="273"/>
      <c r="J90" s="273"/>
      <c r="K90" s="320">
        <f>$K$64</f>
        <v>0</v>
      </c>
      <c r="L90" s="491">
        <f>+K90/C90</f>
        <v>0</v>
      </c>
      <c r="M90" s="238" t="s">
        <v>41</v>
      </c>
      <c r="N90" s="238"/>
      <c r="O90" s="239">
        <f>+K90*G90</f>
        <v>0</v>
      </c>
    </row>
    <row r="91" spans="1:15" s="153" customFormat="1" x14ac:dyDescent="0.25">
      <c r="A91" s="764" t="s">
        <v>89</v>
      </c>
      <c r="B91" s="764"/>
      <c r="C91" s="234"/>
      <c r="D91" s="234"/>
      <c r="E91" s="147"/>
      <c r="F91" s="241"/>
      <c r="G91" s="241"/>
      <c r="H91" s="241"/>
      <c r="I91" s="241"/>
      <c r="J91" s="241"/>
      <c r="K91" s="241"/>
      <c r="L91" s="241"/>
      <c r="M91" s="241"/>
      <c r="N91" s="234"/>
      <c r="O91" s="234"/>
    </row>
    <row r="92" spans="1:15" s="153" customFormat="1" x14ac:dyDescent="0.25">
      <c r="A92" s="734" t="s">
        <v>71</v>
      </c>
      <c r="B92" s="734"/>
      <c r="C92" s="137">
        <v>6.1666699999999999</v>
      </c>
      <c r="D92" s="138">
        <v>1</v>
      </c>
      <c r="E92" s="139">
        <f>$E$40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$K$64</f>
        <v>0</v>
      </c>
      <c r="L92" s="491">
        <f>+K92/C92</f>
        <v>0</v>
      </c>
      <c r="M92" s="238" t="s">
        <v>90</v>
      </c>
      <c r="N92" s="238"/>
      <c r="O92" s="239">
        <f>+K92*G92</f>
        <v>0</v>
      </c>
    </row>
    <row r="93" spans="1:15" s="153" customFormat="1" x14ac:dyDescent="0.25">
      <c r="A93" s="229" t="s">
        <v>326</v>
      </c>
      <c r="B93" s="242"/>
      <c r="C93" s="278"/>
      <c r="D93" s="278"/>
      <c r="E93" s="278"/>
      <c r="F93" s="245"/>
      <c r="G93" s="278"/>
      <c r="H93" s="278"/>
      <c r="I93" s="278"/>
      <c r="J93" s="278"/>
      <c r="K93" s="278"/>
      <c r="L93" s="278"/>
      <c r="M93" s="278"/>
      <c r="N93" s="278"/>
      <c r="O93" s="278"/>
    </row>
    <row r="94" spans="1:15" s="153" customFormat="1" x14ac:dyDescent="0.25">
      <c r="A94" s="762" t="s">
        <v>195</v>
      </c>
      <c r="B94" s="762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</row>
    <row r="95" spans="1:15" s="153" customFormat="1" x14ac:dyDescent="0.25">
      <c r="A95" s="763" t="s">
        <v>88</v>
      </c>
      <c r="B95" s="763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</row>
    <row r="96" spans="1:15" s="153" customFormat="1" x14ac:dyDescent="0.25">
      <c r="A96" s="734" t="s">
        <v>71</v>
      </c>
      <c r="B96" s="734"/>
      <c r="C96" s="137">
        <v>6.1666699999999999</v>
      </c>
      <c r="D96" s="138">
        <v>1</v>
      </c>
      <c r="E96" s="139">
        <f>$E$44</f>
        <v>0</v>
      </c>
      <c r="F96" s="139">
        <f>Dies!$C$58</f>
        <v>89</v>
      </c>
      <c r="G96" s="273">
        <f>+D96*E96*F96</f>
        <v>0</v>
      </c>
      <c r="H96" s="273"/>
      <c r="I96" s="273"/>
      <c r="J96" s="273"/>
      <c r="K96" s="320">
        <f>$K$64</f>
        <v>0</v>
      </c>
      <c r="L96" s="237">
        <f>+K96/C96</f>
        <v>0</v>
      </c>
      <c r="M96" s="238" t="s">
        <v>41</v>
      </c>
      <c r="N96" s="238"/>
      <c r="O96" s="239">
        <f>+K96*G96</f>
        <v>0</v>
      </c>
    </row>
    <row r="97" spans="1:15" s="153" customFormat="1" x14ac:dyDescent="0.25">
      <c r="A97" s="770" t="s">
        <v>89</v>
      </c>
      <c r="B97" s="770"/>
      <c r="C97" s="234"/>
      <c r="D97" s="234"/>
      <c r="E97" s="147"/>
      <c r="F97" s="241"/>
      <c r="G97" s="241"/>
      <c r="H97" s="241"/>
      <c r="I97" s="241"/>
      <c r="J97" s="241"/>
      <c r="K97" s="241"/>
      <c r="L97" s="234"/>
      <c r="M97" s="139"/>
      <c r="N97" s="234"/>
      <c r="O97" s="234"/>
    </row>
    <row r="98" spans="1:15" s="153" customFormat="1" x14ac:dyDescent="0.25">
      <c r="A98" s="734" t="s">
        <v>71</v>
      </c>
      <c r="B98" s="734"/>
      <c r="C98" s="137">
        <v>6.1666699999999999</v>
      </c>
      <c r="D98" s="138">
        <v>1</v>
      </c>
      <c r="E98" s="139">
        <f>$E$46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$K$64</f>
        <v>0</v>
      </c>
      <c r="L98" s="237">
        <f>+K98/C98</f>
        <v>0</v>
      </c>
      <c r="M98" s="238" t="s">
        <v>90</v>
      </c>
      <c r="N98" s="238"/>
      <c r="O98" s="239">
        <f>+K98*G98</f>
        <v>0</v>
      </c>
    </row>
    <row r="99" spans="1:15" s="153" customFormat="1" x14ac:dyDescent="0.25">
      <c r="A99" s="762" t="s">
        <v>196</v>
      </c>
      <c r="B99" s="762"/>
      <c r="C99" s="234"/>
      <c r="D99" s="234"/>
      <c r="E99" s="147"/>
      <c r="F99" s="241"/>
      <c r="G99" s="241"/>
      <c r="H99" s="241"/>
      <c r="I99" s="241"/>
      <c r="J99" s="241"/>
      <c r="K99" s="241"/>
      <c r="L99" s="234"/>
      <c r="M99" s="241"/>
      <c r="N99" s="234"/>
      <c r="O99" s="234"/>
    </row>
    <row r="100" spans="1:15" s="153" customFormat="1" x14ac:dyDescent="0.25">
      <c r="A100" s="763" t="s">
        <v>88</v>
      </c>
      <c r="B100" s="763"/>
      <c r="C100" s="234"/>
      <c r="D100" s="234"/>
      <c r="E100" s="147"/>
      <c r="F100" s="241"/>
      <c r="G100" s="241"/>
      <c r="H100" s="241"/>
      <c r="I100" s="241"/>
      <c r="J100" s="241"/>
      <c r="K100" s="241"/>
      <c r="L100" s="234"/>
      <c r="M100" s="241"/>
      <c r="N100" s="234"/>
      <c r="O100" s="234"/>
    </row>
    <row r="101" spans="1:15" s="153" customFormat="1" x14ac:dyDescent="0.25">
      <c r="A101" s="734" t="s">
        <v>71</v>
      </c>
      <c r="B101" s="734"/>
      <c r="C101" s="137">
        <v>6.1666699999999999</v>
      </c>
      <c r="D101" s="138">
        <v>1</v>
      </c>
      <c r="E101" s="139">
        <f>$E$49</f>
        <v>0</v>
      </c>
      <c r="F101" s="139">
        <f>Dies!$C$59</f>
        <v>17</v>
      </c>
      <c r="G101" s="273">
        <f>+D101*E101*F101</f>
        <v>0</v>
      </c>
      <c r="H101" s="273"/>
      <c r="I101" s="273"/>
      <c r="J101" s="273"/>
      <c r="K101" s="320">
        <f>$K$64</f>
        <v>0</v>
      </c>
      <c r="L101" s="237">
        <f>+K101/C101</f>
        <v>0</v>
      </c>
      <c r="M101" s="238" t="s">
        <v>41</v>
      </c>
      <c r="N101" s="238"/>
      <c r="O101" s="239">
        <f>+K101*G101</f>
        <v>0</v>
      </c>
    </row>
    <row r="102" spans="1:15" s="153" customFormat="1" x14ac:dyDescent="0.25">
      <c r="A102" s="770" t="s">
        <v>89</v>
      </c>
      <c r="B102" s="770"/>
      <c r="C102" s="234"/>
      <c r="D102" s="234"/>
      <c r="E102" s="147"/>
      <c r="F102" s="241"/>
      <c r="G102" s="241"/>
      <c r="H102" s="241"/>
      <c r="I102" s="241"/>
      <c r="J102" s="241"/>
      <c r="K102" s="241"/>
      <c r="L102" s="234"/>
      <c r="M102" s="241"/>
      <c r="N102" s="234"/>
      <c r="O102" s="234"/>
    </row>
    <row r="103" spans="1:15" s="153" customFormat="1" x14ac:dyDescent="0.25">
      <c r="A103" s="734" t="s">
        <v>71</v>
      </c>
      <c r="B103" s="734"/>
      <c r="C103" s="137">
        <v>6.1666699999999999</v>
      </c>
      <c r="D103" s="138">
        <v>1</v>
      </c>
      <c r="E103" s="139">
        <f>$E$51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$K$64</f>
        <v>0</v>
      </c>
      <c r="L103" s="237">
        <f>+K103/C103</f>
        <v>0</v>
      </c>
      <c r="M103" s="238" t="s">
        <v>90</v>
      </c>
      <c r="N103" s="238"/>
      <c r="O103" s="239">
        <f>+K103*G103</f>
        <v>0</v>
      </c>
    </row>
    <row r="104" spans="1:15" s="153" customFormat="1" x14ac:dyDescent="0.25">
      <c r="A104" s="762" t="s">
        <v>197</v>
      </c>
      <c r="B104" s="762"/>
      <c r="C104" s="234"/>
      <c r="D104" s="234"/>
      <c r="E104" s="147"/>
      <c r="F104" s="241"/>
      <c r="G104" s="241"/>
      <c r="H104" s="241"/>
      <c r="I104" s="241"/>
      <c r="J104" s="241"/>
      <c r="K104" s="241"/>
      <c r="L104" s="234"/>
      <c r="M104" s="241"/>
      <c r="N104" s="234"/>
      <c r="O104" s="234"/>
    </row>
    <row r="105" spans="1:15" s="153" customFormat="1" x14ac:dyDescent="0.25">
      <c r="A105" s="763" t="s">
        <v>88</v>
      </c>
      <c r="B105" s="763"/>
      <c r="C105" s="234"/>
      <c r="D105" s="234"/>
      <c r="E105" s="147"/>
      <c r="F105" s="241"/>
      <c r="G105" s="241"/>
      <c r="H105" s="241"/>
      <c r="I105" s="241"/>
      <c r="J105" s="241"/>
      <c r="K105" s="241"/>
      <c r="L105" s="234"/>
      <c r="M105" s="241"/>
      <c r="N105" s="234"/>
      <c r="O105" s="234"/>
    </row>
    <row r="106" spans="1:15" s="153" customFormat="1" x14ac:dyDescent="0.25">
      <c r="A106" s="734" t="s">
        <v>71</v>
      </c>
      <c r="B106" s="734"/>
      <c r="C106" s="137">
        <v>6.1666699999999999</v>
      </c>
      <c r="D106" s="138">
        <v>1</v>
      </c>
      <c r="E106" s="139">
        <f>$E$54</f>
        <v>0</v>
      </c>
      <c r="F106" s="139">
        <f>Dies!$C$60</f>
        <v>17</v>
      </c>
      <c r="G106" s="273">
        <f>+D106*E106*F106</f>
        <v>0</v>
      </c>
      <c r="H106" s="273"/>
      <c r="I106" s="273"/>
      <c r="J106" s="273"/>
      <c r="K106" s="320">
        <f>$K$64</f>
        <v>0</v>
      </c>
      <c r="L106" s="237">
        <f>+K106/C106</f>
        <v>0</v>
      </c>
      <c r="M106" s="238" t="s">
        <v>41</v>
      </c>
      <c r="N106" s="238"/>
      <c r="O106" s="239">
        <f>+K106*G106</f>
        <v>0</v>
      </c>
    </row>
    <row r="107" spans="1:15" s="153" customFormat="1" x14ac:dyDescent="0.25">
      <c r="A107" s="770" t="s">
        <v>89</v>
      </c>
      <c r="B107" s="770"/>
      <c r="C107" s="234"/>
      <c r="D107" s="234"/>
      <c r="E107" s="241"/>
      <c r="F107" s="241"/>
      <c r="G107" s="241"/>
      <c r="H107" s="241"/>
      <c r="I107" s="241"/>
      <c r="J107" s="241"/>
      <c r="K107" s="241"/>
      <c r="L107" s="234"/>
      <c r="M107" s="241"/>
      <c r="N107" s="234"/>
      <c r="O107" s="234"/>
    </row>
    <row r="108" spans="1:15" s="153" customFormat="1" x14ac:dyDescent="0.25">
      <c r="A108" s="734" t="s">
        <v>71</v>
      </c>
      <c r="B108" s="734"/>
      <c r="C108" s="137">
        <v>6.1666699999999999</v>
      </c>
      <c r="D108" s="138">
        <v>1</v>
      </c>
      <c r="E108" s="139">
        <f>$E$56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$K$64</f>
        <v>0</v>
      </c>
      <c r="L108" s="237">
        <f>+K108/C108</f>
        <v>0</v>
      </c>
      <c r="M108" s="238" t="s">
        <v>90</v>
      </c>
      <c r="N108" s="238"/>
      <c r="O108" s="239">
        <f>+K108*G108</f>
        <v>0</v>
      </c>
    </row>
    <row r="109" spans="1:15" x14ac:dyDescent="0.25">
      <c r="A109" s="410"/>
      <c r="B109" s="411"/>
      <c r="C109" s="411"/>
      <c r="D109" s="411"/>
      <c r="E109" s="412" t="s">
        <v>46</v>
      </c>
      <c r="F109" s="411"/>
      <c r="G109" s="411"/>
      <c r="H109" s="411"/>
      <c r="I109" s="411"/>
      <c r="J109" s="411"/>
      <c r="K109" s="411"/>
      <c r="L109" s="411"/>
      <c r="M109" s="411"/>
      <c r="N109" s="411"/>
      <c r="O109" s="413">
        <f>SUM(O64:O108)</f>
        <v>0</v>
      </c>
    </row>
    <row r="110" spans="1:15" s="153" customFormat="1" ht="26.25" x14ac:dyDescent="0.4">
      <c r="A110" s="220" t="s">
        <v>212</v>
      </c>
      <c r="B110" s="221"/>
      <c r="C110" s="221"/>
      <c r="D110" s="223"/>
      <c r="E110" s="223"/>
      <c r="F110" s="223"/>
      <c r="G110" s="223"/>
      <c r="H110" s="223"/>
      <c r="I110" s="223"/>
      <c r="J110" s="223"/>
      <c r="K110" s="224"/>
      <c r="L110" s="224"/>
      <c r="M110" s="224"/>
      <c r="N110" s="224"/>
      <c r="O110" s="404"/>
    </row>
    <row r="111" spans="1:15" x14ac:dyDescent="0.25">
      <c r="A111" s="803" t="s">
        <v>43</v>
      </c>
      <c r="B111" s="803" t="s">
        <v>20</v>
      </c>
      <c r="C111" s="474" t="s">
        <v>27</v>
      </c>
      <c r="D111" s="474" t="s">
        <v>28</v>
      </c>
      <c r="E111" s="474" t="s">
        <v>21</v>
      </c>
      <c r="F111" s="474" t="s">
        <v>29</v>
      </c>
      <c r="G111" s="474"/>
      <c r="H111" s="474"/>
      <c r="I111" s="474"/>
      <c r="J111" s="474"/>
      <c r="K111" s="474" t="s">
        <v>30</v>
      </c>
      <c r="L111" s="474" t="s">
        <v>23</v>
      </c>
      <c r="M111" s="474" t="s">
        <v>31</v>
      </c>
      <c r="N111" s="474"/>
      <c r="O111" s="475" t="s">
        <v>32</v>
      </c>
    </row>
    <row r="112" spans="1:15" x14ac:dyDescent="0.25">
      <c r="A112" s="785"/>
      <c r="B112" s="785"/>
      <c r="C112" s="476" t="s">
        <v>44</v>
      </c>
      <c r="D112" s="476" t="s">
        <v>5</v>
      </c>
      <c r="E112" s="476" t="s">
        <v>24</v>
      </c>
      <c r="F112" s="477" t="s">
        <v>34</v>
      </c>
      <c r="G112" s="476" t="s">
        <v>35</v>
      </c>
      <c r="H112" s="476"/>
      <c r="I112" s="476"/>
      <c r="J112" s="476"/>
      <c r="K112" s="476" t="s">
        <v>36</v>
      </c>
      <c r="L112" s="478" t="s">
        <v>37</v>
      </c>
      <c r="M112" s="476" t="s">
        <v>38</v>
      </c>
      <c r="N112" s="476"/>
      <c r="O112" s="479" t="s">
        <v>40</v>
      </c>
    </row>
    <row r="113" spans="1:15" x14ac:dyDescent="0.25">
      <c r="A113" s="229" t="s">
        <v>198</v>
      </c>
      <c r="B113" s="230"/>
      <c r="C113" s="346"/>
      <c r="D113" s="346"/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</row>
    <row r="114" spans="1:15" x14ac:dyDescent="0.25">
      <c r="A114" s="232" t="s">
        <v>195</v>
      </c>
      <c r="B114" s="233"/>
      <c r="C114" s="137"/>
      <c r="D114" s="138"/>
      <c r="E114" s="139"/>
      <c r="F114" s="139"/>
      <c r="G114" s="273"/>
      <c r="H114" s="273"/>
      <c r="I114" s="273"/>
      <c r="J114" s="273"/>
      <c r="K114" s="320"/>
      <c r="L114" s="237"/>
      <c r="M114" s="238"/>
      <c r="N114" s="238"/>
      <c r="O114" s="239"/>
    </row>
    <row r="115" spans="1:15" x14ac:dyDescent="0.25">
      <c r="A115" s="763" t="s">
        <v>88</v>
      </c>
      <c r="B115" s="763"/>
      <c r="C115" s="137"/>
      <c r="D115" s="138"/>
      <c r="E115" s="139"/>
      <c r="F115" s="139"/>
      <c r="G115" s="273"/>
      <c r="H115" s="273"/>
      <c r="I115" s="273"/>
      <c r="J115" s="273"/>
      <c r="K115" s="320"/>
      <c r="L115" s="237"/>
      <c r="M115" s="238"/>
      <c r="N115" s="238"/>
      <c r="O115" s="239"/>
    </row>
    <row r="116" spans="1:15" x14ac:dyDescent="0.25">
      <c r="A116" s="734" t="s">
        <v>71</v>
      </c>
      <c r="B116" s="734"/>
      <c r="C116" s="137">
        <v>6.1666699999999999</v>
      </c>
      <c r="D116" s="138">
        <v>1</v>
      </c>
      <c r="E116" s="139">
        <f>$E$12</f>
        <v>0</v>
      </c>
      <c r="F116" s="139">
        <f>Dies!$C$48</f>
        <v>95</v>
      </c>
      <c r="G116" s="273">
        <f>+D116*E116*F116</f>
        <v>0</v>
      </c>
      <c r="H116" s="273"/>
      <c r="I116" s="273"/>
      <c r="J116" s="273"/>
      <c r="K116" s="320">
        <f>'Seguro+combustible+reparacions'!G7</f>
        <v>0</v>
      </c>
      <c r="L116" s="237">
        <f>+K116/C116</f>
        <v>0</v>
      </c>
      <c r="M116" s="238" t="s">
        <v>41</v>
      </c>
      <c r="N116" s="238"/>
      <c r="O116" s="239">
        <f>+K116*G116</f>
        <v>0</v>
      </c>
    </row>
    <row r="117" spans="1:15" x14ac:dyDescent="0.25">
      <c r="A117" s="764" t="s">
        <v>89</v>
      </c>
      <c r="B117" s="764"/>
      <c r="C117" s="234"/>
      <c r="D117" s="234"/>
      <c r="E117" s="241"/>
      <c r="F117" s="241"/>
      <c r="G117" s="241"/>
      <c r="H117" s="241"/>
      <c r="I117" s="241"/>
      <c r="J117" s="241"/>
      <c r="K117" s="241"/>
      <c r="L117" s="234"/>
      <c r="M117" s="139"/>
      <c r="N117" s="234"/>
      <c r="O117" s="234"/>
    </row>
    <row r="118" spans="1:15" x14ac:dyDescent="0.25">
      <c r="A118" s="734" t="s">
        <v>71</v>
      </c>
      <c r="B118" s="734"/>
      <c r="C118" s="137">
        <v>6.1666699999999999</v>
      </c>
      <c r="D118" s="138">
        <v>1</v>
      </c>
      <c r="E118" s="139">
        <f>$E$14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$K$116</f>
        <v>0</v>
      </c>
      <c r="L118" s="237">
        <f>+K118/C118</f>
        <v>0</v>
      </c>
      <c r="M118" s="238" t="s">
        <v>90</v>
      </c>
      <c r="N118" s="238"/>
      <c r="O118" s="239">
        <f>+K118*G118</f>
        <v>0</v>
      </c>
    </row>
    <row r="119" spans="1:15" x14ac:dyDescent="0.25">
      <c r="A119" s="762" t="s">
        <v>196</v>
      </c>
      <c r="B119" s="762"/>
      <c r="C119" s="234"/>
      <c r="D119" s="234"/>
      <c r="E119" s="241"/>
      <c r="F119" s="241"/>
      <c r="G119" s="241"/>
      <c r="H119" s="241"/>
      <c r="I119" s="241"/>
      <c r="J119" s="241"/>
      <c r="K119" s="241"/>
      <c r="L119" s="234"/>
      <c r="M119" s="241"/>
      <c r="N119" s="234"/>
      <c r="O119" s="234"/>
    </row>
    <row r="120" spans="1:15" x14ac:dyDescent="0.25">
      <c r="A120" s="765" t="s">
        <v>88</v>
      </c>
      <c r="B120" s="765"/>
      <c r="C120" s="234"/>
      <c r="D120" s="234"/>
      <c r="E120" s="241"/>
      <c r="F120" s="241"/>
      <c r="G120" s="241"/>
      <c r="H120" s="241"/>
      <c r="I120" s="241"/>
      <c r="J120" s="241"/>
      <c r="K120" s="241"/>
      <c r="L120" s="234"/>
      <c r="M120" s="241"/>
      <c r="N120" s="234"/>
      <c r="O120" s="234"/>
    </row>
    <row r="121" spans="1:15" x14ac:dyDescent="0.25">
      <c r="A121" s="734" t="s">
        <v>71</v>
      </c>
      <c r="B121" s="734"/>
      <c r="C121" s="137">
        <v>6.1666699999999999</v>
      </c>
      <c r="D121" s="138">
        <v>1</v>
      </c>
      <c r="E121" s="139">
        <f>$E$17</f>
        <v>0</v>
      </c>
      <c r="F121" s="139">
        <f>Dies!$C$49</f>
        <v>20</v>
      </c>
      <c r="G121" s="273">
        <f>+D121*E121*F121</f>
        <v>0</v>
      </c>
      <c r="H121" s="273"/>
      <c r="I121" s="273"/>
      <c r="J121" s="273"/>
      <c r="K121" s="320">
        <f>$K$116</f>
        <v>0</v>
      </c>
      <c r="L121" s="237">
        <f>+K121/C121</f>
        <v>0</v>
      </c>
      <c r="M121" s="238" t="s">
        <v>41</v>
      </c>
      <c r="N121" s="238"/>
      <c r="O121" s="239">
        <f>+K121*G121</f>
        <v>0</v>
      </c>
    </row>
    <row r="122" spans="1:15" x14ac:dyDescent="0.25">
      <c r="A122" s="764" t="s">
        <v>89</v>
      </c>
      <c r="B122" s="764"/>
      <c r="C122" s="234"/>
      <c r="D122" s="234"/>
      <c r="E122" s="653"/>
      <c r="F122" s="241"/>
      <c r="G122" s="241"/>
      <c r="H122" s="241"/>
      <c r="I122" s="241"/>
      <c r="J122" s="241"/>
      <c r="K122" s="241"/>
      <c r="L122" s="234"/>
      <c r="M122" s="241"/>
      <c r="N122" s="234"/>
      <c r="O122" s="234"/>
    </row>
    <row r="123" spans="1:15" x14ac:dyDescent="0.25">
      <c r="A123" s="734" t="s">
        <v>71</v>
      </c>
      <c r="B123" s="734"/>
      <c r="C123" s="137">
        <v>6.1666699999999999</v>
      </c>
      <c r="D123" s="138">
        <v>1</v>
      </c>
      <c r="E123" s="139">
        <f>$E$19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$K$116</f>
        <v>0</v>
      </c>
      <c r="L123" s="237">
        <f>+K123/C123</f>
        <v>0</v>
      </c>
      <c r="M123" s="238" t="s">
        <v>90</v>
      </c>
      <c r="N123" s="238"/>
      <c r="O123" s="239">
        <f>+K123*G123</f>
        <v>0</v>
      </c>
    </row>
    <row r="124" spans="1:15" x14ac:dyDescent="0.25">
      <c r="A124" s="762" t="s">
        <v>197</v>
      </c>
      <c r="B124" s="762"/>
      <c r="C124" s="234"/>
      <c r="D124" s="234"/>
      <c r="E124" s="241"/>
      <c r="F124" s="241"/>
      <c r="G124" s="241"/>
      <c r="H124" s="241"/>
      <c r="I124" s="241"/>
      <c r="J124" s="241"/>
      <c r="K124" s="241"/>
      <c r="L124" s="234"/>
      <c r="M124" s="241"/>
      <c r="N124" s="234"/>
      <c r="O124" s="234"/>
    </row>
    <row r="125" spans="1:15" x14ac:dyDescent="0.25">
      <c r="A125" s="765" t="s">
        <v>88</v>
      </c>
      <c r="B125" s="765"/>
      <c r="C125" s="234"/>
      <c r="D125" s="234"/>
      <c r="E125" s="241"/>
      <c r="F125" s="241"/>
      <c r="G125" s="241"/>
      <c r="H125" s="241"/>
      <c r="I125" s="241"/>
      <c r="J125" s="241"/>
      <c r="K125" s="241"/>
      <c r="L125" s="234"/>
      <c r="M125" s="241"/>
      <c r="N125" s="234"/>
      <c r="O125" s="234"/>
    </row>
    <row r="126" spans="1:15" x14ac:dyDescent="0.25">
      <c r="A126" s="734" t="s">
        <v>71</v>
      </c>
      <c r="B126" s="734"/>
      <c r="C126" s="137">
        <v>6.1666699999999999</v>
      </c>
      <c r="D126" s="138">
        <v>1</v>
      </c>
      <c r="E126" s="139">
        <f>$E$22</f>
        <v>0</v>
      </c>
      <c r="F126" s="139">
        <f>Dies!$C$50</f>
        <v>20</v>
      </c>
      <c r="G126" s="273">
        <f>+D126*E126*F126</f>
        <v>0</v>
      </c>
      <c r="H126" s="273"/>
      <c r="I126" s="273"/>
      <c r="J126" s="273"/>
      <c r="K126" s="320">
        <f>$K$116</f>
        <v>0</v>
      </c>
      <c r="L126" s="237">
        <f>+K126/C126</f>
        <v>0</v>
      </c>
      <c r="M126" s="238" t="s">
        <v>41</v>
      </c>
      <c r="N126" s="238"/>
      <c r="O126" s="239">
        <f>+K126*G126</f>
        <v>0</v>
      </c>
    </row>
    <row r="127" spans="1:15" x14ac:dyDescent="0.25">
      <c r="A127" s="764" t="s">
        <v>89</v>
      </c>
      <c r="B127" s="764"/>
      <c r="C127" s="234"/>
      <c r="D127" s="234"/>
      <c r="E127" s="241"/>
      <c r="F127" s="241"/>
      <c r="G127" s="241"/>
      <c r="H127" s="241"/>
      <c r="I127" s="241"/>
      <c r="J127" s="241"/>
      <c r="K127" s="241"/>
      <c r="L127" s="234"/>
      <c r="M127" s="241"/>
      <c r="N127" s="234"/>
      <c r="O127" s="234"/>
    </row>
    <row r="128" spans="1:15" x14ac:dyDescent="0.25">
      <c r="A128" s="734" t="s">
        <v>71</v>
      </c>
      <c r="B128" s="734"/>
      <c r="C128" s="137">
        <v>6.1666699999999999</v>
      </c>
      <c r="D128" s="138">
        <v>1</v>
      </c>
      <c r="E128" s="139">
        <f>$E$24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$K$116</f>
        <v>0</v>
      </c>
      <c r="L128" s="237">
        <f>+K128/C128</f>
        <v>0</v>
      </c>
      <c r="M128" s="238" t="s">
        <v>90</v>
      </c>
      <c r="N128" s="238"/>
      <c r="O128" s="239">
        <f>+K128*G128</f>
        <v>0</v>
      </c>
    </row>
    <row r="129" spans="1:15" x14ac:dyDescent="0.25">
      <c r="A129" s="229" t="s">
        <v>199</v>
      </c>
      <c r="B129" s="242"/>
      <c r="C129" s="278"/>
      <c r="D129" s="278"/>
      <c r="E129" s="278"/>
      <c r="F129" s="245"/>
      <c r="G129" s="278"/>
      <c r="H129" s="278"/>
      <c r="I129" s="278"/>
      <c r="J129" s="278"/>
      <c r="K129" s="278"/>
      <c r="L129" s="278"/>
      <c r="M129" s="278"/>
      <c r="N129" s="278"/>
      <c r="O129" s="278"/>
    </row>
    <row r="130" spans="1:15" x14ac:dyDescent="0.25">
      <c r="A130" s="762" t="s">
        <v>195</v>
      </c>
      <c r="B130" s="762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</row>
    <row r="131" spans="1:15" x14ac:dyDescent="0.25">
      <c r="A131" s="765" t="s">
        <v>88</v>
      </c>
      <c r="B131" s="765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</row>
    <row r="132" spans="1:15" x14ac:dyDescent="0.25">
      <c r="A132" s="734" t="s">
        <v>71</v>
      </c>
      <c r="B132" s="734"/>
      <c r="C132" s="137">
        <v>6.1666699999999999</v>
      </c>
      <c r="D132" s="138">
        <v>1</v>
      </c>
      <c r="E132" s="139">
        <f>$E$28</f>
        <v>0</v>
      </c>
      <c r="F132" s="139">
        <f>Dies!$C$53</f>
        <v>77</v>
      </c>
      <c r="G132" s="273">
        <f>+D132*E132*F132</f>
        <v>0</v>
      </c>
      <c r="H132" s="273"/>
      <c r="I132" s="273"/>
      <c r="J132" s="273"/>
      <c r="K132" s="320">
        <f>$K$116</f>
        <v>0</v>
      </c>
      <c r="L132" s="237">
        <f>+K132/C132</f>
        <v>0</v>
      </c>
      <c r="M132" s="238" t="s">
        <v>41</v>
      </c>
      <c r="N132" s="238"/>
      <c r="O132" s="239">
        <f>+K132*G132</f>
        <v>0</v>
      </c>
    </row>
    <row r="133" spans="1:15" x14ac:dyDescent="0.25">
      <c r="A133" s="764" t="s">
        <v>89</v>
      </c>
      <c r="B133" s="764"/>
      <c r="C133" s="234"/>
      <c r="D133" s="234"/>
      <c r="E133" s="241"/>
      <c r="F133" s="241"/>
      <c r="G133" s="241"/>
      <c r="H133" s="241"/>
      <c r="I133" s="241"/>
      <c r="J133" s="241"/>
      <c r="K133" s="241"/>
      <c r="L133" s="234"/>
      <c r="M133" s="139"/>
      <c r="N133" s="234"/>
      <c r="O133" s="234"/>
    </row>
    <row r="134" spans="1:15" x14ac:dyDescent="0.25">
      <c r="A134" s="734" t="s">
        <v>71</v>
      </c>
      <c r="B134" s="734"/>
      <c r="C134" s="137">
        <v>6.1666699999999999</v>
      </c>
      <c r="D134" s="138">
        <v>1</v>
      </c>
      <c r="E134" s="139">
        <f>$E$30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$K$116</f>
        <v>0</v>
      </c>
      <c r="L134" s="237">
        <f>+K134/C134</f>
        <v>0</v>
      </c>
      <c r="M134" s="238" t="s">
        <v>90</v>
      </c>
      <c r="N134" s="238"/>
      <c r="O134" s="239">
        <f>+K134*G134</f>
        <v>0</v>
      </c>
    </row>
    <row r="135" spans="1:15" x14ac:dyDescent="0.25">
      <c r="A135" s="762" t="s">
        <v>196</v>
      </c>
      <c r="B135" s="762"/>
      <c r="C135" s="234"/>
      <c r="D135" s="234"/>
      <c r="E135" s="147"/>
      <c r="F135" s="241"/>
      <c r="G135" s="241"/>
      <c r="H135" s="241"/>
      <c r="I135" s="241"/>
      <c r="J135" s="241"/>
      <c r="K135" s="241"/>
      <c r="L135" s="234"/>
      <c r="M135" s="241"/>
      <c r="N135" s="234"/>
      <c r="O135" s="234"/>
    </row>
    <row r="136" spans="1:15" x14ac:dyDescent="0.25">
      <c r="A136" s="765" t="s">
        <v>88</v>
      </c>
      <c r="B136" s="765"/>
      <c r="C136" s="234"/>
      <c r="D136" s="234"/>
      <c r="E136" s="147"/>
      <c r="F136" s="241"/>
      <c r="G136" s="241"/>
      <c r="H136" s="241"/>
      <c r="I136" s="241"/>
      <c r="J136" s="241"/>
      <c r="K136" s="241"/>
      <c r="L136" s="234"/>
      <c r="M136" s="241"/>
      <c r="N136" s="234"/>
      <c r="O136" s="234"/>
    </row>
    <row r="137" spans="1:15" x14ac:dyDescent="0.25">
      <c r="A137" s="734" t="s">
        <v>71</v>
      </c>
      <c r="B137" s="734"/>
      <c r="C137" s="137">
        <v>6.1666699999999999</v>
      </c>
      <c r="D137" s="138">
        <v>1</v>
      </c>
      <c r="E137" s="139">
        <f>$E$33</f>
        <v>0</v>
      </c>
      <c r="F137" s="139">
        <f>Dies!$C$54</f>
        <v>15</v>
      </c>
      <c r="G137" s="273">
        <f>+D137*E137*F137</f>
        <v>0</v>
      </c>
      <c r="H137" s="273"/>
      <c r="I137" s="273"/>
      <c r="J137" s="273"/>
      <c r="K137" s="320">
        <f>$K$116</f>
        <v>0</v>
      </c>
      <c r="L137" s="237">
        <f>+K137/C137</f>
        <v>0</v>
      </c>
      <c r="M137" s="238" t="s">
        <v>41</v>
      </c>
      <c r="N137" s="238"/>
      <c r="O137" s="239">
        <f>+K137*G137</f>
        <v>0</v>
      </c>
    </row>
    <row r="138" spans="1:15" x14ac:dyDescent="0.25">
      <c r="A138" s="764" t="s">
        <v>89</v>
      </c>
      <c r="B138" s="764"/>
      <c r="C138" s="234"/>
      <c r="D138" s="234"/>
      <c r="E138" s="147"/>
      <c r="F138" s="241"/>
      <c r="G138" s="241"/>
      <c r="H138" s="241"/>
      <c r="I138" s="241"/>
      <c r="J138" s="241"/>
      <c r="K138" s="241"/>
      <c r="L138" s="234"/>
      <c r="M138" s="241"/>
      <c r="N138" s="234"/>
      <c r="O138" s="234"/>
    </row>
    <row r="139" spans="1:15" x14ac:dyDescent="0.25">
      <c r="A139" s="734" t="s">
        <v>71</v>
      </c>
      <c r="B139" s="734"/>
      <c r="C139" s="137">
        <v>6.1666699999999999</v>
      </c>
      <c r="D139" s="138">
        <v>1</v>
      </c>
      <c r="E139" s="139">
        <f>$E$35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$K$116</f>
        <v>0</v>
      </c>
      <c r="L139" s="237">
        <f>+K139/C139</f>
        <v>0</v>
      </c>
      <c r="M139" s="238" t="s">
        <v>90</v>
      </c>
      <c r="N139" s="238"/>
      <c r="O139" s="239">
        <f>+K139*G139</f>
        <v>0</v>
      </c>
    </row>
    <row r="140" spans="1:15" x14ac:dyDescent="0.25">
      <c r="A140" s="762" t="s">
        <v>197</v>
      </c>
      <c r="B140" s="762"/>
      <c r="C140" s="234"/>
      <c r="D140" s="234"/>
      <c r="E140" s="147"/>
      <c r="F140" s="241"/>
      <c r="G140" s="241"/>
      <c r="H140" s="241"/>
      <c r="I140" s="241"/>
      <c r="J140" s="241"/>
      <c r="K140" s="241"/>
      <c r="L140" s="234"/>
      <c r="M140" s="241"/>
      <c r="N140" s="234"/>
      <c r="O140" s="234"/>
    </row>
    <row r="141" spans="1:15" x14ac:dyDescent="0.25">
      <c r="A141" s="765" t="s">
        <v>88</v>
      </c>
      <c r="B141" s="765"/>
      <c r="C141" s="180"/>
      <c r="D141" s="180"/>
      <c r="E141" s="147"/>
      <c r="F141" s="241"/>
      <c r="G141" s="664"/>
      <c r="H141" s="664"/>
      <c r="I141" s="664"/>
      <c r="J141" s="664"/>
      <c r="K141" s="664"/>
      <c r="L141" s="180"/>
      <c r="M141" s="241"/>
      <c r="N141" s="180"/>
      <c r="O141" s="180"/>
    </row>
    <row r="142" spans="1:15" x14ac:dyDescent="0.25">
      <c r="A142" s="734" t="s">
        <v>71</v>
      </c>
      <c r="B142" s="734"/>
      <c r="C142" s="137">
        <v>6.1666699999999999</v>
      </c>
      <c r="D142" s="138">
        <v>1</v>
      </c>
      <c r="E142" s="139">
        <f>$E$38</f>
        <v>0</v>
      </c>
      <c r="F142" s="139">
        <f>Dies!$C$55</f>
        <v>15</v>
      </c>
      <c r="G142" s="273">
        <f>+D142*E142*F142</f>
        <v>0</v>
      </c>
      <c r="H142" s="273"/>
      <c r="I142" s="273"/>
      <c r="J142" s="273"/>
      <c r="K142" s="320">
        <f>$K$116</f>
        <v>0</v>
      </c>
      <c r="L142" s="237">
        <f>+K142/C142</f>
        <v>0</v>
      </c>
      <c r="M142" s="238" t="s">
        <v>41</v>
      </c>
      <c r="N142" s="238"/>
      <c r="O142" s="239">
        <f>+K142*G142</f>
        <v>0</v>
      </c>
    </row>
    <row r="143" spans="1:15" x14ac:dyDescent="0.25">
      <c r="A143" s="764" t="s">
        <v>89</v>
      </c>
      <c r="B143" s="764"/>
      <c r="C143" s="234"/>
      <c r="D143" s="234"/>
      <c r="E143" s="147"/>
      <c r="F143" s="241"/>
      <c r="G143" s="241"/>
      <c r="H143" s="241"/>
      <c r="I143" s="241"/>
      <c r="J143" s="241"/>
      <c r="K143" s="241"/>
      <c r="L143" s="234"/>
      <c r="M143" s="241"/>
      <c r="N143" s="234"/>
      <c r="O143" s="234"/>
    </row>
    <row r="144" spans="1:15" x14ac:dyDescent="0.25">
      <c r="A144" s="734" t="s">
        <v>71</v>
      </c>
      <c r="B144" s="734"/>
      <c r="C144" s="137">
        <v>6.1666699999999999</v>
      </c>
      <c r="D144" s="138">
        <v>1</v>
      </c>
      <c r="E144" s="139">
        <f>$E$40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$K$116</f>
        <v>0</v>
      </c>
      <c r="L144" s="237">
        <f>+K144/C144</f>
        <v>0</v>
      </c>
      <c r="M144" s="238" t="s">
        <v>90</v>
      </c>
      <c r="N144" s="238"/>
      <c r="O144" s="239">
        <f>+K144*G144</f>
        <v>0</v>
      </c>
    </row>
    <row r="145" spans="1:15" x14ac:dyDescent="0.25">
      <c r="A145" s="229" t="s">
        <v>326</v>
      </c>
      <c r="B145" s="242"/>
      <c r="C145" s="278"/>
      <c r="D145" s="278"/>
      <c r="E145" s="278"/>
      <c r="F145" s="245"/>
      <c r="G145" s="278"/>
      <c r="H145" s="278"/>
      <c r="I145" s="278"/>
      <c r="J145" s="278"/>
      <c r="K145" s="278"/>
      <c r="L145" s="278"/>
      <c r="M145" s="278"/>
      <c r="N145" s="278"/>
      <c r="O145" s="278"/>
    </row>
    <row r="146" spans="1:15" x14ac:dyDescent="0.25">
      <c r="A146" s="762" t="s">
        <v>195</v>
      </c>
      <c r="B146" s="762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</row>
    <row r="147" spans="1:15" x14ac:dyDescent="0.25">
      <c r="A147" s="763" t="s">
        <v>88</v>
      </c>
      <c r="B147" s="763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</row>
    <row r="148" spans="1:15" x14ac:dyDescent="0.25">
      <c r="A148" s="734" t="s">
        <v>71</v>
      </c>
      <c r="B148" s="734"/>
      <c r="C148" s="137">
        <v>6.1666699999999999</v>
      </c>
      <c r="D148" s="138">
        <v>1</v>
      </c>
      <c r="E148" s="139">
        <f>$E$44</f>
        <v>0</v>
      </c>
      <c r="F148" s="139">
        <f>Dies!$C$58</f>
        <v>89</v>
      </c>
      <c r="G148" s="273">
        <f>+D148*E148*F148</f>
        <v>0</v>
      </c>
      <c r="H148" s="273"/>
      <c r="I148" s="273"/>
      <c r="J148" s="273"/>
      <c r="K148" s="320">
        <f>$K$116</f>
        <v>0</v>
      </c>
      <c r="L148" s="237">
        <f>+K148/C148</f>
        <v>0</v>
      </c>
      <c r="M148" s="238" t="s">
        <v>41</v>
      </c>
      <c r="N148" s="238"/>
      <c r="O148" s="239">
        <f>+K148*G148</f>
        <v>0</v>
      </c>
    </row>
    <row r="149" spans="1:15" x14ac:dyDescent="0.25">
      <c r="A149" s="770" t="s">
        <v>89</v>
      </c>
      <c r="B149" s="770"/>
      <c r="C149" s="234"/>
      <c r="D149" s="234"/>
      <c r="E149" s="147"/>
      <c r="F149" s="241"/>
      <c r="G149" s="241"/>
      <c r="H149" s="241"/>
      <c r="I149" s="241"/>
      <c r="J149" s="241"/>
      <c r="K149" s="241"/>
      <c r="L149" s="234"/>
      <c r="M149" s="139"/>
      <c r="N149" s="234"/>
      <c r="O149" s="234"/>
    </row>
    <row r="150" spans="1:15" x14ac:dyDescent="0.25">
      <c r="A150" s="734" t="s">
        <v>71</v>
      </c>
      <c r="B150" s="734"/>
      <c r="C150" s="137">
        <v>6.1666699999999999</v>
      </c>
      <c r="D150" s="138">
        <v>1</v>
      </c>
      <c r="E150" s="139">
        <f>$E$46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$K$116</f>
        <v>0</v>
      </c>
      <c r="L150" s="237">
        <f>+K150/C150</f>
        <v>0</v>
      </c>
      <c r="M150" s="238" t="s">
        <v>90</v>
      </c>
      <c r="N150" s="238"/>
      <c r="O150" s="239">
        <f>+K150*G150</f>
        <v>0</v>
      </c>
    </row>
    <row r="151" spans="1:15" x14ac:dyDescent="0.25">
      <c r="A151" s="762" t="s">
        <v>196</v>
      </c>
      <c r="B151" s="762"/>
      <c r="C151" s="234"/>
      <c r="D151" s="234"/>
      <c r="E151" s="147"/>
      <c r="F151" s="241"/>
      <c r="G151" s="241"/>
      <c r="H151" s="241"/>
      <c r="I151" s="241"/>
      <c r="J151" s="241"/>
      <c r="K151" s="241"/>
      <c r="L151" s="234"/>
      <c r="M151" s="241"/>
      <c r="N151" s="234"/>
      <c r="O151" s="234"/>
    </row>
    <row r="152" spans="1:15" x14ac:dyDescent="0.25">
      <c r="A152" s="763" t="s">
        <v>88</v>
      </c>
      <c r="B152" s="763"/>
      <c r="C152" s="234"/>
      <c r="D152" s="234"/>
      <c r="E152" s="147"/>
      <c r="F152" s="241"/>
      <c r="G152" s="241"/>
      <c r="H152" s="241"/>
      <c r="I152" s="241"/>
      <c r="J152" s="241"/>
      <c r="K152" s="241"/>
      <c r="L152" s="234"/>
      <c r="M152" s="241"/>
      <c r="N152" s="234"/>
      <c r="O152" s="234"/>
    </row>
    <row r="153" spans="1:15" x14ac:dyDescent="0.25">
      <c r="A153" s="734" t="s">
        <v>71</v>
      </c>
      <c r="B153" s="734"/>
      <c r="C153" s="137">
        <v>6.1666699999999999</v>
      </c>
      <c r="D153" s="138">
        <v>1</v>
      </c>
      <c r="E153" s="139">
        <f>$E$49</f>
        <v>0</v>
      </c>
      <c r="F153" s="139">
        <f>Dies!$C$59</f>
        <v>17</v>
      </c>
      <c r="G153" s="273">
        <f>+D153*E153*F153</f>
        <v>0</v>
      </c>
      <c r="H153" s="273"/>
      <c r="I153" s="273"/>
      <c r="J153" s="273"/>
      <c r="K153" s="320">
        <f>$K$116</f>
        <v>0</v>
      </c>
      <c r="L153" s="237">
        <f>+K153/C153</f>
        <v>0</v>
      </c>
      <c r="M153" s="238" t="s">
        <v>41</v>
      </c>
      <c r="N153" s="238"/>
      <c r="O153" s="239">
        <f>+K153*G153</f>
        <v>0</v>
      </c>
    </row>
    <row r="154" spans="1:15" x14ac:dyDescent="0.25">
      <c r="A154" s="770" t="s">
        <v>89</v>
      </c>
      <c r="B154" s="770"/>
      <c r="C154" s="234"/>
      <c r="D154" s="234"/>
      <c r="E154" s="147"/>
      <c r="F154" s="241"/>
      <c r="G154" s="241"/>
      <c r="H154" s="241"/>
      <c r="I154" s="241"/>
      <c r="J154" s="241"/>
      <c r="K154" s="241"/>
      <c r="L154" s="234"/>
      <c r="M154" s="241"/>
      <c r="N154" s="234"/>
      <c r="O154" s="234"/>
    </row>
    <row r="155" spans="1:15" x14ac:dyDescent="0.25">
      <c r="A155" s="734" t="s">
        <v>71</v>
      </c>
      <c r="B155" s="734"/>
      <c r="C155" s="137">
        <v>6.1666699999999999</v>
      </c>
      <c r="D155" s="138">
        <v>1</v>
      </c>
      <c r="E155" s="139">
        <f>$E$51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$K$116</f>
        <v>0</v>
      </c>
      <c r="L155" s="237">
        <f>+K155/C155</f>
        <v>0</v>
      </c>
      <c r="M155" s="238" t="s">
        <v>90</v>
      </c>
      <c r="N155" s="238"/>
      <c r="O155" s="239">
        <f>+K155*G155</f>
        <v>0</v>
      </c>
    </row>
    <row r="156" spans="1:15" x14ac:dyDescent="0.25">
      <c r="A156" s="762" t="s">
        <v>197</v>
      </c>
      <c r="B156" s="762"/>
      <c r="C156" s="234"/>
      <c r="D156" s="234"/>
      <c r="E156" s="147"/>
      <c r="F156" s="241"/>
      <c r="G156" s="241"/>
      <c r="H156" s="241"/>
      <c r="I156" s="241"/>
      <c r="J156" s="241"/>
      <c r="K156" s="241"/>
      <c r="L156" s="234"/>
      <c r="M156" s="241"/>
      <c r="N156" s="234"/>
      <c r="O156" s="234"/>
    </row>
    <row r="157" spans="1:15" x14ac:dyDescent="0.25">
      <c r="A157" s="763" t="s">
        <v>88</v>
      </c>
      <c r="B157" s="763"/>
      <c r="C157" s="234"/>
      <c r="D157" s="234"/>
      <c r="E157" s="147"/>
      <c r="F157" s="241"/>
      <c r="G157" s="241"/>
      <c r="H157" s="241"/>
      <c r="I157" s="241"/>
      <c r="J157" s="241"/>
      <c r="K157" s="241"/>
      <c r="L157" s="234"/>
      <c r="M157" s="241"/>
      <c r="N157" s="234"/>
      <c r="O157" s="234"/>
    </row>
    <row r="158" spans="1:15" x14ac:dyDescent="0.25">
      <c r="A158" s="734" t="s">
        <v>71</v>
      </c>
      <c r="B158" s="734"/>
      <c r="C158" s="137">
        <v>6.1666699999999999</v>
      </c>
      <c r="D158" s="138">
        <v>1</v>
      </c>
      <c r="E158" s="139">
        <f>$E$54</f>
        <v>0</v>
      </c>
      <c r="F158" s="139">
        <f>Dies!$C$60</f>
        <v>17</v>
      </c>
      <c r="G158" s="273">
        <f>+D158*E158*F158</f>
        <v>0</v>
      </c>
      <c r="H158" s="273"/>
      <c r="I158" s="273"/>
      <c r="J158" s="273"/>
      <c r="K158" s="320">
        <f>$K$116</f>
        <v>0</v>
      </c>
      <c r="L158" s="237">
        <f>+K158/C158</f>
        <v>0</v>
      </c>
      <c r="M158" s="238" t="s">
        <v>41</v>
      </c>
      <c r="N158" s="238"/>
      <c r="O158" s="239">
        <f>+K158*G158</f>
        <v>0</v>
      </c>
    </row>
    <row r="159" spans="1:15" x14ac:dyDescent="0.25">
      <c r="A159" s="770" t="s">
        <v>89</v>
      </c>
      <c r="B159" s="770"/>
      <c r="C159" s="234"/>
      <c r="D159" s="234"/>
      <c r="E159" s="241"/>
      <c r="F159" s="241"/>
      <c r="G159" s="241"/>
      <c r="H159" s="241"/>
      <c r="I159" s="241"/>
      <c r="J159" s="241"/>
      <c r="K159" s="241"/>
      <c r="L159" s="234"/>
      <c r="M159" s="241"/>
      <c r="N159" s="234"/>
      <c r="O159" s="234"/>
    </row>
    <row r="160" spans="1:15" x14ac:dyDescent="0.25">
      <c r="A160" s="734" t="s">
        <v>71</v>
      </c>
      <c r="B160" s="734"/>
      <c r="C160" s="137">
        <v>6.1666699999999999</v>
      </c>
      <c r="D160" s="138">
        <v>1</v>
      </c>
      <c r="E160" s="139">
        <f>$E$56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$K$116</f>
        <v>0</v>
      </c>
      <c r="L160" s="237">
        <f>+K160/C160</f>
        <v>0</v>
      </c>
      <c r="M160" s="238" t="s">
        <v>90</v>
      </c>
      <c r="N160" s="238"/>
      <c r="O160" s="239">
        <f>+K160*G160</f>
        <v>0</v>
      </c>
    </row>
    <row r="161" spans="1:15" x14ac:dyDescent="0.25">
      <c r="A161" s="410"/>
      <c r="B161" s="411"/>
      <c r="C161" s="411"/>
      <c r="D161" s="411"/>
      <c r="E161" s="412" t="s">
        <v>47</v>
      </c>
      <c r="F161" s="411"/>
      <c r="G161" s="411"/>
      <c r="H161" s="411"/>
      <c r="I161" s="411"/>
      <c r="J161" s="411"/>
      <c r="K161" s="411"/>
      <c r="L161" s="411"/>
      <c r="M161" s="411"/>
      <c r="N161" s="411"/>
      <c r="O161" s="413">
        <f>SUM(O116:O160)</f>
        <v>0</v>
      </c>
    </row>
    <row r="162" spans="1:15" s="153" customFormat="1" ht="26.25" x14ac:dyDescent="0.4">
      <c r="A162" s="259" t="s">
        <v>272</v>
      </c>
      <c r="B162" s="221"/>
      <c r="C162" s="221"/>
      <c r="D162" s="223"/>
      <c r="E162" s="223"/>
      <c r="F162" s="223"/>
      <c r="G162" s="223"/>
      <c r="H162" s="223"/>
      <c r="I162" s="223"/>
      <c r="J162" s="223"/>
      <c r="K162" s="224"/>
      <c r="L162" s="224"/>
      <c r="M162" s="224"/>
      <c r="N162" s="224"/>
      <c r="O162" s="404"/>
    </row>
    <row r="163" spans="1:15" s="281" customFormat="1" x14ac:dyDescent="0.25">
      <c r="A163" s="803" t="s">
        <v>43</v>
      </c>
      <c r="B163" s="803" t="s">
        <v>20</v>
      </c>
      <c r="C163" s="803" t="s">
        <v>27</v>
      </c>
      <c r="D163" s="803" t="s">
        <v>28</v>
      </c>
      <c r="E163" s="803" t="s">
        <v>21</v>
      </c>
      <c r="F163" s="803" t="s">
        <v>23</v>
      </c>
      <c r="G163" s="803" t="s">
        <v>22</v>
      </c>
      <c r="H163" s="454"/>
      <c r="I163" s="454"/>
      <c r="J163" s="454"/>
      <c r="K163" s="803" t="s">
        <v>79</v>
      </c>
      <c r="L163" s="454"/>
      <c r="M163" s="803"/>
      <c r="N163" s="803" t="s">
        <v>80</v>
      </c>
      <c r="O163" s="803" t="s">
        <v>32</v>
      </c>
    </row>
    <row r="164" spans="1:15" s="281" customFormat="1" x14ac:dyDescent="0.25">
      <c r="A164" s="808"/>
      <c r="B164" s="808"/>
      <c r="C164" s="808" t="s">
        <v>44</v>
      </c>
      <c r="D164" s="808" t="s">
        <v>5</v>
      </c>
      <c r="E164" s="808" t="s">
        <v>24</v>
      </c>
      <c r="F164" s="808" t="s">
        <v>81</v>
      </c>
      <c r="G164" s="808" t="s">
        <v>82</v>
      </c>
      <c r="H164" s="480"/>
      <c r="I164" s="480"/>
      <c r="J164" s="480"/>
      <c r="K164" s="808" t="s">
        <v>28</v>
      </c>
      <c r="L164" s="480"/>
      <c r="M164" s="808"/>
      <c r="N164" s="808" t="s">
        <v>83</v>
      </c>
      <c r="O164" s="808" t="s">
        <v>40</v>
      </c>
    </row>
    <row r="165" spans="1:15" x14ac:dyDescent="0.25">
      <c r="A165" s="810"/>
      <c r="B165" s="810"/>
      <c r="C165" s="481"/>
      <c r="D165" s="482"/>
      <c r="E165" s="483"/>
      <c r="F165" s="484"/>
      <c r="G165" s="485"/>
      <c r="H165" s="485"/>
      <c r="I165" s="485"/>
      <c r="J165" s="485"/>
      <c r="K165" s="486"/>
      <c r="L165" s="486"/>
      <c r="M165" s="483"/>
      <c r="N165" s="487"/>
      <c r="O165" s="488">
        <f>E165*N165</f>
        <v>0</v>
      </c>
    </row>
    <row r="166" spans="1:15" s="281" customFormat="1" x14ac:dyDescent="0.25">
      <c r="A166" s="395"/>
      <c r="B166" s="396"/>
      <c r="C166" s="396"/>
      <c r="D166" s="396"/>
      <c r="E166" s="397"/>
      <c r="F166" s="397" t="s">
        <v>84</v>
      </c>
      <c r="G166" s="396"/>
      <c r="H166" s="396"/>
      <c r="I166" s="396"/>
      <c r="J166" s="396"/>
      <c r="K166" s="396"/>
      <c r="L166" s="396"/>
      <c r="M166" s="396"/>
      <c r="N166" s="396"/>
      <c r="O166" s="399">
        <f>SUM(O165:O165)</f>
        <v>0</v>
      </c>
    </row>
    <row r="167" spans="1:15" s="5" customFormat="1" ht="26.25" x14ac:dyDescent="0.4">
      <c r="A167" s="415" t="s">
        <v>213</v>
      </c>
      <c r="B167" s="416"/>
      <c r="C167" s="416"/>
      <c r="D167" s="417"/>
      <c r="E167" s="417"/>
      <c r="F167" s="417"/>
      <c r="G167" s="417"/>
      <c r="H167" s="417"/>
      <c r="I167" s="417"/>
      <c r="J167" s="417"/>
      <c r="K167" s="418"/>
      <c r="L167" s="418"/>
      <c r="M167" s="418"/>
      <c r="N167" s="418"/>
      <c r="O167" s="419"/>
    </row>
    <row r="168" spans="1:15" s="281" customFormat="1" x14ac:dyDescent="0.25">
      <c r="A168" s="804" t="s">
        <v>43</v>
      </c>
      <c r="B168" s="804" t="s">
        <v>20</v>
      </c>
      <c r="C168" s="456" t="s">
        <v>27</v>
      </c>
      <c r="D168" s="456" t="s">
        <v>28</v>
      </c>
      <c r="E168" s="456" t="s">
        <v>21</v>
      </c>
      <c r="F168" s="456"/>
      <c r="G168" s="456"/>
      <c r="H168" s="456"/>
      <c r="I168" s="456"/>
      <c r="J168" s="456"/>
      <c r="K168" s="456" t="s">
        <v>100</v>
      </c>
      <c r="L168" s="456"/>
      <c r="M168" s="456"/>
      <c r="N168" s="456"/>
      <c r="O168" s="457" t="s">
        <v>32</v>
      </c>
    </row>
    <row r="169" spans="1:15" s="281" customFormat="1" x14ac:dyDescent="0.25">
      <c r="A169" s="806"/>
      <c r="B169" s="806"/>
      <c r="C169" s="463" t="s">
        <v>44</v>
      </c>
      <c r="D169" s="463" t="s">
        <v>5</v>
      </c>
      <c r="E169" s="463" t="s">
        <v>24</v>
      </c>
      <c r="F169" s="464"/>
      <c r="G169" s="463"/>
      <c r="H169" s="463"/>
      <c r="I169" s="463"/>
      <c r="J169" s="463"/>
      <c r="K169" s="463" t="s">
        <v>101</v>
      </c>
      <c r="L169" s="463"/>
      <c r="M169" s="463"/>
      <c r="N169" s="463"/>
      <c r="O169" s="465" t="s">
        <v>40</v>
      </c>
    </row>
    <row r="170" spans="1:15" s="281" customFormat="1" x14ac:dyDescent="0.25">
      <c r="A170" s="809" t="s">
        <v>313</v>
      </c>
      <c r="B170" s="809"/>
      <c r="C170" s="489">
        <v>6.1666699999999999</v>
      </c>
      <c r="D170" s="467">
        <v>1</v>
      </c>
      <c r="E170" s="470">
        <v>1</v>
      </c>
      <c r="F170" s="490"/>
      <c r="G170" s="472"/>
      <c r="H170" s="472"/>
      <c r="I170" s="472"/>
      <c r="J170" s="472"/>
      <c r="K170" s="471">
        <f>'Seguro+combustible+reparacions'!E7</f>
        <v>0</v>
      </c>
      <c r="L170" s="471"/>
      <c r="M170" s="472"/>
      <c r="N170" s="473"/>
      <c r="O170" s="313">
        <f>E170*K170</f>
        <v>0</v>
      </c>
    </row>
    <row r="171" spans="1:15" s="281" customFormat="1" x14ac:dyDescent="0.25">
      <c r="A171" s="395"/>
      <c r="B171" s="396"/>
      <c r="C171" s="396"/>
      <c r="D171" s="396"/>
      <c r="E171" s="397"/>
      <c r="F171" s="397" t="s">
        <v>85</v>
      </c>
      <c r="G171" s="396"/>
      <c r="H171" s="396"/>
      <c r="I171" s="396"/>
      <c r="J171" s="396"/>
      <c r="K171" s="396"/>
      <c r="L171" s="396"/>
      <c r="M171" s="396"/>
      <c r="N171" s="396"/>
      <c r="O171" s="399">
        <f>SUM(O170:O170)</f>
        <v>0</v>
      </c>
    </row>
    <row r="172" spans="1:15" s="281" customFormat="1" ht="26.25" x14ac:dyDescent="0.4">
      <c r="A172" s="285" t="s">
        <v>420</v>
      </c>
      <c r="B172" s="286"/>
      <c r="C172" s="286"/>
      <c r="D172" s="287"/>
      <c r="E172" s="287"/>
      <c r="F172" s="287"/>
      <c r="G172" s="287"/>
      <c r="H172" s="287"/>
      <c r="I172" s="287"/>
      <c r="J172" s="287"/>
      <c r="K172" s="288"/>
      <c r="L172" s="288"/>
      <c r="M172" s="288"/>
      <c r="N172" s="288"/>
      <c r="O172" s="289"/>
    </row>
    <row r="173" spans="1:15" s="281" customFormat="1" x14ac:dyDescent="0.25">
      <c r="A173" s="758" t="s">
        <v>225</v>
      </c>
      <c r="B173" s="759"/>
      <c r="C173" s="290"/>
      <c r="D173" s="290" t="s">
        <v>28</v>
      </c>
      <c r="E173" s="290"/>
      <c r="F173" s="290"/>
      <c r="G173" s="290"/>
      <c r="H173" s="290"/>
      <c r="I173" s="290"/>
      <c r="J173" s="290"/>
      <c r="K173" s="290" t="s">
        <v>100</v>
      </c>
      <c r="L173" s="290"/>
      <c r="M173" s="290"/>
      <c r="N173" s="290"/>
      <c r="O173" s="291" t="s">
        <v>32</v>
      </c>
    </row>
    <row r="174" spans="1:15" s="281" customFormat="1" x14ac:dyDescent="0.25">
      <c r="A174" s="760"/>
      <c r="B174" s="761"/>
      <c r="C174" s="292"/>
      <c r="D174" s="292" t="s">
        <v>5</v>
      </c>
      <c r="E174" s="290" t="s">
        <v>21</v>
      </c>
      <c r="F174" s="293"/>
      <c r="G174" s="292"/>
      <c r="H174" s="292"/>
      <c r="I174" s="292"/>
      <c r="J174" s="292"/>
      <c r="K174" s="292" t="s">
        <v>238</v>
      </c>
      <c r="L174" s="292"/>
      <c r="M174" s="292"/>
      <c r="N174" s="292"/>
      <c r="O174" s="294" t="s">
        <v>40</v>
      </c>
    </row>
    <row r="175" spans="1:15" s="281" customFormat="1" x14ac:dyDescent="0.25">
      <c r="A175" s="733" t="s">
        <v>245</v>
      </c>
      <c r="B175" s="733"/>
      <c r="C175" s="137"/>
      <c r="D175" s="138">
        <v>1</v>
      </c>
      <c r="E175" s="650">
        <f>I57</f>
        <v>0</v>
      </c>
      <c r="F175" s="373"/>
      <c r="G175" s="372"/>
      <c r="H175" s="372"/>
      <c r="I175" s="372"/>
      <c r="J175" s="372"/>
      <c r="K175" s="650">
        <f>Consumibles!E46</f>
        <v>0</v>
      </c>
      <c r="L175" s="304"/>
      <c r="M175" s="303"/>
      <c r="N175" s="302"/>
      <c r="O175" s="239">
        <f>E175*K175</f>
        <v>0</v>
      </c>
    </row>
    <row r="176" spans="1:15" s="281" customFormat="1" x14ac:dyDescent="0.25">
      <c r="A176" s="733" t="s">
        <v>226</v>
      </c>
      <c r="B176" s="733"/>
      <c r="C176" s="137"/>
      <c r="D176" s="138">
        <v>1</v>
      </c>
      <c r="E176" s="372">
        <v>0</v>
      </c>
      <c r="F176" s="373"/>
      <c r="G176" s="372"/>
      <c r="H176" s="372"/>
      <c r="I176" s="372"/>
      <c r="J176" s="372"/>
      <c r="K176" s="650">
        <f>Consumibles!E21</f>
        <v>0</v>
      </c>
      <c r="L176" s="304"/>
      <c r="M176" s="303"/>
      <c r="N176" s="302"/>
      <c r="O176" s="239">
        <f>E176*K176</f>
        <v>0</v>
      </c>
    </row>
    <row r="177" spans="1:15" s="281" customFormat="1" x14ac:dyDescent="0.25">
      <c r="A177" s="733" t="s">
        <v>237</v>
      </c>
      <c r="B177" s="733"/>
      <c r="C177" s="137"/>
      <c r="D177" s="138">
        <v>1</v>
      </c>
      <c r="E177" s="372">
        <v>0</v>
      </c>
      <c r="F177" s="373"/>
      <c r="G177" s="372"/>
      <c r="H177" s="372"/>
      <c r="I177" s="372"/>
      <c r="J177" s="372"/>
      <c r="K177" s="650">
        <f>Consumibles!E22</f>
        <v>0</v>
      </c>
      <c r="L177" s="304"/>
      <c r="M177" s="303"/>
      <c r="N177" s="302"/>
      <c r="O177" s="239">
        <f t="shared" ref="O177:O180" si="0">E177*K177</f>
        <v>0</v>
      </c>
    </row>
    <row r="178" spans="1:15" s="281" customFormat="1" x14ac:dyDescent="0.25">
      <c r="A178" s="733" t="s">
        <v>234</v>
      </c>
      <c r="B178" s="733"/>
      <c r="C178" s="137"/>
      <c r="D178" s="138">
        <v>1</v>
      </c>
      <c r="E178" s="372">
        <v>0</v>
      </c>
      <c r="F178" s="373"/>
      <c r="G178" s="372"/>
      <c r="H178" s="372"/>
      <c r="I178" s="372"/>
      <c r="J178" s="372"/>
      <c r="K178" s="650">
        <f>Consumibles!E23</f>
        <v>0</v>
      </c>
      <c r="L178" s="304"/>
      <c r="M178" s="303"/>
      <c r="N178" s="302"/>
      <c r="O178" s="239">
        <f t="shared" si="0"/>
        <v>0</v>
      </c>
    </row>
    <row r="179" spans="1:15" s="281" customFormat="1" x14ac:dyDescent="0.25">
      <c r="A179" s="733" t="s">
        <v>235</v>
      </c>
      <c r="B179" s="733"/>
      <c r="C179" s="137"/>
      <c r="D179" s="138">
        <v>1</v>
      </c>
      <c r="E179" s="372">
        <v>0</v>
      </c>
      <c r="F179" s="373"/>
      <c r="G179" s="372"/>
      <c r="H179" s="372"/>
      <c r="I179" s="372"/>
      <c r="J179" s="372"/>
      <c r="K179" s="650">
        <f>Consumibles!E24</f>
        <v>0</v>
      </c>
      <c r="L179" s="304"/>
      <c r="M179" s="303"/>
      <c r="N179" s="302"/>
      <c r="O179" s="239">
        <f t="shared" si="0"/>
        <v>0</v>
      </c>
    </row>
    <row r="180" spans="1:15" s="281" customFormat="1" x14ac:dyDescent="0.25">
      <c r="A180" s="733" t="s">
        <v>236</v>
      </c>
      <c r="B180" s="733"/>
      <c r="C180" s="137"/>
      <c r="D180" s="138">
        <v>1</v>
      </c>
      <c r="E180" s="372">
        <v>0</v>
      </c>
      <c r="F180" s="373"/>
      <c r="G180" s="372"/>
      <c r="H180" s="372"/>
      <c r="I180" s="372"/>
      <c r="J180" s="372"/>
      <c r="K180" s="650">
        <f>Consumibles!E25</f>
        <v>0</v>
      </c>
      <c r="L180" s="304"/>
      <c r="M180" s="303"/>
      <c r="N180" s="302"/>
      <c r="O180" s="239">
        <f t="shared" si="0"/>
        <v>0</v>
      </c>
    </row>
    <row r="181" spans="1:15" s="281" customFormat="1" x14ac:dyDescent="0.25">
      <c r="A181" s="254"/>
      <c r="B181" s="255"/>
      <c r="C181" s="255"/>
      <c r="D181" s="255"/>
      <c r="E181" s="256"/>
      <c r="F181" s="256" t="s">
        <v>224</v>
      </c>
      <c r="G181" s="255"/>
      <c r="H181" s="255"/>
      <c r="I181" s="255"/>
      <c r="J181" s="255"/>
      <c r="K181" s="255"/>
      <c r="L181" s="255"/>
      <c r="M181" s="255"/>
      <c r="N181" s="255"/>
      <c r="O181" s="257">
        <f>SUM(O175:O180)</f>
        <v>0</v>
      </c>
    </row>
    <row r="182" spans="1:15" x14ac:dyDescent="0.25">
      <c r="A182" s="218"/>
      <c r="B182" s="218"/>
      <c r="C182" s="218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</row>
    <row r="183" spans="1:15" x14ac:dyDescent="0.25">
      <c r="A183" s="218"/>
      <c r="B183" s="218"/>
      <c r="C183" s="218"/>
      <c r="D183" s="218"/>
      <c r="E183" s="218"/>
      <c r="F183" s="307" t="s">
        <v>271</v>
      </c>
      <c r="G183" s="308"/>
      <c r="H183" s="308"/>
      <c r="I183" s="308"/>
      <c r="J183" s="308"/>
      <c r="K183" s="308"/>
      <c r="L183" s="308"/>
      <c r="M183" s="316"/>
      <c r="N183" s="316"/>
      <c r="O183" s="317">
        <f>+O57+O109+O161+O171+O181</f>
        <v>0</v>
      </c>
    </row>
    <row r="184" spans="1:15" x14ac:dyDescent="0.25">
      <c r="A184" s="218"/>
      <c r="B184" s="218"/>
      <c r="C184" s="218"/>
      <c r="D184" s="218"/>
      <c r="E184" s="218"/>
      <c r="F184" s="375"/>
      <c r="G184" s="376"/>
      <c r="H184" s="376"/>
      <c r="I184" s="376"/>
      <c r="J184" s="376"/>
      <c r="K184" s="376"/>
      <c r="L184" s="376"/>
      <c r="M184" s="376"/>
      <c r="N184" s="376"/>
      <c r="O184" s="377"/>
    </row>
    <row r="185" spans="1:15" x14ac:dyDescent="0.25">
      <c r="A185" s="218"/>
      <c r="B185" s="218"/>
      <c r="C185" s="218"/>
      <c r="D185" s="218"/>
      <c r="E185" s="218"/>
      <c r="F185" s="311" t="s">
        <v>3</v>
      </c>
      <c r="G185" s="312"/>
      <c r="H185" s="312"/>
      <c r="I185" s="312"/>
      <c r="J185" s="312"/>
      <c r="K185" s="312"/>
      <c r="L185" s="312"/>
      <c r="M185" s="652">
        <f>Paràmetres!C6</f>
        <v>0</v>
      </c>
      <c r="N185" s="312"/>
      <c r="O185" s="313">
        <f>+O183*M185</f>
        <v>0</v>
      </c>
    </row>
    <row r="186" spans="1:15" x14ac:dyDescent="0.25">
      <c r="A186" s="218"/>
      <c r="B186" s="218"/>
      <c r="C186" s="218"/>
      <c r="D186" s="218"/>
      <c r="E186" s="218"/>
      <c r="F186" s="312"/>
      <c r="G186" s="312"/>
      <c r="H186" s="312"/>
      <c r="I186" s="312"/>
      <c r="J186" s="312"/>
      <c r="K186" s="312"/>
      <c r="L186" s="312"/>
      <c r="M186" s="314"/>
      <c r="N186" s="312"/>
      <c r="O186" s="313"/>
    </row>
    <row r="187" spans="1:15" x14ac:dyDescent="0.25">
      <c r="A187" s="218"/>
      <c r="B187" s="218"/>
      <c r="C187" s="218"/>
      <c r="D187" s="218"/>
      <c r="E187" s="218"/>
      <c r="F187" s="311" t="s">
        <v>2</v>
      </c>
      <c r="G187" s="312"/>
      <c r="H187" s="312"/>
      <c r="I187" s="312"/>
      <c r="J187" s="312"/>
      <c r="K187" s="312"/>
      <c r="L187" s="312"/>
      <c r="M187" s="652">
        <f>Paràmetres!C5</f>
        <v>0</v>
      </c>
      <c r="N187" s="312"/>
      <c r="O187" s="313">
        <f>+O183*M187</f>
        <v>0</v>
      </c>
    </row>
    <row r="188" spans="1:15" x14ac:dyDescent="0.25">
      <c r="A188" s="218"/>
      <c r="B188" s="218"/>
      <c r="C188" s="218"/>
      <c r="D188" s="218"/>
      <c r="E188" s="218"/>
      <c r="F188" s="312"/>
      <c r="G188" s="312"/>
      <c r="H188" s="312"/>
      <c r="I188" s="312"/>
      <c r="J188" s="312"/>
      <c r="K188" s="312"/>
      <c r="L188" s="312"/>
      <c r="M188" s="314"/>
      <c r="N188" s="312"/>
      <c r="O188" s="313"/>
    </row>
    <row r="189" spans="1:15" x14ac:dyDescent="0.25">
      <c r="A189" s="218"/>
      <c r="B189" s="218"/>
      <c r="C189" s="218"/>
      <c r="D189" s="218"/>
      <c r="E189" s="218"/>
      <c r="F189" s="311" t="s">
        <v>48</v>
      </c>
      <c r="G189" s="312"/>
      <c r="H189" s="312"/>
      <c r="I189" s="312"/>
      <c r="J189" s="312"/>
      <c r="K189" s="312"/>
      <c r="L189" s="312"/>
      <c r="M189" s="314"/>
      <c r="N189" s="312"/>
      <c r="O189" s="313">
        <f>+O183*M189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76</v>
      </c>
      <c r="G191" s="312"/>
      <c r="H191" s="312"/>
      <c r="I191" s="312"/>
      <c r="J191" s="312"/>
      <c r="K191" s="312"/>
      <c r="L191" s="312"/>
      <c r="M191" s="314"/>
      <c r="N191" s="312"/>
      <c r="O191" s="313">
        <f>+O183*M191</f>
        <v>0</v>
      </c>
    </row>
    <row r="192" spans="1:15" x14ac:dyDescent="0.25">
      <c r="A192" s="218"/>
      <c r="B192" s="218"/>
      <c r="C192" s="218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310"/>
    </row>
    <row r="193" spans="1:15" x14ac:dyDescent="0.25">
      <c r="A193" s="218"/>
      <c r="B193" s="218"/>
      <c r="C193" s="218"/>
      <c r="D193" s="218"/>
      <c r="E193" s="218"/>
      <c r="F193" s="315" t="s">
        <v>270</v>
      </c>
      <c r="G193" s="316"/>
      <c r="H193" s="316"/>
      <c r="I193" s="316"/>
      <c r="J193" s="316"/>
      <c r="K193" s="316"/>
      <c r="L193" s="316"/>
      <c r="M193" s="316"/>
      <c r="N193" s="316"/>
      <c r="O193" s="317">
        <f>SUM(O183:O191)+O166</f>
        <v>0</v>
      </c>
    </row>
    <row r="194" spans="1:15" x14ac:dyDescent="0.25">
      <c r="A194" s="218"/>
      <c r="B194" s="218"/>
      <c r="C194" s="218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310"/>
    </row>
    <row r="195" spans="1:15" x14ac:dyDescent="0.25">
      <c r="A195" s="218"/>
      <c r="B195" s="218"/>
      <c r="C195" s="218"/>
      <c r="D195" s="218"/>
      <c r="E195" s="218"/>
      <c r="F195" s="311" t="s">
        <v>4</v>
      </c>
      <c r="G195" s="312"/>
      <c r="H195" s="312"/>
      <c r="I195" s="312"/>
      <c r="J195" s="312"/>
      <c r="K195" s="312"/>
      <c r="L195" s="312"/>
      <c r="M195" s="314">
        <v>0.1</v>
      </c>
      <c r="N195" s="312"/>
      <c r="O195" s="313">
        <f>+O193*M195</f>
        <v>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5" t="s">
        <v>49</v>
      </c>
      <c r="G197" s="316"/>
      <c r="H197" s="316"/>
      <c r="I197" s="316"/>
      <c r="J197" s="316"/>
      <c r="K197" s="316"/>
      <c r="L197" s="316"/>
      <c r="M197" s="316"/>
      <c r="N197" s="316"/>
      <c r="O197" s="317">
        <f>+O193+O195</f>
        <v>0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</row>
    <row r="199" spans="1:15" x14ac:dyDescent="0.25">
      <c r="A199" s="218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</row>
    <row r="200" spans="1:15" x14ac:dyDescent="0.25">
      <c r="A200" s="218"/>
      <c r="B200" s="218"/>
      <c r="C200" s="218"/>
      <c r="D200" s="218"/>
      <c r="E200" s="218"/>
      <c r="F200" s="315" t="s">
        <v>50</v>
      </c>
      <c r="G200" s="316"/>
      <c r="H200" s="316"/>
      <c r="I200" s="316"/>
      <c r="J200" s="316"/>
      <c r="K200" s="316"/>
      <c r="L200" s="316"/>
      <c r="M200" s="316"/>
      <c r="N200" s="316"/>
      <c r="O200" s="317" t="s">
        <v>51</v>
      </c>
    </row>
    <row r="201" spans="1:15" x14ac:dyDescent="0.25">
      <c r="A201" s="218"/>
      <c r="B201" s="218"/>
      <c r="C201" s="218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</row>
    <row r="202" spans="1:15" x14ac:dyDescent="0.25">
      <c r="A202" s="218"/>
      <c r="B202" s="218"/>
      <c r="C202" s="218"/>
      <c r="D202" s="218"/>
      <c r="E202" s="218"/>
      <c r="F202" s="218" t="s">
        <v>52</v>
      </c>
      <c r="G202" s="218"/>
      <c r="H202" s="218"/>
      <c r="I202" s="218"/>
      <c r="J202" s="218"/>
      <c r="K202" s="218"/>
      <c r="L202" s="218"/>
      <c r="M202" s="218"/>
      <c r="N202" s="218"/>
      <c r="O202" s="313">
        <f>+O57*(1+M185+M187)*(1+M195)</f>
        <v>0</v>
      </c>
    </row>
    <row r="203" spans="1:15" x14ac:dyDescent="0.25">
      <c r="A203" s="218"/>
      <c r="B203" s="218"/>
      <c r="C203" s="218"/>
      <c r="D203" s="218"/>
      <c r="E203" s="218"/>
      <c r="F203" s="218" t="s">
        <v>53</v>
      </c>
      <c r="G203" s="218"/>
      <c r="H203" s="218"/>
      <c r="I203" s="218"/>
      <c r="J203" s="218"/>
      <c r="K203" s="218"/>
      <c r="L203" s="218"/>
      <c r="M203" s="218"/>
      <c r="N203" s="218"/>
      <c r="O203" s="313">
        <f>+(O109+O161)*(1+M185+M187)*(1+M195)</f>
        <v>0</v>
      </c>
    </row>
    <row r="204" spans="1:15" x14ac:dyDescent="0.25">
      <c r="A204" s="218"/>
      <c r="B204" s="218"/>
      <c r="C204" s="218"/>
      <c r="D204" s="218"/>
      <c r="E204" s="218"/>
      <c r="F204" s="218" t="s">
        <v>54</v>
      </c>
      <c r="G204" s="218"/>
      <c r="H204" s="218"/>
      <c r="I204" s="218"/>
      <c r="J204" s="218"/>
      <c r="K204" s="218"/>
      <c r="L204" s="218"/>
      <c r="M204" s="218"/>
      <c r="N204" s="218"/>
      <c r="O204" s="313"/>
    </row>
    <row r="205" spans="1:15" x14ac:dyDescent="0.25">
      <c r="A205" s="218"/>
      <c r="B205" s="218"/>
      <c r="C205" s="218"/>
      <c r="D205" s="218"/>
      <c r="E205" s="218"/>
      <c r="F205" s="311" t="s">
        <v>55</v>
      </c>
      <c r="G205" s="312"/>
      <c r="H205" s="312"/>
      <c r="I205" s="312"/>
      <c r="J205" s="312"/>
      <c r="K205" s="312"/>
      <c r="L205" s="312"/>
      <c r="M205" s="312"/>
      <c r="N205" s="312"/>
      <c r="O205" s="313">
        <f>G57</f>
        <v>0</v>
      </c>
    </row>
    <row r="206" spans="1:15" x14ac:dyDescent="0.25">
      <c r="A206" s="218"/>
      <c r="B206" s="218"/>
      <c r="C206" s="218"/>
      <c r="D206" s="218"/>
      <c r="E206" s="218"/>
      <c r="F206" s="311" t="s">
        <v>56</v>
      </c>
      <c r="G206" s="312"/>
      <c r="H206" s="312"/>
      <c r="I206" s="312"/>
      <c r="J206" s="312"/>
      <c r="K206" s="312"/>
      <c r="L206" s="312"/>
      <c r="M206" s="312"/>
      <c r="N206" s="312"/>
      <c r="O206" s="313">
        <f>+O205*6.16667</f>
        <v>0</v>
      </c>
    </row>
    <row r="207" spans="1:15" x14ac:dyDescent="0.25">
      <c r="A207" s="218"/>
      <c r="B207" s="218"/>
      <c r="C207" s="218"/>
      <c r="D207" s="218"/>
      <c r="E207" s="218"/>
      <c r="F207" s="218" t="s">
        <v>57</v>
      </c>
      <c r="G207" s="218"/>
      <c r="H207" s="218"/>
      <c r="I207" s="218"/>
      <c r="J207" s="218"/>
      <c r="K207" s="218"/>
      <c r="L207" s="218"/>
      <c r="M207" s="218"/>
      <c r="N207" s="218"/>
      <c r="O207" s="313" t="e">
        <f>+O197/O205</f>
        <v>#DIV/0!</v>
      </c>
    </row>
    <row r="208" spans="1:15" x14ac:dyDescent="0.25">
      <c r="A208" s="218"/>
      <c r="B208" s="218"/>
      <c r="C208" s="218"/>
      <c r="D208" s="218"/>
      <c r="E208" s="218"/>
      <c r="F208" s="218" t="s">
        <v>58</v>
      </c>
      <c r="G208" s="218"/>
      <c r="H208" s="218"/>
      <c r="I208" s="218"/>
      <c r="J208" s="218"/>
      <c r="K208" s="218"/>
      <c r="L208" s="218"/>
      <c r="M208" s="218"/>
      <c r="N208" s="218"/>
      <c r="O208" s="313" t="e">
        <f>+O197/O206</f>
        <v>#DIV/0!</v>
      </c>
    </row>
    <row r="209" spans="15:15" x14ac:dyDescent="0.25">
      <c r="O209" s="318"/>
    </row>
  </sheetData>
  <sheetProtection algorithmName="SHA-512" hashValue="hGwxOxB3ehqI8zG07ZmdJDIZ9xWt7QxPjzod+8dVldf9Nd8N4HVM9CkE6thAA0uLqFv5m1BJFrIdYzyCjMMh8g==" saltValue="QgGr+dMdmXpv9RDcRaEWJA==" spinCount="100000" sheet="1" objects="1" scenarios="1" selectLockedCells="1"/>
  <mergeCells count="159">
    <mergeCell ref="A141:B141"/>
    <mergeCell ref="A142:B142"/>
    <mergeCell ref="A143:B143"/>
    <mergeCell ref="A144:B144"/>
    <mergeCell ref="A146:B146"/>
    <mergeCell ref="A105:B105"/>
    <mergeCell ref="A106:B106"/>
    <mergeCell ref="A107:B107"/>
    <mergeCell ref="A108:B108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39:B139"/>
    <mergeCell ref="A140:B140"/>
    <mergeCell ref="A138:B138"/>
    <mergeCell ref="A127:B127"/>
    <mergeCell ref="A128:B128"/>
    <mergeCell ref="A159:B159"/>
    <mergeCell ref="A160:B160"/>
    <mergeCell ref="A170:B170"/>
    <mergeCell ref="A152:B152"/>
    <mergeCell ref="A153:B153"/>
    <mergeCell ref="A154:B154"/>
    <mergeCell ref="A155:B155"/>
    <mergeCell ref="A156:B156"/>
    <mergeCell ref="A147:B147"/>
    <mergeCell ref="A148:B148"/>
    <mergeCell ref="A149:B149"/>
    <mergeCell ref="A150:B150"/>
    <mergeCell ref="A151:B151"/>
    <mergeCell ref="A165:B165"/>
    <mergeCell ref="A168:A169"/>
    <mergeCell ref="B168:B169"/>
    <mergeCell ref="A163:A164"/>
    <mergeCell ref="B163:B164"/>
    <mergeCell ref="A157:B157"/>
    <mergeCell ref="A158:B158"/>
    <mergeCell ref="A132:B132"/>
    <mergeCell ref="A133:B133"/>
    <mergeCell ref="A134:B134"/>
    <mergeCell ref="A135:B135"/>
    <mergeCell ref="A125:B125"/>
    <mergeCell ref="A126:B126"/>
    <mergeCell ref="A136:B136"/>
    <mergeCell ref="A137:B137"/>
    <mergeCell ref="A95:B95"/>
    <mergeCell ref="A96:B96"/>
    <mergeCell ref="A97:B97"/>
    <mergeCell ref="A98:B98"/>
    <mergeCell ref="A99:B99"/>
    <mergeCell ref="A130:B130"/>
    <mergeCell ref="A100:B100"/>
    <mergeCell ref="A101:B101"/>
    <mergeCell ref="A102:B102"/>
    <mergeCell ref="A103:B103"/>
    <mergeCell ref="A104:B104"/>
    <mergeCell ref="A111:A112"/>
    <mergeCell ref="B111:B112"/>
    <mergeCell ref="A131:B131"/>
    <mergeCell ref="A89:B89"/>
    <mergeCell ref="A90:B90"/>
    <mergeCell ref="A91:B91"/>
    <mergeCell ref="A92:B92"/>
    <mergeCell ref="A94:B94"/>
    <mergeCell ref="A84:B84"/>
    <mergeCell ref="A85:B85"/>
    <mergeCell ref="A86:B86"/>
    <mergeCell ref="A87:B87"/>
    <mergeCell ref="A88:B88"/>
    <mergeCell ref="A80:B80"/>
    <mergeCell ref="A81:B81"/>
    <mergeCell ref="A82:B82"/>
    <mergeCell ref="A83:B83"/>
    <mergeCell ref="A73:B73"/>
    <mergeCell ref="A74:B74"/>
    <mergeCell ref="A75:B75"/>
    <mergeCell ref="A76:B76"/>
    <mergeCell ref="A78:B78"/>
    <mergeCell ref="A70:B70"/>
    <mergeCell ref="A71:B71"/>
    <mergeCell ref="A72:B72"/>
    <mergeCell ref="A63:B63"/>
    <mergeCell ref="A64:B64"/>
    <mergeCell ref="A65:B65"/>
    <mergeCell ref="A66:B66"/>
    <mergeCell ref="A67:B67"/>
    <mergeCell ref="A79:B79"/>
    <mergeCell ref="A55:B55"/>
    <mergeCell ref="A56:B56"/>
    <mergeCell ref="A47:B47"/>
    <mergeCell ref="A48:B48"/>
    <mergeCell ref="A49:B49"/>
    <mergeCell ref="A50:B50"/>
    <mergeCell ref="A51:B51"/>
    <mergeCell ref="A68:B68"/>
    <mergeCell ref="A69:B69"/>
    <mergeCell ref="A5:O5"/>
    <mergeCell ref="A11:B11"/>
    <mergeCell ref="A12:B12"/>
    <mergeCell ref="A13:B13"/>
    <mergeCell ref="A14:B14"/>
    <mergeCell ref="A7:B8"/>
    <mergeCell ref="A31:B31"/>
    <mergeCell ref="A32:B32"/>
    <mergeCell ref="A33:B33"/>
    <mergeCell ref="A26:B26"/>
    <mergeCell ref="A27:B27"/>
    <mergeCell ref="A28:B28"/>
    <mergeCell ref="A29:B29"/>
    <mergeCell ref="A30:B30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K163:K164"/>
    <mergeCell ref="M163:M164"/>
    <mergeCell ref="N163:N164"/>
    <mergeCell ref="O163:O164"/>
    <mergeCell ref="E163:E164"/>
    <mergeCell ref="F163:F164"/>
    <mergeCell ref="G163:G164"/>
    <mergeCell ref="A24:B24"/>
    <mergeCell ref="A34:B34"/>
    <mergeCell ref="A35:B35"/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59:B60"/>
    <mergeCell ref="A52:B52"/>
    <mergeCell ref="A53:B53"/>
    <mergeCell ref="A54:B54"/>
    <mergeCell ref="A173:B174"/>
    <mergeCell ref="A175:B175"/>
    <mergeCell ref="A176:B176"/>
    <mergeCell ref="A177:B177"/>
    <mergeCell ref="A178:B178"/>
    <mergeCell ref="A179:B179"/>
    <mergeCell ref="A180:B180"/>
    <mergeCell ref="C163:C164"/>
    <mergeCell ref="D163:D16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rowBreaks count="1" manualBreakCount="1">
    <brk id="1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AC3E-9A03-44CE-B8E9-3BA2A0311F3E}">
  <sheetPr>
    <tabColor theme="0"/>
  </sheetPr>
  <dimension ref="A1:O210"/>
  <sheetViews>
    <sheetView showGridLines="0" zoomScale="70" zoomScaleNormal="70" zoomScaleSheetLayoutView="70" workbookViewId="0">
      <selection activeCell="E12" sqref="E12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1.7109375" style="87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202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/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6"/>
      <c r="M8" s="226" t="s">
        <v>38</v>
      </c>
      <c r="N8" s="226" t="s">
        <v>39</v>
      </c>
      <c r="O8" s="226" t="s">
        <v>40</v>
      </c>
    </row>
    <row r="9" spans="1:15" x14ac:dyDescent="0.25">
      <c r="A9" s="229" t="s">
        <v>198</v>
      </c>
      <c r="B9" s="230"/>
      <c r="C9" s="347"/>
      <c r="D9" s="347"/>
      <c r="E9" s="347"/>
      <c r="F9" s="348"/>
      <c r="G9" s="347"/>
      <c r="H9" s="347"/>
      <c r="I9" s="347"/>
      <c r="J9" s="347"/>
      <c r="K9" s="347"/>
      <c r="L9" s="347"/>
      <c r="M9" s="347"/>
      <c r="N9" s="347"/>
      <c r="O9" s="347"/>
    </row>
    <row r="10" spans="1:15" x14ac:dyDescent="0.25">
      <c r="A10" s="232" t="s">
        <v>195</v>
      </c>
      <c r="B10" s="233"/>
      <c r="C10" s="342"/>
      <c r="D10" s="342"/>
      <c r="E10" s="342"/>
      <c r="F10" s="343"/>
      <c r="G10" s="342"/>
      <c r="H10" s="342"/>
      <c r="I10" s="342"/>
      <c r="J10" s="342"/>
      <c r="K10" s="342"/>
      <c r="L10" s="342"/>
      <c r="M10" s="342"/>
      <c r="N10" s="342"/>
      <c r="O10" s="342"/>
    </row>
    <row r="11" spans="1:15" x14ac:dyDescent="0.25">
      <c r="A11" s="763" t="s">
        <v>88</v>
      </c>
      <c r="B11" s="763"/>
      <c r="C11" s="342"/>
      <c r="D11" s="342"/>
      <c r="E11" s="342"/>
      <c r="F11" s="343"/>
      <c r="G11" s="342"/>
      <c r="H11" s="342"/>
      <c r="I11" s="342"/>
      <c r="J11" s="342"/>
      <c r="K11" s="342"/>
      <c r="L11" s="342"/>
      <c r="M11" s="342"/>
      <c r="N11" s="342"/>
      <c r="O11" s="342"/>
    </row>
    <row r="12" spans="1:15" x14ac:dyDescent="0.25">
      <c r="A12" s="734" t="s">
        <v>72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</f>
        <v>0</v>
      </c>
      <c r="L12" s="491">
        <f>+K12/C12</f>
        <v>0</v>
      </c>
      <c r="M12" s="139" t="s">
        <v>41</v>
      </c>
      <c r="N12" s="139" t="s">
        <v>42</v>
      </c>
      <c r="O12" s="144">
        <f>+K12*G12</f>
        <v>0</v>
      </c>
    </row>
    <row r="13" spans="1:15" x14ac:dyDescent="0.25">
      <c r="A13" s="764" t="s">
        <v>89</v>
      </c>
      <c r="B13" s="764"/>
      <c r="C13" s="342"/>
      <c r="D13" s="241"/>
      <c r="E13" s="342"/>
      <c r="F13" s="241"/>
      <c r="G13" s="342"/>
      <c r="H13" s="342"/>
      <c r="I13" s="342"/>
      <c r="J13" s="342"/>
      <c r="K13" s="342"/>
      <c r="L13" s="342"/>
      <c r="M13" s="342"/>
      <c r="N13" s="342"/>
      <c r="O13" s="342"/>
    </row>
    <row r="14" spans="1:15" x14ac:dyDescent="0.25">
      <c r="A14" s="734" t="s">
        <v>72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>G14/H14</f>
        <v>0</v>
      </c>
      <c r="J14" s="320">
        <f>G14/298</f>
        <v>0</v>
      </c>
      <c r="K14" s="320">
        <f>$K$12</f>
        <v>0</v>
      </c>
      <c r="L14" s="491">
        <f>+K14/C14</f>
        <v>0</v>
      </c>
      <c r="M14" s="139" t="s">
        <v>90</v>
      </c>
      <c r="N14" s="139" t="s">
        <v>42</v>
      </c>
      <c r="O14" s="144">
        <f>+K14*G14</f>
        <v>0</v>
      </c>
    </row>
    <row r="15" spans="1:15" x14ac:dyDescent="0.25">
      <c r="A15" s="762" t="s">
        <v>196</v>
      </c>
      <c r="B15" s="762"/>
      <c r="C15" s="342"/>
      <c r="D15" s="241"/>
      <c r="E15" s="342"/>
      <c r="F15" s="241"/>
      <c r="G15" s="342"/>
      <c r="H15" s="342"/>
      <c r="I15" s="342"/>
      <c r="J15" s="342"/>
      <c r="K15" s="342"/>
      <c r="L15" s="342"/>
      <c r="M15" s="342"/>
      <c r="N15" s="342"/>
      <c r="O15" s="342"/>
    </row>
    <row r="16" spans="1:15" x14ac:dyDescent="0.25">
      <c r="A16" s="765" t="s">
        <v>88</v>
      </c>
      <c r="B16" s="765"/>
      <c r="C16" s="342"/>
      <c r="D16" s="241"/>
      <c r="E16" s="342"/>
      <c r="F16" s="241"/>
      <c r="G16" s="342"/>
      <c r="H16" s="342"/>
      <c r="I16" s="342"/>
      <c r="J16" s="342"/>
      <c r="K16" s="342"/>
      <c r="L16" s="342"/>
      <c r="M16" s="342"/>
      <c r="N16" s="342"/>
      <c r="O16" s="342"/>
    </row>
    <row r="17" spans="1:15" x14ac:dyDescent="0.25">
      <c r="A17" s="734" t="s">
        <v>72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>G17/H17</f>
        <v>0</v>
      </c>
      <c r="J17" s="320">
        <f>G17/298</f>
        <v>0</v>
      </c>
      <c r="K17" s="320">
        <f>$K$12</f>
        <v>0</v>
      </c>
      <c r="L17" s="491">
        <f>+K17/C17</f>
        <v>0</v>
      </c>
      <c r="M17" s="139" t="s">
        <v>41</v>
      </c>
      <c r="N17" s="139" t="s">
        <v>42</v>
      </c>
      <c r="O17" s="144">
        <f>+K17*G17</f>
        <v>0</v>
      </c>
    </row>
    <row r="18" spans="1:15" x14ac:dyDescent="0.25">
      <c r="A18" s="764" t="s">
        <v>89</v>
      </c>
      <c r="B18" s="764"/>
      <c r="C18" s="342"/>
      <c r="D18" s="241"/>
      <c r="E18" s="342"/>
      <c r="F18" s="241"/>
      <c r="G18" s="342"/>
      <c r="H18" s="342"/>
      <c r="I18" s="342"/>
      <c r="J18" s="342"/>
      <c r="K18" s="342"/>
      <c r="L18" s="342"/>
      <c r="M18" s="342"/>
      <c r="N18" s="342"/>
      <c r="O18" s="342"/>
    </row>
    <row r="19" spans="1:15" x14ac:dyDescent="0.25">
      <c r="A19" s="734" t="s">
        <v>72</v>
      </c>
      <c r="B19" s="734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>G19/H19</f>
        <v>0</v>
      </c>
      <c r="J19" s="320">
        <f>G19/298</f>
        <v>0</v>
      </c>
      <c r="K19" s="320">
        <f>$K$12</f>
        <v>0</v>
      </c>
      <c r="L19" s="491">
        <f>+K19/C19</f>
        <v>0</v>
      </c>
      <c r="M19" s="139" t="s">
        <v>90</v>
      </c>
      <c r="N19" s="139" t="s">
        <v>42</v>
      </c>
      <c r="O19" s="144">
        <f>+K19*G19</f>
        <v>0</v>
      </c>
    </row>
    <row r="20" spans="1:15" x14ac:dyDescent="0.25">
      <c r="A20" s="762" t="s">
        <v>197</v>
      </c>
      <c r="B20" s="762"/>
      <c r="C20" s="342"/>
      <c r="D20" s="241"/>
      <c r="E20" s="342"/>
      <c r="F20" s="241"/>
      <c r="G20" s="342"/>
      <c r="H20" s="342"/>
      <c r="I20" s="342"/>
      <c r="J20" s="342"/>
      <c r="K20" s="342"/>
      <c r="L20" s="342"/>
      <c r="M20" s="342"/>
      <c r="N20" s="342"/>
      <c r="O20" s="342"/>
    </row>
    <row r="21" spans="1:15" x14ac:dyDescent="0.25">
      <c r="A21" s="765" t="s">
        <v>88</v>
      </c>
      <c r="B21" s="765"/>
      <c r="C21" s="342"/>
      <c r="D21" s="241"/>
      <c r="E21" s="342"/>
      <c r="F21" s="241"/>
      <c r="G21" s="342"/>
      <c r="H21" s="342"/>
      <c r="I21" s="342"/>
      <c r="J21" s="342"/>
      <c r="K21" s="342"/>
      <c r="L21" s="342"/>
      <c r="M21" s="342"/>
      <c r="N21" s="342"/>
      <c r="O21" s="342"/>
    </row>
    <row r="22" spans="1:15" x14ac:dyDescent="0.25">
      <c r="A22" s="734" t="s">
        <v>72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>G22/H22</f>
        <v>0</v>
      </c>
      <c r="J22" s="320">
        <f>G22/298</f>
        <v>0</v>
      </c>
      <c r="K22" s="320">
        <f>$K$12+Personal!D38</f>
        <v>0</v>
      </c>
      <c r="L22" s="491">
        <f>+K22/C22</f>
        <v>0</v>
      </c>
      <c r="M22" s="139" t="s">
        <v>41</v>
      </c>
      <c r="N22" s="139" t="s">
        <v>42</v>
      </c>
      <c r="O22" s="144">
        <f>+K22*G22</f>
        <v>0</v>
      </c>
    </row>
    <row r="23" spans="1:15" x14ac:dyDescent="0.25">
      <c r="A23" s="764" t="s">
        <v>89</v>
      </c>
      <c r="B23" s="764"/>
      <c r="C23" s="342"/>
      <c r="D23" s="241"/>
      <c r="E23" s="342"/>
      <c r="F23" s="241"/>
      <c r="G23" s="342"/>
      <c r="H23" s="342"/>
      <c r="I23" s="342"/>
      <c r="J23" s="342"/>
      <c r="K23" s="342"/>
      <c r="L23" s="342"/>
      <c r="M23" s="342"/>
      <c r="N23" s="342"/>
      <c r="O23" s="342"/>
    </row>
    <row r="24" spans="1:15" x14ac:dyDescent="0.25">
      <c r="A24" s="734" t="s">
        <v>72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>G24/H24</f>
        <v>0</v>
      </c>
      <c r="J24" s="320">
        <f>G24/298</f>
        <v>0</v>
      </c>
      <c r="K24" s="320">
        <f>$K$12+Personal!D38</f>
        <v>0</v>
      </c>
      <c r="L24" s="491">
        <f>+K24/C24</f>
        <v>0</v>
      </c>
      <c r="M24" s="139" t="s">
        <v>90</v>
      </c>
      <c r="N24" s="139" t="s">
        <v>42</v>
      </c>
      <c r="O24" s="144">
        <f>+K24*G24</f>
        <v>0</v>
      </c>
    </row>
    <row r="25" spans="1:15" x14ac:dyDescent="0.25">
      <c r="A25" s="229" t="s">
        <v>199</v>
      </c>
      <c r="B25" s="242"/>
      <c r="C25" s="347"/>
      <c r="D25" s="347"/>
      <c r="E25" s="347"/>
      <c r="F25" s="245"/>
      <c r="G25" s="347"/>
      <c r="H25" s="347"/>
      <c r="I25" s="347"/>
      <c r="J25" s="347"/>
      <c r="K25" s="347"/>
      <c r="L25" s="347"/>
      <c r="M25" s="347"/>
      <c r="N25" s="347"/>
      <c r="O25" s="347"/>
    </row>
    <row r="26" spans="1:15" x14ac:dyDescent="0.25">
      <c r="A26" s="762" t="s">
        <v>195</v>
      </c>
      <c r="B26" s="762"/>
      <c r="C26" s="342"/>
      <c r="D26" s="342"/>
      <c r="E26" s="342"/>
      <c r="F26" s="234"/>
      <c r="G26" s="342"/>
      <c r="H26" s="342"/>
      <c r="I26" s="342"/>
      <c r="J26" s="342"/>
      <c r="K26" s="342"/>
      <c r="L26" s="342"/>
      <c r="M26" s="342"/>
      <c r="N26" s="342"/>
      <c r="O26" s="342"/>
    </row>
    <row r="27" spans="1:15" x14ac:dyDescent="0.25">
      <c r="A27" s="765" t="s">
        <v>88</v>
      </c>
      <c r="B27" s="765"/>
      <c r="C27" s="342"/>
      <c r="D27" s="342"/>
      <c r="E27" s="342"/>
      <c r="F27" s="241"/>
      <c r="G27" s="342"/>
      <c r="H27" s="342"/>
      <c r="I27" s="342"/>
      <c r="J27" s="342"/>
      <c r="K27" s="342"/>
      <c r="L27" s="342"/>
      <c r="M27" s="342"/>
      <c r="N27" s="342"/>
      <c r="O27" s="342"/>
    </row>
    <row r="28" spans="1:15" x14ac:dyDescent="0.25">
      <c r="A28" s="734" t="s">
        <v>72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>G28/H28</f>
        <v>0</v>
      </c>
      <c r="J28" s="320">
        <f>G28/298</f>
        <v>0</v>
      </c>
      <c r="K28" s="320">
        <f>$K$12</f>
        <v>0</v>
      </c>
      <c r="L28" s="491">
        <f>+K28/C28</f>
        <v>0</v>
      </c>
      <c r="M28" s="139" t="s">
        <v>41</v>
      </c>
      <c r="N28" s="139" t="s">
        <v>42</v>
      </c>
      <c r="O28" s="144">
        <f>+K28*G28</f>
        <v>0</v>
      </c>
    </row>
    <row r="29" spans="1:15" x14ac:dyDescent="0.25">
      <c r="A29" s="764" t="s">
        <v>89</v>
      </c>
      <c r="B29" s="764"/>
      <c r="C29" s="342"/>
      <c r="D29" s="241"/>
      <c r="E29" s="342"/>
      <c r="F29" s="241"/>
      <c r="G29" s="342"/>
      <c r="H29" s="342"/>
      <c r="I29" s="342"/>
      <c r="J29" s="342"/>
      <c r="K29" s="342"/>
      <c r="L29" s="342"/>
      <c r="M29" s="342"/>
      <c r="N29" s="342"/>
      <c r="O29" s="342"/>
    </row>
    <row r="30" spans="1:15" x14ac:dyDescent="0.25">
      <c r="A30" s="734" t="s">
        <v>72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>G30/H30</f>
        <v>0</v>
      </c>
      <c r="J30" s="320">
        <f>G30/298</f>
        <v>0</v>
      </c>
      <c r="K30" s="320">
        <f>$K$12</f>
        <v>0</v>
      </c>
      <c r="L30" s="491">
        <f>+K30/C30</f>
        <v>0</v>
      </c>
      <c r="M30" s="139" t="s">
        <v>90</v>
      </c>
      <c r="N30" s="139" t="s">
        <v>42</v>
      </c>
      <c r="O30" s="144">
        <f>+K30*G30</f>
        <v>0</v>
      </c>
    </row>
    <row r="31" spans="1:15" x14ac:dyDescent="0.25">
      <c r="A31" s="762" t="s">
        <v>196</v>
      </c>
      <c r="B31" s="762"/>
      <c r="C31" s="342"/>
      <c r="D31" s="241"/>
      <c r="E31" s="342"/>
      <c r="F31" s="241"/>
      <c r="G31" s="342"/>
      <c r="H31" s="342"/>
      <c r="I31" s="342"/>
      <c r="J31" s="342"/>
      <c r="K31" s="342"/>
      <c r="L31" s="342"/>
      <c r="M31" s="342"/>
      <c r="N31" s="342"/>
      <c r="O31" s="342"/>
    </row>
    <row r="32" spans="1:15" x14ac:dyDescent="0.25">
      <c r="A32" s="765" t="s">
        <v>88</v>
      </c>
      <c r="B32" s="765"/>
      <c r="C32" s="342"/>
      <c r="D32" s="241"/>
      <c r="E32" s="342"/>
      <c r="F32" s="241"/>
      <c r="G32" s="342"/>
      <c r="H32" s="342"/>
      <c r="I32" s="342"/>
      <c r="J32" s="342"/>
      <c r="K32" s="342"/>
      <c r="L32" s="342"/>
      <c r="M32" s="342"/>
      <c r="N32" s="342"/>
      <c r="O32" s="342"/>
    </row>
    <row r="33" spans="1:15" x14ac:dyDescent="0.25">
      <c r="A33" s="734" t="s">
        <v>72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>G33/H33</f>
        <v>0</v>
      </c>
      <c r="J33" s="320">
        <f>G33/298</f>
        <v>0</v>
      </c>
      <c r="K33" s="320">
        <f>$K$12</f>
        <v>0</v>
      </c>
      <c r="L33" s="491">
        <f>+K33/C33</f>
        <v>0</v>
      </c>
      <c r="M33" s="139" t="s">
        <v>41</v>
      </c>
      <c r="N33" s="139" t="s">
        <v>42</v>
      </c>
      <c r="O33" s="144">
        <f>+K33*G33</f>
        <v>0</v>
      </c>
    </row>
    <row r="34" spans="1:15" x14ac:dyDescent="0.25">
      <c r="A34" s="764" t="s">
        <v>89</v>
      </c>
      <c r="B34" s="764"/>
      <c r="C34" s="342"/>
      <c r="D34" s="241"/>
      <c r="E34" s="342"/>
      <c r="F34" s="241"/>
      <c r="G34" s="342"/>
      <c r="H34" s="342"/>
      <c r="I34" s="342"/>
      <c r="J34" s="342"/>
      <c r="K34" s="342"/>
      <c r="L34" s="342"/>
      <c r="M34" s="342"/>
      <c r="N34" s="342"/>
      <c r="O34" s="342"/>
    </row>
    <row r="35" spans="1:15" x14ac:dyDescent="0.25">
      <c r="A35" s="734" t="s">
        <v>72</v>
      </c>
      <c r="B35" s="734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>G35/H35</f>
        <v>0</v>
      </c>
      <c r="J35" s="320">
        <f>G35/298</f>
        <v>0</v>
      </c>
      <c r="K35" s="320">
        <f>$K$12</f>
        <v>0</v>
      </c>
      <c r="L35" s="491">
        <f>+K35/C35</f>
        <v>0</v>
      </c>
      <c r="M35" s="139" t="s">
        <v>90</v>
      </c>
      <c r="N35" s="139" t="s">
        <v>42</v>
      </c>
      <c r="O35" s="144">
        <f>+K35*G35</f>
        <v>0</v>
      </c>
    </row>
    <row r="36" spans="1:15" x14ac:dyDescent="0.25">
      <c r="A36" s="762" t="s">
        <v>197</v>
      </c>
      <c r="B36" s="762"/>
      <c r="C36" s="342"/>
      <c r="D36" s="241"/>
      <c r="E36" s="342"/>
      <c r="F36" s="241"/>
      <c r="G36" s="342"/>
      <c r="H36" s="342"/>
      <c r="I36" s="342"/>
      <c r="J36" s="342"/>
      <c r="K36" s="342"/>
      <c r="L36" s="342"/>
      <c r="M36" s="342"/>
      <c r="N36" s="342"/>
      <c r="O36" s="342"/>
    </row>
    <row r="37" spans="1:15" x14ac:dyDescent="0.25">
      <c r="A37" s="765" t="s">
        <v>88</v>
      </c>
      <c r="B37" s="765"/>
      <c r="C37" s="342"/>
      <c r="D37" s="241"/>
      <c r="E37" s="342"/>
      <c r="F37" s="241"/>
      <c r="G37" s="342"/>
      <c r="H37" s="342"/>
      <c r="I37" s="342"/>
      <c r="J37" s="342"/>
      <c r="K37" s="342"/>
      <c r="L37" s="342"/>
      <c r="M37" s="342"/>
      <c r="N37" s="342"/>
      <c r="O37" s="342"/>
    </row>
    <row r="38" spans="1:15" x14ac:dyDescent="0.25">
      <c r="A38" s="734" t="s">
        <v>72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>G38/H38</f>
        <v>0</v>
      </c>
      <c r="J38" s="320">
        <f>G38/298</f>
        <v>0</v>
      </c>
      <c r="K38" s="320">
        <f>$K$12+Personal!D38</f>
        <v>0</v>
      </c>
      <c r="L38" s="491">
        <f>+K38/C38</f>
        <v>0</v>
      </c>
      <c r="M38" s="139" t="s">
        <v>41</v>
      </c>
      <c r="N38" s="139" t="s">
        <v>42</v>
      </c>
      <c r="O38" s="144">
        <f>+K38*G38</f>
        <v>0</v>
      </c>
    </row>
    <row r="39" spans="1:15" x14ac:dyDescent="0.25">
      <c r="A39" s="764" t="s">
        <v>89</v>
      </c>
      <c r="B39" s="764"/>
      <c r="C39" s="342"/>
      <c r="D39" s="241"/>
      <c r="E39" s="342"/>
      <c r="F39" s="241"/>
      <c r="G39" s="342"/>
      <c r="H39" s="342"/>
      <c r="I39" s="342"/>
      <c r="J39" s="342"/>
      <c r="K39" s="342"/>
      <c r="L39" s="342"/>
      <c r="M39" s="342"/>
      <c r="N39" s="342"/>
      <c r="O39" s="342"/>
    </row>
    <row r="40" spans="1:15" x14ac:dyDescent="0.25">
      <c r="A40" s="734" t="s">
        <v>72</v>
      </c>
      <c r="B40" s="734"/>
      <c r="C40" s="137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>G40/H40</f>
        <v>0</v>
      </c>
      <c r="J40" s="320">
        <f>G40/298</f>
        <v>0</v>
      </c>
      <c r="K40" s="320">
        <f>$K$12+Personal!D38</f>
        <v>0</v>
      </c>
      <c r="L40" s="491">
        <f>+K40/C40</f>
        <v>0</v>
      </c>
      <c r="M40" s="139" t="s">
        <v>90</v>
      </c>
      <c r="N40" s="139" t="s">
        <v>42</v>
      </c>
      <c r="O40" s="144">
        <f>+K40*G40</f>
        <v>0</v>
      </c>
    </row>
    <row r="41" spans="1:15" x14ac:dyDescent="0.25">
      <c r="A41" s="229" t="s">
        <v>326</v>
      </c>
      <c r="B41" s="242"/>
      <c r="C41" s="347"/>
      <c r="D41" s="347"/>
      <c r="E41" s="347"/>
      <c r="F41" s="245"/>
      <c r="G41" s="347"/>
      <c r="H41" s="347"/>
      <c r="I41" s="347"/>
      <c r="J41" s="347"/>
      <c r="K41" s="347"/>
      <c r="L41" s="347"/>
      <c r="M41" s="347"/>
      <c r="N41" s="347"/>
      <c r="O41" s="347"/>
    </row>
    <row r="42" spans="1:15" x14ac:dyDescent="0.25">
      <c r="A42" s="762" t="s">
        <v>195</v>
      </c>
      <c r="B42" s="762"/>
      <c r="C42" s="342"/>
      <c r="D42" s="342"/>
      <c r="E42" s="342"/>
      <c r="F42" s="234"/>
      <c r="G42" s="342"/>
      <c r="H42" s="342"/>
      <c r="I42" s="342"/>
      <c r="J42" s="342"/>
      <c r="K42" s="342"/>
      <c r="L42" s="342"/>
      <c r="M42" s="342"/>
      <c r="N42" s="342"/>
      <c r="O42" s="342"/>
    </row>
    <row r="43" spans="1:15" x14ac:dyDescent="0.25">
      <c r="A43" s="763" t="s">
        <v>88</v>
      </c>
      <c r="B43" s="763"/>
      <c r="C43" s="342"/>
      <c r="D43" s="342"/>
      <c r="E43" s="342"/>
      <c r="F43" s="234"/>
      <c r="G43" s="342"/>
      <c r="H43" s="342"/>
      <c r="I43" s="342"/>
      <c r="J43" s="342"/>
      <c r="K43" s="342"/>
      <c r="L43" s="342"/>
      <c r="M43" s="342"/>
      <c r="N43" s="342"/>
      <c r="O43" s="342"/>
    </row>
    <row r="44" spans="1:15" x14ac:dyDescent="0.25">
      <c r="A44" s="734" t="s">
        <v>72</v>
      </c>
      <c r="B44" s="734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>G44/H44</f>
        <v>0</v>
      </c>
      <c r="J44" s="320">
        <f>G44/298</f>
        <v>0</v>
      </c>
      <c r="K44" s="320">
        <f>$K$12</f>
        <v>0</v>
      </c>
      <c r="L44" s="491">
        <f>+K44/C44</f>
        <v>0</v>
      </c>
      <c r="M44" s="139" t="s">
        <v>41</v>
      </c>
      <c r="N44" s="139" t="s">
        <v>42</v>
      </c>
      <c r="O44" s="144">
        <f>+K44*G44</f>
        <v>0</v>
      </c>
    </row>
    <row r="45" spans="1:15" x14ac:dyDescent="0.25">
      <c r="A45" s="770" t="s">
        <v>89</v>
      </c>
      <c r="B45" s="770"/>
      <c r="C45" s="342"/>
      <c r="D45" s="241"/>
      <c r="E45" s="342"/>
      <c r="F45" s="241"/>
      <c r="G45" s="342"/>
      <c r="H45" s="342"/>
      <c r="I45" s="342"/>
      <c r="J45" s="342"/>
      <c r="K45" s="342"/>
      <c r="L45" s="342"/>
      <c r="M45" s="342"/>
      <c r="N45" s="342"/>
      <c r="O45" s="342"/>
    </row>
    <row r="46" spans="1:15" x14ac:dyDescent="0.25">
      <c r="A46" s="734" t="s">
        <v>72</v>
      </c>
      <c r="B46" s="734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>G46/H46</f>
        <v>0</v>
      </c>
      <c r="J46" s="320">
        <f>G46/298</f>
        <v>0</v>
      </c>
      <c r="K46" s="320">
        <f>$K$12</f>
        <v>0</v>
      </c>
      <c r="L46" s="491">
        <f>+K46/C46</f>
        <v>0</v>
      </c>
      <c r="M46" s="139" t="s">
        <v>90</v>
      </c>
      <c r="N46" s="139" t="s">
        <v>42</v>
      </c>
      <c r="O46" s="144">
        <f>+K46*G46</f>
        <v>0</v>
      </c>
    </row>
    <row r="47" spans="1:15" x14ac:dyDescent="0.25">
      <c r="A47" s="762" t="s">
        <v>196</v>
      </c>
      <c r="B47" s="762"/>
      <c r="C47" s="342"/>
      <c r="D47" s="241"/>
      <c r="E47" s="342"/>
      <c r="F47" s="241"/>
      <c r="G47" s="342"/>
      <c r="H47" s="342"/>
      <c r="I47" s="342"/>
      <c r="J47" s="342"/>
      <c r="K47" s="342"/>
      <c r="L47" s="342"/>
      <c r="M47" s="342"/>
      <c r="N47" s="342"/>
      <c r="O47" s="342"/>
    </row>
    <row r="48" spans="1:15" x14ac:dyDescent="0.25">
      <c r="A48" s="763" t="s">
        <v>88</v>
      </c>
      <c r="B48" s="763"/>
      <c r="C48" s="342"/>
      <c r="D48" s="241"/>
      <c r="E48" s="342"/>
      <c r="F48" s="241"/>
      <c r="G48" s="342"/>
      <c r="H48" s="342"/>
      <c r="I48" s="342"/>
      <c r="J48" s="342"/>
      <c r="K48" s="342"/>
      <c r="L48" s="342"/>
      <c r="M48" s="342"/>
      <c r="N48" s="342"/>
      <c r="O48" s="342"/>
    </row>
    <row r="49" spans="1:15" x14ac:dyDescent="0.25">
      <c r="A49" s="734" t="s">
        <v>72</v>
      </c>
      <c r="B49" s="734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>G49/H49</f>
        <v>0</v>
      </c>
      <c r="J49" s="320">
        <f>G49/298</f>
        <v>0</v>
      </c>
      <c r="K49" s="320">
        <f>$K$12</f>
        <v>0</v>
      </c>
      <c r="L49" s="491">
        <f>+K49/C49</f>
        <v>0</v>
      </c>
      <c r="M49" s="139" t="s">
        <v>41</v>
      </c>
      <c r="N49" s="139" t="s">
        <v>42</v>
      </c>
      <c r="O49" s="144">
        <f>+K49*G49</f>
        <v>0</v>
      </c>
    </row>
    <row r="50" spans="1:15" x14ac:dyDescent="0.25">
      <c r="A50" s="770" t="s">
        <v>89</v>
      </c>
      <c r="B50" s="770"/>
      <c r="C50" s="342"/>
      <c r="D50" s="241"/>
      <c r="E50" s="342"/>
      <c r="F50" s="241"/>
      <c r="G50" s="342"/>
      <c r="H50" s="342"/>
      <c r="I50" s="342"/>
      <c r="J50" s="342"/>
      <c r="K50" s="342"/>
      <c r="L50" s="342"/>
      <c r="M50" s="342"/>
      <c r="N50" s="342"/>
      <c r="O50" s="342"/>
    </row>
    <row r="51" spans="1:15" x14ac:dyDescent="0.25">
      <c r="A51" s="734" t="s">
        <v>72</v>
      </c>
      <c r="B51" s="734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>G51/H51</f>
        <v>0</v>
      </c>
      <c r="J51" s="320">
        <f>G51/298</f>
        <v>0</v>
      </c>
      <c r="K51" s="320">
        <f>$K$12</f>
        <v>0</v>
      </c>
      <c r="L51" s="491">
        <f>+K51/C51</f>
        <v>0</v>
      </c>
      <c r="M51" s="139" t="s">
        <v>90</v>
      </c>
      <c r="N51" s="139" t="s">
        <v>42</v>
      </c>
      <c r="O51" s="144">
        <f>+K51*G51</f>
        <v>0</v>
      </c>
    </row>
    <row r="52" spans="1:15" x14ac:dyDescent="0.25">
      <c r="A52" s="762" t="s">
        <v>197</v>
      </c>
      <c r="B52" s="762"/>
      <c r="C52" s="342"/>
      <c r="D52" s="241"/>
      <c r="E52" s="342"/>
      <c r="F52" s="241"/>
      <c r="G52" s="342"/>
      <c r="H52" s="342"/>
      <c r="I52" s="342"/>
      <c r="J52" s="342"/>
      <c r="K52" s="342"/>
      <c r="L52" s="342"/>
      <c r="M52" s="342"/>
      <c r="N52" s="342"/>
      <c r="O52" s="342"/>
    </row>
    <row r="53" spans="1:15" x14ac:dyDescent="0.25">
      <c r="A53" s="763" t="s">
        <v>88</v>
      </c>
      <c r="B53" s="763"/>
      <c r="C53" s="342"/>
      <c r="D53" s="241"/>
      <c r="E53" s="342"/>
      <c r="F53" s="241"/>
      <c r="G53" s="342"/>
      <c r="H53" s="342"/>
      <c r="I53" s="342"/>
      <c r="J53" s="342"/>
      <c r="K53" s="342"/>
      <c r="L53" s="342"/>
      <c r="M53" s="342"/>
      <c r="N53" s="342"/>
      <c r="O53" s="342"/>
    </row>
    <row r="54" spans="1:15" x14ac:dyDescent="0.25">
      <c r="A54" s="734" t="s">
        <v>72</v>
      </c>
      <c r="B54" s="734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>G54/H54</f>
        <v>0</v>
      </c>
      <c r="J54" s="320">
        <f>G54/298</f>
        <v>0</v>
      </c>
      <c r="K54" s="320">
        <f>$K$12+Personal!D38</f>
        <v>0</v>
      </c>
      <c r="L54" s="491">
        <f>+K54/C54</f>
        <v>0</v>
      </c>
      <c r="M54" s="139" t="s">
        <v>41</v>
      </c>
      <c r="N54" s="139" t="s">
        <v>42</v>
      </c>
      <c r="O54" s="144">
        <f>+K54*G54</f>
        <v>0</v>
      </c>
    </row>
    <row r="55" spans="1:15" x14ac:dyDescent="0.25">
      <c r="A55" s="770" t="s">
        <v>89</v>
      </c>
      <c r="B55" s="770"/>
      <c r="C55" s="342"/>
      <c r="D55" s="241"/>
      <c r="E55" s="342"/>
      <c r="F55" s="241"/>
      <c r="G55" s="342"/>
      <c r="H55" s="342"/>
      <c r="I55" s="342"/>
      <c r="J55" s="342"/>
      <c r="K55" s="342"/>
      <c r="L55" s="342"/>
      <c r="M55" s="342"/>
      <c r="N55" s="342"/>
      <c r="O55" s="342"/>
    </row>
    <row r="56" spans="1:15" x14ac:dyDescent="0.25">
      <c r="A56" s="734" t="s">
        <v>72</v>
      </c>
      <c r="B56" s="734"/>
      <c r="C56" s="137">
        <v>6.1666699999999999</v>
      </c>
      <c r="D56" s="138">
        <v>0.66666666666666674</v>
      </c>
      <c r="E56" s="701"/>
      <c r="F56" s="139">
        <f>Dies!$C$60</f>
        <v>17</v>
      </c>
      <c r="G56" s="273">
        <f>+F56*E56*D56</f>
        <v>0</v>
      </c>
      <c r="H56" s="273">
        <f>$H$12</f>
        <v>265</v>
      </c>
      <c r="I56" s="320">
        <f>G56/H56</f>
        <v>0</v>
      </c>
      <c r="J56" s="320">
        <f>G56/298</f>
        <v>0</v>
      </c>
      <c r="K56" s="320">
        <f>$K$12+Personal!D38</f>
        <v>0</v>
      </c>
      <c r="L56" s="491">
        <f>+K56/C56</f>
        <v>0</v>
      </c>
      <c r="M56" s="139" t="s">
        <v>90</v>
      </c>
      <c r="N56" s="139" t="s">
        <v>42</v>
      </c>
      <c r="O56" s="144">
        <f>+K56*G56</f>
        <v>0</v>
      </c>
    </row>
    <row r="57" spans="1:15" x14ac:dyDescent="0.25">
      <c r="A57" s="395"/>
      <c r="B57" s="396"/>
      <c r="C57" s="396"/>
      <c r="D57" s="396"/>
      <c r="E57" s="397" t="s">
        <v>45</v>
      </c>
      <c r="F57" s="396"/>
      <c r="G57" s="396">
        <f>SUM(G12:G56)</f>
        <v>0</v>
      </c>
      <c r="H57" s="396"/>
      <c r="I57" s="396">
        <f>SUM(I12:I56)</f>
        <v>0</v>
      </c>
      <c r="J57" s="396">
        <f>SUM(J12:J56)</f>
        <v>0</v>
      </c>
      <c r="K57" s="396"/>
      <c r="L57" s="396"/>
      <c r="M57" s="396"/>
      <c r="N57" s="396"/>
      <c r="O57" s="399">
        <f>SUM(O12:O56)</f>
        <v>0</v>
      </c>
    </row>
    <row r="58" spans="1:15" x14ac:dyDescent="0.25">
      <c r="A58" s="400"/>
      <c r="B58" s="327"/>
      <c r="C58" s="327"/>
      <c r="D58" s="327"/>
      <c r="E58" s="328"/>
      <c r="F58" s="258" t="s">
        <v>301</v>
      </c>
      <c r="G58" s="327">
        <f>G57</f>
        <v>0</v>
      </c>
      <c r="H58" s="327"/>
      <c r="I58" s="327"/>
      <c r="J58" s="327"/>
      <c r="K58" s="327"/>
      <c r="L58" s="327"/>
      <c r="M58" s="327"/>
      <c r="N58" s="327"/>
      <c r="O58" s="401"/>
    </row>
    <row r="59" spans="1:15" s="153" customFormat="1" ht="26.25" x14ac:dyDescent="0.4">
      <c r="A59" s="220" t="s">
        <v>211</v>
      </c>
      <c r="B59" s="221"/>
      <c r="C59" s="221"/>
      <c r="D59" s="223"/>
      <c r="E59" s="223"/>
      <c r="F59" s="223"/>
      <c r="G59" s="223"/>
      <c r="H59" s="223"/>
      <c r="I59" s="223"/>
      <c r="J59" s="223"/>
      <c r="K59" s="224"/>
      <c r="L59" s="224"/>
      <c r="M59" s="224"/>
      <c r="N59" s="224"/>
      <c r="O59" s="224"/>
    </row>
    <row r="60" spans="1:15" x14ac:dyDescent="0.25">
      <c r="A60" s="773" t="s">
        <v>20</v>
      </c>
      <c r="B60" s="773"/>
      <c r="C60" s="225" t="s">
        <v>27</v>
      </c>
      <c r="D60" s="225" t="s">
        <v>28</v>
      </c>
      <c r="E60" s="225" t="s">
        <v>21</v>
      </c>
      <c r="F60" s="225" t="s">
        <v>29</v>
      </c>
      <c r="G60" s="225"/>
      <c r="H60" s="225"/>
      <c r="I60" s="225"/>
      <c r="J60" s="225"/>
      <c r="K60" s="225" t="s">
        <v>30</v>
      </c>
      <c r="L60" s="225"/>
      <c r="M60" s="225" t="s">
        <v>31</v>
      </c>
      <c r="N60" s="225"/>
      <c r="O60" s="225" t="s">
        <v>32</v>
      </c>
    </row>
    <row r="61" spans="1:15" x14ac:dyDescent="0.25">
      <c r="A61" s="768"/>
      <c r="B61" s="768"/>
      <c r="C61" s="226" t="s">
        <v>44</v>
      </c>
      <c r="D61" s="226" t="s">
        <v>5</v>
      </c>
      <c r="E61" s="226" t="s">
        <v>24</v>
      </c>
      <c r="F61" s="227" t="s">
        <v>34</v>
      </c>
      <c r="G61" s="226" t="s">
        <v>35</v>
      </c>
      <c r="H61" s="226"/>
      <c r="I61" s="226"/>
      <c r="J61" s="226"/>
      <c r="K61" s="226" t="s">
        <v>36</v>
      </c>
      <c r="L61" s="226"/>
      <c r="M61" s="226" t="s">
        <v>38</v>
      </c>
      <c r="N61" s="226"/>
      <c r="O61" s="226" t="s">
        <v>40</v>
      </c>
    </row>
    <row r="62" spans="1:15" x14ac:dyDescent="0.25">
      <c r="A62" s="229" t="s">
        <v>198</v>
      </c>
      <c r="B62" s="230"/>
      <c r="C62" s="347"/>
      <c r="D62" s="347"/>
      <c r="E62" s="347"/>
      <c r="F62" s="348"/>
      <c r="G62" s="347"/>
      <c r="H62" s="347"/>
      <c r="I62" s="347"/>
      <c r="J62" s="347"/>
      <c r="K62" s="347"/>
      <c r="L62" s="347"/>
      <c r="M62" s="347"/>
      <c r="N62" s="347"/>
      <c r="O62" s="347"/>
    </row>
    <row r="63" spans="1:15" x14ac:dyDescent="0.25">
      <c r="A63" s="232" t="s">
        <v>195</v>
      </c>
      <c r="B63" s="233"/>
      <c r="C63" s="342"/>
      <c r="D63" s="342"/>
      <c r="E63" s="342"/>
      <c r="F63" s="343"/>
      <c r="G63" s="342"/>
      <c r="H63" s="342"/>
      <c r="I63" s="342"/>
      <c r="J63" s="342"/>
      <c r="K63" s="342"/>
      <c r="L63" s="342"/>
      <c r="M63" s="342"/>
      <c r="N63" s="342"/>
      <c r="O63" s="342"/>
    </row>
    <row r="64" spans="1:15" x14ac:dyDescent="0.25">
      <c r="A64" s="763" t="s">
        <v>88</v>
      </c>
      <c r="B64" s="763"/>
      <c r="C64" s="342"/>
      <c r="D64" s="342"/>
      <c r="E64" s="342"/>
      <c r="F64" s="343"/>
      <c r="G64" s="342"/>
      <c r="H64" s="342"/>
      <c r="I64" s="342"/>
      <c r="J64" s="342"/>
      <c r="K64" s="342"/>
      <c r="L64" s="342"/>
      <c r="M64" s="342"/>
      <c r="N64" s="342"/>
      <c r="O64" s="342"/>
    </row>
    <row r="65" spans="1:15" x14ac:dyDescent="0.25">
      <c r="A65" s="734" t="s">
        <v>74</v>
      </c>
      <c r="B65" s="734"/>
      <c r="C65" s="137">
        <v>6.1666699999999999</v>
      </c>
      <c r="D65" s="138">
        <v>1</v>
      </c>
      <c r="E65" s="139">
        <f>$E$12</f>
        <v>0</v>
      </c>
      <c r="F65" s="139">
        <f>Dies!$C$48</f>
        <v>95</v>
      </c>
      <c r="G65" s="273">
        <f>+D65*E65*F65</f>
        <v>0</v>
      </c>
      <c r="H65" s="273"/>
      <c r="I65" s="320"/>
      <c r="J65" s="273"/>
      <c r="K65" s="320">
        <f>'Seguro+combustible+reparacions'!F6</f>
        <v>0</v>
      </c>
      <c r="L65" s="237">
        <f>+K65/C65</f>
        <v>0</v>
      </c>
      <c r="M65" s="238" t="str">
        <f>+M12</f>
        <v>Matí</v>
      </c>
      <c r="N65" s="238"/>
      <c r="O65" s="239">
        <f>+K65*G65</f>
        <v>0</v>
      </c>
    </row>
    <row r="66" spans="1:15" x14ac:dyDescent="0.25">
      <c r="A66" s="764" t="s">
        <v>89</v>
      </c>
      <c r="B66" s="764"/>
      <c r="C66" s="342"/>
      <c r="D66" s="342"/>
      <c r="E66" s="241"/>
      <c r="F66" s="241"/>
      <c r="G66" s="342"/>
      <c r="H66" s="342"/>
      <c r="I66" s="342"/>
      <c r="J66" s="342"/>
      <c r="K66" s="342"/>
      <c r="L66" s="342"/>
      <c r="M66" s="342"/>
      <c r="N66" s="342"/>
      <c r="O66" s="342"/>
    </row>
    <row r="67" spans="1:15" x14ac:dyDescent="0.25">
      <c r="A67" s="734" t="s">
        <v>74</v>
      </c>
      <c r="B67" s="734"/>
      <c r="C67" s="137">
        <v>6.1666699999999999</v>
      </c>
      <c r="D67" s="138">
        <v>1</v>
      </c>
      <c r="E67" s="139">
        <f>$E$14</f>
        <v>0</v>
      </c>
      <c r="F67" s="139">
        <f>Dies!$C$48</f>
        <v>95</v>
      </c>
      <c r="G67" s="273">
        <f>+D67*E67*F67</f>
        <v>0</v>
      </c>
      <c r="H67" s="273"/>
      <c r="I67" s="320"/>
      <c r="J67" s="273"/>
      <c r="K67" s="320">
        <f>$K$65</f>
        <v>0</v>
      </c>
      <c r="L67" s="237">
        <f>+K67/C67</f>
        <v>0</v>
      </c>
      <c r="M67" s="238" t="str">
        <f>M14</f>
        <v>Tarda</v>
      </c>
      <c r="N67" s="238"/>
      <c r="O67" s="239">
        <f>+K67*G67</f>
        <v>0</v>
      </c>
    </row>
    <row r="68" spans="1:15" x14ac:dyDescent="0.25">
      <c r="A68" s="762" t="s">
        <v>196</v>
      </c>
      <c r="B68" s="762"/>
      <c r="C68" s="342"/>
      <c r="D68" s="342"/>
      <c r="E68" s="241"/>
      <c r="F68" s="241"/>
      <c r="G68" s="342"/>
      <c r="H68" s="342"/>
      <c r="I68" s="342"/>
      <c r="J68" s="342"/>
      <c r="K68" s="342"/>
      <c r="L68" s="342"/>
      <c r="M68" s="342"/>
      <c r="N68" s="342"/>
      <c r="O68" s="342"/>
    </row>
    <row r="69" spans="1:15" x14ac:dyDescent="0.25">
      <c r="A69" s="765" t="s">
        <v>88</v>
      </c>
      <c r="B69" s="765"/>
      <c r="C69" s="342"/>
      <c r="D69" s="342"/>
      <c r="E69" s="241"/>
      <c r="F69" s="241"/>
      <c r="G69" s="342"/>
      <c r="H69" s="342"/>
      <c r="I69" s="342"/>
      <c r="J69" s="342"/>
      <c r="K69" s="342"/>
      <c r="L69" s="342"/>
      <c r="M69" s="342"/>
      <c r="N69" s="342"/>
      <c r="O69" s="342"/>
    </row>
    <row r="70" spans="1:15" x14ac:dyDescent="0.25">
      <c r="A70" s="734" t="s">
        <v>74</v>
      </c>
      <c r="B70" s="734"/>
      <c r="C70" s="137">
        <v>6.1666699999999999</v>
      </c>
      <c r="D70" s="138">
        <v>1</v>
      </c>
      <c r="E70" s="139">
        <f>$E$17</f>
        <v>0</v>
      </c>
      <c r="F70" s="139">
        <f>Dies!$C$49</f>
        <v>20</v>
      </c>
      <c r="G70" s="273">
        <f>+D70*E70*F70</f>
        <v>0</v>
      </c>
      <c r="H70" s="273"/>
      <c r="I70" s="320"/>
      <c r="J70" s="273"/>
      <c r="K70" s="320">
        <f>$K$65</f>
        <v>0</v>
      </c>
      <c r="L70" s="237">
        <f>+K70/C70</f>
        <v>0</v>
      </c>
      <c r="M70" s="238" t="str">
        <f>+M17</f>
        <v>Matí</v>
      </c>
      <c r="N70" s="238"/>
      <c r="O70" s="239">
        <f>+K70*G70</f>
        <v>0</v>
      </c>
    </row>
    <row r="71" spans="1:15" x14ac:dyDescent="0.25">
      <c r="A71" s="764" t="s">
        <v>89</v>
      </c>
      <c r="B71" s="764"/>
      <c r="C71" s="342"/>
      <c r="D71" s="342"/>
      <c r="E71" s="653"/>
      <c r="F71" s="241"/>
      <c r="G71" s="342"/>
      <c r="H71" s="342"/>
      <c r="I71" s="342"/>
      <c r="J71" s="342"/>
      <c r="K71" s="342"/>
      <c r="L71" s="342"/>
      <c r="M71" s="342"/>
      <c r="N71" s="342"/>
      <c r="O71" s="342"/>
    </row>
    <row r="72" spans="1:15" x14ac:dyDescent="0.25">
      <c r="A72" s="734" t="s">
        <v>74</v>
      </c>
      <c r="B72" s="734"/>
      <c r="C72" s="137">
        <v>6.1666699999999999</v>
      </c>
      <c r="D72" s="138">
        <v>1</v>
      </c>
      <c r="E72" s="139">
        <f>$E$19</f>
        <v>0</v>
      </c>
      <c r="F72" s="139">
        <f>Dies!$C$49</f>
        <v>20</v>
      </c>
      <c r="G72" s="273">
        <f>+D72*E72*F72</f>
        <v>0</v>
      </c>
      <c r="H72" s="273"/>
      <c r="I72" s="320"/>
      <c r="J72" s="273"/>
      <c r="K72" s="320">
        <f>$K$65</f>
        <v>0</v>
      </c>
      <c r="L72" s="237">
        <f>+K72/C72</f>
        <v>0</v>
      </c>
      <c r="M72" s="238" t="str">
        <f>+M19</f>
        <v>Tarda</v>
      </c>
      <c r="N72" s="238"/>
      <c r="O72" s="239">
        <f>+K72*G72</f>
        <v>0</v>
      </c>
    </row>
    <row r="73" spans="1:15" x14ac:dyDescent="0.25">
      <c r="A73" s="762" t="s">
        <v>197</v>
      </c>
      <c r="B73" s="762"/>
      <c r="C73" s="342"/>
      <c r="D73" s="342"/>
      <c r="E73" s="241"/>
      <c r="F73" s="241"/>
      <c r="G73" s="342"/>
      <c r="H73" s="342"/>
      <c r="I73" s="342"/>
      <c r="J73" s="342"/>
      <c r="K73" s="342"/>
      <c r="L73" s="342"/>
      <c r="M73" s="342"/>
      <c r="N73" s="342"/>
      <c r="O73" s="342"/>
    </row>
    <row r="74" spans="1:15" x14ac:dyDescent="0.25">
      <c r="A74" s="765" t="s">
        <v>88</v>
      </c>
      <c r="B74" s="765"/>
      <c r="C74" s="342"/>
      <c r="D74" s="342"/>
      <c r="E74" s="241"/>
      <c r="F74" s="241"/>
      <c r="G74" s="342"/>
      <c r="H74" s="342"/>
      <c r="I74" s="342"/>
      <c r="J74" s="342"/>
      <c r="K74" s="342"/>
      <c r="L74" s="342"/>
      <c r="M74" s="342"/>
      <c r="N74" s="342"/>
      <c r="O74" s="342"/>
    </row>
    <row r="75" spans="1:15" x14ac:dyDescent="0.25">
      <c r="A75" s="734" t="s">
        <v>74</v>
      </c>
      <c r="B75" s="734"/>
      <c r="C75" s="137">
        <v>6.1666699999999999</v>
      </c>
      <c r="D75" s="138">
        <v>1</v>
      </c>
      <c r="E75" s="139">
        <f>$E$22</f>
        <v>0</v>
      </c>
      <c r="F75" s="139">
        <f>Dies!$C$50</f>
        <v>20</v>
      </c>
      <c r="G75" s="273">
        <f>+D75*E75*F75</f>
        <v>0</v>
      </c>
      <c r="H75" s="273"/>
      <c r="I75" s="320"/>
      <c r="J75" s="273"/>
      <c r="K75" s="320">
        <f>$K$65</f>
        <v>0</v>
      </c>
      <c r="L75" s="237">
        <f>+K75/C75</f>
        <v>0</v>
      </c>
      <c r="M75" s="238" t="str">
        <f>+M22</f>
        <v>Matí</v>
      </c>
      <c r="N75" s="238"/>
      <c r="O75" s="239">
        <f>+K75*G75</f>
        <v>0</v>
      </c>
    </row>
    <row r="76" spans="1:15" x14ac:dyDescent="0.25">
      <c r="A76" s="764" t="s">
        <v>89</v>
      </c>
      <c r="B76" s="764"/>
      <c r="C76" s="342"/>
      <c r="D76" s="342"/>
      <c r="E76" s="241"/>
      <c r="F76" s="241"/>
      <c r="G76" s="342"/>
      <c r="H76" s="342"/>
      <c r="I76" s="342"/>
      <c r="J76" s="342"/>
      <c r="K76" s="342"/>
      <c r="L76" s="342"/>
      <c r="M76" s="342"/>
      <c r="N76" s="342"/>
      <c r="O76" s="342"/>
    </row>
    <row r="77" spans="1:15" x14ac:dyDescent="0.25">
      <c r="A77" s="734" t="s">
        <v>74</v>
      </c>
      <c r="B77" s="734"/>
      <c r="C77" s="137">
        <v>6.1666699999999999</v>
      </c>
      <c r="D77" s="138">
        <v>1</v>
      </c>
      <c r="E77" s="139">
        <f>$E$24</f>
        <v>0</v>
      </c>
      <c r="F77" s="139">
        <f>Dies!$C$50</f>
        <v>20</v>
      </c>
      <c r="G77" s="273">
        <f>+D77*E77*F77</f>
        <v>0</v>
      </c>
      <c r="H77" s="273"/>
      <c r="I77" s="320"/>
      <c r="J77" s="273"/>
      <c r="K77" s="320">
        <f>$K$65</f>
        <v>0</v>
      </c>
      <c r="L77" s="237">
        <f>+K77/C77</f>
        <v>0</v>
      </c>
      <c r="M77" s="238" t="str">
        <f>+M24</f>
        <v>Tarda</v>
      </c>
      <c r="N77" s="238"/>
      <c r="O77" s="239">
        <f>+K77*G77</f>
        <v>0</v>
      </c>
    </row>
    <row r="78" spans="1:15" x14ac:dyDescent="0.25">
      <c r="A78" s="229" t="s">
        <v>199</v>
      </c>
      <c r="B78" s="242"/>
      <c r="C78" s="347"/>
      <c r="D78" s="347"/>
      <c r="E78" s="278"/>
      <c r="F78" s="245"/>
      <c r="G78" s="347"/>
      <c r="H78" s="347"/>
      <c r="I78" s="347"/>
      <c r="J78" s="347"/>
      <c r="K78" s="347"/>
      <c r="L78" s="347"/>
      <c r="M78" s="347"/>
      <c r="N78" s="347"/>
      <c r="O78" s="347"/>
    </row>
    <row r="79" spans="1:15" x14ac:dyDescent="0.25">
      <c r="A79" s="762" t="s">
        <v>195</v>
      </c>
      <c r="B79" s="762"/>
      <c r="C79" s="342"/>
      <c r="D79" s="342"/>
      <c r="E79" s="234"/>
      <c r="F79" s="234"/>
      <c r="G79" s="342"/>
      <c r="H79" s="342"/>
      <c r="I79" s="342"/>
      <c r="J79" s="342"/>
      <c r="K79" s="342"/>
      <c r="L79" s="342"/>
      <c r="M79" s="342"/>
      <c r="N79" s="342"/>
      <c r="O79" s="342"/>
    </row>
    <row r="80" spans="1:15" x14ac:dyDescent="0.25">
      <c r="A80" s="765" t="s">
        <v>88</v>
      </c>
      <c r="B80" s="765"/>
      <c r="C80" s="342"/>
      <c r="D80" s="342"/>
      <c r="E80" s="234"/>
      <c r="F80" s="234"/>
      <c r="G80" s="342"/>
      <c r="H80" s="342"/>
      <c r="I80" s="342"/>
      <c r="J80" s="342"/>
      <c r="K80" s="342"/>
      <c r="L80" s="342"/>
      <c r="M80" s="342"/>
      <c r="N80" s="342"/>
      <c r="O80" s="342"/>
    </row>
    <row r="81" spans="1:15" x14ac:dyDescent="0.25">
      <c r="A81" s="734" t="s">
        <v>74</v>
      </c>
      <c r="B81" s="734"/>
      <c r="C81" s="137">
        <v>6.1666699999999999</v>
      </c>
      <c r="D81" s="138">
        <v>1</v>
      </c>
      <c r="E81" s="139">
        <f>$E$28</f>
        <v>0</v>
      </c>
      <c r="F81" s="139">
        <f>Dies!$C$53</f>
        <v>77</v>
      </c>
      <c r="G81" s="273">
        <f>+D81*E81*F81</f>
        <v>0</v>
      </c>
      <c r="H81" s="273"/>
      <c r="I81" s="320"/>
      <c r="J81" s="273"/>
      <c r="K81" s="320">
        <f>$K$65</f>
        <v>0</v>
      </c>
      <c r="L81" s="491">
        <f>+K81/C81</f>
        <v>0</v>
      </c>
      <c r="M81" s="238" t="str">
        <f>+M28</f>
        <v>Matí</v>
      </c>
      <c r="N81" s="238"/>
      <c r="O81" s="239">
        <f>+K81*G81</f>
        <v>0</v>
      </c>
    </row>
    <row r="82" spans="1:15" x14ac:dyDescent="0.25">
      <c r="A82" s="764" t="s">
        <v>89</v>
      </c>
      <c r="B82" s="764"/>
      <c r="C82" s="342"/>
      <c r="D82" s="342"/>
      <c r="E82" s="241"/>
      <c r="F82" s="241"/>
      <c r="G82" s="342"/>
      <c r="H82" s="342"/>
      <c r="I82" s="342"/>
      <c r="J82" s="342"/>
      <c r="K82" s="342"/>
      <c r="L82" s="342"/>
      <c r="M82" s="342"/>
      <c r="N82" s="342"/>
      <c r="O82" s="342"/>
    </row>
    <row r="83" spans="1:15" x14ac:dyDescent="0.25">
      <c r="A83" s="734" t="s">
        <v>74</v>
      </c>
      <c r="B83" s="734"/>
      <c r="C83" s="137">
        <v>6.1666699999999999</v>
      </c>
      <c r="D83" s="138">
        <v>1</v>
      </c>
      <c r="E83" s="139">
        <f>$E$30</f>
        <v>0</v>
      </c>
      <c r="F83" s="139">
        <f>Dies!$C$53</f>
        <v>77</v>
      </c>
      <c r="G83" s="273">
        <f>+D83*E83*F83</f>
        <v>0</v>
      </c>
      <c r="H83" s="273"/>
      <c r="I83" s="320"/>
      <c r="J83" s="273"/>
      <c r="K83" s="320">
        <f>$K$65</f>
        <v>0</v>
      </c>
      <c r="L83" s="491">
        <f>+K83/C83</f>
        <v>0</v>
      </c>
      <c r="M83" s="238" t="str">
        <f>+M30</f>
        <v>Tarda</v>
      </c>
      <c r="N83" s="238"/>
      <c r="O83" s="239">
        <f>+K83*G83</f>
        <v>0</v>
      </c>
    </row>
    <row r="84" spans="1:15" x14ac:dyDescent="0.25">
      <c r="A84" s="762" t="s">
        <v>196</v>
      </c>
      <c r="B84" s="762"/>
      <c r="C84" s="342"/>
      <c r="D84" s="342"/>
      <c r="E84" s="147"/>
      <c r="F84" s="241"/>
      <c r="G84" s="342"/>
      <c r="H84" s="342"/>
      <c r="I84" s="342"/>
      <c r="J84" s="342"/>
      <c r="K84" s="342"/>
      <c r="L84" s="342"/>
      <c r="M84" s="342"/>
      <c r="N84" s="342"/>
      <c r="O84" s="342"/>
    </row>
    <row r="85" spans="1:15" x14ac:dyDescent="0.25">
      <c r="A85" s="765" t="s">
        <v>88</v>
      </c>
      <c r="B85" s="765"/>
      <c r="C85" s="342"/>
      <c r="D85" s="342"/>
      <c r="E85" s="147"/>
      <c r="F85" s="241"/>
      <c r="G85" s="342"/>
      <c r="H85" s="342"/>
      <c r="I85" s="342"/>
      <c r="J85" s="342"/>
      <c r="K85" s="342"/>
      <c r="L85" s="342"/>
      <c r="M85" s="342"/>
      <c r="N85" s="342"/>
      <c r="O85" s="342"/>
    </row>
    <row r="86" spans="1:15" x14ac:dyDescent="0.25">
      <c r="A86" s="734" t="s">
        <v>74</v>
      </c>
      <c r="B86" s="734"/>
      <c r="C86" s="137">
        <v>6.1666699999999999</v>
      </c>
      <c r="D86" s="138">
        <v>1</v>
      </c>
      <c r="E86" s="139">
        <f>$E$33</f>
        <v>0</v>
      </c>
      <c r="F86" s="139">
        <f>Dies!$C$54</f>
        <v>15</v>
      </c>
      <c r="G86" s="273">
        <f>+D86*E86*F86</f>
        <v>0</v>
      </c>
      <c r="H86" s="273"/>
      <c r="I86" s="320"/>
      <c r="J86" s="273"/>
      <c r="K86" s="320">
        <f>$K$65</f>
        <v>0</v>
      </c>
      <c r="L86" s="491">
        <f>+K86/C86</f>
        <v>0</v>
      </c>
      <c r="M86" s="238" t="str">
        <f>+M33</f>
        <v>Matí</v>
      </c>
      <c r="N86" s="238"/>
      <c r="O86" s="239">
        <f>+K86*G86</f>
        <v>0</v>
      </c>
    </row>
    <row r="87" spans="1:15" x14ac:dyDescent="0.25">
      <c r="A87" s="764" t="s">
        <v>89</v>
      </c>
      <c r="B87" s="764"/>
      <c r="C87" s="342"/>
      <c r="D87" s="342"/>
      <c r="E87" s="147"/>
      <c r="F87" s="241"/>
      <c r="G87" s="342"/>
      <c r="H87" s="342"/>
      <c r="I87" s="342"/>
      <c r="J87" s="342"/>
      <c r="K87" s="342"/>
      <c r="L87" s="342"/>
      <c r="M87" s="342"/>
      <c r="N87" s="342"/>
      <c r="O87" s="342"/>
    </row>
    <row r="88" spans="1:15" x14ac:dyDescent="0.25">
      <c r="A88" s="734" t="s">
        <v>74</v>
      </c>
      <c r="B88" s="734"/>
      <c r="C88" s="137">
        <v>6.1666699999999999</v>
      </c>
      <c r="D88" s="138">
        <v>1</v>
      </c>
      <c r="E88" s="139">
        <f>$E$35</f>
        <v>0</v>
      </c>
      <c r="F88" s="139">
        <f>Dies!$C$54</f>
        <v>15</v>
      </c>
      <c r="G88" s="273">
        <f>+D88*E88*F88</f>
        <v>0</v>
      </c>
      <c r="H88" s="273"/>
      <c r="I88" s="320"/>
      <c r="J88" s="273"/>
      <c r="K88" s="320">
        <f>$K$65</f>
        <v>0</v>
      </c>
      <c r="L88" s="491">
        <f>+K88/C88</f>
        <v>0</v>
      </c>
      <c r="M88" s="238" t="str">
        <f>+M35</f>
        <v>Tarda</v>
      </c>
      <c r="N88" s="238"/>
      <c r="O88" s="239">
        <f>+K88*G88</f>
        <v>0</v>
      </c>
    </row>
    <row r="89" spans="1:15" x14ac:dyDescent="0.25">
      <c r="A89" s="762" t="s">
        <v>197</v>
      </c>
      <c r="B89" s="762"/>
      <c r="C89" s="342"/>
      <c r="D89" s="342"/>
      <c r="E89" s="147"/>
      <c r="F89" s="241"/>
      <c r="G89" s="342"/>
      <c r="H89" s="342"/>
      <c r="I89" s="342"/>
      <c r="J89" s="342"/>
      <c r="K89" s="342"/>
      <c r="L89" s="342"/>
      <c r="M89" s="342"/>
      <c r="N89" s="342"/>
      <c r="O89" s="342"/>
    </row>
    <row r="90" spans="1:15" x14ac:dyDescent="0.25">
      <c r="A90" s="765" t="s">
        <v>88</v>
      </c>
      <c r="B90" s="765"/>
      <c r="C90" s="342"/>
      <c r="D90" s="342"/>
      <c r="E90" s="147"/>
      <c r="F90" s="241"/>
      <c r="G90" s="342"/>
      <c r="H90" s="342"/>
      <c r="I90" s="342"/>
      <c r="J90" s="342"/>
      <c r="K90" s="342"/>
      <c r="L90" s="342"/>
      <c r="M90" s="342"/>
      <c r="N90" s="342"/>
      <c r="O90" s="342"/>
    </row>
    <row r="91" spans="1:15" x14ac:dyDescent="0.25">
      <c r="A91" s="734" t="s">
        <v>74</v>
      </c>
      <c r="B91" s="734"/>
      <c r="C91" s="137">
        <v>6.1666699999999999</v>
      </c>
      <c r="D91" s="138">
        <v>1</v>
      </c>
      <c r="E91" s="139">
        <f>$E$38</f>
        <v>0</v>
      </c>
      <c r="F91" s="139">
        <f>Dies!$C$55</f>
        <v>15</v>
      </c>
      <c r="G91" s="273">
        <f>+D91*E91*F91</f>
        <v>0</v>
      </c>
      <c r="H91" s="273"/>
      <c r="I91" s="320"/>
      <c r="J91" s="273"/>
      <c r="K91" s="320">
        <f>$K$65</f>
        <v>0</v>
      </c>
      <c r="L91" s="491">
        <f>+K91/C91</f>
        <v>0</v>
      </c>
      <c r="M91" s="238" t="str">
        <f>+M38</f>
        <v>Matí</v>
      </c>
      <c r="N91" s="238"/>
      <c r="O91" s="239">
        <f>+K91*G91</f>
        <v>0</v>
      </c>
    </row>
    <row r="92" spans="1:15" x14ac:dyDescent="0.25">
      <c r="A92" s="764" t="s">
        <v>89</v>
      </c>
      <c r="B92" s="764"/>
      <c r="C92" s="342"/>
      <c r="D92" s="342"/>
      <c r="E92" s="147"/>
      <c r="F92" s="241"/>
      <c r="G92" s="342"/>
      <c r="H92" s="342"/>
      <c r="I92" s="342"/>
      <c r="J92" s="342"/>
      <c r="K92" s="342"/>
      <c r="L92" s="342"/>
      <c r="M92" s="342"/>
      <c r="N92" s="342"/>
      <c r="O92" s="342"/>
    </row>
    <row r="93" spans="1:15" x14ac:dyDescent="0.25">
      <c r="A93" s="734" t="s">
        <v>74</v>
      </c>
      <c r="B93" s="734"/>
      <c r="C93" s="137">
        <v>6.1666699999999999</v>
      </c>
      <c r="D93" s="138">
        <v>1</v>
      </c>
      <c r="E93" s="139">
        <f>$E$40</f>
        <v>0</v>
      </c>
      <c r="F93" s="139">
        <f>Dies!$C$55</f>
        <v>15</v>
      </c>
      <c r="G93" s="273">
        <f>+D93*E93*F93</f>
        <v>0</v>
      </c>
      <c r="H93" s="273"/>
      <c r="I93" s="320"/>
      <c r="J93" s="273"/>
      <c r="K93" s="320">
        <f>$K$65</f>
        <v>0</v>
      </c>
      <c r="L93" s="491">
        <f>+K93/C93</f>
        <v>0</v>
      </c>
      <c r="M93" s="238" t="str">
        <f>+M40</f>
        <v>Tarda</v>
      </c>
      <c r="N93" s="238"/>
      <c r="O93" s="239">
        <f>+K93*G93</f>
        <v>0</v>
      </c>
    </row>
    <row r="94" spans="1:15" x14ac:dyDescent="0.25">
      <c r="A94" s="229" t="s">
        <v>326</v>
      </c>
      <c r="B94" s="242"/>
      <c r="C94" s="347"/>
      <c r="D94" s="347"/>
      <c r="E94" s="278"/>
      <c r="F94" s="245"/>
      <c r="G94" s="347"/>
      <c r="H94" s="347"/>
      <c r="I94" s="347"/>
      <c r="J94" s="347"/>
      <c r="K94" s="347"/>
      <c r="L94" s="347"/>
      <c r="M94" s="347"/>
      <c r="N94" s="347"/>
      <c r="O94" s="347"/>
    </row>
    <row r="95" spans="1:15" x14ac:dyDescent="0.25">
      <c r="A95" s="762" t="s">
        <v>195</v>
      </c>
      <c r="B95" s="762"/>
      <c r="C95" s="342"/>
      <c r="D95" s="342"/>
      <c r="E95" s="234"/>
      <c r="F95" s="234"/>
      <c r="G95" s="342"/>
      <c r="H95" s="342"/>
      <c r="I95" s="342"/>
      <c r="J95" s="342"/>
      <c r="K95" s="342"/>
      <c r="L95" s="342"/>
      <c r="M95" s="342"/>
      <c r="N95" s="342"/>
      <c r="O95" s="342"/>
    </row>
    <row r="96" spans="1:15" x14ac:dyDescent="0.25">
      <c r="A96" s="763" t="s">
        <v>88</v>
      </c>
      <c r="B96" s="763"/>
      <c r="C96" s="342"/>
      <c r="D96" s="342"/>
      <c r="E96" s="234"/>
      <c r="F96" s="234"/>
      <c r="G96" s="342"/>
      <c r="H96" s="342"/>
      <c r="I96" s="342"/>
      <c r="J96" s="342"/>
      <c r="K96" s="342"/>
      <c r="L96" s="342"/>
      <c r="M96" s="342"/>
      <c r="N96" s="342"/>
      <c r="O96" s="342"/>
    </row>
    <row r="97" spans="1:15" x14ac:dyDescent="0.25">
      <c r="A97" s="734" t="s">
        <v>74</v>
      </c>
      <c r="B97" s="734"/>
      <c r="C97" s="137">
        <v>6.1666699999999999</v>
      </c>
      <c r="D97" s="138">
        <v>1</v>
      </c>
      <c r="E97" s="139">
        <f>$E$44</f>
        <v>0</v>
      </c>
      <c r="F97" s="139">
        <f>Dies!$C$58</f>
        <v>89</v>
      </c>
      <c r="G97" s="273">
        <f>+D97*E97*F97</f>
        <v>0</v>
      </c>
      <c r="H97" s="273"/>
      <c r="I97" s="320"/>
      <c r="J97" s="273"/>
      <c r="K97" s="320">
        <f>$K$65</f>
        <v>0</v>
      </c>
      <c r="L97" s="237">
        <f>+K97/C97</f>
        <v>0</v>
      </c>
      <c r="M97" s="238" t="str">
        <f>+M44</f>
        <v>Matí</v>
      </c>
      <c r="N97" s="238"/>
      <c r="O97" s="239">
        <f>+K97*G97</f>
        <v>0</v>
      </c>
    </row>
    <row r="98" spans="1:15" x14ac:dyDescent="0.25">
      <c r="A98" s="770" t="s">
        <v>89</v>
      </c>
      <c r="B98" s="770"/>
      <c r="C98" s="342"/>
      <c r="D98" s="342"/>
      <c r="E98" s="147"/>
      <c r="F98" s="241"/>
      <c r="G98" s="342"/>
      <c r="H98" s="342"/>
      <c r="I98" s="342"/>
      <c r="J98" s="342"/>
      <c r="K98" s="342"/>
      <c r="L98" s="342"/>
      <c r="M98" s="342"/>
      <c r="N98" s="342"/>
      <c r="O98" s="342"/>
    </row>
    <row r="99" spans="1:15" x14ac:dyDescent="0.25">
      <c r="A99" s="734" t="s">
        <v>74</v>
      </c>
      <c r="B99" s="734"/>
      <c r="C99" s="137">
        <v>6.1666699999999999</v>
      </c>
      <c r="D99" s="138">
        <v>1</v>
      </c>
      <c r="E99" s="139">
        <f>$E$46</f>
        <v>0</v>
      </c>
      <c r="F99" s="139">
        <f>Dies!$C$58</f>
        <v>89</v>
      </c>
      <c r="G99" s="273">
        <f>+D99*E99*F99</f>
        <v>0</v>
      </c>
      <c r="H99" s="273"/>
      <c r="I99" s="320"/>
      <c r="J99" s="273"/>
      <c r="K99" s="320">
        <f>$K$65</f>
        <v>0</v>
      </c>
      <c r="L99" s="237">
        <f>+K99/C99</f>
        <v>0</v>
      </c>
      <c r="M99" s="238" t="str">
        <f>+M46</f>
        <v>Tarda</v>
      </c>
      <c r="N99" s="238"/>
      <c r="O99" s="239">
        <f>+K99*G99</f>
        <v>0</v>
      </c>
    </row>
    <row r="100" spans="1:15" x14ac:dyDescent="0.25">
      <c r="A100" s="762" t="s">
        <v>196</v>
      </c>
      <c r="B100" s="762"/>
      <c r="C100" s="342"/>
      <c r="D100" s="342"/>
      <c r="E100" s="147"/>
      <c r="F100" s="241"/>
      <c r="G100" s="342"/>
      <c r="H100" s="342"/>
      <c r="I100" s="342"/>
      <c r="J100" s="342"/>
      <c r="K100" s="342"/>
      <c r="L100" s="342"/>
      <c r="M100" s="342"/>
      <c r="N100" s="342"/>
      <c r="O100" s="342"/>
    </row>
    <row r="101" spans="1:15" x14ac:dyDescent="0.25">
      <c r="A101" s="763" t="s">
        <v>88</v>
      </c>
      <c r="B101" s="763"/>
      <c r="C101" s="342"/>
      <c r="D101" s="342"/>
      <c r="E101" s="147"/>
      <c r="F101" s="241"/>
      <c r="G101" s="342"/>
      <c r="H101" s="342"/>
      <c r="I101" s="342"/>
      <c r="J101" s="342"/>
      <c r="K101" s="342"/>
      <c r="L101" s="342"/>
      <c r="M101" s="342"/>
      <c r="N101" s="342"/>
      <c r="O101" s="342"/>
    </row>
    <row r="102" spans="1:15" x14ac:dyDescent="0.25">
      <c r="A102" s="734" t="s">
        <v>74</v>
      </c>
      <c r="B102" s="734"/>
      <c r="C102" s="137">
        <v>6.1666699999999999</v>
      </c>
      <c r="D102" s="138">
        <v>1</v>
      </c>
      <c r="E102" s="139">
        <f>$E$49</f>
        <v>0</v>
      </c>
      <c r="F102" s="139">
        <f>Dies!$C$59</f>
        <v>17</v>
      </c>
      <c r="G102" s="273">
        <f>+D102*E102*F102</f>
        <v>0</v>
      </c>
      <c r="H102" s="273"/>
      <c r="I102" s="320"/>
      <c r="J102" s="273"/>
      <c r="K102" s="320">
        <f>$K$65</f>
        <v>0</v>
      </c>
      <c r="L102" s="237">
        <f>+K102/C102</f>
        <v>0</v>
      </c>
      <c r="M102" s="238" t="str">
        <f>+M49</f>
        <v>Matí</v>
      </c>
      <c r="N102" s="238"/>
      <c r="O102" s="239">
        <f>+K102*G102</f>
        <v>0</v>
      </c>
    </row>
    <row r="103" spans="1:15" x14ac:dyDescent="0.25">
      <c r="A103" s="770" t="s">
        <v>89</v>
      </c>
      <c r="B103" s="770"/>
      <c r="C103" s="342"/>
      <c r="D103" s="342"/>
      <c r="E103" s="147"/>
      <c r="F103" s="241"/>
      <c r="G103" s="342"/>
      <c r="H103" s="342"/>
      <c r="I103" s="342"/>
      <c r="J103" s="342"/>
      <c r="K103" s="342"/>
      <c r="L103" s="342"/>
      <c r="M103" s="342"/>
      <c r="N103" s="342"/>
      <c r="O103" s="342"/>
    </row>
    <row r="104" spans="1:15" x14ac:dyDescent="0.25">
      <c r="A104" s="734" t="s">
        <v>74</v>
      </c>
      <c r="B104" s="734"/>
      <c r="C104" s="137">
        <v>6.1666699999999999</v>
      </c>
      <c r="D104" s="138">
        <v>1</v>
      </c>
      <c r="E104" s="139">
        <f>$E$51</f>
        <v>0</v>
      </c>
      <c r="F104" s="139">
        <f>Dies!$C$59</f>
        <v>17</v>
      </c>
      <c r="G104" s="273">
        <f>+D104*E104*F104</f>
        <v>0</v>
      </c>
      <c r="H104" s="273"/>
      <c r="I104" s="320"/>
      <c r="J104" s="273"/>
      <c r="K104" s="320">
        <f>$K$65</f>
        <v>0</v>
      </c>
      <c r="L104" s="237">
        <f>+K104/C104</f>
        <v>0</v>
      </c>
      <c r="M104" s="238" t="str">
        <f>+M51</f>
        <v>Tarda</v>
      </c>
      <c r="N104" s="238"/>
      <c r="O104" s="239">
        <f>+K104*G104</f>
        <v>0</v>
      </c>
    </row>
    <row r="105" spans="1:15" x14ac:dyDescent="0.25">
      <c r="A105" s="762" t="s">
        <v>197</v>
      </c>
      <c r="B105" s="762"/>
      <c r="C105" s="342"/>
      <c r="D105" s="342"/>
      <c r="E105" s="147"/>
      <c r="F105" s="241"/>
      <c r="G105" s="342"/>
      <c r="H105" s="342"/>
      <c r="I105" s="342"/>
      <c r="J105" s="342"/>
      <c r="K105" s="342"/>
      <c r="L105" s="342"/>
      <c r="M105" s="342"/>
      <c r="N105" s="342"/>
      <c r="O105" s="342"/>
    </row>
    <row r="106" spans="1:15" x14ac:dyDescent="0.25">
      <c r="A106" s="763" t="s">
        <v>88</v>
      </c>
      <c r="B106" s="763"/>
      <c r="C106" s="342"/>
      <c r="D106" s="342"/>
      <c r="E106" s="147"/>
      <c r="F106" s="241"/>
      <c r="G106" s="342"/>
      <c r="H106" s="342"/>
      <c r="I106" s="342"/>
      <c r="J106" s="342"/>
      <c r="K106" s="342"/>
      <c r="L106" s="342"/>
      <c r="M106" s="342"/>
      <c r="N106" s="342"/>
      <c r="O106" s="342"/>
    </row>
    <row r="107" spans="1:15" x14ac:dyDescent="0.25">
      <c r="A107" s="734" t="s">
        <v>74</v>
      </c>
      <c r="B107" s="734"/>
      <c r="C107" s="137">
        <v>6.1666699999999999</v>
      </c>
      <c r="D107" s="138">
        <v>1</v>
      </c>
      <c r="E107" s="139">
        <f>$E$54</f>
        <v>0</v>
      </c>
      <c r="F107" s="139">
        <f>Dies!$C$60</f>
        <v>17</v>
      </c>
      <c r="G107" s="273">
        <f>+D107*E107*F107</f>
        <v>0</v>
      </c>
      <c r="H107" s="273"/>
      <c r="I107" s="320"/>
      <c r="J107" s="273"/>
      <c r="K107" s="320">
        <f>$K$65</f>
        <v>0</v>
      </c>
      <c r="L107" s="237">
        <f>+K107/C107</f>
        <v>0</v>
      </c>
      <c r="M107" s="238" t="str">
        <f>+M54</f>
        <v>Matí</v>
      </c>
      <c r="N107" s="238"/>
      <c r="O107" s="239">
        <f>+K107*G107</f>
        <v>0</v>
      </c>
    </row>
    <row r="108" spans="1:15" x14ac:dyDescent="0.25">
      <c r="A108" s="770" t="s">
        <v>89</v>
      </c>
      <c r="B108" s="770"/>
      <c r="C108" s="342"/>
      <c r="D108" s="342"/>
      <c r="E108" s="241"/>
      <c r="F108" s="241"/>
      <c r="G108" s="342"/>
      <c r="H108" s="342"/>
      <c r="I108" s="342"/>
      <c r="J108" s="342"/>
      <c r="K108" s="342"/>
      <c r="L108" s="342"/>
      <c r="M108" s="342"/>
      <c r="N108" s="342"/>
      <c r="O108" s="342"/>
    </row>
    <row r="109" spans="1:15" s="153" customFormat="1" x14ac:dyDescent="0.25">
      <c r="A109" s="734" t="s">
        <v>74</v>
      </c>
      <c r="B109" s="734"/>
      <c r="C109" s="137">
        <v>6.1666699999999999</v>
      </c>
      <c r="D109" s="138">
        <v>1</v>
      </c>
      <c r="E109" s="139">
        <f>$E$56</f>
        <v>0</v>
      </c>
      <c r="F109" s="139">
        <f>Dies!$C$60</f>
        <v>17</v>
      </c>
      <c r="G109" s="273">
        <f>+D109*E109*F109</f>
        <v>0</v>
      </c>
      <c r="H109" s="273"/>
      <c r="I109" s="320"/>
      <c r="J109" s="273"/>
      <c r="K109" s="320">
        <f>$K$65</f>
        <v>0</v>
      </c>
      <c r="L109" s="237">
        <f>+K109/C109</f>
        <v>0</v>
      </c>
      <c r="M109" s="238" t="str">
        <f>+M56</f>
        <v>Tarda</v>
      </c>
      <c r="N109" s="238"/>
      <c r="O109" s="239">
        <f>+K109*G109</f>
        <v>0</v>
      </c>
    </row>
    <row r="110" spans="1:15" x14ac:dyDescent="0.25">
      <c r="A110" s="410"/>
      <c r="B110" s="411"/>
      <c r="C110" s="411"/>
      <c r="D110" s="411"/>
      <c r="E110" s="412" t="s">
        <v>46</v>
      </c>
      <c r="F110" s="411"/>
      <c r="G110" s="411"/>
      <c r="H110" s="411"/>
      <c r="I110" s="411"/>
      <c r="J110" s="411"/>
      <c r="K110" s="411"/>
      <c r="L110" s="411"/>
      <c r="M110" s="411"/>
      <c r="N110" s="411"/>
      <c r="O110" s="413">
        <f>SUM(O65:O109)</f>
        <v>0</v>
      </c>
    </row>
    <row r="111" spans="1:15" s="153" customFormat="1" ht="26.25" x14ac:dyDescent="0.4">
      <c r="A111" s="220" t="s">
        <v>212</v>
      </c>
      <c r="B111" s="221"/>
      <c r="C111" s="221"/>
      <c r="D111" s="223"/>
      <c r="E111" s="223"/>
      <c r="F111" s="223"/>
      <c r="G111" s="223"/>
      <c r="H111" s="223"/>
      <c r="I111" s="223"/>
      <c r="J111" s="223"/>
      <c r="K111" s="224"/>
      <c r="L111" s="224"/>
      <c r="M111" s="224"/>
      <c r="N111" s="224"/>
      <c r="O111" s="404"/>
    </row>
    <row r="112" spans="1:15" x14ac:dyDescent="0.25">
      <c r="A112" s="773" t="s">
        <v>20</v>
      </c>
      <c r="B112" s="773"/>
      <c r="C112" s="225" t="s">
        <v>27</v>
      </c>
      <c r="D112" s="225" t="s">
        <v>28</v>
      </c>
      <c r="E112" s="225" t="s">
        <v>21</v>
      </c>
      <c r="F112" s="225" t="s">
        <v>29</v>
      </c>
      <c r="G112" s="225"/>
      <c r="H112" s="225"/>
      <c r="I112" s="225"/>
      <c r="J112" s="225"/>
      <c r="K112" s="225" t="s">
        <v>30</v>
      </c>
      <c r="L112" s="225"/>
      <c r="M112" s="225" t="s">
        <v>31</v>
      </c>
      <c r="N112" s="225"/>
      <c r="O112" s="405" t="s">
        <v>32</v>
      </c>
    </row>
    <row r="113" spans="1:15" x14ac:dyDescent="0.25">
      <c r="A113" s="768"/>
      <c r="B113" s="768"/>
      <c r="C113" s="226" t="s">
        <v>44</v>
      </c>
      <c r="D113" s="226" t="s">
        <v>5</v>
      </c>
      <c r="E113" s="226" t="s">
        <v>24</v>
      </c>
      <c r="F113" s="227" t="s">
        <v>34</v>
      </c>
      <c r="G113" s="226" t="s">
        <v>35</v>
      </c>
      <c r="H113" s="226"/>
      <c r="I113" s="226"/>
      <c r="J113" s="226"/>
      <c r="K113" s="226" t="s">
        <v>36</v>
      </c>
      <c r="L113" s="226"/>
      <c r="M113" s="226" t="s">
        <v>38</v>
      </c>
      <c r="N113" s="226"/>
      <c r="O113" s="453" t="s">
        <v>40</v>
      </c>
    </row>
    <row r="114" spans="1:15" s="153" customFormat="1" x14ac:dyDescent="0.25">
      <c r="A114" s="229" t="s">
        <v>198</v>
      </c>
      <c r="B114" s="230"/>
      <c r="C114" s="347"/>
      <c r="D114" s="347"/>
      <c r="E114" s="347"/>
      <c r="F114" s="348"/>
      <c r="G114" s="347"/>
      <c r="H114" s="347"/>
      <c r="I114" s="347"/>
      <c r="J114" s="347"/>
      <c r="K114" s="347"/>
      <c r="L114" s="347"/>
      <c r="M114" s="347"/>
      <c r="N114" s="347"/>
      <c r="O114" s="347"/>
    </row>
    <row r="115" spans="1:15" s="153" customFormat="1" x14ac:dyDescent="0.25">
      <c r="A115" s="232" t="s">
        <v>195</v>
      </c>
      <c r="B115" s="233"/>
      <c r="C115" s="342"/>
      <c r="D115" s="342"/>
      <c r="E115" s="342"/>
      <c r="F115" s="343"/>
      <c r="G115" s="342"/>
      <c r="H115" s="342"/>
      <c r="I115" s="342"/>
      <c r="J115" s="342"/>
      <c r="K115" s="342"/>
      <c r="L115" s="342"/>
      <c r="M115" s="342"/>
      <c r="N115" s="342"/>
      <c r="O115" s="342"/>
    </row>
    <row r="116" spans="1:15" s="153" customFormat="1" x14ac:dyDescent="0.25">
      <c r="A116" s="763" t="s">
        <v>88</v>
      </c>
      <c r="B116" s="763"/>
      <c r="C116" s="342"/>
      <c r="D116" s="342"/>
      <c r="E116" s="342"/>
      <c r="F116" s="343"/>
      <c r="G116" s="342"/>
      <c r="H116" s="342"/>
      <c r="I116" s="342"/>
      <c r="J116" s="342"/>
      <c r="K116" s="342"/>
      <c r="L116" s="342"/>
      <c r="M116" s="342"/>
      <c r="N116" s="342"/>
      <c r="O116" s="342"/>
    </row>
    <row r="117" spans="1:15" s="153" customFormat="1" x14ac:dyDescent="0.25">
      <c r="A117" s="734" t="s">
        <v>74</v>
      </c>
      <c r="B117" s="734"/>
      <c r="C117" s="137">
        <v>6.1666699999999999</v>
      </c>
      <c r="D117" s="138">
        <v>1</v>
      </c>
      <c r="E117" s="139">
        <f>$E$12</f>
        <v>0</v>
      </c>
      <c r="F117" s="139">
        <f>Dies!$C$48</f>
        <v>95</v>
      </c>
      <c r="G117" s="273">
        <f>+D117*E117*F117</f>
        <v>0</v>
      </c>
      <c r="H117" s="273"/>
      <c r="I117" s="273"/>
      <c r="J117" s="273"/>
      <c r="K117" s="320">
        <f>'Seguro+combustible+reparacions'!G6</f>
        <v>0</v>
      </c>
      <c r="L117" s="237">
        <f>+K117/C117</f>
        <v>0</v>
      </c>
      <c r="M117" s="238" t="str">
        <f>+M65</f>
        <v>Matí</v>
      </c>
      <c r="N117" s="238"/>
      <c r="O117" s="239">
        <f>+K117*G117</f>
        <v>0</v>
      </c>
    </row>
    <row r="118" spans="1:15" s="153" customFormat="1" x14ac:dyDescent="0.25">
      <c r="A118" s="764" t="s">
        <v>89</v>
      </c>
      <c r="B118" s="764"/>
      <c r="C118" s="342"/>
      <c r="D118" s="342"/>
      <c r="E118" s="241"/>
      <c r="F118" s="241"/>
      <c r="G118" s="342"/>
      <c r="H118" s="342"/>
      <c r="I118" s="342"/>
      <c r="J118" s="342"/>
      <c r="K118" s="342"/>
      <c r="L118" s="342"/>
      <c r="M118" s="342"/>
      <c r="N118" s="342"/>
      <c r="O118" s="342"/>
    </row>
    <row r="119" spans="1:15" s="153" customFormat="1" x14ac:dyDescent="0.25">
      <c r="A119" s="734" t="s">
        <v>74</v>
      </c>
      <c r="B119" s="734"/>
      <c r="C119" s="137">
        <v>6.1666699999999999</v>
      </c>
      <c r="D119" s="138">
        <v>1</v>
      </c>
      <c r="E119" s="139">
        <f>$E$14</f>
        <v>0</v>
      </c>
      <c r="F119" s="139">
        <f>Dies!$C$48</f>
        <v>95</v>
      </c>
      <c r="G119" s="273">
        <f>+D119*E119*F119</f>
        <v>0</v>
      </c>
      <c r="H119" s="273"/>
      <c r="I119" s="273"/>
      <c r="J119" s="273"/>
      <c r="K119" s="320">
        <f>$K$117</f>
        <v>0</v>
      </c>
      <c r="L119" s="237">
        <f>+K119/C119</f>
        <v>0</v>
      </c>
      <c r="M119" s="238" t="str">
        <f>M67</f>
        <v>Tarda</v>
      </c>
      <c r="N119" s="238"/>
      <c r="O119" s="239">
        <f>+K119*G119</f>
        <v>0</v>
      </c>
    </row>
    <row r="120" spans="1:15" s="153" customFormat="1" x14ac:dyDescent="0.25">
      <c r="A120" s="762" t="s">
        <v>196</v>
      </c>
      <c r="B120" s="762"/>
      <c r="C120" s="342"/>
      <c r="D120" s="342"/>
      <c r="E120" s="241"/>
      <c r="F120" s="241"/>
      <c r="G120" s="342"/>
      <c r="H120" s="342"/>
      <c r="I120" s="342"/>
      <c r="J120" s="342"/>
      <c r="K120" s="342"/>
      <c r="L120" s="342"/>
      <c r="M120" s="342"/>
      <c r="N120" s="342"/>
      <c r="O120" s="342"/>
    </row>
    <row r="121" spans="1:15" s="153" customFormat="1" x14ac:dyDescent="0.25">
      <c r="A121" s="765" t="s">
        <v>88</v>
      </c>
      <c r="B121" s="765"/>
      <c r="C121" s="342"/>
      <c r="D121" s="342"/>
      <c r="E121" s="241"/>
      <c r="F121" s="241"/>
      <c r="G121" s="342"/>
      <c r="H121" s="342"/>
      <c r="I121" s="342"/>
      <c r="J121" s="342"/>
      <c r="K121" s="342"/>
      <c r="L121" s="342"/>
      <c r="M121" s="342"/>
      <c r="N121" s="342"/>
      <c r="O121" s="342"/>
    </row>
    <row r="122" spans="1:15" s="153" customFormat="1" x14ac:dyDescent="0.25">
      <c r="A122" s="734" t="s">
        <v>74</v>
      </c>
      <c r="B122" s="734"/>
      <c r="C122" s="137">
        <v>6.1666699999999999</v>
      </c>
      <c r="D122" s="138">
        <v>1</v>
      </c>
      <c r="E122" s="139">
        <f>$E$17</f>
        <v>0</v>
      </c>
      <c r="F122" s="139">
        <f>Dies!$C$49</f>
        <v>20</v>
      </c>
      <c r="G122" s="273">
        <f>+D122*E122*F122</f>
        <v>0</v>
      </c>
      <c r="H122" s="273"/>
      <c r="I122" s="273"/>
      <c r="J122" s="273"/>
      <c r="K122" s="320">
        <f>$K$117</f>
        <v>0</v>
      </c>
      <c r="L122" s="237">
        <f>+K122/C122</f>
        <v>0</v>
      </c>
      <c r="M122" s="238" t="str">
        <f>+M70</f>
        <v>Matí</v>
      </c>
      <c r="N122" s="238"/>
      <c r="O122" s="239">
        <f>+K122*G122</f>
        <v>0</v>
      </c>
    </row>
    <row r="123" spans="1:15" s="153" customFormat="1" x14ac:dyDescent="0.25">
      <c r="A123" s="764" t="s">
        <v>89</v>
      </c>
      <c r="B123" s="764"/>
      <c r="C123" s="342"/>
      <c r="D123" s="342"/>
      <c r="E123" s="653"/>
      <c r="F123" s="241"/>
      <c r="G123" s="342"/>
      <c r="H123" s="342"/>
      <c r="I123" s="342"/>
      <c r="J123" s="342"/>
      <c r="K123" s="342"/>
      <c r="L123" s="342"/>
      <c r="M123" s="342"/>
      <c r="N123" s="342"/>
      <c r="O123" s="342"/>
    </row>
    <row r="124" spans="1:15" s="153" customFormat="1" x14ac:dyDescent="0.25">
      <c r="A124" s="734" t="s">
        <v>74</v>
      </c>
      <c r="B124" s="734"/>
      <c r="C124" s="137">
        <v>6.1666699999999999</v>
      </c>
      <c r="D124" s="138">
        <v>1</v>
      </c>
      <c r="E124" s="139">
        <f>$E$19</f>
        <v>0</v>
      </c>
      <c r="F124" s="139">
        <f>Dies!$C$49</f>
        <v>20</v>
      </c>
      <c r="G124" s="273">
        <f>+D124*E124*F124</f>
        <v>0</v>
      </c>
      <c r="H124" s="273"/>
      <c r="I124" s="273"/>
      <c r="J124" s="273"/>
      <c r="K124" s="320">
        <f>$K$117</f>
        <v>0</v>
      </c>
      <c r="L124" s="237">
        <f>+K124/C124</f>
        <v>0</v>
      </c>
      <c r="M124" s="238" t="str">
        <f>+M72</f>
        <v>Tarda</v>
      </c>
      <c r="N124" s="238"/>
      <c r="O124" s="239">
        <f>+K124*G124</f>
        <v>0</v>
      </c>
    </row>
    <row r="125" spans="1:15" s="153" customFormat="1" x14ac:dyDescent="0.25">
      <c r="A125" s="762" t="s">
        <v>197</v>
      </c>
      <c r="B125" s="762"/>
      <c r="C125" s="342"/>
      <c r="D125" s="342"/>
      <c r="E125" s="241"/>
      <c r="F125" s="241"/>
      <c r="G125" s="342"/>
      <c r="H125" s="342"/>
      <c r="I125" s="342"/>
      <c r="J125" s="342"/>
      <c r="K125" s="342"/>
      <c r="L125" s="342"/>
      <c r="M125" s="342"/>
      <c r="N125" s="342"/>
      <c r="O125" s="342"/>
    </row>
    <row r="126" spans="1:15" s="153" customFormat="1" x14ac:dyDescent="0.25">
      <c r="A126" s="765" t="s">
        <v>88</v>
      </c>
      <c r="B126" s="765"/>
      <c r="C126" s="342"/>
      <c r="D126" s="342"/>
      <c r="E126" s="241"/>
      <c r="F126" s="241"/>
      <c r="G126" s="342"/>
      <c r="H126" s="342"/>
      <c r="I126" s="342"/>
      <c r="J126" s="342"/>
      <c r="K126" s="342"/>
      <c r="L126" s="342"/>
      <c r="M126" s="342"/>
      <c r="N126" s="342"/>
      <c r="O126" s="342"/>
    </row>
    <row r="127" spans="1:15" s="153" customFormat="1" x14ac:dyDescent="0.25">
      <c r="A127" s="734" t="s">
        <v>74</v>
      </c>
      <c r="B127" s="734"/>
      <c r="C127" s="137">
        <v>6.1666699999999999</v>
      </c>
      <c r="D127" s="138">
        <v>1</v>
      </c>
      <c r="E127" s="139">
        <f>$E$22</f>
        <v>0</v>
      </c>
      <c r="F127" s="139">
        <f>Dies!$C$50</f>
        <v>20</v>
      </c>
      <c r="G127" s="273">
        <f>+D127*E127*F127</f>
        <v>0</v>
      </c>
      <c r="H127" s="273"/>
      <c r="I127" s="273"/>
      <c r="J127" s="273"/>
      <c r="K127" s="320">
        <f>$K$117</f>
        <v>0</v>
      </c>
      <c r="L127" s="237">
        <f>+K127/C127</f>
        <v>0</v>
      </c>
      <c r="M127" s="238" t="str">
        <f>+M75</f>
        <v>Matí</v>
      </c>
      <c r="N127" s="238"/>
      <c r="O127" s="239">
        <f>+K127*G127</f>
        <v>0</v>
      </c>
    </row>
    <row r="128" spans="1:15" s="153" customFormat="1" x14ac:dyDescent="0.25">
      <c r="A128" s="764" t="s">
        <v>89</v>
      </c>
      <c r="B128" s="764"/>
      <c r="C128" s="342"/>
      <c r="D128" s="342"/>
      <c r="E128" s="241"/>
      <c r="F128" s="241"/>
      <c r="G128" s="342"/>
      <c r="H128" s="342"/>
      <c r="I128" s="342"/>
      <c r="J128" s="342"/>
      <c r="K128" s="342"/>
      <c r="L128" s="342"/>
      <c r="M128" s="342"/>
      <c r="N128" s="342"/>
      <c r="O128" s="342"/>
    </row>
    <row r="129" spans="1:15" s="153" customFormat="1" x14ac:dyDescent="0.25">
      <c r="A129" s="734" t="s">
        <v>74</v>
      </c>
      <c r="B129" s="734"/>
      <c r="C129" s="137">
        <v>6.1666699999999999</v>
      </c>
      <c r="D129" s="138">
        <v>1</v>
      </c>
      <c r="E129" s="139">
        <f>$E$24</f>
        <v>0</v>
      </c>
      <c r="F129" s="139">
        <f>Dies!$C$50</f>
        <v>20</v>
      </c>
      <c r="G129" s="273">
        <f>+D129*E129*F129</f>
        <v>0</v>
      </c>
      <c r="H129" s="273"/>
      <c r="I129" s="273"/>
      <c r="J129" s="273"/>
      <c r="K129" s="320">
        <f>$K$117</f>
        <v>0</v>
      </c>
      <c r="L129" s="237">
        <f>+K129/C129</f>
        <v>0</v>
      </c>
      <c r="M129" s="238" t="str">
        <f>+M77</f>
        <v>Tarda</v>
      </c>
      <c r="N129" s="238"/>
      <c r="O129" s="239">
        <f>+K129*G129</f>
        <v>0</v>
      </c>
    </row>
    <row r="130" spans="1:15" s="153" customFormat="1" x14ac:dyDescent="0.25">
      <c r="A130" s="229" t="s">
        <v>199</v>
      </c>
      <c r="B130" s="242"/>
      <c r="C130" s="347"/>
      <c r="D130" s="347"/>
      <c r="E130" s="278"/>
      <c r="F130" s="245"/>
      <c r="G130" s="347"/>
      <c r="H130" s="347"/>
      <c r="I130" s="347"/>
      <c r="J130" s="347"/>
      <c r="K130" s="347"/>
      <c r="L130" s="347"/>
      <c r="M130" s="347"/>
      <c r="N130" s="347"/>
      <c r="O130" s="347"/>
    </row>
    <row r="131" spans="1:15" s="153" customFormat="1" x14ac:dyDescent="0.25">
      <c r="A131" s="762" t="s">
        <v>195</v>
      </c>
      <c r="B131" s="762"/>
      <c r="C131" s="342"/>
      <c r="D131" s="342"/>
      <c r="E131" s="234"/>
      <c r="F131" s="234"/>
      <c r="G131" s="342"/>
      <c r="H131" s="342"/>
      <c r="I131" s="342"/>
      <c r="J131" s="342"/>
      <c r="K131" s="342"/>
      <c r="L131" s="342"/>
      <c r="M131" s="342"/>
      <c r="N131" s="342"/>
      <c r="O131" s="342"/>
    </row>
    <row r="132" spans="1:15" s="153" customFormat="1" x14ac:dyDescent="0.25">
      <c r="A132" s="765" t="s">
        <v>88</v>
      </c>
      <c r="B132" s="765"/>
      <c r="C132" s="342"/>
      <c r="D132" s="342"/>
      <c r="E132" s="234"/>
      <c r="F132" s="234"/>
      <c r="G132" s="342"/>
      <c r="H132" s="342"/>
      <c r="I132" s="342"/>
      <c r="J132" s="342"/>
      <c r="K132" s="342"/>
      <c r="L132" s="342"/>
      <c r="M132" s="342"/>
      <c r="N132" s="342"/>
      <c r="O132" s="342"/>
    </row>
    <row r="133" spans="1:15" s="153" customFormat="1" x14ac:dyDescent="0.25">
      <c r="A133" s="734" t="s">
        <v>74</v>
      </c>
      <c r="B133" s="734"/>
      <c r="C133" s="137">
        <v>6.1666699999999999</v>
      </c>
      <c r="D133" s="138">
        <v>1</v>
      </c>
      <c r="E133" s="139">
        <f>$E$28</f>
        <v>0</v>
      </c>
      <c r="F133" s="139">
        <f>Dies!$C$53</f>
        <v>77</v>
      </c>
      <c r="G133" s="273">
        <f>+D133*E133*F133</f>
        <v>0</v>
      </c>
      <c r="H133" s="273"/>
      <c r="I133" s="273"/>
      <c r="J133" s="273"/>
      <c r="K133" s="320">
        <f>$K$117</f>
        <v>0</v>
      </c>
      <c r="L133" s="237">
        <f>+K133/C133</f>
        <v>0</v>
      </c>
      <c r="M133" s="238" t="str">
        <f>+M81</f>
        <v>Matí</v>
      </c>
      <c r="N133" s="238"/>
      <c r="O133" s="239">
        <f>+K133*G133</f>
        <v>0</v>
      </c>
    </row>
    <row r="134" spans="1:15" s="153" customFormat="1" x14ac:dyDescent="0.25">
      <c r="A134" s="764" t="s">
        <v>89</v>
      </c>
      <c r="B134" s="764"/>
      <c r="C134" s="342"/>
      <c r="D134" s="342"/>
      <c r="E134" s="241"/>
      <c r="F134" s="241"/>
      <c r="G134" s="342"/>
      <c r="H134" s="342"/>
      <c r="I134" s="342"/>
      <c r="J134" s="342"/>
      <c r="K134" s="342"/>
      <c r="L134" s="342"/>
      <c r="M134" s="342"/>
      <c r="N134" s="342"/>
      <c r="O134" s="342"/>
    </row>
    <row r="135" spans="1:15" s="153" customFormat="1" x14ac:dyDescent="0.25">
      <c r="A135" s="734" t="s">
        <v>74</v>
      </c>
      <c r="B135" s="734"/>
      <c r="C135" s="137">
        <v>6.1666699999999999</v>
      </c>
      <c r="D135" s="138">
        <v>1</v>
      </c>
      <c r="E135" s="139">
        <f>$E$30</f>
        <v>0</v>
      </c>
      <c r="F135" s="139">
        <f>Dies!$C$53</f>
        <v>77</v>
      </c>
      <c r="G135" s="273">
        <f>+D135*E135*F135</f>
        <v>0</v>
      </c>
      <c r="H135" s="273"/>
      <c r="I135" s="273"/>
      <c r="J135" s="273"/>
      <c r="K135" s="320">
        <f>$K$117</f>
        <v>0</v>
      </c>
      <c r="L135" s="237">
        <f>+K135/C135</f>
        <v>0</v>
      </c>
      <c r="M135" s="238" t="str">
        <f>+M83</f>
        <v>Tarda</v>
      </c>
      <c r="N135" s="238"/>
      <c r="O135" s="239">
        <f>+K135*G135</f>
        <v>0</v>
      </c>
    </row>
    <row r="136" spans="1:15" s="153" customFormat="1" x14ac:dyDescent="0.25">
      <c r="A136" s="762" t="s">
        <v>196</v>
      </c>
      <c r="B136" s="762"/>
      <c r="C136" s="342"/>
      <c r="D136" s="342"/>
      <c r="E136" s="147"/>
      <c r="F136" s="241"/>
      <c r="G136" s="342"/>
      <c r="H136" s="342"/>
      <c r="I136" s="342"/>
      <c r="J136" s="342"/>
      <c r="K136" s="342"/>
      <c r="L136" s="342"/>
      <c r="M136" s="342"/>
      <c r="N136" s="342"/>
      <c r="O136" s="342"/>
    </row>
    <row r="137" spans="1:15" s="153" customFormat="1" x14ac:dyDescent="0.25">
      <c r="A137" s="765" t="s">
        <v>88</v>
      </c>
      <c r="B137" s="765"/>
      <c r="C137" s="342"/>
      <c r="D137" s="342"/>
      <c r="E137" s="147"/>
      <c r="F137" s="241"/>
      <c r="G137" s="342"/>
      <c r="H137" s="342"/>
      <c r="I137" s="342"/>
      <c r="J137" s="342"/>
      <c r="K137" s="342"/>
      <c r="L137" s="342"/>
      <c r="M137" s="342"/>
      <c r="N137" s="342"/>
      <c r="O137" s="342"/>
    </row>
    <row r="138" spans="1:15" s="153" customFormat="1" x14ac:dyDescent="0.25">
      <c r="A138" s="734" t="s">
        <v>74</v>
      </c>
      <c r="B138" s="734"/>
      <c r="C138" s="137">
        <v>6.1666699999999999</v>
      </c>
      <c r="D138" s="138">
        <v>1</v>
      </c>
      <c r="E138" s="139">
        <f>$E$33</f>
        <v>0</v>
      </c>
      <c r="F138" s="139">
        <f>Dies!$C$54</f>
        <v>15</v>
      </c>
      <c r="G138" s="273">
        <f>+D138*E138*F138</f>
        <v>0</v>
      </c>
      <c r="H138" s="273"/>
      <c r="I138" s="273"/>
      <c r="J138" s="273"/>
      <c r="K138" s="320">
        <f>$K$117</f>
        <v>0</v>
      </c>
      <c r="L138" s="237">
        <f>+K138/C138</f>
        <v>0</v>
      </c>
      <c r="M138" s="238" t="str">
        <f>+M86</f>
        <v>Matí</v>
      </c>
      <c r="N138" s="238"/>
      <c r="O138" s="239">
        <f>+K138*G138</f>
        <v>0</v>
      </c>
    </row>
    <row r="139" spans="1:15" s="153" customFormat="1" x14ac:dyDescent="0.25">
      <c r="A139" s="764" t="s">
        <v>89</v>
      </c>
      <c r="B139" s="764"/>
      <c r="C139" s="342"/>
      <c r="D139" s="342"/>
      <c r="E139" s="147"/>
      <c r="F139" s="241"/>
      <c r="G139" s="342"/>
      <c r="H139" s="342"/>
      <c r="I139" s="342"/>
      <c r="J139" s="342"/>
      <c r="K139" s="342"/>
      <c r="L139" s="342"/>
      <c r="M139" s="342"/>
      <c r="N139" s="342"/>
      <c r="O139" s="342"/>
    </row>
    <row r="140" spans="1:15" s="153" customFormat="1" x14ac:dyDescent="0.25">
      <c r="A140" s="734" t="s">
        <v>74</v>
      </c>
      <c r="B140" s="734"/>
      <c r="C140" s="137">
        <v>6.1666699999999999</v>
      </c>
      <c r="D140" s="138">
        <v>1</v>
      </c>
      <c r="E140" s="139">
        <f>$E$35</f>
        <v>0</v>
      </c>
      <c r="F140" s="139">
        <f>Dies!$C$54</f>
        <v>15</v>
      </c>
      <c r="G140" s="273">
        <f>+D140*E140*F140</f>
        <v>0</v>
      </c>
      <c r="H140" s="273"/>
      <c r="I140" s="273"/>
      <c r="J140" s="273"/>
      <c r="K140" s="320">
        <f>$K$117</f>
        <v>0</v>
      </c>
      <c r="L140" s="237">
        <f>+K140/C140</f>
        <v>0</v>
      </c>
      <c r="M140" s="238" t="str">
        <f>+M88</f>
        <v>Tarda</v>
      </c>
      <c r="N140" s="238"/>
      <c r="O140" s="239">
        <f>+K140*G140</f>
        <v>0</v>
      </c>
    </row>
    <row r="141" spans="1:15" s="153" customFormat="1" x14ac:dyDescent="0.25">
      <c r="A141" s="762" t="s">
        <v>197</v>
      </c>
      <c r="B141" s="762"/>
      <c r="C141" s="342"/>
      <c r="D141" s="342"/>
      <c r="E141" s="147"/>
      <c r="F141" s="241"/>
      <c r="G141" s="342"/>
      <c r="H141" s="342"/>
      <c r="I141" s="342"/>
      <c r="J141" s="342"/>
      <c r="K141" s="342"/>
      <c r="L141" s="342"/>
      <c r="M141" s="342"/>
      <c r="N141" s="342"/>
      <c r="O141" s="342"/>
    </row>
    <row r="142" spans="1:15" s="153" customFormat="1" x14ac:dyDescent="0.25">
      <c r="A142" s="765" t="s">
        <v>88</v>
      </c>
      <c r="B142" s="765"/>
      <c r="C142" s="342"/>
      <c r="D142" s="342"/>
      <c r="E142" s="147"/>
      <c r="F142" s="241"/>
      <c r="G142" s="342"/>
      <c r="H142" s="342"/>
      <c r="I142" s="342"/>
      <c r="J142" s="342"/>
      <c r="K142" s="342"/>
      <c r="L142" s="342"/>
      <c r="M142" s="342"/>
      <c r="N142" s="342"/>
      <c r="O142" s="342"/>
    </row>
    <row r="143" spans="1:15" s="153" customFormat="1" x14ac:dyDescent="0.25">
      <c r="A143" s="734" t="s">
        <v>74</v>
      </c>
      <c r="B143" s="734"/>
      <c r="C143" s="137">
        <v>6.1666699999999999</v>
      </c>
      <c r="D143" s="138">
        <v>1</v>
      </c>
      <c r="E143" s="139">
        <f>$E$38</f>
        <v>0</v>
      </c>
      <c r="F143" s="139">
        <f>Dies!$C$55</f>
        <v>15</v>
      </c>
      <c r="G143" s="273">
        <f>+D143*E143*F143</f>
        <v>0</v>
      </c>
      <c r="H143" s="273"/>
      <c r="I143" s="273"/>
      <c r="J143" s="273"/>
      <c r="K143" s="320">
        <f>$K$117</f>
        <v>0</v>
      </c>
      <c r="L143" s="237">
        <f>+K143/C143</f>
        <v>0</v>
      </c>
      <c r="M143" s="238" t="str">
        <f>+M91</f>
        <v>Matí</v>
      </c>
      <c r="N143" s="238"/>
      <c r="O143" s="239">
        <f>+K143*G143</f>
        <v>0</v>
      </c>
    </row>
    <row r="144" spans="1:15" s="153" customFormat="1" x14ac:dyDescent="0.25">
      <c r="A144" s="764" t="s">
        <v>89</v>
      </c>
      <c r="B144" s="764"/>
      <c r="C144" s="342"/>
      <c r="D144" s="342"/>
      <c r="E144" s="147"/>
      <c r="F144" s="241"/>
      <c r="G144" s="342"/>
      <c r="H144" s="342"/>
      <c r="I144" s="342"/>
      <c r="J144" s="342"/>
      <c r="K144" s="342"/>
      <c r="L144" s="342"/>
      <c r="M144" s="342"/>
      <c r="N144" s="342"/>
      <c r="O144" s="342"/>
    </row>
    <row r="145" spans="1:15" s="153" customFormat="1" x14ac:dyDescent="0.25">
      <c r="A145" s="734" t="s">
        <v>74</v>
      </c>
      <c r="B145" s="734"/>
      <c r="C145" s="137">
        <v>6.1666699999999999</v>
      </c>
      <c r="D145" s="138">
        <v>1</v>
      </c>
      <c r="E145" s="139">
        <f>$E$40</f>
        <v>0</v>
      </c>
      <c r="F145" s="139">
        <f>Dies!$C$55</f>
        <v>15</v>
      </c>
      <c r="G145" s="273">
        <f>+D145*E145*F145</f>
        <v>0</v>
      </c>
      <c r="H145" s="273"/>
      <c r="I145" s="273"/>
      <c r="J145" s="273"/>
      <c r="K145" s="320">
        <f>$K$117</f>
        <v>0</v>
      </c>
      <c r="L145" s="237">
        <f>+K145/C145</f>
        <v>0</v>
      </c>
      <c r="M145" s="238" t="str">
        <f>+M93</f>
        <v>Tarda</v>
      </c>
      <c r="N145" s="238"/>
      <c r="O145" s="239">
        <f>+K145*G145</f>
        <v>0</v>
      </c>
    </row>
    <row r="146" spans="1:15" s="153" customFormat="1" x14ac:dyDescent="0.25">
      <c r="A146" s="229" t="s">
        <v>326</v>
      </c>
      <c r="B146" s="242"/>
      <c r="C146" s="347"/>
      <c r="D146" s="347"/>
      <c r="E146" s="278"/>
      <c r="F146" s="245"/>
      <c r="G146" s="347"/>
      <c r="H146" s="347"/>
      <c r="I146" s="347"/>
      <c r="J146" s="347"/>
      <c r="K146" s="347"/>
      <c r="L146" s="347"/>
      <c r="M146" s="347"/>
      <c r="N146" s="347"/>
      <c r="O146" s="347"/>
    </row>
    <row r="147" spans="1:15" s="153" customFormat="1" x14ac:dyDescent="0.25">
      <c r="A147" s="762" t="s">
        <v>195</v>
      </c>
      <c r="B147" s="762"/>
      <c r="C147" s="342"/>
      <c r="D147" s="342"/>
      <c r="E147" s="234"/>
      <c r="F147" s="234"/>
      <c r="G147" s="342"/>
      <c r="H147" s="342"/>
      <c r="I147" s="342"/>
      <c r="J147" s="342"/>
      <c r="K147" s="342"/>
      <c r="L147" s="342"/>
      <c r="M147" s="342"/>
      <c r="N147" s="342"/>
      <c r="O147" s="342"/>
    </row>
    <row r="148" spans="1:15" s="153" customFormat="1" x14ac:dyDescent="0.25">
      <c r="A148" s="763" t="s">
        <v>88</v>
      </c>
      <c r="B148" s="763"/>
      <c r="C148" s="342"/>
      <c r="D148" s="342"/>
      <c r="E148" s="234"/>
      <c r="F148" s="234"/>
      <c r="G148" s="342"/>
      <c r="H148" s="342"/>
      <c r="I148" s="342"/>
      <c r="J148" s="342"/>
      <c r="K148" s="342"/>
      <c r="L148" s="342"/>
      <c r="M148" s="342"/>
      <c r="N148" s="342"/>
      <c r="O148" s="342"/>
    </row>
    <row r="149" spans="1:15" s="153" customFormat="1" x14ac:dyDescent="0.25">
      <c r="A149" s="734" t="s">
        <v>74</v>
      </c>
      <c r="B149" s="734"/>
      <c r="C149" s="137">
        <v>6.1666699999999999</v>
      </c>
      <c r="D149" s="138">
        <v>1</v>
      </c>
      <c r="E149" s="139">
        <f>$E$44</f>
        <v>0</v>
      </c>
      <c r="F149" s="139">
        <f>Dies!$C$58</f>
        <v>89</v>
      </c>
      <c r="G149" s="273">
        <f>+D149*E149*F149</f>
        <v>0</v>
      </c>
      <c r="H149" s="273"/>
      <c r="I149" s="273"/>
      <c r="J149" s="273"/>
      <c r="K149" s="320">
        <f>$K$117</f>
        <v>0</v>
      </c>
      <c r="L149" s="237">
        <f>+K149/C149</f>
        <v>0</v>
      </c>
      <c r="M149" s="238" t="str">
        <f>+M97</f>
        <v>Matí</v>
      </c>
      <c r="N149" s="238"/>
      <c r="O149" s="239">
        <f>+K149*G149</f>
        <v>0</v>
      </c>
    </row>
    <row r="150" spans="1:15" s="153" customFormat="1" x14ac:dyDescent="0.25">
      <c r="A150" s="770" t="s">
        <v>89</v>
      </c>
      <c r="B150" s="770"/>
      <c r="C150" s="342"/>
      <c r="D150" s="342"/>
      <c r="E150" s="147"/>
      <c r="F150" s="241"/>
      <c r="G150" s="342"/>
      <c r="H150" s="342"/>
      <c r="I150" s="342"/>
      <c r="J150" s="342"/>
      <c r="K150" s="342"/>
      <c r="L150" s="342"/>
      <c r="M150" s="342"/>
      <c r="N150" s="342"/>
      <c r="O150" s="342"/>
    </row>
    <row r="151" spans="1:15" s="153" customFormat="1" x14ac:dyDescent="0.25">
      <c r="A151" s="734" t="s">
        <v>74</v>
      </c>
      <c r="B151" s="734"/>
      <c r="C151" s="137">
        <v>6.1666699999999999</v>
      </c>
      <c r="D151" s="138">
        <v>1</v>
      </c>
      <c r="E151" s="139">
        <f>$E$46</f>
        <v>0</v>
      </c>
      <c r="F151" s="139">
        <f>Dies!$C$58</f>
        <v>89</v>
      </c>
      <c r="G151" s="273">
        <f>+D151*E151*F151</f>
        <v>0</v>
      </c>
      <c r="H151" s="273"/>
      <c r="I151" s="273"/>
      <c r="J151" s="273"/>
      <c r="K151" s="320">
        <f>$K$117</f>
        <v>0</v>
      </c>
      <c r="L151" s="237">
        <f>+K151/C151</f>
        <v>0</v>
      </c>
      <c r="M151" s="238" t="str">
        <f>+M99</f>
        <v>Tarda</v>
      </c>
      <c r="N151" s="238"/>
      <c r="O151" s="239">
        <f>+K151*G151</f>
        <v>0</v>
      </c>
    </row>
    <row r="152" spans="1:15" s="153" customFormat="1" x14ac:dyDescent="0.25">
      <c r="A152" s="762" t="s">
        <v>196</v>
      </c>
      <c r="B152" s="762"/>
      <c r="C152" s="342"/>
      <c r="D152" s="342"/>
      <c r="E152" s="147"/>
      <c r="F152" s="241"/>
      <c r="G152" s="342"/>
      <c r="H152" s="342"/>
      <c r="I152" s="342"/>
      <c r="J152" s="342"/>
      <c r="K152" s="342"/>
      <c r="L152" s="342"/>
      <c r="M152" s="342"/>
      <c r="N152" s="342"/>
      <c r="O152" s="342"/>
    </row>
    <row r="153" spans="1:15" s="153" customFormat="1" x14ac:dyDescent="0.25">
      <c r="A153" s="763" t="s">
        <v>88</v>
      </c>
      <c r="B153" s="763"/>
      <c r="C153" s="342"/>
      <c r="D153" s="342"/>
      <c r="E153" s="147"/>
      <c r="F153" s="241"/>
      <c r="G153" s="342"/>
      <c r="H153" s="342"/>
      <c r="I153" s="342"/>
      <c r="J153" s="342"/>
      <c r="K153" s="342"/>
      <c r="L153" s="342"/>
      <c r="M153" s="342"/>
      <c r="N153" s="342"/>
      <c r="O153" s="342"/>
    </row>
    <row r="154" spans="1:15" s="153" customFormat="1" x14ac:dyDescent="0.25">
      <c r="A154" s="734" t="s">
        <v>74</v>
      </c>
      <c r="B154" s="734"/>
      <c r="C154" s="137">
        <v>6.1666699999999999</v>
      </c>
      <c r="D154" s="138">
        <v>1</v>
      </c>
      <c r="E154" s="139">
        <f>$E$49</f>
        <v>0</v>
      </c>
      <c r="F154" s="139">
        <f>Dies!$C$59</f>
        <v>17</v>
      </c>
      <c r="G154" s="273">
        <f>+D154*E154*F154</f>
        <v>0</v>
      </c>
      <c r="H154" s="273"/>
      <c r="I154" s="273"/>
      <c r="J154" s="273"/>
      <c r="K154" s="320">
        <f>$K$117</f>
        <v>0</v>
      </c>
      <c r="L154" s="237">
        <f>+K154/C154</f>
        <v>0</v>
      </c>
      <c r="M154" s="238" t="str">
        <f>+M102</f>
        <v>Matí</v>
      </c>
      <c r="N154" s="238"/>
      <c r="O154" s="239">
        <f>+K154*G154</f>
        <v>0</v>
      </c>
    </row>
    <row r="155" spans="1:15" s="153" customFormat="1" x14ac:dyDescent="0.25">
      <c r="A155" s="770" t="s">
        <v>89</v>
      </c>
      <c r="B155" s="770"/>
      <c r="C155" s="342"/>
      <c r="D155" s="342"/>
      <c r="E155" s="147"/>
      <c r="F155" s="241"/>
      <c r="G155" s="342"/>
      <c r="H155" s="342"/>
      <c r="I155" s="342"/>
      <c r="J155" s="342"/>
      <c r="K155" s="342"/>
      <c r="L155" s="342"/>
      <c r="M155" s="342"/>
      <c r="N155" s="342"/>
      <c r="O155" s="342"/>
    </row>
    <row r="156" spans="1:15" s="153" customFormat="1" x14ac:dyDescent="0.25">
      <c r="A156" s="734" t="s">
        <v>74</v>
      </c>
      <c r="B156" s="734"/>
      <c r="C156" s="137">
        <v>6.1666699999999999</v>
      </c>
      <c r="D156" s="138">
        <v>1</v>
      </c>
      <c r="E156" s="139">
        <f>$E$51</f>
        <v>0</v>
      </c>
      <c r="F156" s="139">
        <f>Dies!$C$59</f>
        <v>17</v>
      </c>
      <c r="G156" s="273">
        <f>+D156*E156*F156</f>
        <v>0</v>
      </c>
      <c r="H156" s="273"/>
      <c r="I156" s="273"/>
      <c r="J156" s="273"/>
      <c r="K156" s="320">
        <f>$K$117</f>
        <v>0</v>
      </c>
      <c r="L156" s="237">
        <f>+K156/C156</f>
        <v>0</v>
      </c>
      <c r="M156" s="238" t="str">
        <f>+M104</f>
        <v>Tarda</v>
      </c>
      <c r="N156" s="238"/>
      <c r="O156" s="239">
        <f>+K156*G156</f>
        <v>0</v>
      </c>
    </row>
    <row r="157" spans="1:15" s="153" customFormat="1" x14ac:dyDescent="0.25">
      <c r="A157" s="762" t="s">
        <v>197</v>
      </c>
      <c r="B157" s="762"/>
      <c r="C157" s="342"/>
      <c r="D157" s="342"/>
      <c r="E157" s="147"/>
      <c r="F157" s="241"/>
      <c r="G157" s="342"/>
      <c r="H157" s="342"/>
      <c r="I157" s="342"/>
      <c r="J157" s="342"/>
      <c r="K157" s="342"/>
      <c r="L157" s="342"/>
      <c r="M157" s="342"/>
      <c r="N157" s="342"/>
      <c r="O157" s="342"/>
    </row>
    <row r="158" spans="1:15" s="153" customFormat="1" x14ac:dyDescent="0.25">
      <c r="A158" s="763" t="s">
        <v>88</v>
      </c>
      <c r="B158" s="763"/>
      <c r="C158" s="342"/>
      <c r="D158" s="342"/>
      <c r="E158" s="147"/>
      <c r="F158" s="241"/>
      <c r="G158" s="342"/>
      <c r="H158" s="342"/>
      <c r="I158" s="342"/>
      <c r="J158" s="342"/>
      <c r="K158" s="342"/>
      <c r="L158" s="342"/>
      <c r="M158" s="342"/>
      <c r="N158" s="342"/>
      <c r="O158" s="342"/>
    </row>
    <row r="159" spans="1:15" s="153" customFormat="1" x14ac:dyDescent="0.25">
      <c r="A159" s="734" t="s">
        <v>74</v>
      </c>
      <c r="B159" s="734"/>
      <c r="C159" s="137">
        <v>6.1666699999999999</v>
      </c>
      <c r="D159" s="138">
        <v>1</v>
      </c>
      <c r="E159" s="139">
        <f>$E$54</f>
        <v>0</v>
      </c>
      <c r="F159" s="139">
        <f>Dies!$C$60</f>
        <v>17</v>
      </c>
      <c r="G159" s="273">
        <f>+D159*E159*F159</f>
        <v>0</v>
      </c>
      <c r="H159" s="273"/>
      <c r="I159" s="273"/>
      <c r="J159" s="273"/>
      <c r="K159" s="320">
        <f>$K$117</f>
        <v>0</v>
      </c>
      <c r="L159" s="237">
        <f>+K159/C159</f>
        <v>0</v>
      </c>
      <c r="M159" s="238" t="str">
        <f>+M107</f>
        <v>Matí</v>
      </c>
      <c r="N159" s="238"/>
      <c r="O159" s="239">
        <f>+K159*G159</f>
        <v>0</v>
      </c>
    </row>
    <row r="160" spans="1:15" s="153" customFormat="1" x14ac:dyDescent="0.25">
      <c r="A160" s="770" t="s">
        <v>89</v>
      </c>
      <c r="B160" s="770"/>
      <c r="C160" s="342"/>
      <c r="D160" s="342"/>
      <c r="E160" s="241"/>
      <c r="F160" s="241"/>
      <c r="G160" s="342"/>
      <c r="H160" s="342"/>
      <c r="I160" s="342"/>
      <c r="J160" s="342"/>
      <c r="K160" s="342"/>
      <c r="L160" s="342"/>
      <c r="M160" s="342"/>
      <c r="N160" s="342"/>
      <c r="O160" s="342"/>
    </row>
    <row r="161" spans="1:15" s="153" customFormat="1" x14ac:dyDescent="0.25">
      <c r="A161" s="734" t="s">
        <v>74</v>
      </c>
      <c r="B161" s="734"/>
      <c r="C161" s="137">
        <v>6.1666699999999999</v>
      </c>
      <c r="D161" s="138">
        <v>1</v>
      </c>
      <c r="E161" s="139">
        <f>$E$56</f>
        <v>0</v>
      </c>
      <c r="F161" s="139">
        <f>Dies!$C$60</f>
        <v>17</v>
      </c>
      <c r="G161" s="273">
        <f>+D161*E161*F161</f>
        <v>0</v>
      </c>
      <c r="H161" s="273"/>
      <c r="I161" s="273"/>
      <c r="J161" s="273"/>
      <c r="K161" s="320">
        <f>$K$117</f>
        <v>0</v>
      </c>
      <c r="L161" s="237">
        <f>+K161/C161</f>
        <v>0</v>
      </c>
      <c r="M161" s="238" t="str">
        <f>+M109</f>
        <v>Tarda</v>
      </c>
      <c r="N161" s="238"/>
      <c r="O161" s="239">
        <f>+K161*G161</f>
        <v>0</v>
      </c>
    </row>
    <row r="162" spans="1:15" x14ac:dyDescent="0.25">
      <c r="A162" s="410"/>
      <c r="B162" s="411"/>
      <c r="C162" s="411"/>
      <c r="D162" s="411"/>
      <c r="E162" s="412" t="s">
        <v>47</v>
      </c>
      <c r="F162" s="411"/>
      <c r="G162" s="411"/>
      <c r="H162" s="411"/>
      <c r="I162" s="411"/>
      <c r="J162" s="411"/>
      <c r="K162" s="411"/>
      <c r="L162" s="411"/>
      <c r="M162" s="411"/>
      <c r="N162" s="411"/>
      <c r="O162" s="413">
        <f>SUM(O117:O161)</f>
        <v>0</v>
      </c>
    </row>
    <row r="163" spans="1:15" s="153" customFormat="1" ht="26.25" x14ac:dyDescent="0.4">
      <c r="A163" s="259" t="s">
        <v>272</v>
      </c>
      <c r="B163" s="221"/>
      <c r="C163" s="221"/>
      <c r="D163" s="223"/>
      <c r="E163" s="223"/>
      <c r="F163" s="223"/>
      <c r="G163" s="223"/>
      <c r="H163" s="223"/>
      <c r="I163" s="223"/>
      <c r="J163" s="223"/>
      <c r="K163" s="224"/>
      <c r="L163" s="224"/>
      <c r="M163" s="224"/>
      <c r="N163" s="224"/>
      <c r="O163" s="404"/>
    </row>
    <row r="164" spans="1:15" s="281" customFormat="1" x14ac:dyDescent="0.25">
      <c r="A164" s="803" t="s">
        <v>43</v>
      </c>
      <c r="B164" s="803" t="s">
        <v>20</v>
      </c>
      <c r="C164" s="803" t="s">
        <v>27</v>
      </c>
      <c r="D164" s="803" t="s">
        <v>28</v>
      </c>
      <c r="E164" s="803" t="s">
        <v>21</v>
      </c>
      <c r="F164" s="803" t="s">
        <v>23</v>
      </c>
      <c r="G164" s="803" t="s">
        <v>22</v>
      </c>
      <c r="H164" s="454"/>
      <c r="I164" s="454"/>
      <c r="J164" s="454"/>
      <c r="K164" s="803" t="s">
        <v>79</v>
      </c>
      <c r="L164" s="454"/>
      <c r="M164" s="803"/>
      <c r="N164" s="803" t="s">
        <v>80</v>
      </c>
      <c r="O164" s="803" t="s">
        <v>32</v>
      </c>
    </row>
    <row r="165" spans="1:15" s="281" customFormat="1" x14ac:dyDescent="0.25">
      <c r="A165" s="785"/>
      <c r="B165" s="785"/>
      <c r="C165" s="785" t="s">
        <v>44</v>
      </c>
      <c r="D165" s="785" t="s">
        <v>5</v>
      </c>
      <c r="E165" s="785" t="s">
        <v>24</v>
      </c>
      <c r="F165" s="785" t="s">
        <v>81</v>
      </c>
      <c r="G165" s="785" t="s">
        <v>82</v>
      </c>
      <c r="H165" s="455"/>
      <c r="I165" s="455"/>
      <c r="J165" s="455"/>
      <c r="K165" s="785" t="s">
        <v>28</v>
      </c>
      <c r="L165" s="455"/>
      <c r="M165" s="785"/>
      <c r="N165" s="785" t="s">
        <v>83</v>
      </c>
      <c r="O165" s="785" t="s">
        <v>40</v>
      </c>
    </row>
    <row r="166" spans="1:15" x14ac:dyDescent="0.25">
      <c r="A166" s="734" t="s">
        <v>319</v>
      </c>
      <c r="B166" s="734"/>
      <c r="C166" s="137">
        <v>6.1666699999999999</v>
      </c>
      <c r="D166" s="138">
        <v>1</v>
      </c>
      <c r="E166" s="139">
        <v>1</v>
      </c>
      <c r="F166" s="283">
        <f>Inversions!H18</f>
        <v>73500</v>
      </c>
      <c r="G166" s="273">
        <v>8</v>
      </c>
      <c r="H166" s="273"/>
      <c r="I166" s="273"/>
      <c r="J166" s="273"/>
      <c r="K166" s="284">
        <f>Paràmetres!$C$4</f>
        <v>0</v>
      </c>
      <c r="L166" s="284"/>
      <c r="M166" s="139"/>
      <c r="N166" s="140">
        <f>-12*PMT(K166/12,G166*12,F166)</f>
        <v>9187.5</v>
      </c>
      <c r="O166" s="144">
        <f>E166*N166</f>
        <v>9187.5</v>
      </c>
    </row>
    <row r="167" spans="1:15" s="281" customFormat="1" x14ac:dyDescent="0.25">
      <c r="A167" s="410"/>
      <c r="B167" s="411"/>
      <c r="C167" s="411"/>
      <c r="D167" s="411"/>
      <c r="E167" s="412"/>
      <c r="F167" s="412" t="s">
        <v>84</v>
      </c>
      <c r="G167" s="411"/>
      <c r="H167" s="411"/>
      <c r="I167" s="411"/>
      <c r="J167" s="411"/>
      <c r="K167" s="411"/>
      <c r="L167" s="411"/>
      <c r="M167" s="411"/>
      <c r="N167" s="411"/>
      <c r="O167" s="413">
        <f>SUM(O166:O166)</f>
        <v>9187.5</v>
      </c>
    </row>
    <row r="168" spans="1:15" s="5" customFormat="1" ht="26.25" x14ac:dyDescent="0.4">
      <c r="A168" s="415" t="s">
        <v>213</v>
      </c>
      <c r="B168" s="416"/>
      <c r="C168" s="416"/>
      <c r="D168" s="417"/>
      <c r="E168" s="417"/>
      <c r="F168" s="417"/>
      <c r="G168" s="417"/>
      <c r="H168" s="417"/>
      <c r="I168" s="417"/>
      <c r="J168" s="417"/>
      <c r="K168" s="418"/>
      <c r="L168" s="418"/>
      <c r="M168" s="418"/>
      <c r="N168" s="418"/>
      <c r="O168" s="419"/>
    </row>
    <row r="169" spans="1:15" s="281" customFormat="1" x14ac:dyDescent="0.25">
      <c r="A169" s="804" t="s">
        <v>43</v>
      </c>
      <c r="B169" s="804" t="s">
        <v>20</v>
      </c>
      <c r="C169" s="456" t="s">
        <v>27</v>
      </c>
      <c r="D169" s="456" t="s">
        <v>28</v>
      </c>
      <c r="E169" s="456" t="s">
        <v>21</v>
      </c>
      <c r="F169" s="456"/>
      <c r="G169" s="456"/>
      <c r="H169" s="456"/>
      <c r="I169" s="456"/>
      <c r="J169" s="456"/>
      <c r="K169" s="456" t="s">
        <v>100</v>
      </c>
      <c r="L169" s="456"/>
      <c r="M169" s="456"/>
      <c r="N169" s="456"/>
      <c r="O169" s="457" t="s">
        <v>32</v>
      </c>
    </row>
    <row r="170" spans="1:15" s="281" customFormat="1" x14ac:dyDescent="0.25">
      <c r="A170" s="806"/>
      <c r="B170" s="806"/>
      <c r="C170" s="463" t="s">
        <v>44</v>
      </c>
      <c r="D170" s="463" t="s">
        <v>5</v>
      </c>
      <c r="E170" s="463" t="s">
        <v>24</v>
      </c>
      <c r="F170" s="464"/>
      <c r="G170" s="463"/>
      <c r="H170" s="463"/>
      <c r="I170" s="463"/>
      <c r="J170" s="463"/>
      <c r="K170" s="463" t="s">
        <v>101</v>
      </c>
      <c r="L170" s="463"/>
      <c r="M170" s="463"/>
      <c r="N170" s="463"/>
      <c r="O170" s="465" t="s">
        <v>40</v>
      </c>
    </row>
    <row r="171" spans="1:15" s="281" customFormat="1" x14ac:dyDescent="0.25">
      <c r="A171" s="807" t="s">
        <v>319</v>
      </c>
      <c r="B171" s="807"/>
      <c r="C171" s="489">
        <v>6.1666699999999999</v>
      </c>
      <c r="D171" s="467">
        <v>1</v>
      </c>
      <c r="E171" s="470">
        <v>1</v>
      </c>
      <c r="F171" s="490"/>
      <c r="G171" s="472"/>
      <c r="H171" s="472"/>
      <c r="I171" s="472"/>
      <c r="J171" s="472"/>
      <c r="K171" s="471">
        <f>'Seguro+combustible+reparacions'!E6</f>
        <v>0</v>
      </c>
      <c r="L171" s="471"/>
      <c r="M171" s="472"/>
      <c r="N171" s="473"/>
      <c r="O171" s="313">
        <f>E171*K171</f>
        <v>0</v>
      </c>
    </row>
    <row r="172" spans="1:15" s="281" customFormat="1" x14ac:dyDescent="0.25">
      <c r="A172" s="395"/>
      <c r="B172" s="396"/>
      <c r="C172" s="396"/>
      <c r="D172" s="396"/>
      <c r="E172" s="397"/>
      <c r="F172" s="397" t="s">
        <v>85</v>
      </c>
      <c r="G172" s="396"/>
      <c r="H172" s="396"/>
      <c r="I172" s="396"/>
      <c r="J172" s="396"/>
      <c r="K172" s="396"/>
      <c r="L172" s="396"/>
      <c r="M172" s="396"/>
      <c r="N172" s="396"/>
      <c r="O172" s="399">
        <f>SUM(O171:O171)</f>
        <v>0</v>
      </c>
    </row>
    <row r="173" spans="1:15" s="281" customFormat="1" ht="26.25" x14ac:dyDescent="0.4">
      <c r="A173" s="285" t="s">
        <v>420</v>
      </c>
      <c r="B173" s="286"/>
      <c r="C173" s="286"/>
      <c r="D173" s="287"/>
      <c r="E173" s="287"/>
      <c r="F173" s="287"/>
      <c r="G173" s="287"/>
      <c r="H173" s="287"/>
      <c r="I173" s="287"/>
      <c r="J173" s="287"/>
      <c r="K173" s="288"/>
      <c r="L173" s="288"/>
      <c r="M173" s="288"/>
      <c r="N173" s="288"/>
      <c r="O173" s="289"/>
    </row>
    <row r="174" spans="1:15" s="281" customFormat="1" x14ac:dyDescent="0.25">
      <c r="A174" s="758" t="s">
        <v>225</v>
      </c>
      <c r="B174" s="759"/>
      <c r="C174" s="290"/>
      <c r="D174" s="290" t="s">
        <v>28</v>
      </c>
      <c r="E174" s="290"/>
      <c r="F174" s="290"/>
      <c r="G174" s="290"/>
      <c r="H174" s="290"/>
      <c r="I174" s="290"/>
      <c r="J174" s="290"/>
      <c r="K174" s="290" t="s">
        <v>100</v>
      </c>
      <c r="L174" s="290"/>
      <c r="M174" s="290"/>
      <c r="N174" s="290"/>
      <c r="O174" s="291" t="s">
        <v>32</v>
      </c>
    </row>
    <row r="175" spans="1:15" s="281" customFormat="1" x14ac:dyDescent="0.25">
      <c r="A175" s="760"/>
      <c r="B175" s="761"/>
      <c r="C175" s="292"/>
      <c r="D175" s="292" t="s">
        <v>5</v>
      </c>
      <c r="E175" s="290" t="s">
        <v>21</v>
      </c>
      <c r="F175" s="293"/>
      <c r="G175" s="292"/>
      <c r="H175" s="292"/>
      <c r="I175" s="292"/>
      <c r="J175" s="292"/>
      <c r="K175" s="292" t="s">
        <v>238</v>
      </c>
      <c r="L175" s="292"/>
      <c r="M175" s="292"/>
      <c r="N175" s="292"/>
      <c r="O175" s="294" t="s">
        <v>40</v>
      </c>
    </row>
    <row r="176" spans="1:15" s="281" customFormat="1" x14ac:dyDescent="0.25">
      <c r="A176" s="733" t="s">
        <v>245</v>
      </c>
      <c r="B176" s="733"/>
      <c r="C176" s="137"/>
      <c r="D176" s="138">
        <v>1</v>
      </c>
      <c r="E176" s="650">
        <f>I57</f>
        <v>0</v>
      </c>
      <c r="F176" s="373"/>
      <c r="G176" s="372"/>
      <c r="H176" s="372"/>
      <c r="I176" s="372"/>
      <c r="J176" s="372"/>
      <c r="K176" s="650">
        <f>Consumibles!E46</f>
        <v>0</v>
      </c>
      <c r="L176" s="304"/>
      <c r="M176" s="303"/>
      <c r="N176" s="302"/>
      <c r="O176" s="239">
        <f>E176*K176</f>
        <v>0</v>
      </c>
    </row>
    <row r="177" spans="1:15" s="281" customFormat="1" x14ac:dyDescent="0.25">
      <c r="A177" s="733" t="s">
        <v>226</v>
      </c>
      <c r="B177" s="733"/>
      <c r="C177" s="137"/>
      <c r="D177" s="138">
        <v>1</v>
      </c>
      <c r="E177" s="650">
        <v>0</v>
      </c>
      <c r="F177" s="373"/>
      <c r="G177" s="372"/>
      <c r="H177" s="372"/>
      <c r="I177" s="372"/>
      <c r="J177" s="372"/>
      <c r="K177" s="650">
        <f>Consumibles!E21</f>
        <v>0</v>
      </c>
      <c r="L177" s="304"/>
      <c r="M177" s="303"/>
      <c r="N177" s="302"/>
      <c r="O177" s="239">
        <f>E177*K177</f>
        <v>0</v>
      </c>
    </row>
    <row r="178" spans="1:15" s="281" customFormat="1" x14ac:dyDescent="0.25">
      <c r="A178" s="733" t="s">
        <v>237</v>
      </c>
      <c r="B178" s="733"/>
      <c r="C178" s="137"/>
      <c r="D178" s="138">
        <v>1</v>
      </c>
      <c r="E178" s="663">
        <v>0</v>
      </c>
      <c r="F178" s="373"/>
      <c r="G178" s="372"/>
      <c r="H178" s="372"/>
      <c r="I178" s="372"/>
      <c r="J178" s="372"/>
      <c r="K178" s="650">
        <f>Consumibles!E22</f>
        <v>0</v>
      </c>
      <c r="L178" s="304"/>
      <c r="M178" s="303"/>
      <c r="N178" s="302"/>
      <c r="O178" s="239">
        <f t="shared" ref="O178:O181" si="0">E178*K178</f>
        <v>0</v>
      </c>
    </row>
    <row r="179" spans="1:15" s="281" customFormat="1" x14ac:dyDescent="0.25">
      <c r="A179" s="733" t="s">
        <v>234</v>
      </c>
      <c r="B179" s="733"/>
      <c r="C179" s="137"/>
      <c r="D179" s="138">
        <v>1</v>
      </c>
      <c r="E179" s="372">
        <v>50</v>
      </c>
      <c r="F179" s="373"/>
      <c r="G179" s="372"/>
      <c r="H179" s="372"/>
      <c r="I179" s="372"/>
      <c r="J179" s="372"/>
      <c r="K179" s="650">
        <f>Consumibles!E23</f>
        <v>0</v>
      </c>
      <c r="L179" s="304"/>
      <c r="M179" s="303"/>
      <c r="N179" s="302"/>
      <c r="O179" s="239">
        <f t="shared" si="0"/>
        <v>0</v>
      </c>
    </row>
    <row r="180" spans="1:15" s="281" customFormat="1" x14ac:dyDescent="0.25">
      <c r="A180" s="733" t="s">
        <v>235</v>
      </c>
      <c r="B180" s="733"/>
      <c r="C180" s="137"/>
      <c r="D180" s="138">
        <v>1</v>
      </c>
      <c r="E180" s="372">
        <v>0</v>
      </c>
      <c r="F180" s="373"/>
      <c r="G180" s="372"/>
      <c r="H180" s="372"/>
      <c r="I180" s="372"/>
      <c r="J180" s="372"/>
      <c r="K180" s="650">
        <f>Consumibles!E24</f>
        <v>0</v>
      </c>
      <c r="L180" s="304"/>
      <c r="M180" s="303"/>
      <c r="N180" s="302"/>
      <c r="O180" s="239">
        <f t="shared" si="0"/>
        <v>0</v>
      </c>
    </row>
    <row r="181" spans="1:15" s="281" customFormat="1" x14ac:dyDescent="0.25">
      <c r="A181" s="733" t="s">
        <v>236</v>
      </c>
      <c r="B181" s="733"/>
      <c r="C181" s="137"/>
      <c r="D181" s="138">
        <v>1</v>
      </c>
      <c r="E181" s="372">
        <v>0</v>
      </c>
      <c r="F181" s="373"/>
      <c r="G181" s="372"/>
      <c r="H181" s="372"/>
      <c r="I181" s="372"/>
      <c r="J181" s="372"/>
      <c r="K181" s="650">
        <f>Consumibles!E25</f>
        <v>0</v>
      </c>
      <c r="L181" s="304"/>
      <c r="M181" s="303"/>
      <c r="N181" s="302"/>
      <c r="O181" s="239">
        <f t="shared" si="0"/>
        <v>0</v>
      </c>
    </row>
    <row r="182" spans="1:15" s="281" customFormat="1" x14ac:dyDescent="0.25">
      <c r="A182" s="254"/>
      <c r="B182" s="255"/>
      <c r="C182" s="255"/>
      <c r="D182" s="255"/>
      <c r="E182" s="256"/>
      <c r="F182" s="256" t="s">
        <v>224</v>
      </c>
      <c r="G182" s="255"/>
      <c r="H182" s="255"/>
      <c r="I182" s="255"/>
      <c r="J182" s="255"/>
      <c r="K182" s="255"/>
      <c r="L182" s="255"/>
      <c r="M182" s="255"/>
      <c r="N182" s="255"/>
      <c r="O182" s="257">
        <f>SUM(O176:O181)</f>
        <v>0</v>
      </c>
    </row>
    <row r="183" spans="1:15" x14ac:dyDescent="0.25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</row>
    <row r="184" spans="1:15" x14ac:dyDescent="0.25">
      <c r="A184" s="218"/>
      <c r="B184" s="218"/>
      <c r="C184" s="218"/>
      <c r="D184" s="218"/>
      <c r="E184" s="218"/>
      <c r="F184" s="307" t="s">
        <v>271</v>
      </c>
      <c r="G184" s="308"/>
      <c r="H184" s="308"/>
      <c r="I184" s="308"/>
      <c r="J184" s="308"/>
      <c r="K184" s="308"/>
      <c r="L184" s="308"/>
      <c r="M184" s="316"/>
      <c r="N184" s="316"/>
      <c r="O184" s="317">
        <f>+O57+O110+O162+O172+O182</f>
        <v>0</v>
      </c>
    </row>
    <row r="185" spans="1:15" x14ac:dyDescent="0.25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310"/>
    </row>
    <row r="186" spans="1:15" x14ac:dyDescent="0.25">
      <c r="A186" s="218"/>
      <c r="B186" s="218"/>
      <c r="C186" s="218"/>
      <c r="D186" s="218"/>
      <c r="E186" s="218"/>
      <c r="F186" s="311" t="s">
        <v>3</v>
      </c>
      <c r="G186" s="312"/>
      <c r="H186" s="312"/>
      <c r="I186" s="312"/>
      <c r="J186" s="312"/>
      <c r="K186" s="312"/>
      <c r="L186" s="312"/>
      <c r="M186" s="652">
        <f>Paràmetres!C6</f>
        <v>0</v>
      </c>
      <c r="N186" s="312"/>
      <c r="O186" s="313">
        <f>+O184*M186</f>
        <v>0</v>
      </c>
    </row>
    <row r="187" spans="1:15" x14ac:dyDescent="0.25">
      <c r="A187" s="218"/>
      <c r="B187" s="218"/>
      <c r="C187" s="218"/>
      <c r="D187" s="218"/>
      <c r="E187" s="218"/>
      <c r="F187" s="312"/>
      <c r="G187" s="312"/>
      <c r="H187" s="312"/>
      <c r="I187" s="312"/>
      <c r="J187" s="312"/>
      <c r="K187" s="312"/>
      <c r="L187" s="312"/>
      <c r="M187" s="314"/>
      <c r="N187" s="312"/>
      <c r="O187" s="313"/>
    </row>
    <row r="188" spans="1:15" x14ac:dyDescent="0.25">
      <c r="A188" s="218"/>
      <c r="B188" s="218"/>
      <c r="C188" s="218"/>
      <c r="D188" s="218"/>
      <c r="E188" s="218"/>
      <c r="F188" s="311" t="s">
        <v>2</v>
      </c>
      <c r="G188" s="312"/>
      <c r="H188" s="312"/>
      <c r="I188" s="312"/>
      <c r="J188" s="312"/>
      <c r="K188" s="312"/>
      <c r="L188" s="312"/>
      <c r="M188" s="652">
        <f>Paràmetres!C5</f>
        <v>0</v>
      </c>
      <c r="N188" s="312"/>
      <c r="O188" s="313">
        <f>+O184*M188</f>
        <v>0</v>
      </c>
    </row>
    <row r="189" spans="1:15" x14ac:dyDescent="0.25">
      <c r="A189" s="218"/>
      <c r="B189" s="218"/>
      <c r="C189" s="218"/>
      <c r="D189" s="218"/>
      <c r="E189" s="218"/>
      <c r="F189" s="312"/>
      <c r="G189" s="312"/>
      <c r="H189" s="312"/>
      <c r="I189" s="312"/>
      <c r="J189" s="312"/>
      <c r="K189" s="312"/>
      <c r="L189" s="312"/>
      <c r="M189" s="314"/>
      <c r="N189" s="312"/>
      <c r="O189" s="313"/>
    </row>
    <row r="190" spans="1:15" x14ac:dyDescent="0.25">
      <c r="A190" s="218"/>
      <c r="B190" s="218"/>
      <c r="C190" s="218"/>
      <c r="D190" s="218"/>
      <c r="E190" s="218"/>
      <c r="F190" s="311" t="s">
        <v>48</v>
      </c>
      <c r="G190" s="312"/>
      <c r="H190" s="312"/>
      <c r="I190" s="312"/>
      <c r="J190" s="312"/>
      <c r="K190" s="312"/>
      <c r="L190" s="312"/>
      <c r="M190" s="314"/>
      <c r="N190" s="312"/>
      <c r="O190" s="313">
        <f>+O184*M190</f>
        <v>0</v>
      </c>
    </row>
    <row r="191" spans="1:15" x14ac:dyDescent="0.25">
      <c r="A191" s="218"/>
      <c r="B191" s="218"/>
      <c r="C191" s="218"/>
      <c r="D191" s="218"/>
      <c r="E191" s="218"/>
      <c r="F191" s="312"/>
      <c r="G191" s="312"/>
      <c r="H191" s="312"/>
      <c r="I191" s="312"/>
      <c r="J191" s="312"/>
      <c r="K191" s="312"/>
      <c r="L191" s="312"/>
      <c r="M191" s="314"/>
      <c r="N191" s="312"/>
      <c r="O191" s="313"/>
    </row>
    <row r="192" spans="1:15" x14ac:dyDescent="0.25">
      <c r="A192" s="218"/>
      <c r="B192" s="218"/>
      <c r="C192" s="218"/>
      <c r="D192" s="218"/>
      <c r="E192" s="218"/>
      <c r="F192" s="311" t="s">
        <v>76</v>
      </c>
      <c r="G192" s="312"/>
      <c r="H192" s="312"/>
      <c r="I192" s="312"/>
      <c r="J192" s="312"/>
      <c r="K192" s="312"/>
      <c r="L192" s="312"/>
      <c r="M192" s="314"/>
      <c r="N192" s="312"/>
      <c r="O192" s="313">
        <f>+O184*M192</f>
        <v>0</v>
      </c>
    </row>
    <row r="193" spans="1:15" x14ac:dyDescent="0.25">
      <c r="A193" s="218"/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310"/>
    </row>
    <row r="194" spans="1:15" x14ac:dyDescent="0.25">
      <c r="A194" s="218"/>
      <c r="B194" s="218"/>
      <c r="C194" s="218"/>
      <c r="D194" s="218"/>
      <c r="E194" s="218"/>
      <c r="F194" s="315" t="s">
        <v>270</v>
      </c>
      <c r="G194" s="316"/>
      <c r="H194" s="316"/>
      <c r="I194" s="316"/>
      <c r="J194" s="316"/>
      <c r="K194" s="316"/>
      <c r="L194" s="316"/>
      <c r="M194" s="316"/>
      <c r="N194" s="316"/>
      <c r="O194" s="317">
        <f>SUM(O184:O192)+O167</f>
        <v>9187.5</v>
      </c>
    </row>
    <row r="195" spans="1:15" x14ac:dyDescent="0.25">
      <c r="A195" s="218"/>
      <c r="B195" s="218"/>
      <c r="C195" s="218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310"/>
    </row>
    <row r="196" spans="1:15" x14ac:dyDescent="0.25">
      <c r="A196" s="218"/>
      <c r="B196" s="218"/>
      <c r="C196" s="218"/>
      <c r="D196" s="218"/>
      <c r="E196" s="218"/>
      <c r="F196" s="311" t="s">
        <v>4</v>
      </c>
      <c r="G196" s="312"/>
      <c r="H196" s="312"/>
      <c r="I196" s="312"/>
      <c r="J196" s="312"/>
      <c r="K196" s="312"/>
      <c r="L196" s="312"/>
      <c r="M196" s="314">
        <v>0.1</v>
      </c>
      <c r="N196" s="312"/>
      <c r="O196" s="313">
        <f>+O194*M196</f>
        <v>918.75</v>
      </c>
    </row>
    <row r="197" spans="1:15" x14ac:dyDescent="0.25">
      <c r="A197" s="218"/>
      <c r="B197" s="218"/>
      <c r="C197" s="218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310"/>
    </row>
    <row r="198" spans="1:15" x14ac:dyDescent="0.25">
      <c r="A198" s="218"/>
      <c r="B198" s="218"/>
      <c r="C198" s="218"/>
      <c r="D198" s="218"/>
      <c r="E198" s="218"/>
      <c r="F198" s="315" t="s">
        <v>49</v>
      </c>
      <c r="G198" s="316"/>
      <c r="H198" s="316"/>
      <c r="I198" s="316"/>
      <c r="J198" s="316"/>
      <c r="K198" s="316"/>
      <c r="L198" s="316"/>
      <c r="M198" s="316"/>
      <c r="N198" s="316"/>
      <c r="O198" s="317">
        <f>+O194+O196</f>
        <v>10106.25</v>
      </c>
    </row>
    <row r="199" spans="1:15" x14ac:dyDescent="0.25">
      <c r="A199" s="218"/>
      <c r="B199" s="218"/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</row>
    <row r="201" spans="1:15" x14ac:dyDescent="0.25">
      <c r="A201" s="218"/>
      <c r="B201" s="218"/>
      <c r="C201" s="218"/>
      <c r="D201" s="218"/>
      <c r="E201" s="218"/>
      <c r="F201" s="315" t="s">
        <v>50</v>
      </c>
      <c r="G201" s="316"/>
      <c r="H201" s="316"/>
      <c r="I201" s="316"/>
      <c r="J201" s="316"/>
      <c r="K201" s="316"/>
      <c r="L201" s="316"/>
      <c r="M201" s="316"/>
      <c r="N201" s="316"/>
      <c r="O201" s="317" t="s">
        <v>51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 t="s">
        <v>52</v>
      </c>
      <c r="G203" s="218"/>
      <c r="H203" s="218"/>
      <c r="I203" s="218"/>
      <c r="J203" s="218"/>
      <c r="K203" s="218"/>
      <c r="L203" s="218"/>
      <c r="M203" s="218"/>
      <c r="N203" s="218"/>
      <c r="O203" s="313">
        <f>+O57*(1+M186+M188)*(1+M196)</f>
        <v>0</v>
      </c>
    </row>
    <row r="204" spans="1:15" x14ac:dyDescent="0.25">
      <c r="A204" s="218"/>
      <c r="B204" s="218"/>
      <c r="C204" s="218"/>
      <c r="D204" s="218"/>
      <c r="E204" s="218"/>
      <c r="F204" s="218" t="s">
        <v>53</v>
      </c>
      <c r="G204" s="218"/>
      <c r="H204" s="218"/>
      <c r="I204" s="218"/>
      <c r="J204" s="218"/>
      <c r="K204" s="218"/>
      <c r="L204" s="218"/>
      <c r="M204" s="218"/>
      <c r="N204" s="218"/>
      <c r="O204" s="313">
        <f>+(O110+O162)*(1+M186+M188)*(1+M196)</f>
        <v>0</v>
      </c>
    </row>
    <row r="205" spans="1:15" x14ac:dyDescent="0.25">
      <c r="A205" s="218"/>
      <c r="B205" s="218"/>
      <c r="C205" s="218"/>
      <c r="D205" s="218"/>
      <c r="E205" s="218"/>
      <c r="F205" s="218" t="s">
        <v>54</v>
      </c>
      <c r="G205" s="218"/>
      <c r="H205" s="218"/>
      <c r="I205" s="218"/>
      <c r="J205" s="218"/>
      <c r="K205" s="218"/>
      <c r="L205" s="218"/>
      <c r="M205" s="218"/>
      <c r="N205" s="218"/>
      <c r="O205" s="313"/>
    </row>
    <row r="206" spans="1:15" x14ac:dyDescent="0.25">
      <c r="A206" s="218"/>
      <c r="B206" s="218"/>
      <c r="C206" s="218"/>
      <c r="D206" s="218"/>
      <c r="E206" s="218"/>
      <c r="F206" s="311" t="s">
        <v>55</v>
      </c>
      <c r="G206" s="312"/>
      <c r="H206" s="312"/>
      <c r="I206" s="312"/>
      <c r="J206" s="312"/>
      <c r="K206" s="312"/>
      <c r="L206" s="312"/>
      <c r="M206" s="312"/>
      <c r="N206" s="312"/>
      <c r="O206" s="313">
        <f>G57</f>
        <v>0</v>
      </c>
    </row>
    <row r="207" spans="1:15" x14ac:dyDescent="0.25">
      <c r="A207" s="218"/>
      <c r="B207" s="218"/>
      <c r="C207" s="218"/>
      <c r="D207" s="218"/>
      <c r="E207" s="218"/>
      <c r="F207" s="311" t="s">
        <v>56</v>
      </c>
      <c r="G207" s="312"/>
      <c r="H207" s="312"/>
      <c r="I207" s="312"/>
      <c r="J207" s="312"/>
      <c r="K207" s="312"/>
      <c r="L207" s="312"/>
      <c r="M207" s="312"/>
      <c r="N207" s="312"/>
      <c r="O207" s="313">
        <f>+O206*6.16667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57</v>
      </c>
      <c r="G208" s="218"/>
      <c r="H208" s="218"/>
      <c r="I208" s="218"/>
      <c r="J208" s="218"/>
      <c r="K208" s="218"/>
      <c r="L208" s="218"/>
      <c r="M208" s="218"/>
      <c r="N208" s="218"/>
      <c r="O208" s="313" t="e">
        <f>+O198/O206</f>
        <v>#DIV/0!</v>
      </c>
    </row>
    <row r="209" spans="1:15" x14ac:dyDescent="0.25">
      <c r="A209" s="218"/>
      <c r="B209" s="218"/>
      <c r="C209" s="218"/>
      <c r="D209" s="218"/>
      <c r="E209" s="218"/>
      <c r="F209" s="218" t="s">
        <v>58</v>
      </c>
      <c r="G209" s="218"/>
      <c r="H209" s="218"/>
      <c r="I209" s="218"/>
      <c r="J209" s="218"/>
      <c r="K209" s="218"/>
      <c r="L209" s="218"/>
      <c r="M209" s="218"/>
      <c r="N209" s="218"/>
      <c r="O209" s="313" t="e">
        <f>+O198/O207</f>
        <v>#DIV/0!</v>
      </c>
    </row>
    <row r="210" spans="1:15" x14ac:dyDescent="0.25">
      <c r="O210" s="318"/>
    </row>
  </sheetData>
  <sheetProtection algorithmName="SHA-512" hashValue="vybHjq+axU/ONAJYFYtW4C0tUoeBGYzlHbSnDBGofqR1h5H4oaKQwC3uIiOOarpZZ8kYbga7dXrrqUgCWVrrPQ==" saltValue="2a5mo5C0EOmdxTl0B1hX5w==" spinCount="100000" sheet="1" objects="1" scenarios="1" selectLockedCells="1"/>
  <mergeCells count="158">
    <mergeCell ref="A158:B158"/>
    <mergeCell ref="A159:B159"/>
    <mergeCell ref="A160:B160"/>
    <mergeCell ref="A161:B161"/>
    <mergeCell ref="A153:B153"/>
    <mergeCell ref="A154:B154"/>
    <mergeCell ref="A155:B155"/>
    <mergeCell ref="A156:B156"/>
    <mergeCell ref="A157:B157"/>
    <mergeCell ref="A148:B148"/>
    <mergeCell ref="A149:B149"/>
    <mergeCell ref="A150:B150"/>
    <mergeCell ref="A151:B151"/>
    <mergeCell ref="A152:B152"/>
    <mergeCell ref="A142:B142"/>
    <mergeCell ref="A143:B143"/>
    <mergeCell ref="A144:B144"/>
    <mergeCell ref="A145:B145"/>
    <mergeCell ref="A147:B147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36:B136"/>
    <mergeCell ref="A126:B126"/>
    <mergeCell ref="A127:B127"/>
    <mergeCell ref="A128:B128"/>
    <mergeCell ref="A129:B129"/>
    <mergeCell ref="A131:B131"/>
    <mergeCell ref="A121:B121"/>
    <mergeCell ref="A122:B122"/>
    <mergeCell ref="A123:B123"/>
    <mergeCell ref="A124:B124"/>
    <mergeCell ref="A125:B125"/>
    <mergeCell ref="A116:B116"/>
    <mergeCell ref="A117:B117"/>
    <mergeCell ref="A118:B118"/>
    <mergeCell ref="A119:B119"/>
    <mergeCell ref="A120:B120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46:B46"/>
    <mergeCell ref="A47:B47"/>
    <mergeCell ref="A48:B48"/>
    <mergeCell ref="A49:B49"/>
    <mergeCell ref="A50:B50"/>
    <mergeCell ref="A68:B68"/>
    <mergeCell ref="A69:B69"/>
    <mergeCell ref="A70:B70"/>
    <mergeCell ref="A71:B71"/>
    <mergeCell ref="A56:B56"/>
    <mergeCell ref="A64:B64"/>
    <mergeCell ref="A65:B65"/>
    <mergeCell ref="A66:B66"/>
    <mergeCell ref="A67:B67"/>
    <mergeCell ref="A53:B53"/>
    <mergeCell ref="A54:B54"/>
    <mergeCell ref="A55:B55"/>
    <mergeCell ref="A5:O5"/>
    <mergeCell ref="A166:B166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7:B8"/>
    <mergeCell ref="A26:B26"/>
    <mergeCell ref="A27:B27"/>
    <mergeCell ref="A28:B28"/>
    <mergeCell ref="A40:B40"/>
    <mergeCell ref="A42:B42"/>
    <mergeCell ref="A43:B43"/>
    <mergeCell ref="A44:B44"/>
    <mergeCell ref="A79:B79"/>
    <mergeCell ref="A80:B80"/>
    <mergeCell ref="A81:B81"/>
    <mergeCell ref="A82:B82"/>
    <mergeCell ref="A83:B83"/>
    <mergeCell ref="A73:B73"/>
    <mergeCell ref="A74:B74"/>
    <mergeCell ref="A171:B171"/>
    <mergeCell ref="O164:O165"/>
    <mergeCell ref="A169:A170"/>
    <mergeCell ref="B169:B170"/>
    <mergeCell ref="M164:M165"/>
    <mergeCell ref="N164:N165"/>
    <mergeCell ref="F164:F165"/>
    <mergeCell ref="G164:G165"/>
    <mergeCell ref="K164:K165"/>
    <mergeCell ref="A164:A165"/>
    <mergeCell ref="B164:B165"/>
    <mergeCell ref="C164:C165"/>
    <mergeCell ref="D164:D165"/>
    <mergeCell ref="E164:E165"/>
    <mergeCell ref="A75:B75"/>
    <mergeCell ref="A76:B76"/>
    <mergeCell ref="A77:B77"/>
    <mergeCell ref="A174:B175"/>
    <mergeCell ref="A176:B176"/>
    <mergeCell ref="A177:B177"/>
    <mergeCell ref="A178:B178"/>
    <mergeCell ref="A179:B179"/>
    <mergeCell ref="A180:B180"/>
    <mergeCell ref="A181:B181"/>
    <mergeCell ref="A29:B29"/>
    <mergeCell ref="A30:B30"/>
    <mergeCell ref="A31:B31"/>
    <mergeCell ref="A32:B32"/>
    <mergeCell ref="A33:B33"/>
    <mergeCell ref="A34:B34"/>
    <mergeCell ref="A60:B61"/>
    <mergeCell ref="A112:B113"/>
    <mergeCell ref="A45:B45"/>
    <mergeCell ref="A35:B35"/>
    <mergeCell ref="A36:B36"/>
    <mergeCell ref="A37:B37"/>
    <mergeCell ref="A38:B38"/>
    <mergeCell ref="A39:B39"/>
    <mergeCell ref="A51:B51"/>
    <mergeCell ref="A52:B52"/>
    <mergeCell ref="A72:B7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9" fitToHeight="2" orientation="portrait" r:id="rId1"/>
  <rowBreaks count="1" manualBreakCount="1"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6307-03C9-4301-A452-BA1E001CFC21}">
  <sheetPr>
    <tabColor theme="0"/>
  </sheetPr>
  <dimension ref="B1:G8"/>
  <sheetViews>
    <sheetView zoomScale="190" zoomScaleNormal="190" workbookViewId="0">
      <selection activeCell="C7" sqref="C7"/>
    </sheetView>
  </sheetViews>
  <sheetFormatPr defaultRowHeight="15" x14ac:dyDescent="0.25"/>
  <cols>
    <col min="1" max="1" width="1.7109375" style="3" customWidth="1"/>
    <col min="2" max="2" width="28" style="3" bestFit="1" customWidth="1"/>
    <col min="3" max="3" width="10.140625" style="3" customWidth="1"/>
    <col min="4" max="4" width="5.140625" style="3" customWidth="1"/>
    <col min="5" max="5" width="7.42578125" style="3" customWidth="1"/>
    <col min="6" max="6" width="23.42578125" style="3" customWidth="1"/>
    <col min="7" max="7" width="8" style="3" bestFit="1" customWidth="1"/>
    <col min="8" max="16384" width="9.140625" style="3"/>
  </cols>
  <sheetData>
    <row r="1" spans="2:7" ht="26.25" customHeight="1" x14ac:dyDescent="0.4">
      <c r="B1" s="708" t="s">
        <v>269</v>
      </c>
      <c r="C1" s="708"/>
      <c r="D1" s="708"/>
      <c r="E1" s="708"/>
      <c r="F1" s="708"/>
      <c r="G1" s="2"/>
    </row>
    <row r="2" spans="2:7" x14ac:dyDescent="0.25">
      <c r="B2" s="2"/>
      <c r="C2" s="2"/>
      <c r="D2" s="2"/>
      <c r="E2" s="2"/>
      <c r="F2" s="2"/>
      <c r="G2" s="2"/>
    </row>
    <row r="3" spans="2:7" x14ac:dyDescent="0.25">
      <c r="B3" s="2"/>
      <c r="C3" s="639" t="s">
        <v>28</v>
      </c>
      <c r="D3" s="2"/>
      <c r="E3" s="2"/>
      <c r="F3" s="2"/>
      <c r="G3" s="2"/>
    </row>
    <row r="4" spans="2:7" x14ac:dyDescent="0.25">
      <c r="B4" s="4" t="s">
        <v>124</v>
      </c>
      <c r="C4" s="1"/>
      <c r="D4" s="2"/>
      <c r="E4" s="5"/>
      <c r="F4" s="638"/>
      <c r="G4" s="2"/>
    </row>
    <row r="5" spans="2:7" x14ac:dyDescent="0.25">
      <c r="B5" s="4" t="s">
        <v>2</v>
      </c>
      <c r="C5" s="1"/>
      <c r="D5" s="2"/>
      <c r="E5" s="5"/>
      <c r="F5" s="516"/>
      <c r="G5" s="2"/>
    </row>
    <row r="6" spans="2:7" x14ac:dyDescent="0.25">
      <c r="B6" s="4" t="s">
        <v>3</v>
      </c>
      <c r="C6" s="1"/>
      <c r="D6" s="2"/>
      <c r="E6" s="5"/>
      <c r="F6" s="638"/>
      <c r="G6" s="2"/>
    </row>
    <row r="7" spans="2:7" x14ac:dyDescent="0.25">
      <c r="B7" s="4" t="s">
        <v>422</v>
      </c>
      <c r="C7" s="1"/>
      <c r="D7" s="2"/>
      <c r="G7" s="2"/>
    </row>
    <row r="8" spans="2:7" x14ac:dyDescent="0.25">
      <c r="D8" s="2"/>
      <c r="G8" s="2"/>
    </row>
  </sheetData>
  <sheetProtection algorithmName="SHA-512" hashValue="8MGoMGvlmvUbyqu30LLq5Wbb/r2jFz12E1mwqswXKyXFhdOoSBQblyd+3FmszFERCP7/stahxLEeHi0kzTF8TQ==" saltValue="QQwAexhbGKUavjhO6d9DSw==" spinCount="100000" sheet="1" selectLockedCells="1"/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CA0C-7E33-4680-BF96-E38749604504}">
  <sheetPr>
    <tabColor theme="0"/>
  </sheetPr>
  <dimension ref="A1:Q89"/>
  <sheetViews>
    <sheetView showGridLines="0" tabSelected="1" zoomScale="70" zoomScaleNormal="70" zoomScaleSheetLayoutView="70" workbookViewId="0">
      <selection activeCell="E11" sqref="E11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1.7109375" style="87" bestFit="1" customWidth="1"/>
    <col min="8" max="8" width="15" style="87" customWidth="1"/>
    <col min="9" max="10" width="11.7109375" style="87" customWidth="1"/>
    <col min="11" max="11" width="11.7109375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7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492"/>
    </row>
    <row r="2" spans="1:17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7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7" ht="36" x14ac:dyDescent="0.25">
      <c r="A5" s="772" t="s">
        <v>201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7" s="153" customFormat="1" ht="26.25" x14ac:dyDescent="0.4">
      <c r="A6" s="220" t="s">
        <v>25</v>
      </c>
      <c r="B6" s="221"/>
      <c r="C6" s="221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7" x14ac:dyDescent="0.25">
      <c r="A7" s="790" t="s">
        <v>26</v>
      </c>
      <c r="B7" s="791"/>
      <c r="C7" s="379" t="s">
        <v>27</v>
      </c>
      <c r="D7" s="379" t="s">
        <v>28</v>
      </c>
      <c r="E7" s="379" t="s">
        <v>21</v>
      </c>
      <c r="F7" s="379" t="s">
        <v>29</v>
      </c>
      <c r="G7" s="379"/>
      <c r="H7" s="379" t="s">
        <v>177</v>
      </c>
      <c r="I7" s="379"/>
      <c r="J7" s="379" t="s">
        <v>178</v>
      </c>
      <c r="K7" s="379" t="s">
        <v>30</v>
      </c>
      <c r="L7" s="379" t="s">
        <v>23</v>
      </c>
      <c r="M7" s="379" t="s">
        <v>31</v>
      </c>
      <c r="N7" s="379" t="s">
        <v>0</v>
      </c>
      <c r="O7" s="380" t="s">
        <v>32</v>
      </c>
    </row>
    <row r="8" spans="1:17" x14ac:dyDescent="0.25">
      <c r="A8" s="775"/>
      <c r="B8" s="769"/>
      <c r="C8" s="266" t="s">
        <v>33</v>
      </c>
      <c r="D8" s="266" t="s">
        <v>5</v>
      </c>
      <c r="E8" s="266" t="s">
        <v>24</v>
      </c>
      <c r="F8" s="267" t="s">
        <v>34</v>
      </c>
      <c r="G8" s="266" t="s">
        <v>35</v>
      </c>
      <c r="H8" s="266" t="s">
        <v>180</v>
      </c>
      <c r="I8" s="266" t="s">
        <v>9</v>
      </c>
      <c r="J8" s="266" t="s">
        <v>179</v>
      </c>
      <c r="K8" s="266" t="s">
        <v>36</v>
      </c>
      <c r="L8" s="268" t="s">
        <v>37</v>
      </c>
      <c r="M8" s="266" t="s">
        <v>38</v>
      </c>
      <c r="N8" s="266" t="s">
        <v>39</v>
      </c>
      <c r="O8" s="269" t="s">
        <v>40</v>
      </c>
    </row>
    <row r="9" spans="1:17" s="240" customFormat="1" x14ac:dyDescent="0.25">
      <c r="A9" s="816" t="s">
        <v>93</v>
      </c>
      <c r="B9" s="817"/>
      <c r="C9" s="493">
        <v>6.1666699999999999</v>
      </c>
      <c r="D9" s="494">
        <v>1</v>
      </c>
      <c r="E9" s="704"/>
      <c r="F9" s="381">
        <v>252</v>
      </c>
      <c r="G9" s="654">
        <f t="shared" ref="G9:G12" si="0">+F9*E9*D9</f>
        <v>0</v>
      </c>
      <c r="H9" s="654">
        <f>Dies!B20</f>
        <v>265</v>
      </c>
      <c r="I9" s="655">
        <f>G9/H9</f>
        <v>0</v>
      </c>
      <c r="J9" s="655">
        <f>G9/298</f>
        <v>0</v>
      </c>
      <c r="K9" s="655">
        <f>Personal!G13</f>
        <v>0</v>
      </c>
      <c r="L9" s="656">
        <f>+K9/C9</f>
        <v>0</v>
      </c>
      <c r="M9" s="381" t="s">
        <v>41</v>
      </c>
      <c r="N9" s="381" t="s">
        <v>42</v>
      </c>
      <c r="O9" s="657">
        <f>+K9*G9</f>
        <v>0</v>
      </c>
    </row>
    <row r="10" spans="1:17" s="240" customFormat="1" x14ac:dyDescent="0.25">
      <c r="A10" s="818" t="s">
        <v>75</v>
      </c>
      <c r="B10" s="819"/>
      <c r="C10" s="146">
        <v>6.1666699999999999</v>
      </c>
      <c r="D10" s="138">
        <v>1</v>
      </c>
      <c r="E10" s="705"/>
      <c r="F10" s="147">
        <v>252</v>
      </c>
      <c r="G10" s="141">
        <f t="shared" si="0"/>
        <v>0</v>
      </c>
      <c r="H10" s="141">
        <f>$H$9</f>
        <v>265</v>
      </c>
      <c r="I10" s="509">
        <f t="shared" ref="I10:I15" si="1">G10/H10</f>
        <v>0</v>
      </c>
      <c r="J10" s="509">
        <f t="shared" ref="J10:J11" si="2">G10/298</f>
        <v>0</v>
      </c>
      <c r="K10" s="509">
        <f>Personal!G8</f>
        <v>0</v>
      </c>
      <c r="L10" s="658">
        <f>+K10/C10</f>
        <v>0</v>
      </c>
      <c r="M10" s="381" t="s">
        <v>41</v>
      </c>
      <c r="N10" s="147" t="s">
        <v>42</v>
      </c>
      <c r="O10" s="510">
        <f>+K10*G10</f>
        <v>0</v>
      </c>
      <c r="Q10" s="500"/>
    </row>
    <row r="11" spans="1:17" s="240" customFormat="1" x14ac:dyDescent="0.25">
      <c r="A11" s="818" t="s">
        <v>87</v>
      </c>
      <c r="B11" s="819"/>
      <c r="C11" s="146">
        <v>6.1666699999999999</v>
      </c>
      <c r="D11" s="138">
        <v>1</v>
      </c>
      <c r="E11" s="705"/>
      <c r="F11" s="147">
        <v>252</v>
      </c>
      <c r="G11" s="141">
        <f t="shared" si="0"/>
        <v>0</v>
      </c>
      <c r="H11" s="141">
        <f t="shared" ref="H11:H12" si="3">$H$9</f>
        <v>265</v>
      </c>
      <c r="I11" s="509">
        <f t="shared" si="1"/>
        <v>0</v>
      </c>
      <c r="J11" s="509">
        <f t="shared" si="2"/>
        <v>0</v>
      </c>
      <c r="K11" s="509">
        <f>Personal!G11</f>
        <v>0</v>
      </c>
      <c r="L11" s="658">
        <f>+K11/C11</f>
        <v>0</v>
      </c>
      <c r="M11" s="381" t="s">
        <v>41</v>
      </c>
      <c r="N11" s="147" t="s">
        <v>42</v>
      </c>
      <c r="O11" s="510">
        <f>+K11*G11</f>
        <v>0</v>
      </c>
    </row>
    <row r="12" spans="1:17" s="240" customFormat="1" x14ac:dyDescent="0.25">
      <c r="A12" s="818" t="s">
        <v>184</v>
      </c>
      <c r="B12" s="819"/>
      <c r="C12" s="146">
        <v>6.1666699999999999</v>
      </c>
      <c r="D12" s="138">
        <v>1</v>
      </c>
      <c r="E12" s="705"/>
      <c r="F12" s="147">
        <v>252</v>
      </c>
      <c r="G12" s="141">
        <f t="shared" si="0"/>
        <v>0</v>
      </c>
      <c r="H12" s="141">
        <f t="shared" si="3"/>
        <v>265</v>
      </c>
      <c r="I12" s="509">
        <f t="shared" si="1"/>
        <v>0</v>
      </c>
      <c r="J12" s="509">
        <f>G12/298</f>
        <v>0</v>
      </c>
      <c r="K12" s="509">
        <f>Personal!G10</f>
        <v>0</v>
      </c>
      <c r="L12" s="658">
        <f>+K12/C12</f>
        <v>0</v>
      </c>
      <c r="M12" s="381" t="s">
        <v>41</v>
      </c>
      <c r="N12" s="147" t="s">
        <v>42</v>
      </c>
      <c r="O12" s="510">
        <f>+K12*G12</f>
        <v>0</v>
      </c>
    </row>
    <row r="13" spans="1:17" s="240" customFormat="1" x14ac:dyDescent="0.25">
      <c r="A13" s="659" t="s">
        <v>275</v>
      </c>
      <c r="B13" s="660"/>
      <c r="C13" s="146">
        <v>6.1666699999999999</v>
      </c>
      <c r="D13" s="138">
        <v>0.1</v>
      </c>
      <c r="E13" s="705"/>
      <c r="F13" s="147">
        <v>252</v>
      </c>
      <c r="G13" s="141">
        <v>0</v>
      </c>
      <c r="H13" s="141">
        <f>$H$9</f>
        <v>265</v>
      </c>
      <c r="I13" s="509">
        <f t="shared" si="1"/>
        <v>0</v>
      </c>
      <c r="J13" s="509">
        <f t="shared" ref="J13:J15" si="4">G13/298</f>
        <v>0</v>
      </c>
      <c r="K13" s="509" t="s">
        <v>395</v>
      </c>
      <c r="L13" s="661" t="s">
        <v>395</v>
      </c>
      <c r="M13" s="381" t="s">
        <v>41</v>
      </c>
      <c r="N13" s="147" t="s">
        <v>42</v>
      </c>
      <c r="O13" s="510">
        <v>0</v>
      </c>
    </row>
    <row r="14" spans="1:17" s="240" customFormat="1" x14ac:dyDescent="0.25">
      <c r="A14" s="636" t="s">
        <v>273</v>
      </c>
      <c r="B14" s="636"/>
      <c r="C14" s="146">
        <v>6.1666699999999999</v>
      </c>
      <c r="D14" s="138">
        <v>0.25</v>
      </c>
      <c r="E14" s="705"/>
      <c r="F14" s="147">
        <v>252</v>
      </c>
      <c r="G14" s="141">
        <v>0</v>
      </c>
      <c r="H14" s="141">
        <f>$H$9</f>
        <v>265</v>
      </c>
      <c r="I14" s="509">
        <f t="shared" si="1"/>
        <v>0</v>
      </c>
      <c r="J14" s="509">
        <f t="shared" si="4"/>
        <v>0</v>
      </c>
      <c r="K14" s="509" t="s">
        <v>395</v>
      </c>
      <c r="L14" s="661" t="s">
        <v>395</v>
      </c>
      <c r="M14" s="381" t="s">
        <v>41</v>
      </c>
      <c r="N14" s="147" t="s">
        <v>42</v>
      </c>
      <c r="O14" s="510">
        <v>0</v>
      </c>
    </row>
    <row r="15" spans="1:17" s="240" customFormat="1" x14ac:dyDescent="0.25">
      <c r="A15" s="636" t="s">
        <v>274</v>
      </c>
      <c r="B15" s="636"/>
      <c r="C15" s="146">
        <v>6.1666699999999999</v>
      </c>
      <c r="D15" s="138">
        <v>0.75</v>
      </c>
      <c r="E15" s="705"/>
      <c r="F15" s="147">
        <v>252</v>
      </c>
      <c r="G15" s="141">
        <v>0</v>
      </c>
      <c r="H15" s="141">
        <f>$H$9</f>
        <v>265</v>
      </c>
      <c r="I15" s="509">
        <f t="shared" si="1"/>
        <v>0</v>
      </c>
      <c r="J15" s="509">
        <f t="shared" si="4"/>
        <v>0</v>
      </c>
      <c r="K15" s="509" t="s">
        <v>395</v>
      </c>
      <c r="L15" s="661" t="s">
        <v>395</v>
      </c>
      <c r="M15" s="381" t="s">
        <v>41</v>
      </c>
      <c r="N15" s="147" t="s">
        <v>42</v>
      </c>
      <c r="O15" s="510">
        <v>0</v>
      </c>
    </row>
    <row r="16" spans="1:17" x14ac:dyDescent="0.25">
      <c r="A16" s="501"/>
      <c r="B16" s="502"/>
      <c r="C16" s="502"/>
      <c r="D16" s="502"/>
      <c r="E16" s="503" t="s">
        <v>45</v>
      </c>
      <c r="F16" s="502"/>
      <c r="G16" s="502">
        <f>SUM(G9:G15)</f>
        <v>0</v>
      </c>
      <c r="H16" s="502"/>
      <c r="I16" s="502">
        <f>SUM(I9:I15)</f>
        <v>0</v>
      </c>
      <c r="J16" s="502">
        <f>SUM(J9:J15)</f>
        <v>0</v>
      </c>
      <c r="K16" s="502"/>
      <c r="L16" s="502"/>
      <c r="M16" s="502"/>
      <c r="N16" s="502"/>
      <c r="O16" s="504">
        <f>SUM(O9:O15)</f>
        <v>0</v>
      </c>
    </row>
    <row r="17" spans="1:15" s="153" customFormat="1" ht="26.25" x14ac:dyDescent="0.4">
      <c r="A17" s="220" t="s">
        <v>211</v>
      </c>
      <c r="B17" s="221"/>
      <c r="C17" s="221"/>
      <c r="D17" s="223"/>
      <c r="E17" s="223"/>
      <c r="F17" s="223"/>
      <c r="G17" s="223"/>
      <c r="H17" s="223"/>
      <c r="I17" s="223"/>
      <c r="J17" s="223"/>
      <c r="K17" s="224"/>
      <c r="L17" s="224"/>
      <c r="M17" s="224"/>
      <c r="N17" s="224"/>
      <c r="O17" s="224"/>
    </row>
    <row r="18" spans="1:15" x14ac:dyDescent="0.25">
      <c r="A18" s="790"/>
      <c r="B18" s="791" t="s">
        <v>20</v>
      </c>
      <c r="C18" s="379" t="s">
        <v>27</v>
      </c>
      <c r="D18" s="379" t="s">
        <v>28</v>
      </c>
      <c r="E18" s="379" t="s">
        <v>21</v>
      </c>
      <c r="F18" s="379" t="s">
        <v>29</v>
      </c>
      <c r="G18" s="379"/>
      <c r="H18" s="379"/>
      <c r="I18" s="379"/>
      <c r="J18" s="379"/>
      <c r="K18" s="379" t="s">
        <v>30</v>
      </c>
      <c r="L18" s="379" t="s">
        <v>23</v>
      </c>
      <c r="M18" s="379" t="s">
        <v>31</v>
      </c>
      <c r="N18" s="379"/>
      <c r="O18" s="380" t="s">
        <v>32</v>
      </c>
    </row>
    <row r="19" spans="1:15" x14ac:dyDescent="0.25">
      <c r="A19" s="775"/>
      <c r="B19" s="769"/>
      <c r="C19" s="266" t="s">
        <v>44</v>
      </c>
      <c r="D19" s="266" t="s">
        <v>5</v>
      </c>
      <c r="E19" s="266" t="s">
        <v>24</v>
      </c>
      <c r="F19" s="267" t="s">
        <v>34</v>
      </c>
      <c r="G19" s="266" t="s">
        <v>35</v>
      </c>
      <c r="H19" s="266"/>
      <c r="I19" s="266"/>
      <c r="J19" s="266"/>
      <c r="K19" s="266" t="s">
        <v>36</v>
      </c>
      <c r="L19" s="268" t="s">
        <v>37</v>
      </c>
      <c r="M19" s="266" t="s">
        <v>38</v>
      </c>
      <c r="N19" s="266"/>
      <c r="O19" s="269" t="s">
        <v>40</v>
      </c>
    </row>
    <row r="20" spans="1:15" x14ac:dyDescent="0.25">
      <c r="A20" s="813" t="s">
        <v>65</v>
      </c>
      <c r="B20" s="814"/>
      <c r="C20" s="146">
        <v>6.1666699999999999</v>
      </c>
      <c r="D20" s="138">
        <v>1</v>
      </c>
      <c r="E20" s="147">
        <v>1</v>
      </c>
      <c r="F20" s="496">
        <v>365</v>
      </c>
      <c r="G20" s="497">
        <f t="shared" ref="G20:G26" si="5">+D20*E20*F20</f>
        <v>365</v>
      </c>
      <c r="H20" s="497"/>
      <c r="I20" s="497"/>
      <c r="J20" s="497"/>
      <c r="K20" s="509">
        <f>'Seguro+combustible+reparacions'!F11</f>
        <v>0</v>
      </c>
      <c r="L20" s="498">
        <f t="shared" ref="L20:L26" si="6">+K20/C20</f>
        <v>0</v>
      </c>
      <c r="M20" s="495" t="s">
        <v>41</v>
      </c>
      <c r="N20" s="496"/>
      <c r="O20" s="499">
        <f t="shared" ref="O20:O26" si="7">+K20*G20</f>
        <v>0</v>
      </c>
    </row>
    <row r="21" spans="1:15" x14ac:dyDescent="0.25">
      <c r="A21" s="813" t="s">
        <v>70</v>
      </c>
      <c r="B21" s="814"/>
      <c r="C21" s="146">
        <v>6.1666699999999999</v>
      </c>
      <c r="D21" s="138">
        <v>1</v>
      </c>
      <c r="E21" s="147">
        <v>1</v>
      </c>
      <c r="F21" s="496">
        <v>365</v>
      </c>
      <c r="G21" s="497">
        <f t="shared" si="5"/>
        <v>365</v>
      </c>
      <c r="H21" s="497"/>
      <c r="I21" s="497"/>
      <c r="J21" s="497"/>
      <c r="K21" s="509">
        <f>'Seguro+combustible+reparacions'!F17</f>
        <v>0</v>
      </c>
      <c r="L21" s="498">
        <f t="shared" si="6"/>
        <v>0</v>
      </c>
      <c r="M21" s="495" t="s">
        <v>41</v>
      </c>
      <c r="N21" s="496"/>
      <c r="O21" s="499">
        <f t="shared" si="7"/>
        <v>0</v>
      </c>
    </row>
    <row r="22" spans="1:15" x14ac:dyDescent="0.25">
      <c r="A22" s="813" t="s">
        <v>68</v>
      </c>
      <c r="B22" s="814"/>
      <c r="C22" s="146">
        <v>6.1666699999999999</v>
      </c>
      <c r="D22" s="138">
        <v>1</v>
      </c>
      <c r="E22" s="147">
        <v>1</v>
      </c>
      <c r="F22" s="496">
        <v>365</v>
      </c>
      <c r="G22" s="497">
        <f t="shared" si="5"/>
        <v>365</v>
      </c>
      <c r="H22" s="497"/>
      <c r="I22" s="497"/>
      <c r="J22" s="497"/>
      <c r="K22" s="509">
        <f>'Seguro+combustible+reparacions'!F12</f>
        <v>0</v>
      </c>
      <c r="L22" s="498">
        <f t="shared" si="6"/>
        <v>0</v>
      </c>
      <c r="M22" s="495" t="s">
        <v>41</v>
      </c>
      <c r="N22" s="496"/>
      <c r="O22" s="499">
        <f t="shared" si="7"/>
        <v>0</v>
      </c>
    </row>
    <row r="23" spans="1:15" x14ac:dyDescent="0.25">
      <c r="A23" s="813" t="s">
        <v>60</v>
      </c>
      <c r="B23" s="814"/>
      <c r="C23" s="146">
        <v>6.1666699999999999</v>
      </c>
      <c r="D23" s="138">
        <v>1</v>
      </c>
      <c r="E23" s="147">
        <v>1</v>
      </c>
      <c r="F23" s="496">
        <v>365</v>
      </c>
      <c r="G23" s="497">
        <f t="shared" si="5"/>
        <v>365</v>
      </c>
      <c r="H23" s="497"/>
      <c r="I23" s="497"/>
      <c r="J23" s="497"/>
      <c r="K23" s="509">
        <f>'Seguro+combustible+reparacions'!F13</f>
        <v>0</v>
      </c>
      <c r="L23" s="498">
        <f t="shared" si="6"/>
        <v>0</v>
      </c>
      <c r="M23" s="495" t="s">
        <v>41</v>
      </c>
      <c r="N23" s="496"/>
      <c r="O23" s="499">
        <f t="shared" si="7"/>
        <v>0</v>
      </c>
    </row>
    <row r="24" spans="1:15" x14ac:dyDescent="0.25">
      <c r="A24" s="813" t="s">
        <v>61</v>
      </c>
      <c r="B24" s="814"/>
      <c r="C24" s="146">
        <v>6.1666699999999999</v>
      </c>
      <c r="D24" s="138">
        <v>1</v>
      </c>
      <c r="E24" s="147">
        <v>1</v>
      </c>
      <c r="F24" s="496">
        <v>365</v>
      </c>
      <c r="G24" s="497">
        <f t="shared" si="5"/>
        <v>365</v>
      </c>
      <c r="H24" s="497"/>
      <c r="I24" s="497"/>
      <c r="J24" s="497"/>
      <c r="K24" s="509">
        <f>'Seguro+combustible+reparacions'!F14</f>
        <v>0</v>
      </c>
      <c r="L24" s="498">
        <f t="shared" si="6"/>
        <v>0</v>
      </c>
      <c r="M24" s="495" t="s">
        <v>41</v>
      </c>
      <c r="N24" s="496"/>
      <c r="O24" s="499">
        <f t="shared" si="7"/>
        <v>0</v>
      </c>
    </row>
    <row r="25" spans="1:15" x14ac:dyDescent="0.25">
      <c r="A25" s="813" t="s">
        <v>62</v>
      </c>
      <c r="B25" s="814"/>
      <c r="C25" s="146">
        <v>6.1666699999999999</v>
      </c>
      <c r="D25" s="138">
        <v>1</v>
      </c>
      <c r="E25" s="147">
        <v>1</v>
      </c>
      <c r="F25" s="496">
        <v>365</v>
      </c>
      <c r="G25" s="497">
        <f t="shared" si="5"/>
        <v>365</v>
      </c>
      <c r="H25" s="497"/>
      <c r="I25" s="497"/>
      <c r="J25" s="497"/>
      <c r="K25" s="509">
        <f>'Seguro+combustible+reparacions'!F15</f>
        <v>0</v>
      </c>
      <c r="L25" s="498">
        <f t="shared" si="6"/>
        <v>0</v>
      </c>
      <c r="M25" s="495" t="s">
        <v>41</v>
      </c>
      <c r="N25" s="496"/>
      <c r="O25" s="499">
        <f t="shared" si="7"/>
        <v>0</v>
      </c>
    </row>
    <row r="26" spans="1:15" x14ac:dyDescent="0.25">
      <c r="A26" s="813" t="s">
        <v>63</v>
      </c>
      <c r="B26" s="814"/>
      <c r="C26" s="146">
        <v>6.1666699999999999</v>
      </c>
      <c r="D26" s="138">
        <v>1</v>
      </c>
      <c r="E26" s="147">
        <v>1</v>
      </c>
      <c r="F26" s="496">
        <v>365</v>
      </c>
      <c r="G26" s="497">
        <f t="shared" si="5"/>
        <v>365</v>
      </c>
      <c r="H26" s="497"/>
      <c r="I26" s="497"/>
      <c r="J26" s="497"/>
      <c r="K26" s="509">
        <f>'Seguro+combustible+reparacions'!F16</f>
        <v>0</v>
      </c>
      <c r="L26" s="498">
        <f t="shared" si="6"/>
        <v>0</v>
      </c>
      <c r="M26" s="495" t="s">
        <v>41</v>
      </c>
      <c r="N26" s="496"/>
      <c r="O26" s="499">
        <f t="shared" si="7"/>
        <v>0</v>
      </c>
    </row>
    <row r="27" spans="1:15" x14ac:dyDescent="0.25">
      <c r="A27" s="505"/>
      <c r="B27" s="506"/>
      <c r="C27" s="506"/>
      <c r="D27" s="506"/>
      <c r="E27" s="507" t="s">
        <v>46</v>
      </c>
      <c r="F27" s="506"/>
      <c r="G27" s="506"/>
      <c r="H27" s="506"/>
      <c r="I27" s="506"/>
      <c r="J27" s="506"/>
      <c r="K27" s="506"/>
      <c r="L27" s="506"/>
      <c r="M27" s="506"/>
      <c r="N27" s="506"/>
      <c r="O27" s="508">
        <f>SUM(O20:O26)</f>
        <v>0</v>
      </c>
    </row>
    <row r="28" spans="1:15" s="153" customFormat="1" ht="26.25" x14ac:dyDescent="0.4">
      <c r="A28" s="220" t="s">
        <v>212</v>
      </c>
      <c r="B28" s="221"/>
      <c r="C28" s="221"/>
      <c r="D28" s="223"/>
      <c r="E28" s="223"/>
      <c r="F28" s="223"/>
      <c r="G28" s="223"/>
      <c r="H28" s="223"/>
      <c r="I28" s="223"/>
      <c r="J28" s="223"/>
      <c r="K28" s="224"/>
      <c r="L28" s="224"/>
      <c r="M28" s="224"/>
      <c r="N28" s="224"/>
      <c r="O28" s="404"/>
    </row>
    <row r="29" spans="1:15" x14ac:dyDescent="0.25">
      <c r="A29" s="773"/>
      <c r="B29" s="773" t="s">
        <v>20</v>
      </c>
      <c r="C29" s="225" t="s">
        <v>27</v>
      </c>
      <c r="D29" s="225" t="s">
        <v>28</v>
      </c>
      <c r="E29" s="225" t="s">
        <v>21</v>
      </c>
      <c r="F29" s="225" t="s">
        <v>29</v>
      </c>
      <c r="G29" s="225"/>
      <c r="H29" s="225"/>
      <c r="I29" s="225"/>
      <c r="J29" s="225"/>
      <c r="K29" s="225" t="s">
        <v>30</v>
      </c>
      <c r="L29" s="225" t="s">
        <v>23</v>
      </c>
      <c r="M29" s="225" t="s">
        <v>31</v>
      </c>
      <c r="N29" s="225"/>
      <c r="O29" s="405" t="s">
        <v>32</v>
      </c>
    </row>
    <row r="30" spans="1:15" x14ac:dyDescent="0.25">
      <c r="A30" s="815"/>
      <c r="B30" s="815"/>
      <c r="C30" s="406" t="s">
        <v>44</v>
      </c>
      <c r="D30" s="406" t="s">
        <v>5</v>
      </c>
      <c r="E30" s="406" t="s">
        <v>24</v>
      </c>
      <c r="F30" s="407" t="s">
        <v>34</v>
      </c>
      <c r="G30" s="406" t="s">
        <v>35</v>
      </c>
      <c r="H30" s="406"/>
      <c r="I30" s="406"/>
      <c r="J30" s="406"/>
      <c r="K30" s="406" t="s">
        <v>36</v>
      </c>
      <c r="L30" s="408" t="s">
        <v>37</v>
      </c>
      <c r="M30" s="406" t="s">
        <v>38</v>
      </c>
      <c r="N30" s="406"/>
      <c r="O30" s="409" t="s">
        <v>40</v>
      </c>
    </row>
    <row r="31" spans="1:15" x14ac:dyDescent="0.25">
      <c r="A31" s="813" t="s">
        <v>65</v>
      </c>
      <c r="B31" s="814"/>
      <c r="C31" s="146">
        <v>6.1666699999999999</v>
      </c>
      <c r="D31" s="138">
        <v>1</v>
      </c>
      <c r="E31" s="147">
        <f t="shared" ref="E31:E37" si="8">+E20</f>
        <v>1</v>
      </c>
      <c r="F31" s="496">
        <v>365</v>
      </c>
      <c r="G31" s="497">
        <f t="shared" ref="G31:G37" si="9">+D31*E31*F31</f>
        <v>365</v>
      </c>
      <c r="H31" s="497"/>
      <c r="I31" s="497"/>
      <c r="J31" s="497"/>
      <c r="K31" s="509">
        <f>'Seguro+combustible+reparacions'!G11</f>
        <v>0</v>
      </c>
      <c r="L31" s="509"/>
      <c r="M31" s="495" t="s">
        <v>41</v>
      </c>
      <c r="N31" s="496"/>
      <c r="O31" s="499">
        <f t="shared" ref="O31:O37" si="10">+K31*G31</f>
        <v>0</v>
      </c>
    </row>
    <row r="32" spans="1:15" x14ac:dyDescent="0.25">
      <c r="A32" s="813" t="s">
        <v>70</v>
      </c>
      <c r="B32" s="814"/>
      <c r="C32" s="146">
        <v>6.1666699999999999</v>
      </c>
      <c r="D32" s="138">
        <v>1</v>
      </c>
      <c r="E32" s="147">
        <f t="shared" si="8"/>
        <v>1</v>
      </c>
      <c r="F32" s="496">
        <v>365</v>
      </c>
      <c r="G32" s="497">
        <f t="shared" si="9"/>
        <v>365</v>
      </c>
      <c r="H32" s="497"/>
      <c r="I32" s="497"/>
      <c r="J32" s="497"/>
      <c r="K32" s="509">
        <f>'Seguro+combustible+reparacions'!G17</f>
        <v>0</v>
      </c>
      <c r="L32" s="509"/>
      <c r="M32" s="495" t="s">
        <v>41</v>
      </c>
      <c r="N32" s="496"/>
      <c r="O32" s="499">
        <f t="shared" si="10"/>
        <v>0</v>
      </c>
    </row>
    <row r="33" spans="1:15" x14ac:dyDescent="0.25">
      <c r="A33" s="813" t="s">
        <v>397</v>
      </c>
      <c r="B33" s="814"/>
      <c r="C33" s="146">
        <v>6.1666699999999999</v>
      </c>
      <c r="D33" s="138">
        <v>1</v>
      </c>
      <c r="E33" s="147">
        <f t="shared" si="8"/>
        <v>1</v>
      </c>
      <c r="F33" s="496">
        <v>365</v>
      </c>
      <c r="G33" s="497">
        <f t="shared" si="9"/>
        <v>365</v>
      </c>
      <c r="H33" s="497"/>
      <c r="I33" s="497"/>
      <c r="J33" s="497"/>
      <c r="K33" s="509">
        <f>'Seguro+combustible+reparacions'!G12</f>
        <v>0</v>
      </c>
      <c r="L33" s="509"/>
      <c r="M33" s="495" t="s">
        <v>41</v>
      </c>
      <c r="N33" s="496"/>
      <c r="O33" s="499">
        <f t="shared" si="10"/>
        <v>0</v>
      </c>
    </row>
    <row r="34" spans="1:15" x14ac:dyDescent="0.25">
      <c r="A34" s="813" t="s">
        <v>60</v>
      </c>
      <c r="B34" s="814"/>
      <c r="C34" s="146">
        <v>6.1666699999999999</v>
      </c>
      <c r="D34" s="138">
        <v>1</v>
      </c>
      <c r="E34" s="147">
        <f t="shared" si="8"/>
        <v>1</v>
      </c>
      <c r="F34" s="496">
        <v>365</v>
      </c>
      <c r="G34" s="497">
        <f t="shared" si="9"/>
        <v>365</v>
      </c>
      <c r="H34" s="497"/>
      <c r="I34" s="497"/>
      <c r="J34" s="497"/>
      <c r="K34" s="509">
        <f>'Seguro+combustible+reparacions'!G13</f>
        <v>0</v>
      </c>
      <c r="L34" s="509"/>
      <c r="M34" s="495" t="s">
        <v>41</v>
      </c>
      <c r="N34" s="496"/>
      <c r="O34" s="499">
        <f t="shared" si="10"/>
        <v>0</v>
      </c>
    </row>
    <row r="35" spans="1:15" x14ac:dyDescent="0.25">
      <c r="A35" s="813" t="s">
        <v>61</v>
      </c>
      <c r="B35" s="814"/>
      <c r="C35" s="146">
        <v>6.1666699999999999</v>
      </c>
      <c r="D35" s="138">
        <v>1</v>
      </c>
      <c r="E35" s="147">
        <f t="shared" si="8"/>
        <v>1</v>
      </c>
      <c r="F35" s="496">
        <v>365</v>
      </c>
      <c r="G35" s="497">
        <f t="shared" si="9"/>
        <v>365</v>
      </c>
      <c r="H35" s="497"/>
      <c r="I35" s="497"/>
      <c r="J35" s="497"/>
      <c r="K35" s="509">
        <f>'Seguro+combustible+reparacions'!G14</f>
        <v>0</v>
      </c>
      <c r="L35" s="509"/>
      <c r="M35" s="495" t="s">
        <v>41</v>
      </c>
      <c r="N35" s="496"/>
      <c r="O35" s="499">
        <f t="shared" si="10"/>
        <v>0</v>
      </c>
    </row>
    <row r="36" spans="1:15" x14ac:dyDescent="0.25">
      <c r="A36" s="813" t="s">
        <v>62</v>
      </c>
      <c r="B36" s="814"/>
      <c r="C36" s="146">
        <v>6.1666699999999999</v>
      </c>
      <c r="D36" s="138">
        <v>1</v>
      </c>
      <c r="E36" s="147">
        <f t="shared" si="8"/>
        <v>1</v>
      </c>
      <c r="F36" s="496">
        <v>365</v>
      </c>
      <c r="G36" s="497">
        <f t="shared" si="9"/>
        <v>365</v>
      </c>
      <c r="H36" s="497"/>
      <c r="I36" s="497"/>
      <c r="J36" s="497"/>
      <c r="K36" s="509">
        <f>'Seguro+combustible+reparacions'!G15</f>
        <v>0</v>
      </c>
      <c r="L36" s="509"/>
      <c r="M36" s="495" t="s">
        <v>41</v>
      </c>
      <c r="N36" s="496"/>
      <c r="O36" s="499">
        <f t="shared" si="10"/>
        <v>0</v>
      </c>
    </row>
    <row r="37" spans="1:15" x14ac:dyDescent="0.25">
      <c r="A37" s="813" t="s">
        <v>63</v>
      </c>
      <c r="B37" s="814"/>
      <c r="C37" s="146">
        <v>6.1666699999999999</v>
      </c>
      <c r="D37" s="138">
        <v>1</v>
      </c>
      <c r="E37" s="147">
        <f t="shared" si="8"/>
        <v>1</v>
      </c>
      <c r="F37" s="496">
        <v>365</v>
      </c>
      <c r="G37" s="497">
        <f t="shared" si="9"/>
        <v>365</v>
      </c>
      <c r="H37" s="497"/>
      <c r="I37" s="497"/>
      <c r="J37" s="497"/>
      <c r="K37" s="509">
        <f>'Seguro+combustible+reparacions'!G16</f>
        <v>0</v>
      </c>
      <c r="L37" s="509"/>
      <c r="M37" s="495" t="s">
        <v>41</v>
      </c>
      <c r="N37" s="496"/>
      <c r="O37" s="499">
        <f t="shared" si="10"/>
        <v>0</v>
      </c>
    </row>
    <row r="38" spans="1:15" x14ac:dyDescent="0.25">
      <c r="A38" s="505"/>
      <c r="B38" s="506"/>
      <c r="C38" s="506"/>
      <c r="D38" s="506"/>
      <c r="E38" s="507" t="s">
        <v>47</v>
      </c>
      <c r="F38" s="506"/>
      <c r="G38" s="506"/>
      <c r="H38" s="506"/>
      <c r="I38" s="506"/>
      <c r="J38" s="506"/>
      <c r="K38" s="506"/>
      <c r="L38" s="506"/>
      <c r="M38" s="506"/>
      <c r="N38" s="506"/>
      <c r="O38" s="508">
        <f>SUM(O31:O37)</f>
        <v>0</v>
      </c>
    </row>
    <row r="39" spans="1:15" s="153" customFormat="1" ht="26.25" x14ac:dyDescent="0.4">
      <c r="A39" s="259" t="s">
        <v>272</v>
      </c>
      <c r="B39" s="221"/>
      <c r="C39" s="221"/>
      <c r="D39" s="223"/>
      <c r="E39" s="223"/>
      <c r="F39" s="223"/>
      <c r="G39" s="223"/>
      <c r="H39" s="223"/>
      <c r="I39" s="223"/>
      <c r="J39" s="223"/>
      <c r="K39" s="224"/>
      <c r="L39" s="224"/>
      <c r="M39" s="224"/>
      <c r="N39" s="224"/>
      <c r="O39" s="404"/>
    </row>
    <row r="40" spans="1:15" s="281" customFormat="1" x14ac:dyDescent="0.25">
      <c r="A40" s="773" t="s">
        <v>20</v>
      </c>
      <c r="B40" s="773"/>
      <c r="C40" s="773" t="s">
        <v>27</v>
      </c>
      <c r="D40" s="773" t="s">
        <v>28</v>
      </c>
      <c r="E40" s="773" t="s">
        <v>21</v>
      </c>
      <c r="F40" s="773" t="s">
        <v>23</v>
      </c>
      <c r="G40" s="773" t="s">
        <v>22</v>
      </c>
      <c r="H40" s="414"/>
      <c r="I40" s="414"/>
      <c r="J40" s="414"/>
      <c r="K40" s="773" t="s">
        <v>79</v>
      </c>
      <c r="L40" s="414"/>
      <c r="M40" s="773"/>
      <c r="N40" s="773" t="s">
        <v>80</v>
      </c>
      <c r="O40" s="773" t="s">
        <v>32</v>
      </c>
    </row>
    <row r="41" spans="1:15" s="281" customFormat="1" x14ac:dyDescent="0.25">
      <c r="A41" s="769"/>
      <c r="B41" s="769"/>
      <c r="C41" s="768" t="s">
        <v>44</v>
      </c>
      <c r="D41" s="768" t="s">
        <v>5</v>
      </c>
      <c r="E41" s="768" t="s">
        <v>24</v>
      </c>
      <c r="F41" s="768" t="s">
        <v>81</v>
      </c>
      <c r="G41" s="768" t="s">
        <v>82</v>
      </c>
      <c r="H41" s="280"/>
      <c r="I41" s="280"/>
      <c r="J41" s="280"/>
      <c r="K41" s="768" t="s">
        <v>28</v>
      </c>
      <c r="L41" s="280"/>
      <c r="M41" s="768"/>
      <c r="N41" s="768" t="s">
        <v>83</v>
      </c>
      <c r="O41" s="768" t="s">
        <v>40</v>
      </c>
    </row>
    <row r="42" spans="1:15" x14ac:dyDescent="0.25">
      <c r="A42" s="735" t="s">
        <v>325</v>
      </c>
      <c r="B42" s="735"/>
      <c r="C42" s="146">
        <v>6.1666699999999999</v>
      </c>
      <c r="D42" s="138">
        <v>1</v>
      </c>
      <c r="E42" s="147">
        <f>+E31</f>
        <v>1</v>
      </c>
      <c r="F42" s="662">
        <f>Inversions!H19</f>
        <v>3685</v>
      </c>
      <c r="G42" s="141">
        <v>8</v>
      </c>
      <c r="H42" s="141"/>
      <c r="I42" s="141"/>
      <c r="J42" s="141"/>
      <c r="K42" s="284">
        <f>Paràmetres!$C$4</f>
        <v>0</v>
      </c>
      <c r="L42" s="142"/>
      <c r="M42" s="147"/>
      <c r="N42" s="143">
        <f>-12*PMT(K42/12,G42*12,F42)</f>
        <v>460.625</v>
      </c>
      <c r="O42" s="510">
        <f>E42*N42</f>
        <v>460.625</v>
      </c>
    </row>
    <row r="43" spans="1:15" x14ac:dyDescent="0.25">
      <c r="A43" s="735" t="s">
        <v>324</v>
      </c>
      <c r="B43" s="735"/>
      <c r="C43" s="146">
        <v>6.1666699999999999</v>
      </c>
      <c r="D43" s="138">
        <v>1</v>
      </c>
      <c r="E43" s="147">
        <v>1</v>
      </c>
      <c r="F43" s="662">
        <f>Inversions!H20</f>
        <v>0</v>
      </c>
      <c r="G43" s="141">
        <v>8</v>
      </c>
      <c r="H43" s="141"/>
      <c r="I43" s="141"/>
      <c r="J43" s="141"/>
      <c r="K43" s="284">
        <f>Paràmetres!$C$4</f>
        <v>0</v>
      </c>
      <c r="L43" s="142"/>
      <c r="M43" s="147"/>
      <c r="N43" s="143">
        <f>-12*PMT(K43/12,G43*12,F43)</f>
        <v>0</v>
      </c>
      <c r="O43" s="510">
        <f>E43*N43</f>
        <v>0</v>
      </c>
    </row>
    <row r="44" spans="1:15" x14ac:dyDescent="0.25">
      <c r="A44" s="735" t="s">
        <v>312</v>
      </c>
      <c r="B44" s="735"/>
      <c r="C44" s="146">
        <v>6.1666699999999999</v>
      </c>
      <c r="D44" s="138">
        <v>1</v>
      </c>
      <c r="E44" s="147">
        <f>+E32</f>
        <v>1</v>
      </c>
      <c r="F44" s="662">
        <f>Inversions!H21</f>
        <v>12544</v>
      </c>
      <c r="G44" s="141">
        <v>8</v>
      </c>
      <c r="H44" s="141"/>
      <c r="I44" s="141"/>
      <c r="J44" s="141"/>
      <c r="K44" s="284">
        <f>Paràmetres!$C$4</f>
        <v>0</v>
      </c>
      <c r="L44" s="142"/>
      <c r="M44" s="147"/>
      <c r="N44" s="143">
        <f>-12*PMT(K44/12,G44*12,F44)</f>
        <v>1568</v>
      </c>
      <c r="O44" s="510">
        <f>E44*N44</f>
        <v>1568</v>
      </c>
    </row>
    <row r="45" spans="1:15" x14ac:dyDescent="0.25">
      <c r="A45" s="735" t="s">
        <v>233</v>
      </c>
      <c r="B45" s="735"/>
      <c r="C45" s="146">
        <v>6.1666699999999999</v>
      </c>
      <c r="D45" s="138">
        <v>1</v>
      </c>
      <c r="E45" s="147">
        <v>1</v>
      </c>
      <c r="F45" s="662">
        <f>Inversions!H22</f>
        <v>0</v>
      </c>
      <c r="G45" s="141">
        <v>8</v>
      </c>
      <c r="H45" s="141"/>
      <c r="I45" s="141"/>
      <c r="J45" s="141"/>
      <c r="K45" s="284">
        <f>Paràmetres!$C$4</f>
        <v>0</v>
      </c>
      <c r="L45" s="142"/>
      <c r="M45" s="147"/>
      <c r="N45" s="143">
        <f>-12*PMT(K45/12,G45*12,F45)</f>
        <v>0</v>
      </c>
      <c r="O45" s="510">
        <f>E45*N45</f>
        <v>0</v>
      </c>
    </row>
    <row r="46" spans="1:15" s="281" customFormat="1" x14ac:dyDescent="0.25">
      <c r="A46" s="501"/>
      <c r="B46" s="502"/>
      <c r="C46" s="502"/>
      <c r="D46" s="502"/>
      <c r="E46" s="503"/>
      <c r="F46" s="503" t="s">
        <v>84</v>
      </c>
      <c r="G46" s="502"/>
      <c r="H46" s="502"/>
      <c r="I46" s="502"/>
      <c r="J46" s="502"/>
      <c r="K46" s="502"/>
      <c r="L46" s="502"/>
      <c r="M46" s="502"/>
      <c r="N46" s="502"/>
      <c r="O46" s="504">
        <f>SUM(O42:O45)</f>
        <v>2028.625</v>
      </c>
    </row>
    <row r="47" spans="1:15" s="5" customFormat="1" ht="26.25" x14ac:dyDescent="0.4">
      <c r="A47" s="415" t="s">
        <v>213</v>
      </c>
      <c r="B47" s="416"/>
      <c r="C47" s="416"/>
      <c r="D47" s="417"/>
      <c r="E47" s="417"/>
      <c r="F47" s="417"/>
      <c r="G47" s="417"/>
      <c r="H47" s="417"/>
      <c r="I47" s="417"/>
      <c r="J47" s="417"/>
      <c r="K47" s="418"/>
      <c r="L47" s="418"/>
      <c r="M47" s="418"/>
      <c r="N47" s="418"/>
      <c r="O47" s="419"/>
    </row>
    <row r="48" spans="1:15" s="281" customFormat="1" x14ac:dyDescent="0.25">
      <c r="A48" s="811" t="s">
        <v>20</v>
      </c>
      <c r="B48" s="812"/>
      <c r="C48" s="511" t="s">
        <v>27</v>
      </c>
      <c r="D48" s="511" t="s">
        <v>28</v>
      </c>
      <c r="E48" s="511" t="s">
        <v>21</v>
      </c>
      <c r="F48" s="511"/>
      <c r="G48" s="511"/>
      <c r="H48" s="511"/>
      <c r="I48" s="511"/>
      <c r="J48" s="511"/>
      <c r="K48" s="511" t="s">
        <v>100</v>
      </c>
      <c r="L48" s="511"/>
      <c r="M48" s="511"/>
      <c r="N48" s="511"/>
      <c r="O48" s="512" t="s">
        <v>32</v>
      </c>
    </row>
    <row r="49" spans="1:15" s="281" customFormat="1" x14ac:dyDescent="0.25">
      <c r="A49" s="760"/>
      <c r="B49" s="761"/>
      <c r="C49" s="292" t="s">
        <v>44</v>
      </c>
      <c r="D49" s="292" t="s">
        <v>5</v>
      </c>
      <c r="E49" s="292" t="s">
        <v>24</v>
      </c>
      <c r="F49" s="293"/>
      <c r="G49" s="292"/>
      <c r="H49" s="292"/>
      <c r="I49" s="292"/>
      <c r="J49" s="292"/>
      <c r="K49" s="292" t="s">
        <v>101</v>
      </c>
      <c r="L49" s="292"/>
      <c r="M49" s="292"/>
      <c r="N49" s="292"/>
      <c r="O49" s="294" t="s">
        <v>40</v>
      </c>
    </row>
    <row r="50" spans="1:15" s="281" customFormat="1" x14ac:dyDescent="0.25">
      <c r="A50" s="735" t="s">
        <v>312</v>
      </c>
      <c r="B50" s="735"/>
      <c r="C50" s="146">
        <v>6.1666699999999999</v>
      </c>
      <c r="D50" s="138">
        <v>1</v>
      </c>
      <c r="E50" s="461">
        <v>1</v>
      </c>
      <c r="F50" s="513"/>
      <c r="G50" s="6"/>
      <c r="H50" s="6"/>
      <c r="I50" s="6"/>
      <c r="J50" s="6"/>
      <c r="K50" s="514">
        <f>'Seguro+combustible+reparacions'!E17</f>
        <v>0</v>
      </c>
      <c r="L50" s="514"/>
      <c r="M50" s="6"/>
      <c r="N50" s="513"/>
      <c r="O50" s="499">
        <f>E50*K50</f>
        <v>0</v>
      </c>
    </row>
    <row r="51" spans="1:15" s="281" customFormat="1" x14ac:dyDescent="0.25">
      <c r="A51" s="735" t="s">
        <v>233</v>
      </c>
      <c r="B51" s="735"/>
      <c r="C51" s="146">
        <v>6.1666699999999999</v>
      </c>
      <c r="D51" s="138">
        <v>1</v>
      </c>
      <c r="E51" s="461">
        <v>1</v>
      </c>
      <c r="F51" s="515"/>
      <c r="G51" s="516"/>
      <c r="H51" s="516"/>
      <c r="I51" s="516"/>
      <c r="J51" s="516"/>
      <c r="K51" s="514">
        <f>'Seguro+combustible+reparacions'!E17</f>
        <v>0</v>
      </c>
      <c r="L51" s="517"/>
      <c r="M51" s="516"/>
      <c r="N51" s="515"/>
      <c r="O51" s="499">
        <f>E51*K51</f>
        <v>0</v>
      </c>
    </row>
    <row r="52" spans="1:15" s="281" customFormat="1" x14ac:dyDescent="0.25">
      <c r="A52" s="501"/>
      <c r="B52" s="502"/>
      <c r="C52" s="502"/>
      <c r="D52" s="502"/>
      <c r="E52" s="503"/>
      <c r="F52" s="503" t="s">
        <v>85</v>
      </c>
      <c r="G52" s="502"/>
      <c r="H52" s="502"/>
      <c r="I52" s="502"/>
      <c r="J52" s="502"/>
      <c r="K52" s="502"/>
      <c r="L52" s="502"/>
      <c r="M52" s="502"/>
      <c r="N52" s="502"/>
      <c r="O52" s="504">
        <f>SUM(O50:O51)</f>
        <v>0</v>
      </c>
    </row>
    <row r="53" spans="1:15" s="281" customFormat="1" ht="26.25" x14ac:dyDescent="0.4">
      <c r="A53" s="285" t="s">
        <v>420</v>
      </c>
      <c r="B53" s="286"/>
      <c r="C53" s="286"/>
      <c r="D53" s="287"/>
      <c r="E53" s="287"/>
      <c r="F53" s="287"/>
      <c r="G53" s="287"/>
      <c r="H53" s="287"/>
      <c r="I53" s="287"/>
      <c r="J53" s="287"/>
      <c r="K53" s="288"/>
      <c r="L53" s="288"/>
      <c r="M53" s="288"/>
      <c r="N53" s="288"/>
      <c r="O53" s="289"/>
    </row>
    <row r="54" spans="1:15" s="281" customFormat="1" x14ac:dyDescent="0.25">
      <c r="A54" s="758" t="s">
        <v>225</v>
      </c>
      <c r="B54" s="759"/>
      <c r="C54" s="290"/>
      <c r="D54" s="290" t="s">
        <v>28</v>
      </c>
      <c r="E54" s="290"/>
      <c r="F54" s="290"/>
      <c r="G54" s="290"/>
      <c r="H54" s="290"/>
      <c r="I54" s="290"/>
      <c r="J54" s="290"/>
      <c r="K54" s="290" t="s">
        <v>100</v>
      </c>
      <c r="L54" s="290"/>
      <c r="M54" s="290"/>
      <c r="N54" s="290"/>
      <c r="O54" s="291" t="s">
        <v>32</v>
      </c>
    </row>
    <row r="55" spans="1:15" s="281" customFormat="1" x14ac:dyDescent="0.25">
      <c r="A55" s="760"/>
      <c r="B55" s="761"/>
      <c r="C55" s="292"/>
      <c r="D55" s="292" t="s">
        <v>5</v>
      </c>
      <c r="E55" s="290" t="s">
        <v>21</v>
      </c>
      <c r="F55" s="293"/>
      <c r="G55" s="292"/>
      <c r="H55" s="292"/>
      <c r="I55" s="292"/>
      <c r="J55" s="292"/>
      <c r="K55" s="292" t="s">
        <v>238</v>
      </c>
      <c r="L55" s="292"/>
      <c r="M55" s="292"/>
      <c r="N55" s="292"/>
      <c r="O55" s="294" t="s">
        <v>40</v>
      </c>
    </row>
    <row r="56" spans="1:15" s="281" customFormat="1" x14ac:dyDescent="0.25">
      <c r="A56" s="733" t="s">
        <v>245</v>
      </c>
      <c r="B56" s="733"/>
      <c r="C56" s="137"/>
      <c r="D56" s="138">
        <v>1</v>
      </c>
      <c r="E56" s="650">
        <f>I16</f>
        <v>0</v>
      </c>
      <c r="F56" s="373"/>
      <c r="G56" s="372"/>
      <c r="H56" s="372"/>
      <c r="I56" s="372"/>
      <c r="J56" s="372"/>
      <c r="K56" s="650">
        <f>Consumibles!E46</f>
        <v>0</v>
      </c>
      <c r="L56" s="304"/>
      <c r="M56" s="303"/>
      <c r="N56" s="302"/>
      <c r="O56" s="239">
        <f>E56*K56</f>
        <v>0</v>
      </c>
    </row>
    <row r="57" spans="1:15" s="281" customFormat="1" x14ac:dyDescent="0.25">
      <c r="A57" s="733" t="s">
        <v>226</v>
      </c>
      <c r="B57" s="733"/>
      <c r="C57" s="137"/>
      <c r="D57" s="138">
        <v>1</v>
      </c>
      <c r="E57" s="650">
        <v>0</v>
      </c>
      <c r="F57" s="373"/>
      <c r="G57" s="372"/>
      <c r="H57" s="372"/>
      <c r="I57" s="372"/>
      <c r="J57" s="372"/>
      <c r="K57" s="650">
        <f>Consumibles!E21</f>
        <v>0</v>
      </c>
      <c r="L57" s="304"/>
      <c r="M57" s="303"/>
      <c r="N57" s="302"/>
      <c r="O57" s="239">
        <f>E57*K57</f>
        <v>0</v>
      </c>
    </row>
    <row r="58" spans="1:15" s="281" customFormat="1" x14ac:dyDescent="0.25">
      <c r="A58" s="733" t="s">
        <v>237</v>
      </c>
      <c r="B58" s="733"/>
      <c r="C58" s="137"/>
      <c r="D58" s="138">
        <v>1</v>
      </c>
      <c r="E58" s="663">
        <v>0</v>
      </c>
      <c r="F58" s="373"/>
      <c r="G58" s="372"/>
      <c r="H58" s="372"/>
      <c r="I58" s="372"/>
      <c r="J58" s="372"/>
      <c r="K58" s="650">
        <f>Consumibles!E22</f>
        <v>0</v>
      </c>
      <c r="L58" s="304"/>
      <c r="M58" s="303"/>
      <c r="N58" s="302"/>
      <c r="O58" s="239">
        <f t="shared" ref="O58:O61" si="11">E58*K58</f>
        <v>0</v>
      </c>
    </row>
    <row r="59" spans="1:15" s="281" customFormat="1" x14ac:dyDescent="0.25">
      <c r="A59" s="733" t="s">
        <v>234</v>
      </c>
      <c r="B59" s="733"/>
      <c r="C59" s="137"/>
      <c r="D59" s="138">
        <v>1</v>
      </c>
      <c r="E59" s="663">
        <v>0</v>
      </c>
      <c r="F59" s="373"/>
      <c r="G59" s="372"/>
      <c r="H59" s="372"/>
      <c r="I59" s="372"/>
      <c r="J59" s="372"/>
      <c r="K59" s="650">
        <f>Consumibles!E23</f>
        <v>0</v>
      </c>
      <c r="L59" s="304"/>
      <c r="M59" s="303"/>
      <c r="N59" s="302"/>
      <c r="O59" s="239">
        <f t="shared" si="11"/>
        <v>0</v>
      </c>
    </row>
    <row r="60" spans="1:15" s="281" customFormat="1" x14ac:dyDescent="0.25">
      <c r="A60" s="733" t="s">
        <v>235</v>
      </c>
      <c r="B60" s="733"/>
      <c r="C60" s="137"/>
      <c r="D60" s="138">
        <v>1</v>
      </c>
      <c r="E60" s="663">
        <v>0</v>
      </c>
      <c r="F60" s="373"/>
      <c r="G60" s="372"/>
      <c r="H60" s="372"/>
      <c r="I60" s="372"/>
      <c r="J60" s="372"/>
      <c r="K60" s="650">
        <f>Consumibles!E24</f>
        <v>0</v>
      </c>
      <c r="L60" s="304"/>
      <c r="M60" s="303"/>
      <c r="N60" s="302"/>
      <c r="O60" s="239">
        <f t="shared" si="11"/>
        <v>0</v>
      </c>
    </row>
    <row r="61" spans="1:15" s="281" customFormat="1" x14ac:dyDescent="0.25">
      <c r="A61" s="733" t="s">
        <v>236</v>
      </c>
      <c r="B61" s="733"/>
      <c r="C61" s="137"/>
      <c r="D61" s="138">
        <v>1</v>
      </c>
      <c r="E61" s="663">
        <v>0</v>
      </c>
      <c r="F61" s="373"/>
      <c r="G61" s="372"/>
      <c r="H61" s="372"/>
      <c r="I61" s="372"/>
      <c r="J61" s="372"/>
      <c r="K61" s="650">
        <f>Consumibles!E25</f>
        <v>0</v>
      </c>
      <c r="L61" s="304"/>
      <c r="M61" s="303"/>
      <c r="N61" s="302"/>
      <c r="O61" s="239">
        <f t="shared" si="11"/>
        <v>0</v>
      </c>
    </row>
    <row r="62" spans="1:15" s="281" customFormat="1" x14ac:dyDescent="0.25">
      <c r="A62" s="254"/>
      <c r="B62" s="255"/>
      <c r="C62" s="255"/>
      <c r="D62" s="255"/>
      <c r="E62" s="256"/>
      <c r="F62" s="256" t="s">
        <v>224</v>
      </c>
      <c r="G62" s="255"/>
      <c r="H62" s="255"/>
      <c r="I62" s="255"/>
      <c r="J62" s="255"/>
      <c r="K62" s="255"/>
      <c r="L62" s="255"/>
      <c r="M62" s="255"/>
      <c r="N62" s="255"/>
      <c r="O62" s="257">
        <f>SUM(O56:O61)</f>
        <v>0</v>
      </c>
    </row>
    <row r="63" spans="1:15" x14ac:dyDescent="0.25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</row>
    <row r="64" spans="1:15" x14ac:dyDescent="0.25">
      <c r="A64" s="218"/>
      <c r="B64" s="218"/>
      <c r="C64" s="218"/>
      <c r="D64" s="218"/>
      <c r="E64" s="218"/>
      <c r="F64" s="307" t="s">
        <v>271</v>
      </c>
      <c r="G64" s="308"/>
      <c r="H64" s="308"/>
      <c r="I64" s="308"/>
      <c r="J64" s="308"/>
      <c r="K64" s="308"/>
      <c r="L64" s="308"/>
      <c r="M64" s="316"/>
      <c r="N64" s="316"/>
      <c r="O64" s="317">
        <f>+O16+O27+O38+O52+O62</f>
        <v>0</v>
      </c>
    </row>
    <row r="65" spans="1:15" x14ac:dyDescent="0.25">
      <c r="A65" s="218"/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310"/>
    </row>
    <row r="66" spans="1:15" x14ac:dyDescent="0.25">
      <c r="A66" s="218"/>
      <c r="B66" s="218"/>
      <c r="C66" s="218"/>
      <c r="D66" s="218"/>
      <c r="E66" s="218"/>
      <c r="F66" s="311" t="s">
        <v>3</v>
      </c>
      <c r="G66" s="312"/>
      <c r="H66" s="312"/>
      <c r="I66" s="312"/>
      <c r="J66" s="312"/>
      <c r="K66" s="312"/>
      <c r="L66" s="312"/>
      <c r="M66" s="652">
        <f>Paràmetres!C6</f>
        <v>0</v>
      </c>
      <c r="N66" s="312"/>
      <c r="O66" s="313">
        <f>+O64*M66</f>
        <v>0</v>
      </c>
    </row>
    <row r="67" spans="1:15" x14ac:dyDescent="0.25">
      <c r="A67" s="218"/>
      <c r="B67" s="218"/>
      <c r="C67" s="218"/>
      <c r="D67" s="218"/>
      <c r="E67" s="218"/>
      <c r="F67" s="312"/>
      <c r="G67" s="312"/>
      <c r="H67" s="312"/>
      <c r="I67" s="312"/>
      <c r="J67" s="312"/>
      <c r="K67" s="312"/>
      <c r="L67" s="312"/>
      <c r="M67" s="314"/>
      <c r="N67" s="312"/>
      <c r="O67" s="313"/>
    </row>
    <row r="68" spans="1:15" x14ac:dyDescent="0.25">
      <c r="A68" s="218"/>
      <c r="B68" s="218"/>
      <c r="C68" s="218"/>
      <c r="D68" s="218"/>
      <c r="E68" s="218"/>
      <c r="F68" s="311" t="s">
        <v>2</v>
      </c>
      <c r="G68" s="312"/>
      <c r="H68" s="312"/>
      <c r="I68" s="312"/>
      <c r="J68" s="312"/>
      <c r="K68" s="312"/>
      <c r="L68" s="312"/>
      <c r="M68" s="652">
        <f>Paràmetres!C5</f>
        <v>0</v>
      </c>
      <c r="N68" s="312"/>
      <c r="O68" s="313">
        <f>+O64*M68</f>
        <v>0</v>
      </c>
    </row>
    <row r="69" spans="1:15" x14ac:dyDescent="0.25">
      <c r="A69" s="218"/>
      <c r="B69" s="218"/>
      <c r="C69" s="218"/>
      <c r="D69" s="218"/>
      <c r="E69" s="218"/>
      <c r="F69" s="312"/>
      <c r="G69" s="312"/>
      <c r="H69" s="312"/>
      <c r="I69" s="312"/>
      <c r="J69" s="312"/>
      <c r="K69" s="312"/>
      <c r="L69" s="312"/>
      <c r="M69" s="314"/>
      <c r="N69" s="312"/>
      <c r="O69" s="313"/>
    </row>
    <row r="70" spans="1:15" x14ac:dyDescent="0.25">
      <c r="A70" s="218"/>
      <c r="B70" s="218"/>
      <c r="C70" s="218"/>
      <c r="D70" s="218"/>
      <c r="E70" s="218"/>
      <c r="F70" s="311" t="s">
        <v>48</v>
      </c>
      <c r="G70" s="312"/>
      <c r="H70" s="312"/>
      <c r="I70" s="312"/>
      <c r="J70" s="312"/>
      <c r="K70" s="312"/>
      <c r="L70" s="312"/>
      <c r="M70" s="314"/>
      <c r="N70" s="312"/>
      <c r="O70" s="313">
        <f>+O64*M70</f>
        <v>0</v>
      </c>
    </row>
    <row r="71" spans="1:15" x14ac:dyDescent="0.25">
      <c r="A71" s="218"/>
      <c r="B71" s="218"/>
      <c r="C71" s="218"/>
      <c r="D71" s="218"/>
      <c r="E71" s="218"/>
      <c r="F71" s="312"/>
      <c r="G71" s="312"/>
      <c r="H71" s="312"/>
      <c r="I71" s="312"/>
      <c r="J71" s="312"/>
      <c r="K71" s="312"/>
      <c r="L71" s="312"/>
      <c r="M71" s="314"/>
      <c r="N71" s="312"/>
      <c r="O71" s="313"/>
    </row>
    <row r="72" spans="1:15" x14ac:dyDescent="0.25">
      <c r="A72" s="218"/>
      <c r="B72" s="218"/>
      <c r="C72" s="218"/>
      <c r="D72" s="218"/>
      <c r="E72" s="218"/>
      <c r="F72" s="311" t="s">
        <v>76</v>
      </c>
      <c r="G72" s="312"/>
      <c r="H72" s="312"/>
      <c r="I72" s="312"/>
      <c r="J72" s="312"/>
      <c r="K72" s="312"/>
      <c r="L72" s="312"/>
      <c r="M72" s="314"/>
      <c r="N72" s="312"/>
      <c r="O72" s="313">
        <f>+O64*M72</f>
        <v>0</v>
      </c>
    </row>
    <row r="73" spans="1:15" x14ac:dyDescent="0.25">
      <c r="A73" s="218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310"/>
    </row>
    <row r="74" spans="1:15" x14ac:dyDescent="0.25">
      <c r="A74" s="218"/>
      <c r="B74" s="218"/>
      <c r="C74" s="218"/>
      <c r="D74" s="218"/>
      <c r="E74" s="218"/>
      <c r="F74" s="315" t="s">
        <v>270</v>
      </c>
      <c r="G74" s="316"/>
      <c r="H74" s="316"/>
      <c r="I74" s="316"/>
      <c r="J74" s="316"/>
      <c r="K74" s="316"/>
      <c r="L74" s="316"/>
      <c r="M74" s="316"/>
      <c r="N74" s="316"/>
      <c r="O74" s="317">
        <f>SUM(O64:O72)+O46</f>
        <v>2028.625</v>
      </c>
    </row>
    <row r="75" spans="1:15" x14ac:dyDescent="0.25">
      <c r="A75" s="218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310"/>
    </row>
    <row r="76" spans="1:15" x14ac:dyDescent="0.25">
      <c r="A76" s="218"/>
      <c r="B76" s="218"/>
      <c r="C76" s="218"/>
      <c r="D76" s="218"/>
      <c r="E76" s="218"/>
      <c r="F76" s="311" t="s">
        <v>4</v>
      </c>
      <c r="G76" s="312"/>
      <c r="H76" s="312"/>
      <c r="I76" s="312"/>
      <c r="J76" s="312"/>
      <c r="K76" s="312"/>
      <c r="L76" s="312"/>
      <c r="M76" s="314">
        <v>0.1</v>
      </c>
      <c r="N76" s="312"/>
      <c r="O76" s="313">
        <f>+O74*M76</f>
        <v>202.86250000000001</v>
      </c>
    </row>
    <row r="77" spans="1:15" x14ac:dyDescent="0.25">
      <c r="A77" s="218"/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310"/>
    </row>
    <row r="78" spans="1:15" x14ac:dyDescent="0.25">
      <c r="A78" s="218"/>
      <c r="B78" s="218"/>
      <c r="C78" s="218"/>
      <c r="D78" s="218"/>
      <c r="E78" s="218"/>
      <c r="F78" s="315" t="s">
        <v>49</v>
      </c>
      <c r="G78" s="316"/>
      <c r="H78" s="316"/>
      <c r="I78" s="316"/>
      <c r="J78" s="316"/>
      <c r="K78" s="316"/>
      <c r="L78" s="316"/>
      <c r="M78" s="316"/>
      <c r="N78" s="316"/>
      <c r="O78" s="317">
        <f>+O74+O76</f>
        <v>2231.4875000000002</v>
      </c>
    </row>
    <row r="79" spans="1:15" x14ac:dyDescent="0.25">
      <c r="A79" s="218"/>
      <c r="B79" s="218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</row>
    <row r="80" spans="1:15" x14ac:dyDescent="0.25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</row>
    <row r="81" spans="1:15" x14ac:dyDescent="0.25">
      <c r="A81" s="218"/>
      <c r="B81" s="218"/>
      <c r="C81" s="218"/>
      <c r="D81" s="218"/>
      <c r="E81" s="218"/>
      <c r="F81" s="315" t="s">
        <v>50</v>
      </c>
      <c r="G81" s="316"/>
      <c r="H81" s="316"/>
      <c r="I81" s="316"/>
      <c r="J81" s="316"/>
      <c r="K81" s="316"/>
      <c r="L81" s="316"/>
      <c r="M81" s="316"/>
      <c r="N81" s="316"/>
      <c r="O81" s="317" t="s">
        <v>51</v>
      </c>
    </row>
    <row r="82" spans="1:15" x14ac:dyDescent="0.25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</row>
    <row r="83" spans="1:15" x14ac:dyDescent="0.25">
      <c r="A83" s="218"/>
      <c r="B83" s="218"/>
      <c r="C83" s="218"/>
      <c r="D83" s="218"/>
      <c r="E83" s="218"/>
      <c r="F83" s="218" t="s">
        <v>52</v>
      </c>
      <c r="G83" s="218"/>
      <c r="H83" s="218"/>
      <c r="I83" s="218"/>
      <c r="J83" s="218"/>
      <c r="K83" s="218"/>
      <c r="L83" s="218"/>
      <c r="M83" s="218"/>
      <c r="N83" s="218"/>
      <c r="O83" s="313">
        <f>+O16*(1+M66+M68)*(1+M76)</f>
        <v>0</v>
      </c>
    </row>
    <row r="84" spans="1:15" x14ac:dyDescent="0.25">
      <c r="A84" s="218"/>
      <c r="B84" s="218"/>
      <c r="C84" s="218"/>
      <c r="D84" s="218"/>
      <c r="E84" s="218"/>
      <c r="F84" s="218" t="s">
        <v>53</v>
      </c>
      <c r="G84" s="218"/>
      <c r="H84" s="218"/>
      <c r="I84" s="218"/>
      <c r="J84" s="218"/>
      <c r="K84" s="218"/>
      <c r="L84" s="218"/>
      <c r="M84" s="218"/>
      <c r="N84" s="218"/>
      <c r="O84" s="313">
        <f>+(O27+O38)*(1+M66+M68)*(1+M76)</f>
        <v>0</v>
      </c>
    </row>
    <row r="85" spans="1:15" x14ac:dyDescent="0.25">
      <c r="A85" s="218"/>
      <c r="B85" s="218"/>
      <c r="C85" s="218"/>
      <c r="D85" s="218"/>
      <c r="E85" s="218"/>
      <c r="F85" s="218" t="s">
        <v>54</v>
      </c>
      <c r="G85" s="218"/>
      <c r="H85" s="218"/>
      <c r="I85" s="218"/>
      <c r="J85" s="218"/>
      <c r="K85" s="218"/>
      <c r="L85" s="218"/>
      <c r="M85" s="218"/>
      <c r="N85" s="218"/>
      <c r="O85" s="313"/>
    </row>
    <row r="86" spans="1:15" x14ac:dyDescent="0.25">
      <c r="A86" s="218"/>
      <c r="B86" s="218"/>
      <c r="C86" s="218"/>
      <c r="D86" s="218"/>
      <c r="E86" s="218"/>
      <c r="F86" s="311" t="s">
        <v>55</v>
      </c>
      <c r="G86" s="312"/>
      <c r="H86" s="312"/>
      <c r="I86" s="312"/>
      <c r="J86" s="312"/>
      <c r="K86" s="312"/>
      <c r="L86" s="312"/>
      <c r="M86" s="312"/>
      <c r="N86" s="312"/>
      <c r="O86" s="313">
        <f>G16</f>
        <v>0</v>
      </c>
    </row>
    <row r="87" spans="1:15" x14ac:dyDescent="0.25">
      <c r="A87" s="218"/>
      <c r="B87" s="218"/>
      <c r="C87" s="218"/>
      <c r="D87" s="218"/>
      <c r="E87" s="218"/>
      <c r="F87" s="311" t="s">
        <v>56</v>
      </c>
      <c r="G87" s="312"/>
      <c r="H87" s="312"/>
      <c r="I87" s="312"/>
      <c r="J87" s="312"/>
      <c r="K87" s="312"/>
      <c r="L87" s="312"/>
      <c r="M87" s="312"/>
      <c r="N87" s="312"/>
      <c r="O87" s="313">
        <f>+O86*6.16667</f>
        <v>0</v>
      </c>
    </row>
    <row r="88" spans="1:15" x14ac:dyDescent="0.25">
      <c r="A88" s="218"/>
      <c r="B88" s="218"/>
      <c r="C88" s="218"/>
      <c r="D88" s="218"/>
      <c r="E88" s="218"/>
      <c r="F88" s="218" t="s">
        <v>57</v>
      </c>
      <c r="G88" s="218"/>
      <c r="H88" s="218"/>
      <c r="I88" s="218"/>
      <c r="J88" s="218"/>
      <c r="K88" s="218"/>
      <c r="L88" s="218"/>
      <c r="M88" s="218"/>
      <c r="N88" s="218"/>
      <c r="O88" s="313" t="e">
        <f>+O78/O86</f>
        <v>#DIV/0!</v>
      </c>
    </row>
    <row r="89" spans="1:15" x14ac:dyDescent="0.25">
      <c r="A89" s="218"/>
      <c r="B89" s="218"/>
      <c r="C89" s="218"/>
      <c r="D89" s="218"/>
      <c r="E89" s="218"/>
      <c r="F89" s="218" t="s">
        <v>58</v>
      </c>
      <c r="G89" s="218"/>
      <c r="H89" s="218"/>
      <c r="I89" s="218"/>
      <c r="J89" s="218"/>
      <c r="K89" s="218"/>
      <c r="L89" s="218"/>
      <c r="M89" s="218"/>
      <c r="N89" s="218"/>
      <c r="O89" s="313" t="e">
        <f>+O78/O87</f>
        <v>#DIV/0!</v>
      </c>
    </row>
  </sheetData>
  <sheetProtection algorithmName="SHA-512" hashValue="rkS/X4tzeWPNsZGdSbU1+FPqsI9g5y3maECN+e6witGCUb+Sw0zEsE8VR11cHtTZzvIXmmFmtGBq6uQSJkLYqg==" saltValue="zCwRTqUbhd5i3VEBqPhFNg==" spinCount="100000" sheet="1" objects="1" scenarios="1" selectLockedCells="1"/>
  <mergeCells count="48">
    <mergeCell ref="A43:B43"/>
    <mergeCell ref="A37:B37"/>
    <mergeCell ref="A42:B42"/>
    <mergeCell ref="A44:B44"/>
    <mergeCell ref="A5:O5"/>
    <mergeCell ref="A7:B8"/>
    <mergeCell ref="A20:B20"/>
    <mergeCell ref="A21:B21"/>
    <mergeCell ref="A18:A19"/>
    <mergeCell ref="B18:B19"/>
    <mergeCell ref="A29:A30"/>
    <mergeCell ref="B29:B30"/>
    <mergeCell ref="A9:B9"/>
    <mergeCell ref="A10:B10"/>
    <mergeCell ref="A11:B11"/>
    <mergeCell ref="A12:B12"/>
    <mergeCell ref="A22:B22"/>
    <mergeCell ref="A23:B23"/>
    <mergeCell ref="A24:B24"/>
    <mergeCell ref="A25:B25"/>
    <mergeCell ref="A26:B26"/>
    <mergeCell ref="A31:B31"/>
    <mergeCell ref="O40:O41"/>
    <mergeCell ref="D40:D41"/>
    <mergeCell ref="E40:E41"/>
    <mergeCell ref="F40:F41"/>
    <mergeCell ref="G40:G41"/>
    <mergeCell ref="K40:K41"/>
    <mergeCell ref="C40:C41"/>
    <mergeCell ref="M40:M41"/>
    <mergeCell ref="N40:N41"/>
    <mergeCell ref="A32:B32"/>
    <mergeCell ref="A33:B33"/>
    <mergeCell ref="A34:B34"/>
    <mergeCell ref="A35:B35"/>
    <mergeCell ref="A40:B41"/>
    <mergeCell ref="A36:B36"/>
    <mergeCell ref="A60:B60"/>
    <mergeCell ref="A61:B61"/>
    <mergeCell ref="A45:B45"/>
    <mergeCell ref="A54:B55"/>
    <mergeCell ref="A56:B56"/>
    <mergeCell ref="A57:B57"/>
    <mergeCell ref="A58:B58"/>
    <mergeCell ref="A59:B59"/>
    <mergeCell ref="A50:B50"/>
    <mergeCell ref="A48:B49"/>
    <mergeCell ref="A51:B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fitToHeight="2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029A-8FE4-4F5B-A068-9468203220B0}">
  <sheetPr>
    <tabColor theme="0"/>
    <pageSetUpPr fitToPage="1"/>
  </sheetPr>
  <dimension ref="A2:J49"/>
  <sheetViews>
    <sheetView topLeftCell="A16" workbookViewId="0">
      <selection activeCell="C16" sqref="C16"/>
    </sheetView>
  </sheetViews>
  <sheetFormatPr defaultRowHeight="15" x14ac:dyDescent="0.25"/>
  <cols>
    <col min="1" max="1" width="9.140625" style="3"/>
    <col min="2" max="2" width="13" style="3" customWidth="1"/>
    <col min="3" max="3" width="33.85546875" style="3" customWidth="1"/>
    <col min="4" max="4" width="14.28515625" style="3" customWidth="1"/>
    <col min="5" max="6" width="15.85546875" style="3" customWidth="1"/>
    <col min="7" max="9" width="14.28515625" style="3" customWidth="1"/>
    <col min="10" max="10" width="18.28515625" style="3" customWidth="1"/>
    <col min="11" max="16384" width="9.140625" style="3"/>
  </cols>
  <sheetData>
    <row r="2" spans="1:10" ht="15" customHeight="1" thickBot="1" x14ac:dyDescent="0.3">
      <c r="B2" s="829" t="s">
        <v>333</v>
      </c>
      <c r="C2" s="829" t="s">
        <v>334</v>
      </c>
      <c r="D2" s="829" t="s">
        <v>335</v>
      </c>
      <c r="E2" s="829"/>
      <c r="F2" s="829"/>
      <c r="G2" s="829"/>
      <c r="H2" s="829"/>
      <c r="I2" s="829"/>
      <c r="J2" s="829"/>
    </row>
    <row r="3" spans="1:10" ht="45" customHeight="1" x14ac:dyDescent="0.25">
      <c r="B3" s="830"/>
      <c r="C3" s="831"/>
      <c r="D3" s="518" t="s">
        <v>336</v>
      </c>
      <c r="E3" s="518" t="s">
        <v>337</v>
      </c>
      <c r="F3" s="832" t="s">
        <v>338</v>
      </c>
      <c r="G3" s="833"/>
      <c r="H3" s="832" t="s">
        <v>339</v>
      </c>
      <c r="I3" s="833"/>
      <c r="J3" s="518" t="s">
        <v>340</v>
      </c>
    </row>
    <row r="4" spans="1:10" x14ac:dyDescent="0.25">
      <c r="B4" s="519"/>
      <c r="C4" s="520"/>
      <c r="D4" s="521" t="s">
        <v>341</v>
      </c>
      <c r="E4" s="521" t="s">
        <v>342</v>
      </c>
      <c r="F4" s="522" t="s">
        <v>341</v>
      </c>
      <c r="G4" s="523" t="s">
        <v>343</v>
      </c>
      <c r="H4" s="522" t="s">
        <v>341</v>
      </c>
      <c r="I4" s="523" t="s">
        <v>343</v>
      </c>
      <c r="J4" s="524" t="s">
        <v>343</v>
      </c>
    </row>
    <row r="5" spans="1:10" x14ac:dyDescent="0.25">
      <c r="A5" s="822" t="s">
        <v>344</v>
      </c>
      <c r="B5" s="824" t="s">
        <v>345</v>
      </c>
      <c r="C5" s="525" t="s">
        <v>346</v>
      </c>
      <c r="D5" s="526"/>
      <c r="E5" s="527"/>
      <c r="F5" s="526">
        <v>4.5</v>
      </c>
      <c r="G5" s="528">
        <v>4.5</v>
      </c>
      <c r="H5" s="526"/>
      <c r="I5" s="528"/>
      <c r="J5" s="529"/>
    </row>
    <row r="6" spans="1:10" x14ac:dyDescent="0.25">
      <c r="A6" s="823"/>
      <c r="B6" s="824"/>
      <c r="C6" s="530" t="s">
        <v>347</v>
      </c>
      <c r="D6" s="531"/>
      <c r="E6" s="532"/>
      <c r="F6" s="533"/>
      <c r="G6" s="534"/>
      <c r="H6" s="533"/>
      <c r="I6" s="534"/>
      <c r="J6" s="532"/>
    </row>
    <row r="7" spans="1:10" x14ac:dyDescent="0.25">
      <c r="A7" s="823"/>
      <c r="B7" s="824"/>
      <c r="C7" s="525" t="s">
        <v>348</v>
      </c>
      <c r="D7" s="526"/>
      <c r="E7" s="529"/>
      <c r="F7" s="535"/>
      <c r="G7" s="536"/>
      <c r="H7" s="535">
        <v>4.5</v>
      </c>
      <c r="I7" s="536">
        <v>4.5</v>
      </c>
      <c r="J7" s="529"/>
    </row>
    <row r="8" spans="1:10" ht="14.25" customHeight="1" x14ac:dyDescent="0.25">
      <c r="A8" s="823"/>
      <c r="B8" s="824"/>
      <c r="C8" s="525" t="s">
        <v>349</v>
      </c>
      <c r="D8" s="526"/>
      <c r="E8" s="529"/>
      <c r="F8" s="535">
        <v>4.5</v>
      </c>
      <c r="G8" s="536">
        <v>4.5</v>
      </c>
      <c r="H8" s="535"/>
      <c r="I8" s="536"/>
      <c r="J8" s="529"/>
    </row>
    <row r="9" spans="1:10" x14ac:dyDescent="0.25">
      <c r="A9" s="823"/>
      <c r="B9" s="824"/>
      <c r="C9" s="530" t="s">
        <v>350</v>
      </c>
      <c r="D9" s="531"/>
      <c r="E9" s="532"/>
      <c r="F9" s="533"/>
      <c r="G9" s="534"/>
      <c r="H9" s="533"/>
      <c r="I9" s="534"/>
      <c r="J9" s="532"/>
    </row>
    <row r="10" spans="1:10" x14ac:dyDescent="0.25">
      <c r="A10" s="823"/>
      <c r="B10" s="824"/>
      <c r="C10" s="525" t="s">
        <v>351</v>
      </c>
      <c r="D10" s="526"/>
      <c r="E10" s="529"/>
      <c r="F10" s="535">
        <v>4.5</v>
      </c>
      <c r="G10" s="536">
        <v>4.5</v>
      </c>
      <c r="H10" s="535">
        <v>4</v>
      </c>
      <c r="I10" s="536">
        <v>4</v>
      </c>
      <c r="J10" s="529"/>
    </row>
    <row r="11" spans="1:10" x14ac:dyDescent="0.25">
      <c r="A11" s="537"/>
      <c r="B11" s="538"/>
      <c r="C11" s="525"/>
      <c r="D11" s="539">
        <f>SUM(D5:D10)</f>
        <v>0</v>
      </c>
      <c r="E11" s="540">
        <f>SUM(E5:E10)</f>
        <v>0</v>
      </c>
      <c r="F11" s="539">
        <f t="shared" ref="F11:J11" si="0">SUM(F5:F10)</f>
        <v>13.5</v>
      </c>
      <c r="G11" s="540">
        <f t="shared" si="0"/>
        <v>13.5</v>
      </c>
      <c r="H11" s="539">
        <f t="shared" si="0"/>
        <v>8.5</v>
      </c>
      <c r="I11" s="540">
        <f t="shared" si="0"/>
        <v>8.5</v>
      </c>
      <c r="J11" s="540">
        <f t="shared" si="0"/>
        <v>0</v>
      </c>
    </row>
    <row r="12" spans="1:10" x14ac:dyDescent="0.25">
      <c r="A12" s="827" t="s">
        <v>352</v>
      </c>
      <c r="B12" s="538" t="s">
        <v>353</v>
      </c>
      <c r="C12" s="525" t="s">
        <v>354</v>
      </c>
      <c r="D12" s="526"/>
      <c r="E12" s="529"/>
      <c r="F12" s="535">
        <v>4.5</v>
      </c>
      <c r="G12" s="536">
        <v>4.5</v>
      </c>
      <c r="H12" s="535">
        <v>4</v>
      </c>
      <c r="I12" s="536">
        <v>4</v>
      </c>
      <c r="J12" s="529"/>
    </row>
    <row r="13" spans="1:10" x14ac:dyDescent="0.25">
      <c r="A13" s="827"/>
      <c r="B13" s="824" t="s">
        <v>355</v>
      </c>
      <c r="C13" s="525" t="s">
        <v>356</v>
      </c>
      <c r="D13" s="526"/>
      <c r="E13" s="529"/>
      <c r="F13" s="535"/>
      <c r="G13" s="536"/>
      <c r="H13" s="535">
        <v>3</v>
      </c>
      <c r="I13" s="536">
        <v>3</v>
      </c>
      <c r="J13" s="529"/>
    </row>
    <row r="14" spans="1:10" x14ac:dyDescent="0.25">
      <c r="A14" s="827"/>
      <c r="B14" s="824"/>
      <c r="C14" s="530" t="s">
        <v>357</v>
      </c>
      <c r="D14" s="531"/>
      <c r="E14" s="532"/>
      <c r="F14" s="533"/>
      <c r="G14" s="534"/>
      <c r="H14" s="533"/>
      <c r="I14" s="534"/>
      <c r="J14" s="532"/>
    </row>
    <row r="15" spans="1:10" x14ac:dyDescent="0.25">
      <c r="A15" s="827"/>
      <c r="B15" s="824"/>
      <c r="C15" s="530" t="s">
        <v>358</v>
      </c>
      <c r="D15" s="531"/>
      <c r="E15" s="532"/>
      <c r="F15" s="533"/>
      <c r="G15" s="534"/>
      <c r="H15" s="533"/>
      <c r="I15" s="534"/>
      <c r="J15" s="532"/>
    </row>
    <row r="16" spans="1:10" x14ac:dyDescent="0.25">
      <c r="A16" s="827"/>
      <c r="B16" s="538" t="s">
        <v>359</v>
      </c>
      <c r="C16" s="525" t="s">
        <v>360</v>
      </c>
      <c r="D16" s="526">
        <v>9</v>
      </c>
      <c r="E16" s="529"/>
      <c r="F16" s="535"/>
      <c r="G16" s="536"/>
      <c r="H16" s="535">
        <v>3</v>
      </c>
      <c r="I16" s="536">
        <v>3</v>
      </c>
      <c r="J16" s="529"/>
    </row>
    <row r="17" spans="1:10" x14ac:dyDescent="0.25">
      <c r="A17" s="827"/>
      <c r="B17" s="824" t="s">
        <v>361</v>
      </c>
      <c r="C17" s="530" t="s">
        <v>362</v>
      </c>
      <c r="D17" s="531"/>
      <c r="E17" s="532"/>
      <c r="F17" s="533"/>
      <c r="G17" s="534"/>
      <c r="H17" s="533"/>
      <c r="I17" s="534"/>
      <c r="J17" s="532"/>
    </row>
    <row r="18" spans="1:10" x14ac:dyDescent="0.25">
      <c r="A18" s="827"/>
      <c r="B18" s="824"/>
      <c r="C18" s="530" t="s">
        <v>363</v>
      </c>
      <c r="D18" s="531"/>
      <c r="E18" s="532"/>
      <c r="F18" s="533"/>
      <c r="G18" s="534"/>
      <c r="H18" s="533"/>
      <c r="I18" s="534"/>
      <c r="J18" s="532"/>
    </row>
    <row r="19" spans="1:10" x14ac:dyDescent="0.25">
      <c r="A19" s="827"/>
      <c r="B19" s="824"/>
      <c r="C19" s="530" t="s">
        <v>364</v>
      </c>
      <c r="D19" s="531"/>
      <c r="E19" s="532"/>
      <c r="F19" s="533"/>
      <c r="G19" s="534"/>
      <c r="H19" s="533"/>
      <c r="I19" s="534"/>
      <c r="J19" s="532"/>
    </row>
    <row r="20" spans="1:10" x14ac:dyDescent="0.25">
      <c r="A20" s="827"/>
      <c r="B20" s="824"/>
      <c r="C20" s="530" t="s">
        <v>365</v>
      </c>
      <c r="D20" s="531"/>
      <c r="E20" s="532"/>
      <c r="F20" s="533"/>
      <c r="G20" s="534"/>
      <c r="H20" s="533"/>
      <c r="I20" s="534"/>
      <c r="J20" s="532"/>
    </row>
    <row r="21" spans="1:10" x14ac:dyDescent="0.25">
      <c r="A21" s="827"/>
      <c r="B21" s="824"/>
      <c r="C21" s="530" t="s">
        <v>366</v>
      </c>
      <c r="D21" s="531"/>
      <c r="E21" s="532"/>
      <c r="F21" s="533"/>
      <c r="G21" s="534"/>
      <c r="H21" s="533"/>
      <c r="I21" s="534"/>
      <c r="J21" s="532"/>
    </row>
    <row r="22" spans="1:10" x14ac:dyDescent="0.25">
      <c r="A22" s="541"/>
      <c r="B22" s="538"/>
      <c r="C22" s="542"/>
      <c r="D22" s="543">
        <f>SUM(D12:D21)</f>
        <v>9</v>
      </c>
      <c r="E22" s="544">
        <f t="shared" ref="E22:J22" si="1">SUM(E12:E21)</f>
        <v>0</v>
      </c>
      <c r="F22" s="543">
        <f t="shared" si="1"/>
        <v>4.5</v>
      </c>
      <c r="G22" s="544">
        <f t="shared" si="1"/>
        <v>4.5</v>
      </c>
      <c r="H22" s="543">
        <f t="shared" si="1"/>
        <v>10</v>
      </c>
      <c r="I22" s="544">
        <f t="shared" si="1"/>
        <v>10</v>
      </c>
      <c r="J22" s="544">
        <f t="shared" si="1"/>
        <v>0</v>
      </c>
    </row>
    <row r="23" spans="1:10" x14ac:dyDescent="0.25">
      <c r="A23" s="828" t="s">
        <v>367</v>
      </c>
      <c r="B23" s="824" t="s">
        <v>368</v>
      </c>
      <c r="C23" s="530" t="s">
        <v>369</v>
      </c>
      <c r="D23" s="531"/>
      <c r="E23" s="532"/>
      <c r="F23" s="533"/>
      <c r="G23" s="534"/>
      <c r="H23" s="533"/>
      <c r="I23" s="534"/>
      <c r="J23" s="532"/>
    </row>
    <row r="24" spans="1:10" x14ac:dyDescent="0.25">
      <c r="A24" s="828"/>
      <c r="B24" s="824"/>
      <c r="C24" s="525" t="s">
        <v>370</v>
      </c>
      <c r="D24" s="526"/>
      <c r="E24" s="529"/>
      <c r="F24" s="535">
        <v>2</v>
      </c>
      <c r="G24" s="536">
        <v>2</v>
      </c>
      <c r="H24" s="535">
        <v>2</v>
      </c>
      <c r="I24" s="536">
        <v>2</v>
      </c>
      <c r="J24" s="529"/>
    </row>
    <row r="25" spans="1:10" x14ac:dyDescent="0.25">
      <c r="A25" s="828"/>
      <c r="B25" s="824"/>
      <c r="C25" s="525" t="s">
        <v>371</v>
      </c>
      <c r="D25" s="526"/>
      <c r="E25" s="529"/>
      <c r="F25" s="535">
        <v>9</v>
      </c>
      <c r="G25" s="536">
        <v>9</v>
      </c>
      <c r="H25" s="535">
        <v>4</v>
      </c>
      <c r="I25" s="536">
        <v>4</v>
      </c>
      <c r="J25" s="529"/>
    </row>
    <row r="26" spans="1:10" x14ac:dyDescent="0.25">
      <c r="A26" s="828"/>
      <c r="B26" s="824"/>
      <c r="C26" s="530" t="s">
        <v>372</v>
      </c>
      <c r="D26" s="531"/>
      <c r="E26" s="532"/>
      <c r="F26" s="533"/>
      <c r="G26" s="534"/>
      <c r="H26" s="533"/>
      <c r="I26" s="534"/>
      <c r="J26" s="532"/>
    </row>
    <row r="27" spans="1:10" x14ac:dyDescent="0.25">
      <c r="A27" s="828"/>
      <c r="B27" s="824"/>
      <c r="C27" s="525" t="s">
        <v>373</v>
      </c>
      <c r="D27" s="526">
        <v>34</v>
      </c>
      <c r="E27" s="529">
        <v>24</v>
      </c>
      <c r="F27" s="535"/>
      <c r="G27" s="536"/>
      <c r="H27" s="535"/>
      <c r="I27" s="536"/>
      <c r="J27" s="529"/>
    </row>
    <row r="28" spans="1:10" x14ac:dyDescent="0.25">
      <c r="A28" s="828"/>
      <c r="B28" s="824"/>
      <c r="C28" s="530" t="s">
        <v>374</v>
      </c>
      <c r="D28" s="531"/>
      <c r="E28" s="532"/>
      <c r="F28" s="533"/>
      <c r="G28" s="534"/>
      <c r="H28" s="533"/>
      <c r="I28" s="534"/>
      <c r="J28" s="532"/>
    </row>
    <row r="29" spans="1:10" x14ac:dyDescent="0.25">
      <c r="A29" s="828"/>
      <c r="B29" s="538" t="s">
        <v>375</v>
      </c>
      <c r="C29" s="525" t="s">
        <v>376</v>
      </c>
      <c r="D29" s="526">
        <v>90</v>
      </c>
      <c r="E29" s="529"/>
      <c r="F29" s="535">
        <v>48</v>
      </c>
      <c r="G29" s="536">
        <v>48</v>
      </c>
      <c r="H29" s="535">
        <v>40</v>
      </c>
      <c r="I29" s="536">
        <v>40</v>
      </c>
      <c r="J29" s="529">
        <v>36</v>
      </c>
    </row>
    <row r="30" spans="1:10" x14ac:dyDescent="0.25">
      <c r="A30" s="828"/>
      <c r="B30" s="824" t="s">
        <v>377</v>
      </c>
      <c r="C30" s="530" t="s">
        <v>378</v>
      </c>
      <c r="D30" s="531"/>
      <c r="E30" s="532"/>
      <c r="F30" s="533"/>
      <c r="G30" s="534"/>
      <c r="H30" s="533"/>
      <c r="I30" s="534"/>
      <c r="J30" s="532"/>
    </row>
    <row r="31" spans="1:10" x14ac:dyDescent="0.25">
      <c r="A31" s="828"/>
      <c r="B31" s="824"/>
      <c r="C31" s="530" t="s">
        <v>379</v>
      </c>
      <c r="D31" s="531"/>
      <c r="E31" s="532"/>
      <c r="F31" s="533"/>
      <c r="G31" s="534"/>
      <c r="H31" s="533"/>
      <c r="I31" s="534"/>
      <c r="J31" s="532"/>
    </row>
    <row r="32" spans="1:10" x14ac:dyDescent="0.25">
      <c r="A32" s="545"/>
      <c r="B32" s="546"/>
      <c r="C32" s="542" t="s">
        <v>7</v>
      </c>
      <c r="D32" s="543">
        <f>SUM(D23:D31)</f>
        <v>124</v>
      </c>
      <c r="E32" s="544">
        <f t="shared" ref="E32:J32" si="2">SUM(E23:E31)</f>
        <v>24</v>
      </c>
      <c r="F32" s="543">
        <f t="shared" si="2"/>
        <v>59</v>
      </c>
      <c r="G32" s="544">
        <f t="shared" si="2"/>
        <v>59</v>
      </c>
      <c r="H32" s="543">
        <f t="shared" si="2"/>
        <v>46</v>
      </c>
      <c r="I32" s="544">
        <f t="shared" si="2"/>
        <v>46</v>
      </c>
      <c r="J32" s="544">
        <f t="shared" si="2"/>
        <v>36</v>
      </c>
    </row>
    <row r="33" spans="1:10" x14ac:dyDescent="0.25">
      <c r="A33" s="822" t="s">
        <v>344</v>
      </c>
      <c r="B33" s="824" t="s">
        <v>380</v>
      </c>
      <c r="C33" s="525" t="s">
        <v>381</v>
      </c>
      <c r="D33" s="526"/>
      <c r="E33" s="529"/>
      <c r="F33" s="535">
        <v>4.5</v>
      </c>
      <c r="G33" s="536">
        <v>4.5</v>
      </c>
      <c r="H33" s="535">
        <v>4.5</v>
      </c>
      <c r="I33" s="536">
        <v>4.5</v>
      </c>
      <c r="J33" s="529"/>
    </row>
    <row r="34" spans="1:10" x14ac:dyDescent="0.25">
      <c r="A34" s="823"/>
      <c r="B34" s="824"/>
      <c r="C34" s="525" t="s">
        <v>382</v>
      </c>
      <c r="D34" s="526"/>
      <c r="E34" s="529"/>
      <c r="F34" s="535">
        <v>4.5</v>
      </c>
      <c r="G34" s="536">
        <v>4.5</v>
      </c>
      <c r="H34" s="535">
        <v>4.5</v>
      </c>
      <c r="I34" s="536">
        <v>4.5</v>
      </c>
      <c r="J34" s="529"/>
    </row>
    <row r="35" spans="1:10" x14ac:dyDescent="0.25">
      <c r="A35" s="823"/>
      <c r="B35" s="824" t="s">
        <v>383</v>
      </c>
      <c r="C35" s="530" t="s">
        <v>384</v>
      </c>
      <c r="D35" s="531"/>
      <c r="E35" s="532"/>
      <c r="F35" s="533"/>
      <c r="G35" s="534"/>
      <c r="H35" s="533"/>
      <c r="I35" s="534"/>
      <c r="J35" s="532"/>
    </row>
    <row r="36" spans="1:10" x14ac:dyDescent="0.25">
      <c r="A36" s="823"/>
      <c r="B36" s="824"/>
      <c r="C36" s="525" t="s">
        <v>385</v>
      </c>
      <c r="D36" s="526">
        <v>4.5</v>
      </c>
      <c r="E36" s="529"/>
      <c r="F36" s="535">
        <v>9</v>
      </c>
      <c r="G36" s="536">
        <v>9</v>
      </c>
      <c r="H36" s="535">
        <v>2.4</v>
      </c>
      <c r="I36" s="536">
        <v>2.5</v>
      </c>
      <c r="J36" s="529"/>
    </row>
    <row r="37" spans="1:10" ht="15.75" thickBot="1" x14ac:dyDescent="0.3">
      <c r="A37" s="823"/>
      <c r="B37" s="824"/>
      <c r="C37" s="530" t="s">
        <v>386</v>
      </c>
      <c r="D37" s="531"/>
      <c r="E37" s="547"/>
      <c r="F37" s="548"/>
      <c r="G37" s="549"/>
      <c r="H37" s="548"/>
      <c r="I37" s="549"/>
      <c r="J37" s="547"/>
    </row>
    <row r="38" spans="1:10" x14ac:dyDescent="0.25">
      <c r="D38" s="550">
        <f>SUM(D33:D37)</f>
        <v>4.5</v>
      </c>
      <c r="E38" s="551">
        <f t="shared" ref="E38:J38" si="3">SUM(E33:E37)</f>
        <v>0</v>
      </c>
      <c r="F38" s="550">
        <f t="shared" si="3"/>
        <v>18</v>
      </c>
      <c r="G38" s="551">
        <f t="shared" si="3"/>
        <v>18</v>
      </c>
      <c r="H38" s="550">
        <f t="shared" si="3"/>
        <v>11.4</v>
      </c>
      <c r="I38" s="551">
        <f t="shared" si="3"/>
        <v>11.5</v>
      </c>
      <c r="J38" s="551">
        <f t="shared" si="3"/>
        <v>0</v>
      </c>
    </row>
    <row r="41" spans="1:10" x14ac:dyDescent="0.25">
      <c r="C41" s="552"/>
      <c r="D41" s="825" t="s">
        <v>387</v>
      </c>
      <c r="E41" s="825"/>
      <c r="F41" s="820" t="s">
        <v>388</v>
      </c>
      <c r="G41" s="820"/>
      <c r="H41" s="820" t="s">
        <v>391</v>
      </c>
      <c r="I41" s="820"/>
    </row>
    <row r="42" spans="1:10" x14ac:dyDescent="0.25">
      <c r="C42" s="552"/>
      <c r="D42" s="553" t="s">
        <v>251</v>
      </c>
      <c r="E42" s="554" t="s">
        <v>343</v>
      </c>
      <c r="F42" s="553" t="s">
        <v>251</v>
      </c>
      <c r="G42" s="554" t="s">
        <v>343</v>
      </c>
      <c r="H42" s="553" t="s">
        <v>251</v>
      </c>
      <c r="I42" s="554" t="s">
        <v>343</v>
      </c>
    </row>
    <row r="43" spans="1:10" ht="15" customHeight="1" x14ac:dyDescent="0.25">
      <c r="C43" s="555" t="s">
        <v>352</v>
      </c>
      <c r="D43" s="75">
        <f>D22+F22+H22</f>
        <v>23.5</v>
      </c>
      <c r="E43" s="56">
        <f>E22+G22+I22+J22</f>
        <v>14.5</v>
      </c>
      <c r="F43" s="556">
        <f>D43/D49</f>
        <v>3.8108087509141888</v>
      </c>
      <c r="G43" s="556">
        <f>E43/D49</f>
        <v>2.3513500803513079</v>
      </c>
      <c r="H43" s="556">
        <v>3.81</v>
      </c>
      <c r="I43" s="556">
        <v>2.35</v>
      </c>
    </row>
    <row r="44" spans="1:10" ht="15" customHeight="1" x14ac:dyDescent="0.25">
      <c r="C44" s="557" t="s">
        <v>367</v>
      </c>
      <c r="D44" s="75">
        <f>D32+F32+H32</f>
        <v>229</v>
      </c>
      <c r="E44" s="56">
        <f>E32+G32+I32+J32</f>
        <v>165</v>
      </c>
      <c r="F44" s="558">
        <f>D44/D49</f>
        <v>37.13511506209997</v>
      </c>
      <c r="G44" s="558">
        <f>E44/D49</f>
        <v>26.756742293652813</v>
      </c>
      <c r="H44" s="558">
        <v>37.14</v>
      </c>
      <c r="I44" s="558">
        <v>26.76</v>
      </c>
    </row>
    <row r="45" spans="1:10" ht="15" customHeight="1" x14ac:dyDescent="0.25">
      <c r="C45" s="559" t="s">
        <v>389</v>
      </c>
      <c r="D45" s="75">
        <f>D11+F11+H11+D38+F38+H38</f>
        <v>55.9</v>
      </c>
      <c r="E45" s="56">
        <f>E11+G11+I11+J11+E38+G38+I38+J38</f>
        <v>51.5</v>
      </c>
      <c r="F45" s="560">
        <f>D45/D49</f>
        <v>9.0648599649405597</v>
      </c>
      <c r="G45" s="560">
        <f>E45/D49</f>
        <v>8.3513468371098174</v>
      </c>
      <c r="H45" s="560">
        <v>9.06</v>
      </c>
      <c r="I45" s="560">
        <v>8.35</v>
      </c>
    </row>
    <row r="46" spans="1:10" x14ac:dyDescent="0.25">
      <c r="C46" s="552"/>
      <c r="D46" s="75">
        <f t="shared" ref="D46:I46" si="4">SUM(D43:D45)</f>
        <v>308.39999999999998</v>
      </c>
      <c r="E46" s="56">
        <f t="shared" si="4"/>
        <v>231</v>
      </c>
      <c r="F46" s="561">
        <f t="shared" si="4"/>
        <v>50.010783777954721</v>
      </c>
      <c r="G46" s="561">
        <f t="shared" si="4"/>
        <v>37.459439211113938</v>
      </c>
      <c r="H46" s="561">
        <f t="shared" si="4"/>
        <v>50.010000000000005</v>
      </c>
      <c r="I46" s="561">
        <f t="shared" si="4"/>
        <v>37.46</v>
      </c>
    </row>
    <row r="47" spans="1:10" x14ac:dyDescent="0.25">
      <c r="C47" s="552"/>
      <c r="D47" s="826">
        <f>D46+E46</f>
        <v>539.4</v>
      </c>
      <c r="E47" s="826"/>
      <c r="F47" s="821">
        <f>F46+G46</f>
        <v>87.47022298906866</v>
      </c>
      <c r="G47" s="821"/>
      <c r="H47" s="821">
        <f>H46+I46</f>
        <v>87.47</v>
      </c>
      <c r="I47" s="821"/>
    </row>
    <row r="48" spans="1:10" x14ac:dyDescent="0.25">
      <c r="C48" s="552"/>
      <c r="D48" s="562"/>
      <c r="E48" s="562"/>
      <c r="F48" s="563"/>
      <c r="G48" s="563"/>
    </row>
    <row r="49" spans="3:4" x14ac:dyDescent="0.25">
      <c r="C49" s="552" t="s">
        <v>390</v>
      </c>
      <c r="D49" s="95">
        <v>6.1666699999999999</v>
      </c>
    </row>
  </sheetData>
  <sheetProtection selectLockedCells="1" selectUnlockedCells="1"/>
  <mergeCells count="22">
    <mergeCell ref="A5:A10"/>
    <mergeCell ref="B5:B10"/>
    <mergeCell ref="B2:B3"/>
    <mergeCell ref="C2:C3"/>
    <mergeCell ref="D2:J2"/>
    <mergeCell ref="F3:G3"/>
    <mergeCell ref="H3:I3"/>
    <mergeCell ref="A12:A21"/>
    <mergeCell ref="B13:B15"/>
    <mergeCell ref="B17:B21"/>
    <mergeCell ref="A23:A31"/>
    <mergeCell ref="B23:B28"/>
    <mergeCell ref="B30:B31"/>
    <mergeCell ref="H41:I41"/>
    <mergeCell ref="H47:I47"/>
    <mergeCell ref="A33:A37"/>
    <mergeCell ref="B33:B34"/>
    <mergeCell ref="B35:B37"/>
    <mergeCell ref="D41:E41"/>
    <mergeCell ref="F41:G41"/>
    <mergeCell ref="D47:E47"/>
    <mergeCell ref="F47:G47"/>
  </mergeCells>
  <pageMargins left="0.7" right="0.7" top="0.75" bottom="0.75" header="0.3" footer="0.3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48F8-EB26-435B-8925-EA854BC51BC8}">
  <sheetPr>
    <tabColor theme="0"/>
    <pageSetUpPr fitToPage="1"/>
  </sheetPr>
  <dimension ref="A1:K62"/>
  <sheetViews>
    <sheetView zoomScale="115" zoomScaleNormal="115" workbookViewId="0">
      <selection activeCell="J11" sqref="J11"/>
    </sheetView>
  </sheetViews>
  <sheetFormatPr defaultRowHeight="15" x14ac:dyDescent="0.25"/>
  <cols>
    <col min="1" max="1" width="28.85546875" style="3" bestFit="1" customWidth="1"/>
    <col min="2" max="2" width="10.140625" style="3" customWidth="1"/>
    <col min="3" max="3" width="8.28515625" style="3" bestFit="1" customWidth="1"/>
    <col min="4" max="4" width="7.5703125" style="3" bestFit="1" customWidth="1"/>
    <col min="5" max="5" width="8.28515625" style="3" bestFit="1" customWidth="1"/>
    <col min="6" max="6" width="3.5703125" style="3" customWidth="1"/>
    <col min="7" max="7" width="9.140625" style="3"/>
    <col min="8" max="8" width="12.5703125" style="3" bestFit="1" customWidth="1"/>
    <col min="9" max="9" width="19.28515625" style="3" bestFit="1" customWidth="1"/>
    <col min="10" max="10" width="5.28515625" style="3" customWidth="1"/>
    <col min="11" max="16384" width="9.140625" style="3"/>
  </cols>
  <sheetData>
    <row r="1" spans="1:11" ht="18.75" x14ac:dyDescent="0.25">
      <c r="A1" s="835" t="s">
        <v>131</v>
      </c>
      <c r="B1" s="835"/>
      <c r="C1" s="835"/>
      <c r="D1" s="835"/>
      <c r="E1" s="835"/>
      <c r="F1" s="564"/>
      <c r="G1" s="564"/>
      <c r="H1" s="564"/>
      <c r="I1" s="564"/>
      <c r="J1" s="565"/>
    </row>
    <row r="2" spans="1:11" ht="15.75" x14ac:dyDescent="0.25">
      <c r="A2" s="566"/>
      <c r="B2" s="566"/>
      <c r="C2" s="567"/>
      <c r="D2" s="568"/>
      <c r="E2" s="569"/>
      <c r="F2" s="564"/>
      <c r="G2" s="564"/>
      <c r="H2" s="564"/>
      <c r="I2" s="564"/>
      <c r="J2" s="565"/>
    </row>
    <row r="3" spans="1:11" ht="25.5" customHeight="1" x14ac:dyDescent="0.25">
      <c r="A3" s="570" t="s">
        <v>132</v>
      </c>
      <c r="B3" s="836" t="s">
        <v>133</v>
      </c>
      <c r="C3" s="837"/>
      <c r="D3" s="836" t="s">
        <v>134</v>
      </c>
      <c r="E3" s="837"/>
      <c r="F3" s="564"/>
      <c r="G3" s="564"/>
      <c r="H3" s="564"/>
      <c r="I3" s="564"/>
      <c r="J3" s="565"/>
    </row>
    <row r="4" spans="1:11" ht="15.75" x14ac:dyDescent="0.25">
      <c r="A4" s="571"/>
      <c r="B4" s="571"/>
      <c r="C4" s="572"/>
      <c r="D4" s="573"/>
      <c r="E4" s="574"/>
      <c r="F4" s="564"/>
      <c r="G4" s="564"/>
      <c r="H4" s="564"/>
      <c r="I4" s="564"/>
      <c r="J4" s="565"/>
    </row>
    <row r="5" spans="1:11" ht="25.5" x14ac:dyDescent="0.25">
      <c r="A5" s="575" t="s">
        <v>135</v>
      </c>
      <c r="B5" s="576" t="s">
        <v>136</v>
      </c>
      <c r="C5" s="576" t="s">
        <v>137</v>
      </c>
      <c r="D5" s="576" t="s">
        <v>136</v>
      </c>
      <c r="E5" s="576" t="s">
        <v>137</v>
      </c>
      <c r="F5" s="564"/>
      <c r="G5" s="564"/>
      <c r="H5" s="564"/>
      <c r="I5" s="564"/>
      <c r="J5" s="565"/>
    </row>
    <row r="6" spans="1:11" ht="15.75" x14ac:dyDescent="0.25">
      <c r="A6" s="564"/>
      <c r="B6" s="564"/>
      <c r="C6" s="564"/>
      <c r="D6" s="564"/>
      <c r="E6" s="564"/>
      <c r="F6" s="564"/>
      <c r="G6" s="564"/>
      <c r="H6" s="564"/>
      <c r="I6" s="564"/>
      <c r="J6" s="565"/>
    </row>
    <row r="7" spans="1:11" ht="15.75" x14ac:dyDescent="0.25">
      <c r="A7" s="577" t="s">
        <v>138</v>
      </c>
      <c r="B7" s="578">
        <v>365</v>
      </c>
      <c r="C7" s="578">
        <v>365</v>
      </c>
      <c r="D7" s="578">
        <v>365</v>
      </c>
      <c r="E7" s="578">
        <v>365</v>
      </c>
      <c r="F7" s="564"/>
      <c r="G7" s="579"/>
      <c r="H7" s="564"/>
      <c r="I7" s="564"/>
      <c r="J7" s="580">
        <v>365</v>
      </c>
    </row>
    <row r="8" spans="1:11" ht="16.5" thickBot="1" x14ac:dyDescent="0.3">
      <c r="A8" s="581" t="s">
        <v>139</v>
      </c>
      <c r="B8" s="578">
        <v>52</v>
      </c>
      <c r="C8" s="578">
        <f>B8</f>
        <v>52</v>
      </c>
      <c r="D8" s="578">
        <f>+B8</f>
        <v>52</v>
      </c>
      <c r="E8" s="578">
        <f>+D8</f>
        <v>52</v>
      </c>
      <c r="F8" s="564"/>
      <c r="G8" s="580">
        <v>37</v>
      </c>
      <c r="H8" s="579" t="s">
        <v>253</v>
      </c>
      <c r="I8" s="564"/>
      <c r="J8" s="580">
        <f>J11</f>
        <v>312</v>
      </c>
    </row>
    <row r="9" spans="1:11" ht="16.5" thickBot="1" x14ac:dyDescent="0.3">
      <c r="A9" s="581" t="s">
        <v>140</v>
      </c>
      <c r="B9" s="578">
        <v>15</v>
      </c>
      <c r="C9" s="578">
        <f>B9</f>
        <v>15</v>
      </c>
      <c r="D9" s="578">
        <f>+B9</f>
        <v>15</v>
      </c>
      <c r="E9" s="578">
        <f>+D9</f>
        <v>15</v>
      </c>
      <c r="F9" s="564"/>
      <c r="G9" s="582">
        <f>+G8/6</f>
        <v>6.166666666666667</v>
      </c>
      <c r="H9" s="579" t="s">
        <v>141</v>
      </c>
      <c r="I9" s="564"/>
      <c r="J9" s="583">
        <f>J7-B8-B9</f>
        <v>298</v>
      </c>
      <c r="K9" s="3" t="s">
        <v>252</v>
      </c>
    </row>
    <row r="10" spans="1:11" ht="15.75" x14ac:dyDescent="0.25">
      <c r="A10" s="581" t="s">
        <v>142</v>
      </c>
      <c r="B10" s="578">
        <v>31</v>
      </c>
      <c r="C10" s="578">
        <f>B10</f>
        <v>31</v>
      </c>
      <c r="D10" s="578">
        <f>+B10</f>
        <v>31</v>
      </c>
      <c r="E10" s="578">
        <f>+D10</f>
        <v>31</v>
      </c>
      <c r="F10" s="564"/>
      <c r="G10" s="584">
        <f>+C14*G9</f>
        <v>1634.1666666666667</v>
      </c>
      <c r="H10" s="579" t="s">
        <v>143</v>
      </c>
      <c r="I10" s="564"/>
      <c r="J10" s="580"/>
    </row>
    <row r="11" spans="1:11" ht="15.75" x14ac:dyDescent="0.25">
      <c r="A11" s="581" t="s">
        <v>144</v>
      </c>
      <c r="B11" s="578">
        <v>2</v>
      </c>
      <c r="C11" s="578">
        <f>B11</f>
        <v>2</v>
      </c>
      <c r="D11" s="578">
        <f>+B11</f>
        <v>2</v>
      </c>
      <c r="E11" s="578">
        <f>+D11</f>
        <v>2</v>
      </c>
      <c r="F11" s="564"/>
      <c r="G11" s="584">
        <v>1687</v>
      </c>
      <c r="H11" s="579" t="s">
        <v>143</v>
      </c>
      <c r="I11" s="579" t="s">
        <v>145</v>
      </c>
      <c r="J11" s="580">
        <f>52*6</f>
        <v>312</v>
      </c>
    </row>
    <row r="12" spans="1:11" ht="15.75" x14ac:dyDescent="0.25">
      <c r="A12" s="585" t="s">
        <v>146</v>
      </c>
      <c r="B12" s="586">
        <f>SUM(B8:B11)</f>
        <v>100</v>
      </c>
      <c r="C12" s="586">
        <f>SUM(C8:C11)</f>
        <v>100</v>
      </c>
      <c r="D12" s="586">
        <f>SUM(D8:D11)</f>
        <v>100</v>
      </c>
      <c r="E12" s="586">
        <f>SUM(E8:E11)</f>
        <v>100</v>
      </c>
      <c r="F12" s="564"/>
      <c r="G12" s="587"/>
      <c r="H12" s="588"/>
      <c r="I12" s="564"/>
      <c r="J12" s="565"/>
    </row>
    <row r="13" spans="1:11" ht="15.75" x14ac:dyDescent="0.25">
      <c r="A13" s="589"/>
      <c r="B13" s="566"/>
      <c r="C13" s="567"/>
      <c r="D13" s="590"/>
      <c r="E13" s="569"/>
      <c r="F13" s="564"/>
      <c r="G13" s="564"/>
      <c r="H13" s="564"/>
      <c r="I13" s="564"/>
      <c r="J13" s="565"/>
    </row>
    <row r="14" spans="1:11" ht="15.75" x14ac:dyDescent="0.25">
      <c r="A14" s="591" t="s">
        <v>147</v>
      </c>
      <c r="B14" s="592">
        <f>B7-B12</f>
        <v>265</v>
      </c>
      <c r="C14" s="592">
        <f>C7-C12</f>
        <v>265</v>
      </c>
      <c r="D14" s="592">
        <f>D7-D12</f>
        <v>265</v>
      </c>
      <c r="E14" s="592">
        <f>E7-E12</f>
        <v>265</v>
      </c>
      <c r="F14" s="564"/>
      <c r="G14" s="564"/>
      <c r="H14" s="593"/>
      <c r="I14" s="564"/>
      <c r="J14" s="565"/>
    </row>
    <row r="15" spans="1:11" ht="15.75" x14ac:dyDescent="0.25">
      <c r="A15" s="564"/>
      <c r="B15" s="564"/>
      <c r="C15" s="564"/>
      <c r="D15" s="564"/>
      <c r="E15" s="564"/>
      <c r="F15" s="564"/>
      <c r="G15" s="564"/>
      <c r="H15" s="564"/>
      <c r="I15" s="564"/>
      <c r="J15" s="565"/>
    </row>
    <row r="16" spans="1:11" ht="15.75" x14ac:dyDescent="0.25">
      <c r="A16" s="581" t="s">
        <v>148</v>
      </c>
      <c r="B16" s="594">
        <f>D27</f>
        <v>0</v>
      </c>
      <c r="C16" s="594">
        <f>ROUND(E27,2)</f>
        <v>0</v>
      </c>
      <c r="D16" s="594"/>
      <c r="E16" s="594"/>
      <c r="F16" s="564"/>
      <c r="G16" s="564"/>
      <c r="H16" s="564"/>
      <c r="I16" s="564"/>
      <c r="J16" s="565"/>
    </row>
    <row r="17" spans="1:10" ht="15.75" x14ac:dyDescent="0.25">
      <c r="A17" s="581" t="s">
        <v>149</v>
      </c>
      <c r="B17" s="594">
        <f xml:space="preserve"> ROUND(D32,2)</f>
        <v>0</v>
      </c>
      <c r="C17" s="594">
        <f>ROUND($E$32,2)</f>
        <v>0</v>
      </c>
      <c r="D17" s="594"/>
      <c r="E17" s="594"/>
      <c r="F17" s="595"/>
      <c r="G17" s="564"/>
      <c r="H17" s="564"/>
      <c r="I17" s="564"/>
      <c r="J17" s="565"/>
    </row>
    <row r="18" spans="1:10" ht="15.75" x14ac:dyDescent="0.25">
      <c r="A18" s="585" t="s">
        <v>150</v>
      </c>
      <c r="B18" s="586">
        <f>SUM(B16:B17)</f>
        <v>0</v>
      </c>
      <c r="C18" s="586">
        <f>SUM(C16:C17)</f>
        <v>0</v>
      </c>
      <c r="D18" s="596">
        <f>SUM(D16:D17)</f>
        <v>0</v>
      </c>
      <c r="E18" s="586">
        <f>SUM(E16:E17)</f>
        <v>0</v>
      </c>
      <c r="F18" s="564"/>
      <c r="G18" s="564"/>
      <c r="H18" s="564"/>
      <c r="I18" s="564"/>
      <c r="J18" s="565"/>
    </row>
    <row r="19" spans="1:10" ht="16.5" thickBot="1" x14ac:dyDescent="0.3">
      <c r="A19" s="597"/>
      <c r="B19" s="598"/>
      <c r="C19" s="598"/>
      <c r="D19" s="598"/>
      <c r="E19" s="598"/>
      <c r="F19" s="564"/>
      <c r="G19" s="564"/>
      <c r="H19" s="564"/>
      <c r="I19" s="564"/>
      <c r="J19" s="565"/>
    </row>
    <row r="20" spans="1:10" ht="16.5" thickBot="1" x14ac:dyDescent="0.3">
      <c r="A20" s="599" t="s">
        <v>151</v>
      </c>
      <c r="B20" s="600">
        <f>ROUND(B14-B18,0)</f>
        <v>265</v>
      </c>
      <c r="C20" s="601">
        <f>ROUND(C14-C18,0)</f>
        <v>265</v>
      </c>
      <c r="D20" s="601">
        <f>ROUND(D14-D18,0)</f>
        <v>265</v>
      </c>
      <c r="E20" s="601">
        <f>ROUND(E14-E18,0)</f>
        <v>265</v>
      </c>
      <c r="F20" s="564"/>
      <c r="G20" s="564"/>
      <c r="H20" s="564"/>
      <c r="I20" s="564"/>
      <c r="J20" s="565"/>
    </row>
    <row r="21" spans="1:10" ht="15.75" x14ac:dyDescent="0.25">
      <c r="A21" s="566"/>
      <c r="B21" s="566"/>
      <c r="C21" s="567"/>
      <c r="D21" s="568"/>
      <c r="E21" s="569"/>
      <c r="F21" s="564"/>
      <c r="G21" s="564"/>
      <c r="H21" s="564"/>
      <c r="I21" s="564"/>
      <c r="J21" s="565"/>
    </row>
    <row r="22" spans="1:10" ht="15.75" x14ac:dyDescent="0.25">
      <c r="A22" s="834" t="s">
        <v>152</v>
      </c>
      <c r="B22" s="834"/>
      <c r="C22" s="834"/>
      <c r="D22" s="834"/>
      <c r="E22" s="834"/>
      <c r="F22" s="564"/>
      <c r="G22" s="564"/>
      <c r="H22" s="564"/>
      <c r="I22" s="564"/>
      <c r="J22" s="565"/>
    </row>
    <row r="23" spans="1:10" ht="15.75" x14ac:dyDescent="0.25">
      <c r="A23" s="602"/>
      <c r="B23" s="603"/>
      <c r="C23" s="602"/>
      <c r="D23" s="602"/>
      <c r="E23" s="603"/>
      <c r="F23" s="564"/>
      <c r="G23" s="564"/>
      <c r="H23" s="564"/>
      <c r="I23" s="564"/>
      <c r="J23" s="565"/>
    </row>
    <row r="24" spans="1:10" ht="15.75" x14ac:dyDescent="0.25">
      <c r="A24" s="604" t="s">
        <v>153</v>
      </c>
      <c r="B24" s="605" t="s">
        <v>28</v>
      </c>
      <c r="C24" s="606" t="s">
        <v>154</v>
      </c>
      <c r="D24" s="605" t="s">
        <v>155</v>
      </c>
      <c r="E24" s="605" t="s">
        <v>156</v>
      </c>
      <c r="F24" s="564"/>
      <c r="G24" s="564"/>
      <c r="H24" s="564"/>
      <c r="I24" s="564"/>
      <c r="J24" s="565"/>
    </row>
    <row r="25" spans="1:10" ht="15.75" x14ac:dyDescent="0.25">
      <c r="A25" s="607"/>
      <c r="B25" s="603"/>
      <c r="C25" s="603"/>
      <c r="D25" s="603"/>
      <c r="E25" s="603"/>
      <c r="F25" s="564"/>
      <c r="G25" s="564"/>
      <c r="H25" s="564"/>
      <c r="I25" s="564"/>
      <c r="J25" s="565"/>
    </row>
    <row r="26" spans="1:10" ht="15.75" x14ac:dyDescent="0.25">
      <c r="A26" s="608" t="s">
        <v>157</v>
      </c>
      <c r="B26" s="609">
        <f>Paràmetres!C7</f>
        <v>0</v>
      </c>
      <c r="C26" s="610">
        <f>+B14</f>
        <v>265</v>
      </c>
      <c r="D26" s="611">
        <f>ROUND($B26*$C26,0)</f>
        <v>0</v>
      </c>
      <c r="E26" s="612">
        <f>$E$27+$E$32</f>
        <v>0</v>
      </c>
      <c r="F26" s="564"/>
      <c r="G26" s="564"/>
      <c r="H26" s="564"/>
      <c r="I26" s="564"/>
      <c r="J26" s="565"/>
    </row>
    <row r="27" spans="1:10" ht="15.75" x14ac:dyDescent="0.25">
      <c r="A27" s="613" t="s">
        <v>158</v>
      </c>
      <c r="B27" s="614">
        <v>0.87</v>
      </c>
      <c r="C27" s="610">
        <f>D26</f>
        <v>0</v>
      </c>
      <c r="D27" s="611">
        <f>ROUND($B27*$C27,0)</f>
        <v>0</v>
      </c>
      <c r="E27" s="612">
        <f>ROUND(SUM(E28:E31),0)</f>
        <v>0</v>
      </c>
      <c r="F27" s="564"/>
      <c r="G27" s="564"/>
      <c r="H27" s="564"/>
      <c r="I27" s="564"/>
      <c r="J27" s="565"/>
    </row>
    <row r="28" spans="1:10" ht="15.75" x14ac:dyDescent="0.25">
      <c r="A28" s="615" t="s">
        <v>159</v>
      </c>
      <c r="B28" s="614">
        <v>0.08</v>
      </c>
      <c r="C28" s="616">
        <f>$D$27</f>
        <v>0</v>
      </c>
      <c r="D28" s="611">
        <f>ROUND($B28*$C28,2)</f>
        <v>0</v>
      </c>
      <c r="E28" s="612">
        <f>+ROUND(D28*$E$39,2)</f>
        <v>0</v>
      </c>
      <c r="F28" s="564"/>
      <c r="G28" s="564"/>
      <c r="H28" s="564"/>
      <c r="I28" s="564"/>
      <c r="J28" s="565"/>
    </row>
    <row r="29" spans="1:10" ht="15.75" x14ac:dyDescent="0.25">
      <c r="A29" s="615" t="s">
        <v>160</v>
      </c>
      <c r="B29" s="614">
        <v>0.17</v>
      </c>
      <c r="C29" s="616">
        <f>$D$27</f>
        <v>0</v>
      </c>
      <c r="D29" s="611">
        <f>ROUND($B29*$C29,2)</f>
        <v>0</v>
      </c>
      <c r="E29" s="612">
        <f>+ROUND(D29*$E$40,2)</f>
        <v>0</v>
      </c>
      <c r="F29" s="564"/>
      <c r="G29" s="564"/>
      <c r="H29" s="564"/>
      <c r="I29" s="564"/>
      <c r="J29" s="565"/>
    </row>
    <row r="30" spans="1:10" ht="15.75" x14ac:dyDescent="0.25">
      <c r="A30" s="615" t="s">
        <v>161</v>
      </c>
      <c r="B30" s="614">
        <v>0.05</v>
      </c>
      <c r="C30" s="616">
        <f>$D$27</f>
        <v>0</v>
      </c>
      <c r="D30" s="611">
        <f>ROUND($B30*$C30,2)</f>
        <v>0</v>
      </c>
      <c r="E30" s="612">
        <f>+ROUND(D30*$E$41,2)</f>
        <v>0</v>
      </c>
      <c r="F30" s="564"/>
      <c r="G30" s="564"/>
      <c r="H30" s="564"/>
      <c r="I30" s="564"/>
      <c r="J30" s="565"/>
    </row>
    <row r="31" spans="1:10" ht="15.75" x14ac:dyDescent="0.25">
      <c r="A31" s="615" t="s">
        <v>162</v>
      </c>
      <c r="B31" s="614">
        <v>0.7</v>
      </c>
      <c r="C31" s="616">
        <f>$D$27</f>
        <v>0</v>
      </c>
      <c r="D31" s="611">
        <f>ROUND($B31*$C31,2)</f>
        <v>0</v>
      </c>
      <c r="E31" s="612">
        <f>+ROUND(D31*$E$42,2)</f>
        <v>0</v>
      </c>
      <c r="F31" s="564"/>
      <c r="G31" s="564"/>
      <c r="H31" s="564"/>
      <c r="I31" s="564"/>
      <c r="J31" s="565"/>
    </row>
    <row r="32" spans="1:10" ht="15.75" x14ac:dyDescent="0.25">
      <c r="A32" s="613" t="s">
        <v>163</v>
      </c>
      <c r="B32" s="614">
        <v>0.13</v>
      </c>
      <c r="C32" s="616">
        <f>D26</f>
        <v>0</v>
      </c>
      <c r="D32" s="611">
        <f>ROUND($B32*$C32,0)</f>
        <v>0</v>
      </c>
      <c r="E32" s="612">
        <f>+ROUND(D32*$E$43,0)</f>
        <v>0</v>
      </c>
      <c r="F32" s="564"/>
      <c r="G32" s="564"/>
      <c r="H32" s="564"/>
      <c r="I32" s="564"/>
      <c r="J32" s="565"/>
    </row>
    <row r="33" spans="1:10" ht="15.75" x14ac:dyDescent="0.25">
      <c r="A33" s="602"/>
      <c r="B33" s="603"/>
      <c r="C33" s="616"/>
      <c r="D33" s="603"/>
      <c r="E33" s="603"/>
      <c r="F33" s="564"/>
      <c r="G33" s="564"/>
      <c r="H33" s="564"/>
      <c r="I33" s="564"/>
      <c r="J33" s="565"/>
    </row>
    <row r="34" spans="1:10" ht="15.75" x14ac:dyDescent="0.25">
      <c r="A34" s="604" t="s">
        <v>164</v>
      </c>
      <c r="B34" s="606" t="s">
        <v>165</v>
      </c>
      <c r="C34" s="617">
        <v>0.75</v>
      </c>
      <c r="D34" s="605" t="s">
        <v>166</v>
      </c>
      <c r="E34" s="618">
        <f>1-C34</f>
        <v>0.25</v>
      </c>
      <c r="F34" s="564"/>
      <c r="G34" s="564"/>
      <c r="H34" s="564"/>
      <c r="I34" s="564"/>
      <c r="J34" s="565"/>
    </row>
    <row r="35" spans="1:10" ht="15.75" x14ac:dyDescent="0.25">
      <c r="A35" s="602"/>
      <c r="B35" s="603"/>
      <c r="C35" s="619"/>
      <c r="D35" s="603"/>
      <c r="E35" s="603"/>
      <c r="F35" s="564"/>
      <c r="G35" s="564"/>
      <c r="H35" s="564"/>
      <c r="I35" s="564"/>
      <c r="J35" s="565"/>
    </row>
    <row r="36" spans="1:10" ht="15.75" x14ac:dyDescent="0.25">
      <c r="A36" s="604" t="s">
        <v>167</v>
      </c>
      <c r="B36" s="605" t="s">
        <v>168</v>
      </c>
      <c r="C36" s="606" t="s">
        <v>165</v>
      </c>
      <c r="D36" s="605" t="s">
        <v>169</v>
      </c>
      <c r="E36" s="605" t="s">
        <v>35</v>
      </c>
      <c r="F36" s="564"/>
      <c r="G36" s="564"/>
      <c r="H36" s="564"/>
      <c r="I36" s="564"/>
      <c r="J36" s="565"/>
    </row>
    <row r="37" spans="1:10" ht="15.75" x14ac:dyDescent="0.25">
      <c r="A37" s="602"/>
      <c r="B37" s="603"/>
      <c r="C37" s="619"/>
      <c r="D37" s="603"/>
      <c r="E37" s="603"/>
      <c r="F37" s="564"/>
      <c r="G37" s="564"/>
      <c r="H37" s="564"/>
      <c r="I37" s="564"/>
      <c r="J37" s="565"/>
    </row>
    <row r="38" spans="1:10" ht="15.75" x14ac:dyDescent="0.25">
      <c r="A38" s="613" t="s">
        <v>170</v>
      </c>
      <c r="B38" s="608"/>
      <c r="C38" s="620"/>
      <c r="D38" s="608"/>
      <c r="E38" s="608"/>
      <c r="F38" s="564"/>
      <c r="G38" s="564"/>
      <c r="H38" s="564"/>
      <c r="I38" s="564"/>
      <c r="J38" s="565"/>
    </row>
    <row r="39" spans="1:10" ht="15.75" x14ac:dyDescent="0.25">
      <c r="A39" s="615" t="s">
        <v>159</v>
      </c>
      <c r="B39" s="614">
        <v>0.6</v>
      </c>
      <c r="C39" s="614">
        <f>$C$34*B39</f>
        <v>0.44999999999999996</v>
      </c>
      <c r="D39" s="621">
        <f>$E$34</f>
        <v>0.25</v>
      </c>
      <c r="E39" s="622">
        <f>SUM(C39:D39)</f>
        <v>0.7</v>
      </c>
      <c r="F39" s="564"/>
      <c r="G39" s="564"/>
      <c r="H39" s="564"/>
      <c r="I39" s="564"/>
      <c r="J39" s="565"/>
    </row>
    <row r="40" spans="1:10" ht="15.75" x14ac:dyDescent="0.25">
      <c r="A40" s="615" t="s">
        <v>160</v>
      </c>
      <c r="B40" s="614">
        <v>0.75</v>
      </c>
      <c r="C40" s="614">
        <f>$C$34*B40</f>
        <v>0.5625</v>
      </c>
      <c r="D40" s="621">
        <f>$E$34</f>
        <v>0.25</v>
      </c>
      <c r="E40" s="622">
        <f>SUM(C40:D40)</f>
        <v>0.8125</v>
      </c>
      <c r="F40" s="564"/>
      <c r="G40" s="564"/>
      <c r="H40" s="564"/>
      <c r="I40" s="564"/>
      <c r="J40" s="565"/>
    </row>
    <row r="41" spans="1:10" ht="15.75" x14ac:dyDescent="0.25">
      <c r="A41" s="615" t="s">
        <v>161</v>
      </c>
      <c r="B41" s="614">
        <v>0.4</v>
      </c>
      <c r="C41" s="614">
        <f>$C$34*B41</f>
        <v>0.30000000000000004</v>
      </c>
      <c r="D41" s="621">
        <f>$E$34</f>
        <v>0.25</v>
      </c>
      <c r="E41" s="622">
        <f>SUM(C41:D41)</f>
        <v>0.55000000000000004</v>
      </c>
      <c r="F41" s="564"/>
      <c r="G41" s="564"/>
      <c r="H41" s="564"/>
      <c r="I41" s="564"/>
      <c r="J41" s="565"/>
    </row>
    <row r="42" spans="1:10" ht="15.75" x14ac:dyDescent="0.25">
      <c r="A42" s="615" t="s">
        <v>171</v>
      </c>
      <c r="B42" s="623">
        <v>0.15</v>
      </c>
      <c r="C42" s="614">
        <f>$C$34*B42</f>
        <v>0.11249999999999999</v>
      </c>
      <c r="D42" s="621">
        <f>$E$34</f>
        <v>0.25</v>
      </c>
      <c r="E42" s="622">
        <f>SUM(C42:D42)</f>
        <v>0.36249999999999999</v>
      </c>
      <c r="F42" s="564"/>
      <c r="G42" s="564"/>
      <c r="H42" s="564"/>
      <c r="I42" s="564"/>
      <c r="J42" s="565"/>
    </row>
    <row r="43" spans="1:10" ht="15.75" x14ac:dyDescent="0.25">
      <c r="A43" s="579" t="s">
        <v>172</v>
      </c>
      <c r="B43" s="624">
        <v>0.15</v>
      </c>
      <c r="C43" s="614">
        <f>$C$34*B43</f>
        <v>0.11249999999999999</v>
      </c>
      <c r="D43" s="621">
        <f>$E$34</f>
        <v>0.25</v>
      </c>
      <c r="E43" s="622">
        <f>SUM(C43:D43)</f>
        <v>0.36249999999999999</v>
      </c>
      <c r="F43" s="564"/>
      <c r="G43" s="564"/>
      <c r="H43" s="564"/>
      <c r="I43" s="564"/>
      <c r="J43" s="565"/>
    </row>
    <row r="46" spans="1:10" ht="30" x14ac:dyDescent="0.25">
      <c r="A46" s="3" t="s">
        <v>154</v>
      </c>
      <c r="C46" s="625" t="s">
        <v>221</v>
      </c>
      <c r="E46" s="626" t="s">
        <v>254</v>
      </c>
    </row>
    <row r="47" spans="1:10" x14ac:dyDescent="0.25">
      <c r="A47" s="838" t="s">
        <v>198</v>
      </c>
      <c r="B47" s="838"/>
      <c r="E47" s="3" t="s">
        <v>255</v>
      </c>
    </row>
    <row r="48" spans="1:10" x14ac:dyDescent="0.25">
      <c r="A48" s="839" t="s">
        <v>215</v>
      </c>
      <c r="B48" s="839"/>
      <c r="C48" s="56">
        <f>20+21+22+22+10</f>
        <v>95</v>
      </c>
    </row>
    <row r="49" spans="1:9" x14ac:dyDescent="0.25">
      <c r="A49" s="839" t="s">
        <v>216</v>
      </c>
      <c r="B49" s="839"/>
      <c r="C49" s="56">
        <f>4+5+4+5+2</f>
        <v>20</v>
      </c>
      <c r="E49" s="3" t="s">
        <v>256</v>
      </c>
      <c r="I49" s="3" t="s">
        <v>257</v>
      </c>
    </row>
    <row r="50" spans="1:9" x14ac:dyDescent="0.25">
      <c r="A50" s="839" t="s">
        <v>217</v>
      </c>
      <c r="B50" s="839"/>
      <c r="C50" s="56">
        <f>4+5+4+4+3</f>
        <v>20</v>
      </c>
    </row>
    <row r="51" spans="1:9" x14ac:dyDescent="0.25">
      <c r="A51" s="627"/>
      <c r="E51" s="3" t="s">
        <v>258</v>
      </c>
      <c r="H51" s="3" t="s">
        <v>259</v>
      </c>
      <c r="I51" s="3" t="s">
        <v>260</v>
      </c>
    </row>
    <row r="52" spans="1:9" x14ac:dyDescent="0.25">
      <c r="A52" s="838" t="s">
        <v>199</v>
      </c>
      <c r="B52" s="838"/>
      <c r="E52" s="3" t="s">
        <v>261</v>
      </c>
      <c r="H52" s="3" t="s">
        <v>259</v>
      </c>
      <c r="I52" s="3" t="s">
        <v>260</v>
      </c>
    </row>
    <row r="53" spans="1:9" x14ac:dyDescent="0.25">
      <c r="A53" s="839" t="s">
        <v>215</v>
      </c>
      <c r="B53" s="839"/>
      <c r="C53" s="56">
        <f>11+23+21+22</f>
        <v>77</v>
      </c>
      <c r="E53" s="3" t="s">
        <v>262</v>
      </c>
      <c r="H53" s="3" t="s">
        <v>263</v>
      </c>
      <c r="I53" s="3" t="s">
        <v>260</v>
      </c>
    </row>
    <row r="54" spans="1:9" x14ac:dyDescent="0.25">
      <c r="A54" s="839" t="s">
        <v>216</v>
      </c>
      <c r="B54" s="839"/>
      <c r="C54" s="56">
        <f>2+4+5+4</f>
        <v>15</v>
      </c>
    </row>
    <row r="55" spans="1:9" x14ac:dyDescent="0.25">
      <c r="A55" s="839" t="s">
        <v>217</v>
      </c>
      <c r="B55" s="839"/>
      <c r="C55" s="56">
        <f>2+4+5+4</f>
        <v>15</v>
      </c>
      <c r="E55" s="3" t="s">
        <v>264</v>
      </c>
    </row>
    <row r="56" spans="1:9" x14ac:dyDescent="0.25">
      <c r="A56" s="628"/>
      <c r="B56" s="100"/>
    </row>
    <row r="57" spans="1:9" ht="15.75" thickBot="1" x14ac:dyDescent="0.3">
      <c r="A57" s="840" t="s">
        <v>326</v>
      </c>
      <c r="B57" s="838"/>
      <c r="E57" s="629" t="s">
        <v>265</v>
      </c>
      <c r="I57" s="630">
        <f>2/3</f>
        <v>0.66666666666666663</v>
      </c>
    </row>
    <row r="58" spans="1:9" ht="15.75" thickBot="1" x14ac:dyDescent="0.3">
      <c r="A58" s="839" t="s">
        <v>215</v>
      </c>
      <c r="B58" s="839"/>
      <c r="C58" s="56">
        <f>23+20+23+23</f>
        <v>89</v>
      </c>
      <c r="E58" s="3" t="s">
        <v>266</v>
      </c>
      <c r="I58" s="631">
        <f>1-I57</f>
        <v>0.33333333333333337</v>
      </c>
    </row>
    <row r="59" spans="1:9" x14ac:dyDescent="0.25">
      <c r="A59" s="839" t="s">
        <v>216</v>
      </c>
      <c r="B59" s="839"/>
      <c r="C59" s="56">
        <f>4+5+4+4</f>
        <v>17</v>
      </c>
      <c r="I59" s="630"/>
    </row>
    <row r="60" spans="1:9" ht="15.75" thickBot="1" x14ac:dyDescent="0.3">
      <c r="A60" s="839" t="s">
        <v>217</v>
      </c>
      <c r="B60" s="839"/>
      <c r="C60" s="56">
        <f>4+5+4+4</f>
        <v>17</v>
      </c>
      <c r="E60" s="629" t="s">
        <v>267</v>
      </c>
      <c r="I60" s="630">
        <f>1/3</f>
        <v>0.33333333333333331</v>
      </c>
    </row>
    <row r="61" spans="1:9" ht="15.75" thickBot="1" x14ac:dyDescent="0.3">
      <c r="E61" s="3" t="s">
        <v>268</v>
      </c>
      <c r="I61" s="631">
        <f>1-I60</f>
        <v>0.66666666666666674</v>
      </c>
    </row>
    <row r="62" spans="1:9" x14ac:dyDescent="0.25">
      <c r="B62" s="632" t="s">
        <v>35</v>
      </c>
      <c r="C62" s="56">
        <f>C48+C49+C50+C53+C54+C55+C58+C59+C60</f>
        <v>365</v>
      </c>
      <c r="I62" s="95"/>
    </row>
  </sheetData>
  <sheetProtection algorithmName="SHA-512" hashValue="Un6ci081en4aEGUDY4tofxlgR/d7E2XbMeAsboWI3VHZkmrUVHoYJ4oezhe+qyOHlhGhNvV4tC/qaDTx0cVMzg==" saltValue="4hKIOd9cMGgGMAgqLQjeZw==" spinCount="100000" sheet="1" objects="1" scenarios="1" selectLockedCells="1" selectUnlockedCells="1"/>
  <mergeCells count="16">
    <mergeCell ref="A48:B48"/>
    <mergeCell ref="A49:B49"/>
    <mergeCell ref="A50:B50"/>
    <mergeCell ref="A52:B52"/>
    <mergeCell ref="A57:B57"/>
    <mergeCell ref="A58:B58"/>
    <mergeCell ref="A59:B59"/>
    <mergeCell ref="A60:B60"/>
    <mergeCell ref="A53:B53"/>
    <mergeCell ref="A54:B54"/>
    <mergeCell ref="A55:B55"/>
    <mergeCell ref="A22:E22"/>
    <mergeCell ref="A1:E1"/>
    <mergeCell ref="B3:C3"/>
    <mergeCell ref="D3:E3"/>
    <mergeCell ref="A47:B47"/>
  </mergeCells>
  <dataValidations disablePrompts="1" count="3">
    <dataValidation type="decimal" allowBlank="1" showInputMessage="1" showErrorMessage="1" sqref="B42:B43" xr:uid="{E49687FC-E435-41F3-8555-E77BCF120987}">
      <formula1>0</formula1>
      <formula2>0.25</formula2>
    </dataValidation>
    <dataValidation type="decimal" allowBlank="1" showInputMessage="1" showErrorMessage="1" sqref="B41" xr:uid="{C35D9DFB-B8D7-41CF-9F16-F90466C3199C}">
      <formula1>0</formula1>
      <formula2>0.4</formula2>
    </dataValidation>
    <dataValidation type="decimal" allowBlank="1" showInputMessage="1" showErrorMessage="1" sqref="B40" xr:uid="{8FB0AAE9-89F3-42BE-8991-F11843A5CD3F}">
      <formula1>0.6</formula1>
      <formula2>1</formula2>
    </dataValidation>
  </dataValidations>
  <pageMargins left="0.7" right="0.7" top="0.75" bottom="0.75" header="0.3" footer="0.3"/>
  <pageSetup paperSize="9" scale="71" orientation="portrait" r:id="rId1"/>
  <ignoredErrors>
    <ignoredError sqref="B12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C856-178C-4E7A-A221-596C5679755D}">
  <sheetPr>
    <tabColor theme="0"/>
    <pageSetUpPr fitToPage="1"/>
  </sheetPr>
  <dimension ref="A1:O74"/>
  <sheetViews>
    <sheetView zoomScale="70" zoomScaleNormal="70" zoomScaleSheetLayoutView="70" workbookViewId="0">
      <selection activeCell="C19" sqref="C19"/>
    </sheetView>
  </sheetViews>
  <sheetFormatPr defaultRowHeight="15" x14ac:dyDescent="0.25"/>
  <cols>
    <col min="1" max="1" width="27.42578125" style="3" customWidth="1"/>
    <col min="2" max="2" width="19.140625" style="3" customWidth="1"/>
    <col min="3" max="3" width="14.7109375" style="3" customWidth="1"/>
    <col min="4" max="4" width="15.7109375" style="3" bestFit="1" customWidth="1"/>
    <col min="5" max="5" width="16.5703125" style="3" customWidth="1"/>
    <col min="6" max="6" width="14.7109375" style="3" bestFit="1" customWidth="1"/>
    <col min="7" max="7" width="14.5703125" style="3" customWidth="1"/>
    <col min="8" max="8" width="13.5703125" style="3" bestFit="1" customWidth="1"/>
    <col min="9" max="9" width="12.85546875" style="3" customWidth="1"/>
    <col min="10" max="10" width="14.7109375" style="3" customWidth="1"/>
    <col min="11" max="12" width="12.28515625" style="3" customWidth="1"/>
    <col min="13" max="13" width="16" style="3" customWidth="1"/>
    <col min="14" max="14" width="13.42578125" style="3" bestFit="1" customWidth="1"/>
    <col min="15" max="16384" width="9.140625" style="3"/>
  </cols>
  <sheetData>
    <row r="1" spans="1:14" x14ac:dyDescent="0.25">
      <c r="A1" s="8" t="s">
        <v>123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6" customHeight="1" x14ac:dyDescent="0.25"/>
    <row r="3" spans="1:14" x14ac:dyDescent="0.25">
      <c r="A3" s="9"/>
      <c r="B3" s="9"/>
      <c r="C3" s="9"/>
      <c r="D3" s="10"/>
      <c r="E3" s="11"/>
      <c r="F3" s="9"/>
      <c r="G3" s="9"/>
      <c r="H3" s="9"/>
      <c r="I3" s="9"/>
      <c r="J3" s="9"/>
    </row>
    <row r="4" spans="1:14" x14ac:dyDescent="0.25">
      <c r="A4" s="709" t="s">
        <v>26</v>
      </c>
      <c r="B4" s="711" t="s">
        <v>108</v>
      </c>
      <c r="C4" s="711" t="s">
        <v>109</v>
      </c>
      <c r="D4" s="711" t="s">
        <v>110</v>
      </c>
      <c r="E4" s="711" t="s">
        <v>111</v>
      </c>
      <c r="F4" s="711" t="s">
        <v>112</v>
      </c>
      <c r="G4" s="711" t="s">
        <v>113</v>
      </c>
      <c r="H4" s="711" t="s">
        <v>114</v>
      </c>
      <c r="I4" s="711" t="s">
        <v>115</v>
      </c>
      <c r="J4" s="713" t="s">
        <v>116</v>
      </c>
    </row>
    <row r="5" spans="1:14" ht="27.75" customHeight="1" x14ac:dyDescent="0.25">
      <c r="A5" s="710"/>
      <c r="B5" s="712"/>
      <c r="C5" s="712"/>
      <c r="D5" s="712"/>
      <c r="E5" s="712"/>
      <c r="F5" s="712"/>
      <c r="G5" s="712"/>
      <c r="H5" s="712"/>
      <c r="I5" s="712"/>
      <c r="J5" s="714"/>
    </row>
    <row r="6" spans="1:14" ht="6" customHeight="1" x14ac:dyDescent="0.25">
      <c r="A6" s="12"/>
      <c r="B6" s="13"/>
      <c r="C6" s="12"/>
      <c r="D6" s="12"/>
      <c r="E6" s="12"/>
      <c r="F6" s="14"/>
      <c r="G6" s="13"/>
      <c r="H6" s="15"/>
      <c r="I6" s="14"/>
      <c r="J6" s="15"/>
    </row>
    <row r="7" spans="1:14" x14ac:dyDescent="0.25">
      <c r="A7" s="16" t="s">
        <v>117</v>
      </c>
      <c r="B7" s="17"/>
      <c r="C7" s="18"/>
      <c r="D7" s="12"/>
      <c r="E7" s="12"/>
      <c r="F7" s="19"/>
      <c r="G7" s="17"/>
      <c r="H7" s="12"/>
      <c r="I7" s="20"/>
      <c r="J7" s="12"/>
    </row>
    <row r="8" spans="1:14" x14ac:dyDescent="0.25">
      <c r="A8" s="21" t="s">
        <v>75</v>
      </c>
      <c r="B8" s="22">
        <f>D19</f>
        <v>0</v>
      </c>
      <c r="C8" s="22">
        <f>D24</f>
        <v>0</v>
      </c>
      <c r="D8" s="22">
        <f>D25</f>
        <v>0</v>
      </c>
      <c r="E8" s="22">
        <f>D30</f>
        <v>0</v>
      </c>
      <c r="F8" s="23">
        <f>Dies!C14</f>
        <v>265</v>
      </c>
      <c r="G8" s="24">
        <f t="shared" ref="G8:G13" si="0">E8/F8</f>
        <v>0</v>
      </c>
      <c r="H8" s="25">
        <f>F8*I8</f>
        <v>1634.1666666666667</v>
      </c>
      <c r="I8" s="26">
        <f>Dies!G9</f>
        <v>6.166666666666667</v>
      </c>
      <c r="J8" s="27">
        <f t="shared" ref="J8:J13" si="1">G8/I8</f>
        <v>0</v>
      </c>
    </row>
    <row r="9" spans="1:14" x14ac:dyDescent="0.25">
      <c r="A9" s="21" t="s">
        <v>72</v>
      </c>
      <c r="B9" s="22">
        <f>F19</f>
        <v>0</v>
      </c>
      <c r="C9" s="22">
        <f>F24</f>
        <v>0</v>
      </c>
      <c r="D9" s="22">
        <f>F25</f>
        <v>0</v>
      </c>
      <c r="E9" s="22">
        <f>F30</f>
        <v>0</v>
      </c>
      <c r="F9" s="23">
        <f>Dies!C14</f>
        <v>265</v>
      </c>
      <c r="G9" s="24">
        <f t="shared" si="0"/>
        <v>0</v>
      </c>
      <c r="H9" s="25">
        <f t="shared" ref="H9:H13" si="2">F9*I9</f>
        <v>1634.1666666666667</v>
      </c>
      <c r="I9" s="26">
        <f>I8</f>
        <v>6.166666666666667</v>
      </c>
      <c r="J9" s="27">
        <f t="shared" si="1"/>
        <v>0</v>
      </c>
    </row>
    <row r="10" spans="1:14" x14ac:dyDescent="0.25">
      <c r="A10" s="21" t="s">
        <v>184</v>
      </c>
      <c r="B10" s="22">
        <f>H19</f>
        <v>0</v>
      </c>
      <c r="C10" s="22">
        <f>H24</f>
        <v>0</v>
      </c>
      <c r="D10" s="22">
        <f>H25</f>
        <v>0</v>
      </c>
      <c r="E10" s="22">
        <f>H30</f>
        <v>0</v>
      </c>
      <c r="F10" s="23">
        <f>Dies!C14</f>
        <v>265</v>
      </c>
      <c r="G10" s="24">
        <f t="shared" si="0"/>
        <v>0</v>
      </c>
      <c r="H10" s="25">
        <f t="shared" si="2"/>
        <v>1634.1666666666667</v>
      </c>
      <c r="I10" s="26">
        <f t="shared" ref="I10:I13" si="3">I9</f>
        <v>6.166666666666667</v>
      </c>
      <c r="J10" s="27">
        <f t="shared" si="1"/>
        <v>0</v>
      </c>
    </row>
    <row r="11" spans="1:14" x14ac:dyDescent="0.25">
      <c r="A11" s="21" t="s">
        <v>87</v>
      </c>
      <c r="B11" s="22">
        <f>J19</f>
        <v>0</v>
      </c>
      <c r="C11" s="22">
        <f>J24</f>
        <v>0</v>
      </c>
      <c r="D11" s="22">
        <f>J25</f>
        <v>0</v>
      </c>
      <c r="E11" s="22">
        <f>J30</f>
        <v>0</v>
      </c>
      <c r="F11" s="23">
        <f>Dies!C14</f>
        <v>265</v>
      </c>
      <c r="G11" s="24">
        <f t="shared" si="0"/>
        <v>0</v>
      </c>
      <c r="H11" s="25">
        <f t="shared" si="2"/>
        <v>1634.1666666666667</v>
      </c>
      <c r="I11" s="26">
        <f t="shared" si="3"/>
        <v>6.166666666666667</v>
      </c>
      <c r="J11" s="27">
        <f t="shared" si="1"/>
        <v>0</v>
      </c>
    </row>
    <row r="12" spans="1:14" x14ac:dyDescent="0.25">
      <c r="A12" s="21" t="s">
        <v>183</v>
      </c>
      <c r="B12" s="28">
        <f>L19</f>
        <v>0</v>
      </c>
      <c r="C12" s="22">
        <f>+L24</f>
        <v>0</v>
      </c>
      <c r="D12" s="22">
        <f>L25</f>
        <v>0</v>
      </c>
      <c r="E12" s="22">
        <f>L30</f>
        <v>0</v>
      </c>
      <c r="F12" s="23">
        <f>Dies!C14</f>
        <v>265</v>
      </c>
      <c r="G12" s="24">
        <f t="shared" si="0"/>
        <v>0</v>
      </c>
      <c r="H12" s="25">
        <f t="shared" si="2"/>
        <v>1634.1666666666667</v>
      </c>
      <c r="I12" s="26">
        <f t="shared" si="3"/>
        <v>6.166666666666667</v>
      </c>
      <c r="J12" s="27">
        <f t="shared" si="1"/>
        <v>0</v>
      </c>
    </row>
    <row r="13" spans="1:14" x14ac:dyDescent="0.25">
      <c r="A13" s="21" t="s">
        <v>93</v>
      </c>
      <c r="B13" s="28">
        <f>N19</f>
        <v>0</v>
      </c>
      <c r="C13" s="22">
        <f>+N24</f>
        <v>0</v>
      </c>
      <c r="D13" s="22">
        <f>N25</f>
        <v>0</v>
      </c>
      <c r="E13" s="22">
        <f>N30</f>
        <v>0</v>
      </c>
      <c r="F13" s="23">
        <f>Dies!C14</f>
        <v>265</v>
      </c>
      <c r="G13" s="24">
        <f t="shared" si="0"/>
        <v>0</v>
      </c>
      <c r="H13" s="25">
        <f t="shared" si="2"/>
        <v>1634.1666666666667</v>
      </c>
      <c r="I13" s="26">
        <f t="shared" si="3"/>
        <v>6.166666666666667</v>
      </c>
      <c r="J13" s="27">
        <f t="shared" si="1"/>
        <v>0</v>
      </c>
    </row>
    <row r="14" spans="1:14" ht="6.75" customHeight="1" x14ac:dyDescent="0.25"/>
    <row r="15" spans="1:14" x14ac:dyDescent="0.25">
      <c r="A15" s="29" t="s">
        <v>185</v>
      </c>
      <c r="B15" s="30"/>
      <c r="C15" s="30"/>
      <c r="D15" s="30"/>
      <c r="E15" s="30"/>
      <c r="F15" s="30"/>
      <c r="G15" s="30"/>
      <c r="H15" s="30"/>
      <c r="I15" s="30"/>
      <c r="J15" s="30"/>
      <c r="K15" s="13"/>
      <c r="L15" s="13"/>
      <c r="M15" s="13"/>
      <c r="N15" s="13"/>
    </row>
    <row r="16" spans="1:14" ht="6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31"/>
      <c r="N16" s="13"/>
    </row>
    <row r="17" spans="1:15" x14ac:dyDescent="0.25">
      <c r="B17" s="32"/>
      <c r="C17" s="715" t="s">
        <v>75</v>
      </c>
      <c r="D17" s="715"/>
      <c r="E17" s="715" t="s">
        <v>72</v>
      </c>
      <c r="F17" s="715"/>
      <c r="G17" s="715" t="s">
        <v>182</v>
      </c>
      <c r="H17" s="715"/>
      <c r="I17" s="715" t="s">
        <v>87</v>
      </c>
      <c r="J17" s="715"/>
      <c r="K17" s="715" t="s">
        <v>183</v>
      </c>
      <c r="L17" s="715"/>
      <c r="M17" s="715" t="s">
        <v>93</v>
      </c>
      <c r="N17" s="715"/>
    </row>
    <row r="18" spans="1:15" x14ac:dyDescent="0.25">
      <c r="A18" s="33" t="s">
        <v>103</v>
      </c>
      <c r="B18" s="34" t="s">
        <v>104</v>
      </c>
      <c r="C18" s="35" t="s">
        <v>105</v>
      </c>
      <c r="D18" s="35" t="s">
        <v>106</v>
      </c>
      <c r="E18" s="35" t="s">
        <v>105</v>
      </c>
      <c r="F18" s="35" t="s">
        <v>106</v>
      </c>
      <c r="G18" s="35" t="s">
        <v>105</v>
      </c>
      <c r="H18" s="35" t="s">
        <v>106</v>
      </c>
      <c r="I18" s="35" t="s">
        <v>105</v>
      </c>
      <c r="J18" s="35" t="s">
        <v>106</v>
      </c>
      <c r="K18" s="35" t="s">
        <v>105</v>
      </c>
      <c r="L18" s="35" t="s">
        <v>106</v>
      </c>
      <c r="M18" s="35" t="s">
        <v>105</v>
      </c>
      <c r="N18" s="35" t="s">
        <v>106</v>
      </c>
    </row>
    <row r="19" spans="1:15" x14ac:dyDescent="0.25">
      <c r="A19" s="36" t="s">
        <v>118</v>
      </c>
      <c r="B19" s="37">
        <v>12</v>
      </c>
      <c r="C19" s="113"/>
      <c r="D19" s="38">
        <f t="shared" ref="D19:D20" si="4">+C19*$B19</f>
        <v>0</v>
      </c>
      <c r="E19" s="113"/>
      <c r="F19" s="38">
        <f t="shared" ref="F19:F20" si="5">+E19*$B19</f>
        <v>0</v>
      </c>
      <c r="G19" s="113"/>
      <c r="H19" s="38">
        <f t="shared" ref="H19:H20" si="6">+G19*$B19</f>
        <v>0</v>
      </c>
      <c r="I19" s="113"/>
      <c r="J19" s="38">
        <f t="shared" ref="J19:J20" si="7">+I19*$B19</f>
        <v>0</v>
      </c>
      <c r="K19" s="113"/>
      <c r="L19" s="39">
        <f t="shared" ref="L19:L20" si="8">+K19*$B19</f>
        <v>0</v>
      </c>
      <c r="M19" s="113"/>
      <c r="N19" s="39">
        <f t="shared" ref="N19:N20" si="9">+M19*$B19</f>
        <v>0</v>
      </c>
    </row>
    <row r="20" spans="1:15" x14ac:dyDescent="0.25">
      <c r="A20" s="36" t="s">
        <v>119</v>
      </c>
      <c r="B20" s="37">
        <v>12</v>
      </c>
      <c r="C20" s="113"/>
      <c r="D20" s="38">
        <f t="shared" si="4"/>
        <v>0</v>
      </c>
      <c r="E20" s="113"/>
      <c r="F20" s="38">
        <f t="shared" si="5"/>
        <v>0</v>
      </c>
      <c r="G20" s="113"/>
      <c r="H20" s="38">
        <f t="shared" si="6"/>
        <v>0</v>
      </c>
      <c r="I20" s="113"/>
      <c r="J20" s="38">
        <f t="shared" si="7"/>
        <v>0</v>
      </c>
      <c r="K20" s="113"/>
      <c r="L20" s="39">
        <f t="shared" si="8"/>
        <v>0</v>
      </c>
      <c r="M20" s="113"/>
      <c r="N20" s="39">
        <f t="shared" si="9"/>
        <v>0</v>
      </c>
    </row>
    <row r="21" spans="1:15" x14ac:dyDescent="0.25">
      <c r="A21" s="36" t="s">
        <v>181</v>
      </c>
      <c r="B21" s="37">
        <v>1</v>
      </c>
      <c r="C21" s="113"/>
      <c r="D21" s="38">
        <f>+C21*$B21</f>
        <v>0</v>
      </c>
      <c r="E21" s="113"/>
      <c r="F21" s="38">
        <f>+E21*$B21</f>
        <v>0</v>
      </c>
      <c r="G21" s="113"/>
      <c r="H21" s="38">
        <f>+G21*$B21</f>
        <v>0</v>
      </c>
      <c r="I21" s="113"/>
      <c r="J21" s="38">
        <f>+I21*$B21</f>
        <v>0</v>
      </c>
      <c r="K21" s="113"/>
      <c r="L21" s="38">
        <f>+K21*$B21</f>
        <v>0</v>
      </c>
      <c r="M21" s="113"/>
      <c r="N21" s="38">
        <f>+M21*$B21</f>
        <v>0</v>
      </c>
      <c r="O21" s="40"/>
    </row>
    <row r="22" spans="1:15" x14ac:dyDescent="0.25">
      <c r="A22" s="41" t="s">
        <v>107</v>
      </c>
      <c r="B22" s="42"/>
      <c r="C22" s="43"/>
      <c r="D22" s="44">
        <f>SUM(D19:D21)</f>
        <v>0</v>
      </c>
      <c r="E22" s="43"/>
      <c r="F22" s="44">
        <f>SUM(F19:F21)</f>
        <v>0</v>
      </c>
      <c r="G22" s="43"/>
      <c r="H22" s="44">
        <f>SUM(H19:H21)</f>
        <v>0</v>
      </c>
      <c r="I22" s="43"/>
      <c r="J22" s="44">
        <f>SUM(J19:J21)</f>
        <v>0</v>
      </c>
      <c r="K22" s="43"/>
      <c r="L22" s="44">
        <f>SUM(L19:L21)</f>
        <v>0</v>
      </c>
      <c r="M22" s="43"/>
      <c r="N22" s="44">
        <f>SUM(N19:N21)</f>
        <v>0</v>
      </c>
    </row>
    <row r="23" spans="1:15" x14ac:dyDescent="0.25">
      <c r="A23" s="36" t="s">
        <v>187</v>
      </c>
      <c r="B23" s="37">
        <v>12</v>
      </c>
      <c r="C23" s="114"/>
      <c r="D23" s="45">
        <f>C23*B23</f>
        <v>0</v>
      </c>
      <c r="E23" s="114"/>
      <c r="F23" s="45">
        <f>E23*B23</f>
        <v>0</v>
      </c>
      <c r="G23" s="114"/>
      <c r="H23" s="45">
        <f>G23*B23</f>
        <v>0</v>
      </c>
      <c r="I23" s="114"/>
      <c r="J23" s="45">
        <f>I23*B23</f>
        <v>0</v>
      </c>
      <c r="K23" s="114"/>
      <c r="L23" s="45">
        <f>K23*B23</f>
        <v>0</v>
      </c>
      <c r="M23" s="114"/>
      <c r="N23" s="45">
        <f>M23*B23</f>
        <v>0</v>
      </c>
    </row>
    <row r="24" spans="1:15" x14ac:dyDescent="0.25">
      <c r="A24" s="41" t="s">
        <v>107</v>
      </c>
      <c r="B24" s="42"/>
      <c r="C24" s="43"/>
      <c r="D24" s="44">
        <f>SUM(D22:D23)</f>
        <v>0</v>
      </c>
      <c r="E24" s="43"/>
      <c r="F24" s="44">
        <f>SUM(F22:F23)</f>
        <v>0</v>
      </c>
      <c r="G24" s="43"/>
      <c r="H24" s="44">
        <f>SUM(H22:H23)</f>
        <v>0</v>
      </c>
      <c r="I24" s="43"/>
      <c r="J24" s="44">
        <f>SUM(J22:J23)</f>
        <v>0</v>
      </c>
      <c r="K24" s="43"/>
      <c r="L24" s="44">
        <f>SUM(L22:L23)</f>
        <v>0</v>
      </c>
      <c r="M24" s="43"/>
      <c r="N24" s="44">
        <f>SUM(N22:N23)</f>
        <v>0</v>
      </c>
    </row>
    <row r="25" spans="1:15" x14ac:dyDescent="0.25">
      <c r="A25" s="33" t="s">
        <v>120</v>
      </c>
      <c r="B25" s="46"/>
      <c r="C25" s="47"/>
      <c r="D25" s="115"/>
      <c r="E25" s="47"/>
      <c r="F25" s="115"/>
      <c r="G25" s="47"/>
      <c r="H25" s="115"/>
      <c r="I25" s="47"/>
      <c r="J25" s="115"/>
      <c r="K25" s="47"/>
      <c r="L25" s="115"/>
      <c r="M25" s="47"/>
      <c r="N25" s="115"/>
    </row>
    <row r="26" spans="1:15" x14ac:dyDescent="0.25">
      <c r="A26" s="41" t="s">
        <v>121</v>
      </c>
      <c r="B26" s="42"/>
      <c r="C26" s="43"/>
      <c r="D26" s="44">
        <f>D24+D25</f>
        <v>0</v>
      </c>
      <c r="E26" s="43"/>
      <c r="F26" s="44">
        <f>F24+F25</f>
        <v>0</v>
      </c>
      <c r="G26" s="43"/>
      <c r="H26" s="44">
        <f>H24+H25</f>
        <v>0</v>
      </c>
      <c r="I26" s="43"/>
      <c r="J26" s="44">
        <f>J24+J25</f>
        <v>0</v>
      </c>
      <c r="K26" s="43"/>
      <c r="L26" s="44">
        <f>L24+L25</f>
        <v>0</v>
      </c>
      <c r="M26" s="43"/>
      <c r="N26" s="44">
        <f>N24+N25</f>
        <v>0</v>
      </c>
    </row>
    <row r="27" spans="1:15" x14ac:dyDescent="0.25">
      <c r="A27" s="48" t="s">
        <v>122</v>
      </c>
      <c r="B27" s="49">
        <f>Paràmetres!C7</f>
        <v>0</v>
      </c>
      <c r="C27" s="50"/>
      <c r="D27" s="51">
        <f>+D26*$B27</f>
        <v>0</v>
      </c>
      <c r="E27" s="50"/>
      <c r="F27" s="51">
        <f>+F26*$B27</f>
        <v>0</v>
      </c>
      <c r="G27" s="50"/>
      <c r="H27" s="51">
        <f>+H26*$B27</f>
        <v>0</v>
      </c>
      <c r="I27" s="50"/>
      <c r="J27" s="51">
        <f>+J26*$B27</f>
        <v>0</v>
      </c>
      <c r="K27" s="50"/>
      <c r="L27" s="51">
        <f>+L26*$B27</f>
        <v>0</v>
      </c>
      <c r="M27" s="50"/>
      <c r="N27" s="51">
        <f>+N26*$B27</f>
        <v>0</v>
      </c>
    </row>
    <row r="28" spans="1:15" x14ac:dyDescent="0.25">
      <c r="A28" s="41" t="s">
        <v>186</v>
      </c>
      <c r="B28" s="42"/>
      <c r="C28" s="52"/>
      <c r="D28" s="53">
        <f>D26+D27</f>
        <v>0</v>
      </c>
      <c r="E28" s="52"/>
      <c r="F28" s="53">
        <f>F26+F27</f>
        <v>0</v>
      </c>
      <c r="G28" s="52"/>
      <c r="H28" s="53">
        <f>H26+H27</f>
        <v>0</v>
      </c>
      <c r="I28" s="52"/>
      <c r="J28" s="53">
        <f>J26+J27</f>
        <v>0</v>
      </c>
      <c r="K28" s="52"/>
      <c r="L28" s="53">
        <f>L26+L27</f>
        <v>0</v>
      </c>
      <c r="M28" s="52"/>
      <c r="N28" s="53">
        <f>N26+N27</f>
        <v>0</v>
      </c>
    </row>
    <row r="29" spans="1:15" ht="38.25" x14ac:dyDescent="0.25">
      <c r="A29" s="54" t="s">
        <v>239</v>
      </c>
      <c r="B29" s="55">
        <v>0.05</v>
      </c>
      <c r="C29" s="56"/>
      <c r="D29" s="51">
        <f>D28*$B29</f>
        <v>0</v>
      </c>
      <c r="E29" s="57"/>
      <c r="F29" s="51">
        <f>F28*B29</f>
        <v>0</v>
      </c>
      <c r="G29" s="57"/>
      <c r="H29" s="51">
        <f>H28*B29</f>
        <v>0</v>
      </c>
      <c r="I29" s="51"/>
      <c r="J29" s="51">
        <f>J28*B29</f>
        <v>0</v>
      </c>
      <c r="K29" s="51"/>
      <c r="L29" s="51">
        <f>L28*B29</f>
        <v>0</v>
      </c>
      <c r="M29" s="51"/>
      <c r="N29" s="51">
        <f>N28*B29</f>
        <v>0</v>
      </c>
    </row>
    <row r="30" spans="1:15" x14ac:dyDescent="0.25">
      <c r="A30" s="58" t="s">
        <v>240</v>
      </c>
      <c r="B30" s="59"/>
      <c r="C30" s="59"/>
      <c r="D30" s="60">
        <f>D28+D29</f>
        <v>0</v>
      </c>
      <c r="E30" s="61"/>
      <c r="F30" s="60">
        <f>F28+F29</f>
        <v>0</v>
      </c>
      <c r="G30" s="61"/>
      <c r="H30" s="60">
        <f>H28+H29</f>
        <v>0</v>
      </c>
      <c r="I30" s="61"/>
      <c r="J30" s="60">
        <f>J28+J29</f>
        <v>0</v>
      </c>
      <c r="K30" s="61"/>
      <c r="L30" s="60">
        <f>L28+L29</f>
        <v>0</v>
      </c>
      <c r="M30" s="61"/>
      <c r="N30" s="60">
        <f>N28+N29</f>
        <v>0</v>
      </c>
    </row>
    <row r="33" spans="1:15" x14ac:dyDescent="0.25">
      <c r="D33" s="62" t="s">
        <v>421</v>
      </c>
      <c r="E33" s="63"/>
    </row>
    <row r="34" spans="1:15" x14ac:dyDescent="0.25">
      <c r="A34" s="3" t="s">
        <v>241</v>
      </c>
      <c r="D34" s="666"/>
      <c r="E34" s="63"/>
    </row>
    <row r="35" spans="1:15" x14ac:dyDescent="0.25">
      <c r="A35" s="3" t="s">
        <v>242</v>
      </c>
      <c r="D35" s="667"/>
      <c r="E35" s="63"/>
    </row>
    <row r="36" spans="1:15" x14ac:dyDescent="0.25">
      <c r="A36" s="3" t="s">
        <v>290</v>
      </c>
      <c r="D36" s="666"/>
      <c r="E36" s="63"/>
    </row>
    <row r="37" spans="1:15" x14ac:dyDescent="0.25">
      <c r="A37" s="3" t="s">
        <v>243</v>
      </c>
      <c r="D37" s="667"/>
      <c r="E37" s="63"/>
    </row>
    <row r="38" spans="1:15" x14ac:dyDescent="0.25">
      <c r="A38" s="3" t="s">
        <v>244</v>
      </c>
      <c r="D38" s="666"/>
      <c r="E38" s="63"/>
    </row>
    <row r="39" spans="1:15" x14ac:dyDescent="0.25">
      <c r="E39" s="63"/>
    </row>
    <row r="40" spans="1:15" ht="15.75" hidden="1" thickBot="1" x14ac:dyDescent="0.3">
      <c r="E40" s="64"/>
    </row>
    <row r="41" spans="1:15" hidden="1" x14ac:dyDescent="0.25">
      <c r="A41" s="65"/>
      <c r="B41" s="719" t="s">
        <v>9</v>
      </c>
      <c r="C41" s="720"/>
      <c r="D41" s="720"/>
      <c r="E41" s="720"/>
      <c r="F41" s="720"/>
      <c r="G41" s="720"/>
      <c r="H41" s="720"/>
      <c r="I41" s="720"/>
      <c r="J41" s="720"/>
      <c r="K41" s="720"/>
      <c r="L41" s="720"/>
      <c r="M41" s="721"/>
      <c r="N41" s="722" t="s">
        <v>10</v>
      </c>
      <c r="O41" s="723"/>
    </row>
    <row r="42" spans="1:15" ht="45" hidden="1" x14ac:dyDescent="0.25">
      <c r="A42" s="65"/>
      <c r="B42" s="66" t="s">
        <v>183</v>
      </c>
      <c r="C42" s="67" t="s">
        <v>289</v>
      </c>
      <c r="D42" s="67" t="s">
        <v>291</v>
      </c>
      <c r="E42" s="67" t="s">
        <v>292</v>
      </c>
      <c r="F42" s="67" t="s">
        <v>293</v>
      </c>
      <c r="G42" s="67" t="s">
        <v>294</v>
      </c>
      <c r="H42" s="67" t="s">
        <v>295</v>
      </c>
      <c r="I42" s="67" t="s">
        <v>296</v>
      </c>
      <c r="J42" s="68" t="s">
        <v>72</v>
      </c>
      <c r="K42" s="67" t="s">
        <v>289</v>
      </c>
      <c r="L42" s="67" t="s">
        <v>297</v>
      </c>
      <c r="M42" s="67" t="s">
        <v>304</v>
      </c>
      <c r="N42" s="69" t="s">
        <v>251</v>
      </c>
      <c r="O42" s="70" t="s">
        <v>250</v>
      </c>
    </row>
    <row r="43" spans="1:15" hidden="1" x14ac:dyDescent="0.25">
      <c r="A43" s="71" t="s">
        <v>86</v>
      </c>
      <c r="B43" s="72">
        <f>EM!I57</f>
        <v>0</v>
      </c>
      <c r="C43" s="73">
        <f>EM!G57</f>
        <v>0</v>
      </c>
      <c r="D43" s="74">
        <f>EM!G58</f>
        <v>0</v>
      </c>
      <c r="E43" s="75">
        <v>0</v>
      </c>
      <c r="F43" s="75">
        <v>0</v>
      </c>
      <c r="G43" s="74">
        <f>EM!G59</f>
        <v>0</v>
      </c>
      <c r="H43" s="75">
        <v>0</v>
      </c>
      <c r="I43" s="75">
        <v>0</v>
      </c>
      <c r="J43" s="76">
        <v>0</v>
      </c>
      <c r="K43" s="77">
        <v>0</v>
      </c>
      <c r="L43" s="75">
        <v>0</v>
      </c>
      <c r="M43" s="75">
        <v>0</v>
      </c>
      <c r="N43" s="78">
        <f>EM!J57</f>
        <v>0</v>
      </c>
      <c r="O43" s="79">
        <v>0</v>
      </c>
    </row>
    <row r="44" spans="1:15" hidden="1" x14ac:dyDescent="0.25">
      <c r="A44" s="71" t="s">
        <v>77</v>
      </c>
      <c r="B44" s="72">
        <f>EMX!I76</f>
        <v>0</v>
      </c>
      <c r="C44" s="73">
        <f>EMX!G76</f>
        <v>0</v>
      </c>
      <c r="D44" s="75">
        <v>0</v>
      </c>
      <c r="E44" s="74">
        <f>EMX!G77</f>
        <v>0</v>
      </c>
      <c r="F44" s="75">
        <v>0</v>
      </c>
      <c r="G44" s="75">
        <v>0</v>
      </c>
      <c r="H44" s="74">
        <f>EMX!G78</f>
        <v>0</v>
      </c>
      <c r="I44" s="75">
        <v>0</v>
      </c>
      <c r="J44" s="72">
        <f>EMX!I79</f>
        <v>0</v>
      </c>
      <c r="K44" s="80">
        <f>EMX!G79</f>
        <v>0</v>
      </c>
      <c r="L44" s="74">
        <f>EMX!G80</f>
        <v>0</v>
      </c>
      <c r="M44" s="74">
        <f>EMX!G81</f>
        <v>0</v>
      </c>
      <c r="N44" s="78">
        <f>EMX!J76</f>
        <v>0</v>
      </c>
      <c r="O44" s="79">
        <f>EMX!J79</f>
        <v>0</v>
      </c>
    </row>
    <row r="45" spans="1:15" hidden="1" x14ac:dyDescent="0.25">
      <c r="A45" s="71" t="s">
        <v>92</v>
      </c>
      <c r="B45" s="81">
        <v>0</v>
      </c>
      <c r="C45" s="82">
        <v>0</v>
      </c>
      <c r="D45" s="75">
        <v>0</v>
      </c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2">
        <f>EMC!I57</f>
        <v>0</v>
      </c>
      <c r="K45" s="80">
        <f>EMC!G57</f>
        <v>0</v>
      </c>
      <c r="L45" s="74">
        <f>EMC!G58</f>
        <v>0</v>
      </c>
      <c r="M45" s="74">
        <f>EMC!G59</f>
        <v>0</v>
      </c>
      <c r="N45" s="78">
        <v>0</v>
      </c>
      <c r="O45" s="79">
        <f>EMC!J57</f>
        <v>0</v>
      </c>
    </row>
    <row r="46" spans="1:15" hidden="1" x14ac:dyDescent="0.25">
      <c r="A46" s="71" t="s">
        <v>188</v>
      </c>
      <c r="B46" s="72">
        <f>B_HERB!I76</f>
        <v>0</v>
      </c>
      <c r="C46" s="73">
        <f>B_HERB!G76</f>
        <v>0</v>
      </c>
      <c r="D46" s="75">
        <v>0</v>
      </c>
      <c r="E46" s="75">
        <v>0</v>
      </c>
      <c r="F46" s="74">
        <f>B_HERB!G76</f>
        <v>0</v>
      </c>
      <c r="G46" s="75">
        <v>0</v>
      </c>
      <c r="H46" s="75">
        <v>0</v>
      </c>
      <c r="I46" s="75">
        <v>0</v>
      </c>
      <c r="J46" s="72">
        <f>B_HERB!I77</f>
        <v>0</v>
      </c>
      <c r="K46" s="80">
        <f>B_HERB!G77</f>
        <v>0</v>
      </c>
      <c r="L46" s="74">
        <f>B_HERB!G77</f>
        <v>0</v>
      </c>
      <c r="M46" s="75">
        <v>0</v>
      </c>
      <c r="N46" s="78">
        <f>B_HERB!J76</f>
        <v>0</v>
      </c>
      <c r="O46" s="79">
        <f>B_HERB!J77</f>
        <v>0</v>
      </c>
    </row>
    <row r="47" spans="1:15" hidden="1" x14ac:dyDescent="0.25">
      <c r="A47" s="71" t="s">
        <v>189</v>
      </c>
      <c r="B47" s="83">
        <f>B_CAIXA!I76</f>
        <v>0</v>
      </c>
      <c r="C47" s="73">
        <f>B_CAIXA!G76</f>
        <v>0</v>
      </c>
      <c r="D47" s="74">
        <f>B_CAIXA!G77</f>
        <v>0</v>
      </c>
      <c r="E47" s="75">
        <v>0</v>
      </c>
      <c r="F47" s="75">
        <v>0</v>
      </c>
      <c r="G47" s="74">
        <f>B_CAIXA!G78</f>
        <v>0</v>
      </c>
      <c r="H47" s="75">
        <v>0</v>
      </c>
      <c r="I47" s="75">
        <v>0</v>
      </c>
      <c r="J47" s="72">
        <f>B_CAIXA!I79</f>
        <v>0</v>
      </c>
      <c r="K47" s="80">
        <f>B_CAIXA!G79</f>
        <v>0</v>
      </c>
      <c r="L47" s="74">
        <f>B_CAIXA!G80</f>
        <v>0</v>
      </c>
      <c r="M47" s="74">
        <f>B_CAIXA!G81</f>
        <v>0</v>
      </c>
      <c r="N47" s="78">
        <f>B_CAIXA!J76</f>
        <v>0</v>
      </c>
      <c r="O47" s="79">
        <f>B_CAIXA!J79</f>
        <v>0</v>
      </c>
    </row>
    <row r="48" spans="1:15" hidden="1" x14ac:dyDescent="0.25">
      <c r="A48" s="71" t="s">
        <v>190</v>
      </c>
      <c r="B48" s="72">
        <f>B_MERC!I76</f>
        <v>0</v>
      </c>
      <c r="C48" s="73">
        <f>B_MERC!G76</f>
        <v>0</v>
      </c>
      <c r="D48" s="74">
        <f>B_MERC!G76</f>
        <v>0</v>
      </c>
      <c r="E48" s="75">
        <v>0</v>
      </c>
      <c r="F48" s="75">
        <v>0</v>
      </c>
      <c r="G48" s="75">
        <v>0</v>
      </c>
      <c r="H48" s="75">
        <v>0</v>
      </c>
      <c r="I48" s="75">
        <v>0</v>
      </c>
      <c r="J48" s="72">
        <f>B_MERC!I77</f>
        <v>0</v>
      </c>
      <c r="K48" s="80">
        <f>B_MERC!G77</f>
        <v>0</v>
      </c>
      <c r="L48" s="74">
        <f>B_MERC!G77</f>
        <v>0</v>
      </c>
      <c r="M48" s="75">
        <v>0</v>
      </c>
      <c r="N48" s="78">
        <f>B_MERC!J76</f>
        <v>0</v>
      </c>
      <c r="O48" s="79">
        <f>B_MERC!J77</f>
        <v>0</v>
      </c>
    </row>
    <row r="49" spans="1:15" hidden="1" x14ac:dyDescent="0.25">
      <c r="A49" s="71" t="s">
        <v>191</v>
      </c>
      <c r="B49" s="81">
        <v>0</v>
      </c>
      <c r="C49" s="73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2">
        <f>B_PAPER!I58</f>
        <v>0</v>
      </c>
      <c r="K49" s="80">
        <v>0</v>
      </c>
      <c r="L49" s="75">
        <v>0</v>
      </c>
      <c r="M49" s="74">
        <f>B_PAPER!G57</f>
        <v>0</v>
      </c>
      <c r="N49" s="78">
        <v>0</v>
      </c>
      <c r="O49" s="79">
        <f>B_PAPER!J58</f>
        <v>0</v>
      </c>
    </row>
    <row r="50" spans="1:15" hidden="1" x14ac:dyDescent="0.25">
      <c r="A50" s="71" t="s">
        <v>222</v>
      </c>
      <c r="B50" s="72">
        <f>B_ACT!I76</f>
        <v>0</v>
      </c>
      <c r="C50" s="73">
        <f>B_ACT!G76</f>
        <v>0</v>
      </c>
      <c r="D50" s="75">
        <v>0</v>
      </c>
      <c r="E50" s="75">
        <v>0</v>
      </c>
      <c r="F50" s="75">
        <v>0</v>
      </c>
      <c r="G50" s="74">
        <f>B_ACT!G76</f>
        <v>0</v>
      </c>
      <c r="H50" s="75">
        <v>0</v>
      </c>
      <c r="I50" s="75">
        <v>0</v>
      </c>
      <c r="J50" s="72">
        <f>B_ACT!I77</f>
        <v>0</v>
      </c>
      <c r="K50" s="80">
        <f>B_ACT!G77</f>
        <v>0</v>
      </c>
      <c r="L50" s="75">
        <v>0</v>
      </c>
      <c r="M50" s="74">
        <f>B_ACT!G77</f>
        <v>0</v>
      </c>
      <c r="N50" s="78">
        <f>B_ACT!J76</f>
        <v>0</v>
      </c>
      <c r="O50" s="79">
        <f>B_ACT!J77</f>
        <v>0</v>
      </c>
    </row>
    <row r="51" spans="1:15" hidden="1" x14ac:dyDescent="0.25">
      <c r="A51" s="71" t="s">
        <v>210</v>
      </c>
      <c r="B51" s="81">
        <v>0</v>
      </c>
      <c r="C51" s="82">
        <v>0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v>0</v>
      </c>
      <c r="J51" s="72">
        <f>Aigua_goupil!I57</f>
        <v>0</v>
      </c>
      <c r="K51" s="80">
        <f>Aigua_goupil!G57</f>
        <v>0</v>
      </c>
      <c r="L51" s="74">
        <f>Aigua_goupil!G58</f>
        <v>0</v>
      </c>
      <c r="M51" s="74">
        <f>Aigua_goupil!G59</f>
        <v>0</v>
      </c>
      <c r="N51" s="78">
        <v>0</v>
      </c>
      <c r="O51" s="79">
        <f>Aigua_goupil!J57</f>
        <v>0</v>
      </c>
    </row>
    <row r="52" spans="1:15" hidden="1" x14ac:dyDescent="0.25">
      <c r="A52" s="84" t="s">
        <v>194</v>
      </c>
      <c r="B52" s="81">
        <v>0</v>
      </c>
      <c r="C52" s="82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v>0</v>
      </c>
      <c r="J52" s="72">
        <f>Aigua_calent!I57</f>
        <v>0</v>
      </c>
      <c r="K52" s="80">
        <f>Aigua_calent!G57</f>
        <v>0</v>
      </c>
      <c r="L52" s="74">
        <f>Aigua_calent!G58</f>
        <v>0</v>
      </c>
      <c r="M52" s="74">
        <f>Aigua_calent!G59</f>
        <v>0</v>
      </c>
      <c r="N52" s="78">
        <v>0</v>
      </c>
      <c r="O52" s="79">
        <f>Aigua_calent!J57</f>
        <v>0</v>
      </c>
    </row>
    <row r="53" spans="1:15" hidden="1" x14ac:dyDescent="0.25">
      <c r="A53" s="85" t="s">
        <v>193</v>
      </c>
      <c r="B53" s="81">
        <v>0</v>
      </c>
      <c r="C53" s="82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2">
        <f>Aiguabat!I57</f>
        <v>0</v>
      </c>
      <c r="K53" s="80">
        <f>Aiguabat!G57</f>
        <v>0</v>
      </c>
      <c r="L53" s="75">
        <v>0</v>
      </c>
      <c r="M53" s="75">
        <v>0</v>
      </c>
      <c r="N53" s="78">
        <v>0</v>
      </c>
      <c r="O53" s="79">
        <f>Aiguabat!J57</f>
        <v>0</v>
      </c>
    </row>
    <row r="54" spans="1:15" hidden="1" x14ac:dyDescent="0.25">
      <c r="A54" s="84" t="s">
        <v>192</v>
      </c>
      <c r="B54" s="81">
        <v>0</v>
      </c>
      <c r="C54" s="82">
        <v>0</v>
      </c>
      <c r="D54" s="75">
        <v>0</v>
      </c>
      <c r="E54" s="75">
        <v>0</v>
      </c>
      <c r="F54" s="75">
        <v>0</v>
      </c>
      <c r="G54" s="75">
        <v>0</v>
      </c>
      <c r="H54" s="75">
        <v>0</v>
      </c>
      <c r="I54" s="75">
        <v>0</v>
      </c>
      <c r="J54" s="72">
        <f>Baldeja!I57</f>
        <v>0</v>
      </c>
      <c r="K54" s="80">
        <f>Baldeja!G57</f>
        <v>0</v>
      </c>
      <c r="L54" s="74">
        <f>Baldeja!G58</f>
        <v>0</v>
      </c>
      <c r="M54" s="75">
        <v>0</v>
      </c>
      <c r="N54" s="86">
        <v>0</v>
      </c>
      <c r="O54" s="79">
        <f>Baldeja!J57</f>
        <v>0</v>
      </c>
    </row>
    <row r="55" spans="1:15" hidden="1" x14ac:dyDescent="0.25">
      <c r="A55" s="87"/>
      <c r="B55" s="88">
        <f t="shared" ref="B55:M55" si="10">SUM(B43:B54)</f>
        <v>0</v>
      </c>
      <c r="C55" s="74">
        <f t="shared" si="10"/>
        <v>0</v>
      </c>
      <c r="D55" s="74">
        <f t="shared" si="10"/>
        <v>0</v>
      </c>
      <c r="E55" s="74">
        <f t="shared" si="10"/>
        <v>0</v>
      </c>
      <c r="F55" s="74">
        <f t="shared" si="10"/>
        <v>0</v>
      </c>
      <c r="G55" s="74">
        <f t="shared" si="10"/>
        <v>0</v>
      </c>
      <c r="H55" s="74">
        <f t="shared" si="10"/>
        <v>0</v>
      </c>
      <c r="I55" s="74">
        <f t="shared" si="10"/>
        <v>0</v>
      </c>
      <c r="J55" s="89">
        <f t="shared" si="10"/>
        <v>0</v>
      </c>
      <c r="K55" s="90">
        <f t="shared" si="10"/>
        <v>0</v>
      </c>
      <c r="L55" s="74">
        <f t="shared" si="10"/>
        <v>0</v>
      </c>
      <c r="M55" s="74">
        <f t="shared" si="10"/>
        <v>0</v>
      </c>
      <c r="N55" s="91">
        <f>SUM(N43:N54)</f>
        <v>0</v>
      </c>
      <c r="O55" s="92">
        <f>SUM(O43:O54)</f>
        <v>0</v>
      </c>
    </row>
    <row r="56" spans="1:15" ht="15.75" hidden="1" thickBot="1" x14ac:dyDescent="0.3">
      <c r="A56" s="87"/>
      <c r="B56" s="93">
        <f>B55+J55</f>
        <v>0</v>
      </c>
      <c r="C56" s="94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716">
        <f>N55+O55</f>
        <v>0</v>
      </c>
      <c r="O56" s="717"/>
    </row>
    <row r="57" spans="1:15" hidden="1" x14ac:dyDescent="0.25">
      <c r="A57" s="87"/>
      <c r="B57" s="96"/>
      <c r="C57" s="97"/>
      <c r="D57" s="96"/>
      <c r="E57" s="97"/>
      <c r="F57" s="95"/>
      <c r="G57" s="95"/>
      <c r="H57" s="95"/>
      <c r="I57" s="95"/>
      <c r="J57" s="95"/>
      <c r="K57" s="95"/>
      <c r="L57" s="95"/>
      <c r="M57" s="95"/>
      <c r="N57" s="95"/>
      <c r="O57" s="95"/>
    </row>
    <row r="58" spans="1:15" hidden="1" x14ac:dyDescent="0.25">
      <c r="A58" s="87"/>
      <c r="B58" s="95"/>
      <c r="C58" s="95"/>
      <c r="D58" s="95"/>
      <c r="E58" s="94"/>
      <c r="F58" s="95"/>
      <c r="G58" s="95"/>
      <c r="H58" s="95"/>
      <c r="I58" s="95"/>
      <c r="J58" s="95"/>
      <c r="K58" s="95"/>
      <c r="L58" s="95"/>
      <c r="M58" s="95"/>
      <c r="N58" s="95"/>
      <c r="O58" s="95"/>
    </row>
    <row r="59" spans="1:15" ht="30" hidden="1" x14ac:dyDescent="0.25">
      <c r="A59" s="98" t="s">
        <v>279</v>
      </c>
      <c r="B59" s="66" t="s">
        <v>9</v>
      </c>
      <c r="C59" s="99" t="s">
        <v>289</v>
      </c>
      <c r="D59" s="68" t="s">
        <v>10</v>
      </c>
      <c r="E59" s="100"/>
      <c r="F59" s="95"/>
      <c r="G59" s="95"/>
      <c r="H59" s="95"/>
      <c r="I59" s="95"/>
      <c r="J59" s="95"/>
      <c r="K59" s="95"/>
      <c r="L59" s="95"/>
      <c r="M59" s="95"/>
      <c r="N59" s="95"/>
      <c r="O59" s="95"/>
    </row>
    <row r="60" spans="1:15" hidden="1" x14ac:dyDescent="0.25">
      <c r="A60" s="101" t="s">
        <v>93</v>
      </c>
      <c r="B60" s="102">
        <f>Comuns!I9</f>
        <v>0</v>
      </c>
      <c r="C60" s="102">
        <f>Comuns!G9</f>
        <v>0</v>
      </c>
      <c r="D60" s="102">
        <f>Comuns!J9</f>
        <v>0</v>
      </c>
      <c r="E60" s="103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hidden="1" x14ac:dyDescent="0.25">
      <c r="A61" s="101" t="s">
        <v>75</v>
      </c>
      <c r="B61" s="102">
        <f>Comuns!I10</f>
        <v>0</v>
      </c>
      <c r="C61" s="102">
        <f>Comuns!G10</f>
        <v>0</v>
      </c>
      <c r="D61" s="102">
        <f>Comuns!J10</f>
        <v>0</v>
      </c>
      <c r="E61" s="103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hidden="1" x14ac:dyDescent="0.25">
      <c r="A62" s="101" t="s">
        <v>87</v>
      </c>
      <c r="B62" s="102">
        <f>Comuns!I11</f>
        <v>0</v>
      </c>
      <c r="C62" s="102">
        <f>Comuns!G11</f>
        <v>0</v>
      </c>
      <c r="D62" s="102">
        <f>Comuns!J11</f>
        <v>0</v>
      </c>
      <c r="E62" s="103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hidden="1" x14ac:dyDescent="0.25">
      <c r="A63" s="101" t="s">
        <v>184</v>
      </c>
      <c r="B63" s="102">
        <f>Comuns!I12</f>
        <v>0</v>
      </c>
      <c r="C63" s="102">
        <f>Comuns!G12</f>
        <v>0</v>
      </c>
      <c r="D63" s="102">
        <f>Comuns!J12</f>
        <v>0</v>
      </c>
      <c r="E63" s="103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hidden="1" x14ac:dyDescent="0.25">
      <c r="A64" s="104"/>
      <c r="B64" s="105">
        <f>SUM(B60:B63)</f>
        <v>0</v>
      </c>
      <c r="C64" s="105">
        <f>SUM(C60:C63)</f>
        <v>0</v>
      </c>
      <c r="D64" s="106">
        <f>SUM(D60:D63)</f>
        <v>0</v>
      </c>
      <c r="E64" s="107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hidden="1" x14ac:dyDescent="0.25">
      <c r="A65" s="104"/>
      <c r="B65" s="108"/>
      <c r="C65" s="108"/>
      <c r="D65" s="109"/>
      <c r="E65" s="109"/>
      <c r="F65" s="95"/>
      <c r="G65" s="95"/>
      <c r="H65" s="95"/>
      <c r="I65" s="95"/>
      <c r="J65" s="95"/>
      <c r="K65" s="95"/>
      <c r="L65" s="95"/>
      <c r="M65" s="95"/>
      <c r="N65" s="95"/>
      <c r="O65" s="95"/>
    </row>
    <row r="66" spans="1:15" ht="30" hidden="1" x14ac:dyDescent="0.25">
      <c r="A66" s="98" t="s">
        <v>276</v>
      </c>
      <c r="B66" s="66" t="s">
        <v>9</v>
      </c>
      <c r="C66" s="99" t="s">
        <v>289</v>
      </c>
      <c r="D66" s="68" t="s">
        <v>10</v>
      </c>
      <c r="E66" s="109"/>
      <c r="F66" s="95"/>
      <c r="G66" s="95"/>
      <c r="H66" s="95"/>
      <c r="I66" s="95"/>
      <c r="J66" s="95"/>
      <c r="K66" s="95" t="s">
        <v>394</v>
      </c>
      <c r="L66" s="95"/>
      <c r="M66" s="95"/>
      <c r="N66" s="95"/>
      <c r="O66" s="95"/>
    </row>
    <row r="67" spans="1:15" hidden="1" x14ac:dyDescent="0.25">
      <c r="A67" s="101" t="s">
        <v>275</v>
      </c>
      <c r="B67" s="102">
        <f>Comuns!I13</f>
        <v>0</v>
      </c>
      <c r="C67" s="102"/>
      <c r="D67" s="102">
        <f>Comuns!J13</f>
        <v>0</v>
      </c>
      <c r="E67" s="103"/>
      <c r="F67" s="95"/>
      <c r="G67" s="95"/>
      <c r="H67" s="95"/>
      <c r="I67" s="95"/>
      <c r="J67" s="95" t="s">
        <v>392</v>
      </c>
      <c r="K67" s="95">
        <v>12</v>
      </c>
      <c r="L67" s="95"/>
      <c r="M67" s="95"/>
      <c r="N67" s="95"/>
      <c r="O67" s="95"/>
    </row>
    <row r="68" spans="1:15" hidden="1" x14ac:dyDescent="0.25">
      <c r="A68" s="101" t="s">
        <v>277</v>
      </c>
      <c r="B68" s="102">
        <f>Comuns!I14</f>
        <v>0</v>
      </c>
      <c r="C68" s="102"/>
      <c r="D68" s="102">
        <f>Comuns!J14</f>
        <v>0</v>
      </c>
      <c r="E68" s="103"/>
      <c r="F68" s="95"/>
      <c r="G68" s="95"/>
      <c r="H68" s="95"/>
      <c r="I68" s="95"/>
      <c r="J68" s="95" t="s">
        <v>393</v>
      </c>
      <c r="K68" s="95">
        <v>21.25</v>
      </c>
      <c r="L68" s="95"/>
      <c r="M68" s="95"/>
      <c r="N68" s="95"/>
      <c r="O68" s="95"/>
    </row>
    <row r="69" spans="1:15" hidden="1" x14ac:dyDescent="0.25">
      <c r="A69" s="101" t="s">
        <v>278</v>
      </c>
      <c r="B69" s="102">
        <f>Comuns!I15</f>
        <v>0</v>
      </c>
      <c r="C69" s="102"/>
      <c r="D69" s="102">
        <f>Comuns!J15</f>
        <v>0</v>
      </c>
      <c r="E69" s="103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hidden="1" x14ac:dyDescent="0.25">
      <c r="A70" s="104"/>
      <c r="B70" s="105">
        <f>SUM(B67:B69)</f>
        <v>0</v>
      </c>
      <c r="C70" s="105"/>
      <c r="D70" s="106">
        <f>SUM(D67:D69)</f>
        <v>0</v>
      </c>
      <c r="E70" s="107"/>
      <c r="F70" s="95"/>
      <c r="G70" s="95"/>
      <c r="H70" s="95"/>
      <c r="I70" s="95"/>
      <c r="J70" s="95"/>
      <c r="K70" s="95"/>
      <c r="L70" s="95"/>
      <c r="M70" s="95"/>
      <c r="N70" s="95"/>
      <c r="O70" s="95"/>
    </row>
    <row r="71" spans="1:15" hidden="1" x14ac:dyDescent="0.25">
      <c r="A71" s="104"/>
      <c r="B71" s="108"/>
      <c r="C71" s="108"/>
      <c r="D71" s="109"/>
      <c r="E71" s="109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hidden="1" x14ac:dyDescent="0.25">
      <c r="A72" s="104"/>
      <c r="B72" s="108"/>
      <c r="C72" s="108"/>
      <c r="D72" s="109"/>
      <c r="E72" s="109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idden="1" x14ac:dyDescent="0.25">
      <c r="A73" s="110" t="s">
        <v>35</v>
      </c>
      <c r="B73" s="718">
        <f>B56+B64+B70</f>
        <v>0</v>
      </c>
      <c r="C73" s="718"/>
      <c r="D73" s="111">
        <f>N56+D64+D70</f>
        <v>0</v>
      </c>
      <c r="E73" s="112"/>
      <c r="F73" s="95"/>
      <c r="G73" s="95"/>
      <c r="H73" s="95"/>
      <c r="I73" s="95"/>
      <c r="J73" s="95"/>
      <c r="K73" s="95"/>
      <c r="L73" s="95"/>
      <c r="M73" s="95"/>
      <c r="N73" s="95"/>
      <c r="O73" s="95"/>
    </row>
    <row r="74" spans="1:15" hidden="1" x14ac:dyDescent="0.25"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</row>
  </sheetData>
  <sheetProtection algorithmName="SHA-512" hashValue="Q17I66qbN2BPMJ6CjBsTYGuN04oFgcHyrzeNmAhn53cLuj8YUFSh0uUrHfyKW5o+ZWQFWf334SkJRmqyA1s9/Q==" saltValue="UDIph10uOl+Vutx3+teaGw==" spinCount="100000" sheet="1" selectLockedCells="1"/>
  <mergeCells count="20">
    <mergeCell ref="N56:O56"/>
    <mergeCell ref="B73:C73"/>
    <mergeCell ref="K17:L17"/>
    <mergeCell ref="M17:N17"/>
    <mergeCell ref="B41:M41"/>
    <mergeCell ref="N41:O41"/>
    <mergeCell ref="G4:G5"/>
    <mergeCell ref="H4:H5"/>
    <mergeCell ref="I4:I5"/>
    <mergeCell ref="J4:J5"/>
    <mergeCell ref="C17:D17"/>
    <mergeCell ref="E17:F17"/>
    <mergeCell ref="G17:H17"/>
    <mergeCell ref="I17:J17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8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04A4-59A9-430D-BC53-D61A5643F03F}">
  <sheetPr>
    <tabColor theme="0"/>
    <pageSetUpPr fitToPage="1"/>
  </sheetPr>
  <dimension ref="A1:G20"/>
  <sheetViews>
    <sheetView zoomScale="115" zoomScaleNormal="115" workbookViewId="0">
      <pane xSplit="1" topLeftCell="B1" activePane="topRight" state="frozen"/>
      <selection activeCell="E23" sqref="E23"/>
      <selection pane="topRight" activeCell="G20" sqref="G20"/>
    </sheetView>
  </sheetViews>
  <sheetFormatPr defaultRowHeight="15" x14ac:dyDescent="0.25"/>
  <cols>
    <col min="1" max="1" width="9.140625" style="3"/>
    <col min="2" max="2" width="46.85546875" style="3" bestFit="1" customWidth="1"/>
    <col min="3" max="3" width="12.42578125" style="3" customWidth="1"/>
    <col min="4" max="4" width="5.5703125" style="3" bestFit="1" customWidth="1"/>
    <col min="5" max="5" width="17.5703125" style="3" customWidth="1"/>
    <col min="6" max="7" width="16.5703125" style="3" customWidth="1"/>
    <col min="8" max="16384" width="9.140625" style="3"/>
  </cols>
  <sheetData>
    <row r="1" spans="1:7" ht="28.5" x14ac:dyDescent="0.25">
      <c r="A1" s="116" t="s">
        <v>130</v>
      </c>
      <c r="B1" s="649"/>
      <c r="C1" s="649"/>
      <c r="D1" s="649"/>
      <c r="E1" s="649"/>
    </row>
    <row r="2" spans="1:7" ht="23.25" x14ac:dyDescent="0.25">
      <c r="A2" s="644"/>
      <c r="B2" s="645" t="s">
        <v>125</v>
      </c>
      <c r="C2" s="646" t="s">
        <v>173</v>
      </c>
      <c r="D2" s="647" t="s">
        <v>126</v>
      </c>
      <c r="E2" s="648"/>
      <c r="F2" s="118"/>
      <c r="G2" s="118"/>
    </row>
    <row r="3" spans="1:7" ht="47.25" x14ac:dyDescent="0.25">
      <c r="A3" s="117"/>
      <c r="B3" s="119" t="s">
        <v>129</v>
      </c>
      <c r="C3" s="117" t="s">
        <v>5</v>
      </c>
      <c r="D3" s="120" t="s">
        <v>127</v>
      </c>
      <c r="E3" s="121" t="s">
        <v>128</v>
      </c>
      <c r="F3" s="122" t="s">
        <v>174</v>
      </c>
      <c r="G3" s="122" t="s">
        <v>175</v>
      </c>
    </row>
    <row r="4" spans="1:7" x14ac:dyDescent="0.25">
      <c r="A4" s="123"/>
      <c r="B4" s="668" t="s">
        <v>73</v>
      </c>
      <c r="C4" s="125">
        <v>6.17</v>
      </c>
      <c r="D4" s="126">
        <v>8</v>
      </c>
      <c r="E4" s="134"/>
      <c r="F4" s="134"/>
      <c r="G4" s="134"/>
    </row>
    <row r="5" spans="1:7" x14ac:dyDescent="0.25">
      <c r="A5" s="123"/>
      <c r="B5" s="668" t="s">
        <v>99</v>
      </c>
      <c r="C5" s="125">
        <v>6.17</v>
      </c>
      <c r="D5" s="126">
        <v>8</v>
      </c>
      <c r="E5" s="134"/>
      <c r="F5" s="134"/>
      <c r="G5" s="134"/>
    </row>
    <row r="6" spans="1:7" x14ac:dyDescent="0.25">
      <c r="A6" s="123"/>
      <c r="B6" s="668" t="s">
        <v>74</v>
      </c>
      <c r="C6" s="125">
        <v>6.17</v>
      </c>
      <c r="D6" s="126">
        <v>8</v>
      </c>
      <c r="E6" s="134"/>
      <c r="F6" s="134"/>
      <c r="G6" s="134"/>
    </row>
    <row r="7" spans="1:7" x14ac:dyDescent="0.25">
      <c r="A7" s="123"/>
      <c r="B7" s="668" t="s">
        <v>71</v>
      </c>
      <c r="C7" s="127">
        <v>55</v>
      </c>
      <c r="D7" s="126">
        <v>8</v>
      </c>
      <c r="E7" s="134"/>
      <c r="F7" s="134"/>
      <c r="G7" s="134"/>
    </row>
    <row r="8" spans="1:7" x14ac:dyDescent="0.25">
      <c r="A8" s="123"/>
      <c r="B8" s="124" t="s">
        <v>428</v>
      </c>
      <c r="C8" s="127">
        <v>25</v>
      </c>
      <c r="D8" s="126">
        <v>8</v>
      </c>
      <c r="E8" s="134"/>
      <c r="F8" s="134"/>
      <c r="G8" s="134"/>
    </row>
    <row r="9" spans="1:7" x14ac:dyDescent="0.25">
      <c r="A9" s="123"/>
      <c r="B9" s="124" t="s">
        <v>218</v>
      </c>
      <c r="C9" s="127">
        <v>25</v>
      </c>
      <c r="D9" s="126">
        <v>8</v>
      </c>
      <c r="E9" s="134"/>
      <c r="F9" s="134"/>
      <c r="G9" s="134"/>
    </row>
    <row r="10" spans="1:7" x14ac:dyDescent="0.25">
      <c r="A10" s="123"/>
      <c r="B10" s="124" t="s">
        <v>67</v>
      </c>
      <c r="C10" s="127">
        <v>45</v>
      </c>
      <c r="D10" s="126">
        <v>8</v>
      </c>
      <c r="E10" s="134"/>
      <c r="F10" s="134"/>
      <c r="G10" s="134"/>
    </row>
    <row r="11" spans="1:7" x14ac:dyDescent="0.25">
      <c r="A11" s="123"/>
      <c r="B11" s="124" t="s">
        <v>65</v>
      </c>
      <c r="C11" s="128"/>
      <c r="D11" s="126">
        <v>8</v>
      </c>
      <c r="E11" s="129"/>
      <c r="F11" s="129"/>
      <c r="G11" s="134"/>
    </row>
    <row r="12" spans="1:7" x14ac:dyDescent="0.25">
      <c r="A12" s="123"/>
      <c r="B12" s="130" t="s">
        <v>68</v>
      </c>
      <c r="C12" s="128"/>
      <c r="D12" s="126">
        <v>8</v>
      </c>
      <c r="E12" s="129"/>
      <c r="F12" s="129"/>
      <c r="G12" s="134"/>
    </row>
    <row r="13" spans="1:7" x14ac:dyDescent="0.25">
      <c r="A13" s="123"/>
      <c r="B13" s="124" t="s">
        <v>60</v>
      </c>
      <c r="C13" s="128"/>
      <c r="D13" s="126">
        <v>8</v>
      </c>
      <c r="E13" s="129"/>
      <c r="F13" s="129"/>
      <c r="G13" s="134"/>
    </row>
    <row r="14" spans="1:7" x14ac:dyDescent="0.25">
      <c r="A14" s="123"/>
      <c r="B14" s="124" t="s">
        <v>61</v>
      </c>
      <c r="C14" s="128"/>
      <c r="D14" s="126">
        <v>8</v>
      </c>
      <c r="E14" s="129"/>
      <c r="F14" s="129"/>
      <c r="G14" s="134"/>
    </row>
    <row r="15" spans="1:7" x14ac:dyDescent="0.25">
      <c r="A15" s="123"/>
      <c r="B15" s="124" t="s">
        <v>62</v>
      </c>
      <c r="C15" s="128"/>
      <c r="D15" s="126">
        <v>8</v>
      </c>
      <c r="E15" s="129"/>
      <c r="F15" s="129"/>
      <c r="G15" s="134"/>
    </row>
    <row r="16" spans="1:7" x14ac:dyDescent="0.25">
      <c r="A16" s="123"/>
      <c r="B16" s="124" t="s">
        <v>63</v>
      </c>
      <c r="C16" s="128"/>
      <c r="D16" s="126">
        <v>8</v>
      </c>
      <c r="E16" s="129"/>
      <c r="F16" s="129"/>
      <c r="G16" s="134"/>
    </row>
    <row r="17" spans="1:7" x14ac:dyDescent="0.25">
      <c r="A17" s="123"/>
      <c r="B17" s="124" t="s">
        <v>425</v>
      </c>
      <c r="C17" s="127">
        <v>25</v>
      </c>
      <c r="D17" s="126">
        <v>8</v>
      </c>
      <c r="E17" s="134"/>
      <c r="F17" s="134"/>
      <c r="G17" s="134"/>
    </row>
    <row r="18" spans="1:7" x14ac:dyDescent="0.25">
      <c r="A18" s="123"/>
      <c r="B18" s="124" t="s">
        <v>424</v>
      </c>
      <c r="C18" s="127">
        <v>25</v>
      </c>
      <c r="D18" s="126">
        <v>8</v>
      </c>
      <c r="E18" s="134"/>
      <c r="F18" s="134"/>
      <c r="G18" s="134"/>
    </row>
    <row r="19" spans="1:7" x14ac:dyDescent="0.25">
      <c r="A19" s="123"/>
      <c r="B19" s="124" t="s">
        <v>59</v>
      </c>
      <c r="C19" s="131">
        <v>0</v>
      </c>
      <c r="D19" s="132">
        <v>8</v>
      </c>
      <c r="E19" s="129"/>
      <c r="F19" s="129"/>
      <c r="G19" s="134"/>
    </row>
    <row r="20" spans="1:7" x14ac:dyDescent="0.25">
      <c r="A20" s="123"/>
      <c r="B20" s="130" t="s">
        <v>396</v>
      </c>
      <c r="C20" s="133" t="s">
        <v>176</v>
      </c>
      <c r="D20" s="132">
        <v>8</v>
      </c>
      <c r="E20" s="129"/>
      <c r="F20" s="134"/>
      <c r="G20" s="134"/>
    </row>
  </sheetData>
  <sheetProtection algorithmName="SHA-512" hashValue="qhcPwoM5n/4bNZhxsWRWZkR/n+lCjLNZsIkUOwl7Y2ejI5gwsnNgN8m5Vkwzf72E2xxc81Hay8vMsN3OdrpaPw==" saltValue="OwKbt5ZRLgxW1efSQZ/v4w==" spinCount="100000" sheet="1" selectLockedCells="1"/>
  <conditionalFormatting sqref="D4:D20">
    <cfRule type="cellIs" dxfId="1" priority="9" stopIfTrue="1" operator="equal">
      <formula>+amortización</formula>
    </cfRule>
    <cfRule type="cellIs" dxfId="0" priority="10" stopIfTrue="1" operator="notEqual">
      <formula>+amortización</formula>
    </cfRule>
  </conditionalFormatting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0866-11DA-4775-A792-78E8BD4AB3FC}">
  <sheetPr>
    <tabColor theme="0"/>
    <pageSetUpPr fitToPage="1"/>
  </sheetPr>
  <dimension ref="A1:L23"/>
  <sheetViews>
    <sheetView zoomScaleNormal="100" workbookViewId="0">
      <selection activeCell="H9" sqref="H9"/>
    </sheetView>
  </sheetViews>
  <sheetFormatPr defaultRowHeight="15" x14ac:dyDescent="0.25"/>
  <cols>
    <col min="1" max="1" width="14.85546875" style="3" customWidth="1"/>
    <col min="2" max="2" width="22.5703125" style="3" customWidth="1"/>
    <col min="3" max="3" width="9.140625" style="3"/>
    <col min="4" max="4" width="39.42578125" style="3" customWidth="1"/>
    <col min="5" max="7" width="9.140625" style="3"/>
    <col min="8" max="8" width="14.28515625" style="3" customWidth="1"/>
    <col min="9" max="10" width="9.140625" style="3"/>
    <col min="11" max="11" width="12" style="3" bestFit="1" customWidth="1"/>
    <col min="12" max="12" width="13.42578125" style="3" bestFit="1" customWidth="1"/>
    <col min="13" max="16384" width="9.140625" style="3"/>
  </cols>
  <sheetData>
    <row r="1" spans="1:12" ht="21" x14ac:dyDescent="0.35">
      <c r="A1" s="135" t="s">
        <v>320</v>
      </c>
      <c r="B1" s="135"/>
    </row>
    <row r="3" spans="1:12" x14ac:dyDescent="0.25">
      <c r="K3" s="62" t="s">
        <v>321</v>
      </c>
      <c r="L3" s="62" t="s">
        <v>321</v>
      </c>
    </row>
    <row r="4" spans="1:12" x14ac:dyDescent="0.25">
      <c r="A4" s="724" t="s">
        <v>331</v>
      </c>
      <c r="B4" s="724" t="s">
        <v>404</v>
      </c>
      <c r="C4" s="724" t="s">
        <v>20</v>
      </c>
      <c r="D4" s="731"/>
      <c r="E4" s="726" t="s">
        <v>27</v>
      </c>
      <c r="F4" s="726" t="s">
        <v>28</v>
      </c>
      <c r="G4" s="726" t="s">
        <v>21</v>
      </c>
      <c r="H4" s="726" t="s">
        <v>405</v>
      </c>
      <c r="I4" s="726" t="s">
        <v>22</v>
      </c>
      <c r="J4" s="726" t="s">
        <v>79</v>
      </c>
      <c r="K4" s="726" t="s">
        <v>80</v>
      </c>
      <c r="L4" s="728" t="s">
        <v>327</v>
      </c>
    </row>
    <row r="5" spans="1:12" x14ac:dyDescent="0.25">
      <c r="A5" s="725"/>
      <c r="B5" s="725"/>
      <c r="C5" s="725"/>
      <c r="D5" s="732"/>
      <c r="E5" s="727" t="s">
        <v>44</v>
      </c>
      <c r="F5" s="727" t="s">
        <v>5</v>
      </c>
      <c r="G5" s="727" t="s">
        <v>24</v>
      </c>
      <c r="H5" s="727" t="s">
        <v>81</v>
      </c>
      <c r="I5" s="727" t="s">
        <v>82</v>
      </c>
      <c r="J5" s="727" t="s">
        <v>28</v>
      </c>
      <c r="K5" s="727" t="s">
        <v>83</v>
      </c>
      <c r="L5" s="727" t="s">
        <v>40</v>
      </c>
    </row>
    <row r="6" spans="1:12" x14ac:dyDescent="0.25">
      <c r="A6" s="75" t="s">
        <v>280</v>
      </c>
      <c r="B6" s="136" t="s">
        <v>403</v>
      </c>
      <c r="C6" s="729" t="s">
        <v>308</v>
      </c>
      <c r="D6" s="730"/>
      <c r="E6" s="137">
        <v>6.1666699999999999</v>
      </c>
      <c r="F6" s="138">
        <v>1</v>
      </c>
      <c r="G6" s="139">
        <v>1</v>
      </c>
      <c r="H6" s="140">
        <f>147341/2</f>
        <v>73670.5</v>
      </c>
      <c r="I6" s="141">
        <v>8</v>
      </c>
      <c r="J6" s="142">
        <f>Paràmetres!C4</f>
        <v>0</v>
      </c>
      <c r="K6" s="143">
        <f t="shared" ref="K6:K22" si="0">-12*PMT(J6/12,I6*12,H6)</f>
        <v>9208.8125</v>
      </c>
      <c r="L6" s="144">
        <f t="shared" ref="L6:L22" si="1">G6*K6</f>
        <v>9208.8125</v>
      </c>
    </row>
    <row r="7" spans="1:12" x14ac:dyDescent="0.25">
      <c r="A7" s="75" t="s">
        <v>280</v>
      </c>
      <c r="B7" s="136" t="s">
        <v>403</v>
      </c>
      <c r="C7" s="733" t="s">
        <v>307</v>
      </c>
      <c r="D7" s="733"/>
      <c r="E7" s="137">
        <v>6.1666699999999999</v>
      </c>
      <c r="F7" s="138">
        <v>1</v>
      </c>
      <c r="G7" s="139">
        <v>1</v>
      </c>
      <c r="H7" s="140">
        <f>147341/2</f>
        <v>73670.5</v>
      </c>
      <c r="I7" s="141">
        <v>8</v>
      </c>
      <c r="J7" s="142">
        <f>Paràmetres!$C$4</f>
        <v>0</v>
      </c>
      <c r="K7" s="143">
        <f t="shared" si="0"/>
        <v>9208.8125</v>
      </c>
      <c r="L7" s="144">
        <f t="shared" si="1"/>
        <v>9208.8125</v>
      </c>
    </row>
    <row r="8" spans="1:12" x14ac:dyDescent="0.25">
      <c r="A8" s="75" t="s">
        <v>280</v>
      </c>
      <c r="B8" s="136" t="s">
        <v>403</v>
      </c>
      <c r="C8" s="733" t="s">
        <v>310</v>
      </c>
      <c r="D8" s="733"/>
      <c r="E8" s="137">
        <v>6.1666699999999999</v>
      </c>
      <c r="F8" s="138">
        <v>1</v>
      </c>
      <c r="G8" s="139">
        <v>1</v>
      </c>
      <c r="H8" s="140">
        <v>130258.49</v>
      </c>
      <c r="I8" s="141">
        <v>8</v>
      </c>
      <c r="J8" s="142">
        <f>Paràmetres!$C$4</f>
        <v>0</v>
      </c>
      <c r="K8" s="143">
        <f t="shared" si="0"/>
        <v>16282.311249999999</v>
      </c>
      <c r="L8" s="144">
        <f t="shared" si="1"/>
        <v>16282.311249999999</v>
      </c>
    </row>
    <row r="9" spans="1:12" x14ac:dyDescent="0.25">
      <c r="A9" s="75" t="s">
        <v>280</v>
      </c>
      <c r="B9" s="145" t="s">
        <v>406</v>
      </c>
      <c r="C9" s="733" t="s">
        <v>99</v>
      </c>
      <c r="D9" s="733"/>
      <c r="E9" s="137">
        <v>6.1666699999999999</v>
      </c>
      <c r="F9" s="138">
        <v>1</v>
      </c>
      <c r="G9" s="139">
        <v>2</v>
      </c>
      <c r="H9" s="149"/>
      <c r="I9" s="141">
        <v>8</v>
      </c>
      <c r="J9" s="142">
        <f>Paràmetres!$C$4</f>
        <v>0</v>
      </c>
      <c r="K9" s="143">
        <f t="shared" si="0"/>
        <v>0</v>
      </c>
      <c r="L9" s="144">
        <f t="shared" si="1"/>
        <v>0</v>
      </c>
    </row>
    <row r="10" spans="1:12" x14ac:dyDescent="0.25">
      <c r="A10" s="75" t="s">
        <v>281</v>
      </c>
      <c r="B10" s="145" t="s">
        <v>406</v>
      </c>
      <c r="C10" s="734" t="s">
        <v>73</v>
      </c>
      <c r="D10" s="734"/>
      <c r="E10" s="137">
        <v>6.1666699999999999</v>
      </c>
      <c r="F10" s="138">
        <v>1</v>
      </c>
      <c r="G10" s="139">
        <v>1</v>
      </c>
      <c r="H10" s="149"/>
      <c r="I10" s="141">
        <v>8</v>
      </c>
      <c r="J10" s="142">
        <f>Paràmetres!$C$4</f>
        <v>0</v>
      </c>
      <c r="K10" s="143">
        <f t="shared" si="0"/>
        <v>0</v>
      </c>
      <c r="L10" s="144">
        <f t="shared" si="1"/>
        <v>0</v>
      </c>
    </row>
    <row r="11" spans="1:12" x14ac:dyDescent="0.25">
      <c r="A11" s="75" t="s">
        <v>282</v>
      </c>
      <c r="B11" s="145" t="s">
        <v>406</v>
      </c>
      <c r="C11" s="733" t="s">
        <v>423</v>
      </c>
      <c r="D11" s="733"/>
      <c r="E11" s="137">
        <v>6.1666699999999999</v>
      </c>
      <c r="F11" s="138">
        <v>1</v>
      </c>
      <c r="G11" s="139">
        <v>1</v>
      </c>
      <c r="H11" s="149"/>
      <c r="I11" s="141">
        <v>8</v>
      </c>
      <c r="J11" s="142">
        <f>Paràmetres!$C$4</f>
        <v>0</v>
      </c>
      <c r="K11" s="143">
        <f t="shared" si="0"/>
        <v>0</v>
      </c>
      <c r="L11" s="144">
        <f t="shared" si="1"/>
        <v>0</v>
      </c>
    </row>
    <row r="12" spans="1:12" x14ac:dyDescent="0.25">
      <c r="A12" s="75" t="s">
        <v>283</v>
      </c>
      <c r="B12" s="145" t="s">
        <v>406</v>
      </c>
      <c r="C12" s="733" t="s">
        <v>67</v>
      </c>
      <c r="D12" s="733"/>
      <c r="E12" s="137">
        <v>6.1666699999999999</v>
      </c>
      <c r="F12" s="138">
        <v>1</v>
      </c>
      <c r="G12" s="139">
        <v>1</v>
      </c>
      <c r="H12" s="149"/>
      <c r="I12" s="141">
        <v>8</v>
      </c>
      <c r="J12" s="142">
        <f>Paràmetres!$C$4</f>
        <v>0</v>
      </c>
      <c r="K12" s="143">
        <f t="shared" si="0"/>
        <v>0</v>
      </c>
      <c r="L12" s="144">
        <f t="shared" si="1"/>
        <v>0</v>
      </c>
    </row>
    <row r="13" spans="1:12" x14ac:dyDescent="0.25">
      <c r="A13" s="75" t="s">
        <v>322</v>
      </c>
      <c r="B13" s="136" t="s">
        <v>403</v>
      </c>
      <c r="C13" s="733" t="s">
        <v>311</v>
      </c>
      <c r="D13" s="733"/>
      <c r="E13" s="137">
        <v>6.1666699999999999</v>
      </c>
      <c r="F13" s="138">
        <v>0.5</v>
      </c>
      <c r="G13" s="139">
        <v>1</v>
      </c>
      <c r="H13" s="140">
        <f>(35430/2)</f>
        <v>17715</v>
      </c>
      <c r="I13" s="141">
        <v>8</v>
      </c>
      <c r="J13" s="142">
        <f>Paràmetres!$C$4</f>
        <v>0</v>
      </c>
      <c r="K13" s="143">
        <f t="shared" si="0"/>
        <v>2214.375</v>
      </c>
      <c r="L13" s="144">
        <f>G13*K13*F13</f>
        <v>1107.1875</v>
      </c>
    </row>
    <row r="14" spans="1:12" x14ac:dyDescent="0.25">
      <c r="A14" s="75" t="s">
        <v>284</v>
      </c>
      <c r="B14" s="145" t="s">
        <v>406</v>
      </c>
      <c r="C14" s="734" t="s">
        <v>218</v>
      </c>
      <c r="D14" s="734"/>
      <c r="E14" s="137">
        <v>6.1666699999999999</v>
      </c>
      <c r="F14" s="138">
        <v>1</v>
      </c>
      <c r="G14" s="139">
        <v>1</v>
      </c>
      <c r="H14" s="149"/>
      <c r="I14" s="141">
        <v>8</v>
      </c>
      <c r="J14" s="142">
        <f>Paràmetres!$C$4</f>
        <v>0</v>
      </c>
      <c r="K14" s="143">
        <f t="shared" si="0"/>
        <v>0</v>
      </c>
      <c r="L14" s="144">
        <f t="shared" si="1"/>
        <v>0</v>
      </c>
    </row>
    <row r="15" spans="1:12" x14ac:dyDescent="0.25">
      <c r="A15" s="75" t="s">
        <v>322</v>
      </c>
      <c r="B15" s="136" t="s">
        <v>403</v>
      </c>
      <c r="C15" s="733" t="s">
        <v>311</v>
      </c>
      <c r="D15" s="733"/>
      <c r="E15" s="137">
        <v>6.1666699999999999</v>
      </c>
      <c r="F15" s="138">
        <v>0.5</v>
      </c>
      <c r="G15" s="139">
        <v>1</v>
      </c>
      <c r="H15" s="140">
        <f>(35430/2)</f>
        <v>17715</v>
      </c>
      <c r="I15" s="141">
        <v>8</v>
      </c>
      <c r="J15" s="142">
        <f>Paràmetres!$C$4</f>
        <v>0</v>
      </c>
      <c r="K15" s="143">
        <f t="shared" si="0"/>
        <v>2214.375</v>
      </c>
      <c r="L15" s="144">
        <f>G15*K15*F15</f>
        <v>1107.1875</v>
      </c>
    </row>
    <row r="16" spans="1:12" x14ac:dyDescent="0.25">
      <c r="A16" s="75" t="s">
        <v>285</v>
      </c>
      <c r="B16" s="145" t="s">
        <v>406</v>
      </c>
      <c r="C16" s="734" t="s">
        <v>218</v>
      </c>
      <c r="D16" s="734"/>
      <c r="E16" s="137">
        <v>6.1666699999999999</v>
      </c>
      <c r="F16" s="138">
        <v>1</v>
      </c>
      <c r="G16" s="139">
        <v>1</v>
      </c>
      <c r="H16" s="149"/>
      <c r="I16" s="141">
        <v>8</v>
      </c>
      <c r="J16" s="142">
        <f>Paràmetres!$C$4</f>
        <v>0</v>
      </c>
      <c r="K16" s="143">
        <f t="shared" si="0"/>
        <v>0</v>
      </c>
      <c r="L16" s="144">
        <f t="shared" si="1"/>
        <v>0</v>
      </c>
    </row>
    <row r="17" spans="1:12" x14ac:dyDescent="0.25">
      <c r="A17" s="75" t="s">
        <v>286</v>
      </c>
      <c r="B17" s="136" t="s">
        <v>403</v>
      </c>
      <c r="C17" s="734" t="s">
        <v>429</v>
      </c>
      <c r="D17" s="734"/>
      <c r="E17" s="137">
        <v>6.1666699999999999</v>
      </c>
      <c r="F17" s="138">
        <v>1</v>
      </c>
      <c r="G17" s="139">
        <v>1</v>
      </c>
      <c r="H17" s="140">
        <f>52640/2</f>
        <v>26320</v>
      </c>
      <c r="I17" s="141">
        <v>8</v>
      </c>
      <c r="J17" s="142">
        <f>Paràmetres!$C$4</f>
        <v>0</v>
      </c>
      <c r="K17" s="143">
        <f t="shared" si="0"/>
        <v>3290</v>
      </c>
      <c r="L17" s="144">
        <f t="shared" si="1"/>
        <v>3290</v>
      </c>
    </row>
    <row r="18" spans="1:12" x14ac:dyDescent="0.25">
      <c r="A18" s="75" t="s">
        <v>287</v>
      </c>
      <c r="B18" s="136" t="s">
        <v>403</v>
      </c>
      <c r="C18" s="734" t="s">
        <v>319</v>
      </c>
      <c r="D18" s="734"/>
      <c r="E18" s="137">
        <v>6.1666699999999999</v>
      </c>
      <c r="F18" s="138">
        <v>1</v>
      </c>
      <c r="G18" s="139">
        <v>1</v>
      </c>
      <c r="H18" s="140">
        <f>147000/2</f>
        <v>73500</v>
      </c>
      <c r="I18" s="141">
        <v>8</v>
      </c>
      <c r="J18" s="142">
        <f>Paràmetres!$C$4</f>
        <v>0</v>
      </c>
      <c r="K18" s="143">
        <f t="shared" si="0"/>
        <v>9187.5</v>
      </c>
      <c r="L18" s="144">
        <f t="shared" si="1"/>
        <v>9187.5</v>
      </c>
    </row>
    <row r="19" spans="1:12" x14ac:dyDescent="0.25">
      <c r="A19" s="75" t="s">
        <v>288</v>
      </c>
      <c r="B19" s="136" t="s">
        <v>403</v>
      </c>
      <c r="C19" s="735" t="s">
        <v>323</v>
      </c>
      <c r="D19" s="735"/>
      <c r="E19" s="146">
        <v>6.1666699999999999</v>
      </c>
      <c r="F19" s="138">
        <v>1</v>
      </c>
      <c r="G19" s="147">
        <f>+G10</f>
        <v>1</v>
      </c>
      <c r="H19" s="143">
        <f>7370/2</f>
        <v>3685</v>
      </c>
      <c r="I19" s="141">
        <v>8</v>
      </c>
      <c r="J19" s="142">
        <f>Paràmetres!$C$4</f>
        <v>0</v>
      </c>
      <c r="K19" s="143">
        <f t="shared" si="0"/>
        <v>460.625</v>
      </c>
      <c r="L19" s="144">
        <f t="shared" si="1"/>
        <v>460.625</v>
      </c>
    </row>
    <row r="20" spans="1:12" x14ac:dyDescent="0.25">
      <c r="A20" s="75" t="s">
        <v>288</v>
      </c>
      <c r="B20" s="145" t="s">
        <v>406</v>
      </c>
      <c r="C20" s="735" t="s">
        <v>65</v>
      </c>
      <c r="D20" s="735"/>
      <c r="E20" s="146">
        <v>6.1666699999999999</v>
      </c>
      <c r="F20" s="138">
        <v>1</v>
      </c>
      <c r="G20" s="147">
        <v>1</v>
      </c>
      <c r="H20" s="150"/>
      <c r="I20" s="141">
        <v>8</v>
      </c>
      <c r="J20" s="142">
        <f>Paràmetres!$C$4</f>
        <v>0</v>
      </c>
      <c r="K20" s="143">
        <f t="shared" si="0"/>
        <v>0</v>
      </c>
      <c r="L20" s="144">
        <f t="shared" si="1"/>
        <v>0</v>
      </c>
    </row>
    <row r="21" spans="1:12" x14ac:dyDescent="0.25">
      <c r="A21" s="75" t="s">
        <v>288</v>
      </c>
      <c r="B21" s="136" t="s">
        <v>403</v>
      </c>
      <c r="C21" s="735" t="s">
        <v>312</v>
      </c>
      <c r="D21" s="735"/>
      <c r="E21" s="146">
        <v>6.1666699999999999</v>
      </c>
      <c r="F21" s="138">
        <v>1</v>
      </c>
      <c r="G21" s="147">
        <f>+G11</f>
        <v>1</v>
      </c>
      <c r="H21" s="143">
        <f>25088/2</f>
        <v>12544</v>
      </c>
      <c r="I21" s="141">
        <v>8</v>
      </c>
      <c r="J21" s="142">
        <f>Paràmetres!$C$4</f>
        <v>0</v>
      </c>
      <c r="K21" s="143">
        <f t="shared" si="0"/>
        <v>1568</v>
      </c>
      <c r="L21" s="144">
        <f t="shared" si="1"/>
        <v>1568</v>
      </c>
    </row>
    <row r="22" spans="1:12" x14ac:dyDescent="0.25">
      <c r="A22" s="75" t="s">
        <v>288</v>
      </c>
      <c r="B22" s="145" t="s">
        <v>406</v>
      </c>
      <c r="C22" s="735" t="s">
        <v>70</v>
      </c>
      <c r="D22" s="735"/>
      <c r="E22" s="146">
        <v>6.1666699999999999</v>
      </c>
      <c r="F22" s="138">
        <v>1</v>
      </c>
      <c r="G22" s="147">
        <v>1</v>
      </c>
      <c r="H22" s="150"/>
      <c r="I22" s="141">
        <v>8</v>
      </c>
      <c r="J22" s="142">
        <f>Paràmetres!$C$4</f>
        <v>0</v>
      </c>
      <c r="K22" s="143">
        <f t="shared" si="0"/>
        <v>0</v>
      </c>
      <c r="L22" s="144">
        <f t="shared" si="1"/>
        <v>0</v>
      </c>
    </row>
    <row r="23" spans="1:12" x14ac:dyDescent="0.25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148">
        <f>SUM(L6:L22)</f>
        <v>51420.436249999999</v>
      </c>
    </row>
  </sheetData>
  <sheetProtection algorithmName="SHA-512" hashValue="kmoFYOYfPcTeGgGzy3lUf/9pIiqoL2cH2dVOo4Ef2MuwhClyIsGTLC8fQrfKoz6sGScY7XCSQfcL2wjEwpV6zQ==" saltValue="vpCmHBwvMEiqYh9E2T+zjw==" spinCount="100000" sheet="1" selectLockedCells="1"/>
  <mergeCells count="28">
    <mergeCell ref="C22:D22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L4:L5"/>
    <mergeCell ref="C6:D6"/>
    <mergeCell ref="C4:D5"/>
    <mergeCell ref="E4:E5"/>
    <mergeCell ref="F4:F5"/>
    <mergeCell ref="G4:G5"/>
    <mergeCell ref="H4:H5"/>
    <mergeCell ref="B4:B5"/>
    <mergeCell ref="A4:A5"/>
    <mergeCell ref="I4:I5"/>
    <mergeCell ref="J4:J5"/>
    <mergeCell ref="K4:K5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1B97-64C4-4144-AF12-3739E769DB7B}">
  <sheetPr>
    <tabColor theme="0"/>
    <pageSetUpPr fitToPage="1"/>
  </sheetPr>
  <dimension ref="A1:G46"/>
  <sheetViews>
    <sheetView zoomScale="175" zoomScaleNormal="175" workbookViewId="0">
      <selection activeCell="E46" sqref="E46"/>
    </sheetView>
  </sheetViews>
  <sheetFormatPr defaultRowHeight="15" x14ac:dyDescent="0.25"/>
  <cols>
    <col min="1" max="1" width="35.140625" style="3" customWidth="1"/>
    <col min="2" max="2" width="17.5703125" style="3" hidden="1" customWidth="1"/>
    <col min="3" max="3" width="16.140625" style="3" hidden="1" customWidth="1"/>
    <col min="4" max="4" width="14.85546875" style="3" hidden="1" customWidth="1"/>
    <col min="5" max="5" width="18" style="3" customWidth="1"/>
    <col min="6" max="6" width="15" style="3" hidden="1" customWidth="1"/>
    <col min="7" max="7" width="11.140625" style="3" hidden="1" customWidth="1"/>
    <col min="8" max="8" width="9.140625" style="3"/>
    <col min="9" max="9" width="12.5703125" style="3" customWidth="1"/>
    <col min="10" max="10" width="9.140625" style="3"/>
    <col min="11" max="11" width="10.7109375" style="3" bestFit="1" customWidth="1"/>
    <col min="12" max="14" width="9.140625" style="3"/>
    <col min="15" max="15" width="10.7109375" style="3" bestFit="1" customWidth="1"/>
    <col min="16" max="16384" width="9.140625" style="3"/>
  </cols>
  <sheetData>
    <row r="1" spans="1:7" ht="21" x14ac:dyDescent="0.35">
      <c r="A1" s="135" t="s">
        <v>330</v>
      </c>
    </row>
    <row r="3" spans="1:7" x14ac:dyDescent="0.25">
      <c r="A3" s="671" t="s">
        <v>332</v>
      </c>
      <c r="E3" s="637" t="s">
        <v>415</v>
      </c>
      <c r="F3" s="637" t="s">
        <v>104</v>
      </c>
      <c r="G3" s="637" t="s">
        <v>414</v>
      </c>
    </row>
    <row r="4" spans="1:7" x14ac:dyDescent="0.25">
      <c r="A4" s="75" t="s">
        <v>431</v>
      </c>
      <c r="E4" s="669"/>
      <c r="F4" s="672">
        <v>2</v>
      </c>
      <c r="G4" s="673">
        <f t="shared" ref="G4:G16" si="0">E4*F4</f>
        <v>0</v>
      </c>
    </row>
    <row r="5" spans="1:7" x14ac:dyDescent="0.25">
      <c r="A5" s="75" t="s">
        <v>432</v>
      </c>
      <c r="E5" s="669"/>
      <c r="F5" s="672">
        <v>2</v>
      </c>
      <c r="G5" s="673">
        <f t="shared" si="0"/>
        <v>0</v>
      </c>
    </row>
    <row r="6" spans="1:7" x14ac:dyDescent="0.25">
      <c r="A6" s="75" t="s">
        <v>433</v>
      </c>
      <c r="E6" s="669"/>
      <c r="F6" s="672">
        <v>2</v>
      </c>
      <c r="G6" s="673">
        <f t="shared" si="0"/>
        <v>0</v>
      </c>
    </row>
    <row r="7" spans="1:7" x14ac:dyDescent="0.25">
      <c r="A7" s="75" t="s">
        <v>59</v>
      </c>
      <c r="E7" s="669"/>
      <c r="F7" s="672">
        <v>3</v>
      </c>
      <c r="G7" s="673">
        <f t="shared" si="0"/>
        <v>0</v>
      </c>
    </row>
    <row r="8" spans="1:7" x14ac:dyDescent="0.25">
      <c r="A8" s="75" t="s">
        <v>434</v>
      </c>
      <c r="E8" s="669"/>
      <c r="F8" s="672">
        <v>1</v>
      </c>
      <c r="G8" s="673">
        <f t="shared" si="0"/>
        <v>0</v>
      </c>
    </row>
    <row r="9" spans="1:7" x14ac:dyDescent="0.25">
      <c r="A9" s="75" t="s">
        <v>435</v>
      </c>
      <c r="E9" s="669"/>
      <c r="F9" s="672">
        <v>14</v>
      </c>
      <c r="G9" s="673">
        <f t="shared" si="0"/>
        <v>0</v>
      </c>
    </row>
    <row r="10" spans="1:7" x14ac:dyDescent="0.25">
      <c r="A10" s="75" t="s">
        <v>436</v>
      </c>
      <c r="E10" s="669"/>
      <c r="F10" s="672">
        <v>10</v>
      </c>
      <c r="G10" s="673">
        <f t="shared" si="0"/>
        <v>0</v>
      </c>
    </row>
    <row r="11" spans="1:7" hidden="1" x14ac:dyDescent="0.25">
      <c r="A11" s="56" t="s">
        <v>226</v>
      </c>
      <c r="E11" s="690"/>
      <c r="F11" s="672">
        <f>B42</f>
        <v>40100</v>
      </c>
      <c r="G11" s="673">
        <f t="shared" si="0"/>
        <v>0</v>
      </c>
    </row>
    <row r="12" spans="1:7" hidden="1" x14ac:dyDescent="0.25">
      <c r="A12" s="56" t="s">
        <v>237</v>
      </c>
      <c r="E12" s="690"/>
      <c r="F12" s="672">
        <f>C42</f>
        <v>300</v>
      </c>
      <c r="G12" s="673">
        <f t="shared" si="0"/>
        <v>0</v>
      </c>
    </row>
    <row r="13" spans="1:7" hidden="1" x14ac:dyDescent="0.25">
      <c r="A13" s="56" t="s">
        <v>234</v>
      </c>
      <c r="E13" s="690"/>
      <c r="F13" s="672">
        <f>D42</f>
        <v>550</v>
      </c>
      <c r="G13" s="673">
        <f t="shared" si="0"/>
        <v>0</v>
      </c>
    </row>
    <row r="14" spans="1:7" hidden="1" x14ac:dyDescent="0.25">
      <c r="A14" s="56" t="s">
        <v>235</v>
      </c>
      <c r="E14" s="690"/>
      <c r="F14" s="672">
        <f>E42</f>
        <v>0</v>
      </c>
      <c r="G14" s="673">
        <f t="shared" si="0"/>
        <v>0</v>
      </c>
    </row>
    <row r="15" spans="1:7" hidden="1" x14ac:dyDescent="0.25">
      <c r="A15" s="56" t="s">
        <v>236</v>
      </c>
      <c r="E15" s="690"/>
      <c r="F15" s="672">
        <f>F42</f>
        <v>270</v>
      </c>
      <c r="G15" s="673">
        <f t="shared" si="0"/>
        <v>0</v>
      </c>
    </row>
    <row r="16" spans="1:7" hidden="1" x14ac:dyDescent="0.25">
      <c r="A16" s="56" t="s">
        <v>245</v>
      </c>
      <c r="E16" s="690"/>
      <c r="F16" s="672">
        <f>Personal!B73</f>
        <v>0</v>
      </c>
      <c r="G16" s="673">
        <f t="shared" si="0"/>
        <v>0</v>
      </c>
    </row>
    <row r="17" spans="1:7" hidden="1" x14ac:dyDescent="0.25">
      <c r="E17" s="691"/>
      <c r="G17" s="674">
        <f>SUM(G4:G16)</f>
        <v>0</v>
      </c>
    </row>
    <row r="18" spans="1:7" hidden="1" x14ac:dyDescent="0.25">
      <c r="E18" s="691"/>
    </row>
    <row r="19" spans="1:7" ht="18" hidden="1" customHeight="1" x14ac:dyDescent="0.4">
      <c r="A19" s="675"/>
      <c r="B19" s="675"/>
      <c r="E19" s="692"/>
    </row>
    <row r="20" spans="1:7" hidden="1" x14ac:dyDescent="0.25">
      <c r="B20" s="637" t="s">
        <v>104</v>
      </c>
      <c r="C20" s="637" t="s">
        <v>407</v>
      </c>
      <c r="D20" s="676" t="s">
        <v>408</v>
      </c>
      <c r="E20" s="692"/>
    </row>
    <row r="21" spans="1:7" x14ac:dyDescent="0.25">
      <c r="A21" s="56" t="s">
        <v>226</v>
      </c>
      <c r="B21" s="677">
        <v>38500</v>
      </c>
      <c r="C21" s="678">
        <v>2415.09</v>
      </c>
      <c r="D21" s="679">
        <f>C21/B21</f>
        <v>6.2729610389610391E-2</v>
      </c>
      <c r="E21" s="670"/>
    </row>
    <row r="22" spans="1:7" x14ac:dyDescent="0.25">
      <c r="A22" s="56" t="s">
        <v>237</v>
      </c>
      <c r="B22" s="677">
        <v>300</v>
      </c>
      <c r="C22" s="678">
        <v>19586</v>
      </c>
      <c r="D22" s="679">
        <f>C22/B22</f>
        <v>65.286666666666662</v>
      </c>
      <c r="E22" s="670"/>
    </row>
    <row r="23" spans="1:7" x14ac:dyDescent="0.25">
      <c r="A23" s="56" t="s">
        <v>234</v>
      </c>
      <c r="B23" s="677">
        <v>520</v>
      </c>
      <c r="C23" s="678">
        <v>1884.98</v>
      </c>
      <c r="D23" s="679">
        <f>C23/B23</f>
        <v>3.6249615384615383</v>
      </c>
      <c r="E23" s="670"/>
    </row>
    <row r="24" spans="1:7" x14ac:dyDescent="0.25">
      <c r="A24" s="56" t="s">
        <v>235</v>
      </c>
      <c r="B24" s="677">
        <v>900</v>
      </c>
      <c r="C24" s="678">
        <v>593.01</v>
      </c>
      <c r="D24" s="679">
        <f>C24/B24</f>
        <v>0.65890000000000004</v>
      </c>
      <c r="E24" s="670"/>
    </row>
    <row r="25" spans="1:7" x14ac:dyDescent="0.25">
      <c r="A25" s="56" t="s">
        <v>236</v>
      </c>
      <c r="B25" s="677">
        <v>290</v>
      </c>
      <c r="C25" s="678">
        <v>2102.29</v>
      </c>
      <c r="D25" s="679">
        <f>C25/B25</f>
        <v>7.2492758620689655</v>
      </c>
      <c r="E25" s="670"/>
    </row>
    <row r="26" spans="1:7" hidden="1" x14ac:dyDescent="0.25">
      <c r="C26" s="680">
        <f>SUM(C21:C25)</f>
        <v>26581.37</v>
      </c>
      <c r="E26" s="693"/>
    </row>
    <row r="27" spans="1:7" hidden="1" x14ac:dyDescent="0.25">
      <c r="E27" s="693"/>
    </row>
    <row r="28" spans="1:7" ht="30" hidden="1" x14ac:dyDescent="0.25">
      <c r="A28" s="681" t="s">
        <v>409</v>
      </c>
      <c r="B28" s="682" t="s">
        <v>226</v>
      </c>
      <c r="C28" s="683" t="s">
        <v>410</v>
      </c>
      <c r="D28" s="683" t="s">
        <v>411</v>
      </c>
      <c r="E28" s="694"/>
      <c r="F28" s="683" t="s">
        <v>412</v>
      </c>
    </row>
    <row r="29" spans="1:7" hidden="1" x14ac:dyDescent="0.25">
      <c r="A29" s="684" t="s">
        <v>86</v>
      </c>
      <c r="B29" s="672">
        <v>21400</v>
      </c>
      <c r="C29" s="672">
        <v>0</v>
      </c>
      <c r="D29" s="672">
        <v>50</v>
      </c>
      <c r="E29" s="695"/>
      <c r="F29" s="672">
        <v>90</v>
      </c>
    </row>
    <row r="30" spans="1:7" hidden="1" x14ac:dyDescent="0.25">
      <c r="A30" s="684" t="s">
        <v>77</v>
      </c>
      <c r="B30" s="672">
        <v>1900</v>
      </c>
      <c r="C30" s="672">
        <v>150</v>
      </c>
      <c r="D30" s="672">
        <v>50</v>
      </c>
      <c r="E30" s="695"/>
      <c r="F30" s="672">
        <v>20</v>
      </c>
    </row>
    <row r="31" spans="1:7" hidden="1" x14ac:dyDescent="0.25">
      <c r="A31" s="684" t="s">
        <v>92</v>
      </c>
      <c r="B31" s="672">
        <v>0</v>
      </c>
      <c r="C31" s="672">
        <v>150</v>
      </c>
      <c r="D31" s="672">
        <v>50</v>
      </c>
      <c r="E31" s="695"/>
      <c r="F31" s="672">
        <v>20</v>
      </c>
    </row>
    <row r="32" spans="1:7" hidden="1" x14ac:dyDescent="0.25">
      <c r="A32" s="684" t="s">
        <v>188</v>
      </c>
      <c r="B32" s="672">
        <v>1000</v>
      </c>
      <c r="C32" s="672">
        <v>0</v>
      </c>
      <c r="D32" s="672">
        <v>50</v>
      </c>
      <c r="E32" s="695"/>
      <c r="F32" s="672">
        <v>20</v>
      </c>
    </row>
    <row r="33" spans="1:6" hidden="1" x14ac:dyDescent="0.25">
      <c r="A33" s="684" t="s">
        <v>189</v>
      </c>
      <c r="B33" s="672">
        <v>1500</v>
      </c>
      <c r="C33" s="672">
        <v>0</v>
      </c>
      <c r="D33" s="672">
        <v>50</v>
      </c>
      <c r="E33" s="695"/>
      <c r="F33" s="672">
        <v>20</v>
      </c>
    </row>
    <row r="34" spans="1:6" hidden="1" x14ac:dyDescent="0.25">
      <c r="A34" s="684" t="s">
        <v>190</v>
      </c>
      <c r="B34" s="672">
        <v>1500</v>
      </c>
      <c r="C34" s="672">
        <v>0</v>
      </c>
      <c r="D34" s="672">
        <v>50</v>
      </c>
      <c r="E34" s="695"/>
      <c r="F34" s="672">
        <v>20</v>
      </c>
    </row>
    <row r="35" spans="1:6" hidden="1" x14ac:dyDescent="0.25">
      <c r="A35" s="684" t="s">
        <v>191</v>
      </c>
      <c r="B35" s="672">
        <v>11400</v>
      </c>
      <c r="C35" s="672">
        <v>0</v>
      </c>
      <c r="D35" s="672">
        <v>50</v>
      </c>
      <c r="E35" s="695"/>
      <c r="F35" s="672">
        <v>20</v>
      </c>
    </row>
    <row r="36" spans="1:6" hidden="1" x14ac:dyDescent="0.25">
      <c r="A36" s="684" t="s">
        <v>222</v>
      </c>
      <c r="B36" s="672">
        <v>1400</v>
      </c>
      <c r="C36" s="672">
        <v>0</v>
      </c>
      <c r="D36" s="672">
        <v>50</v>
      </c>
      <c r="E36" s="695"/>
      <c r="F36" s="672">
        <v>20</v>
      </c>
    </row>
    <row r="37" spans="1:6" hidden="1" x14ac:dyDescent="0.25">
      <c r="A37" s="684" t="s">
        <v>210</v>
      </c>
      <c r="B37" s="672">
        <v>0</v>
      </c>
      <c r="C37" s="672">
        <v>0</v>
      </c>
      <c r="D37" s="672">
        <v>50</v>
      </c>
      <c r="E37" s="695"/>
      <c r="F37" s="672">
        <v>20</v>
      </c>
    </row>
    <row r="38" spans="1:6" hidden="1" x14ac:dyDescent="0.25">
      <c r="A38" s="685" t="s">
        <v>194</v>
      </c>
      <c r="B38" s="672">
        <v>0</v>
      </c>
      <c r="C38" s="672">
        <v>0</v>
      </c>
      <c r="D38" s="672">
        <v>50</v>
      </c>
      <c r="E38" s="695"/>
      <c r="F38" s="672">
        <v>20</v>
      </c>
    </row>
    <row r="39" spans="1:6" hidden="1" x14ac:dyDescent="0.25">
      <c r="A39" s="685" t="s">
        <v>193</v>
      </c>
      <c r="B39" s="672">
        <v>0</v>
      </c>
      <c r="C39" s="672">
        <v>0</v>
      </c>
      <c r="D39" s="672">
        <v>0</v>
      </c>
      <c r="E39" s="695"/>
      <c r="F39" s="672">
        <v>0</v>
      </c>
    </row>
    <row r="40" spans="1:6" hidden="1" x14ac:dyDescent="0.25">
      <c r="A40" s="685" t="s">
        <v>192</v>
      </c>
      <c r="B40" s="672">
        <v>0</v>
      </c>
      <c r="C40" s="672">
        <v>0</v>
      </c>
      <c r="D40" s="672">
        <v>50</v>
      </c>
      <c r="E40" s="695"/>
      <c r="F40" s="672">
        <v>0</v>
      </c>
    </row>
    <row r="41" spans="1:6" hidden="1" x14ac:dyDescent="0.25">
      <c r="A41" s="685" t="s">
        <v>69</v>
      </c>
      <c r="B41" s="677">
        <v>0</v>
      </c>
      <c r="C41" s="677">
        <v>0</v>
      </c>
      <c r="D41" s="677">
        <v>0</v>
      </c>
      <c r="E41" s="695"/>
      <c r="F41" s="677">
        <v>0</v>
      </c>
    </row>
    <row r="42" spans="1:6" hidden="1" x14ac:dyDescent="0.25">
      <c r="B42" s="3">
        <f>SUM(B29:B41)</f>
        <v>40100</v>
      </c>
      <c r="C42" s="3">
        <f t="shared" ref="C42:F42" si="1">SUM(C29:C41)</f>
        <v>300</v>
      </c>
      <c r="D42" s="3">
        <f t="shared" si="1"/>
        <v>550</v>
      </c>
      <c r="E42" s="693"/>
      <c r="F42" s="3">
        <f t="shared" si="1"/>
        <v>270</v>
      </c>
    </row>
    <row r="43" spans="1:6" hidden="1" x14ac:dyDescent="0.25">
      <c r="E43" s="693"/>
    </row>
    <row r="44" spans="1:6" hidden="1" x14ac:dyDescent="0.25">
      <c r="A44" s="686"/>
      <c r="E44" s="696"/>
    </row>
    <row r="45" spans="1:6" hidden="1" x14ac:dyDescent="0.25">
      <c r="A45" s="686"/>
      <c r="B45" s="687" t="s">
        <v>407</v>
      </c>
      <c r="C45" s="637" t="s">
        <v>413</v>
      </c>
      <c r="D45" s="676" t="s">
        <v>408</v>
      </c>
      <c r="E45" s="696"/>
    </row>
    <row r="46" spans="1:6" x14ac:dyDescent="0.25">
      <c r="A46" s="56" t="s">
        <v>245</v>
      </c>
      <c r="B46" s="678">
        <v>26295.47</v>
      </c>
      <c r="C46" s="688">
        <v>37</v>
      </c>
      <c r="D46" s="689">
        <f>B46/C46</f>
        <v>710.68837837837839</v>
      </c>
      <c r="E46" s="670"/>
    </row>
  </sheetData>
  <sheetProtection algorithmName="SHA-512" hashValue="3J2jeIQ08pnpeK0KJM3vj3T5oNvT86WCxFwK+crJu5iqP1CzJnZsQfdk4T9OsPRda+rcNWJwpLyQ6uFxTmWp4w==" saltValue="uDPVrRLJgyQYP/BAW8CUjA==" spinCount="100000" sheet="1" selectLockedCells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U73"/>
  <sheetViews>
    <sheetView showGridLines="0" zoomScale="70" zoomScaleNormal="70" zoomScaleSheetLayoutView="70" workbookViewId="0">
      <selection activeCell="I42" sqref="I42"/>
    </sheetView>
  </sheetViews>
  <sheetFormatPr defaultColWidth="11.42578125" defaultRowHeight="15" x14ac:dyDescent="0.25"/>
  <cols>
    <col min="1" max="1" width="0.7109375" style="87" customWidth="1"/>
    <col min="2" max="2" width="48.7109375" style="87" customWidth="1"/>
    <col min="3" max="3" width="17.28515625" style="87" bestFit="1" customWidth="1"/>
    <col min="4" max="4" width="16.7109375" style="87" bestFit="1" customWidth="1"/>
    <col min="5" max="5" width="12.5703125" style="87" bestFit="1" customWidth="1"/>
    <col min="6" max="6" width="11.5703125" style="87" bestFit="1" customWidth="1"/>
    <col min="7" max="7" width="18.28515625" style="87" bestFit="1" customWidth="1"/>
    <col min="8" max="8" width="15.5703125" style="87" customWidth="1"/>
    <col min="9" max="9" width="15.42578125" style="87" bestFit="1" customWidth="1"/>
    <col min="10" max="11" width="15.28515625" style="87" customWidth="1"/>
    <col min="12" max="12" width="17.28515625" style="87" customWidth="1"/>
    <col min="13" max="13" width="15.85546875" style="87" customWidth="1"/>
    <col min="14" max="15" width="15.28515625" style="87" customWidth="1"/>
    <col min="16" max="16" width="18.140625" style="87" customWidth="1"/>
    <col min="17" max="17" width="16.28515625" style="87" customWidth="1"/>
    <col min="18" max="18" width="18" style="87" customWidth="1"/>
    <col min="19" max="19" width="0.7109375" style="87" customWidth="1"/>
    <col min="20" max="20" width="11.5703125" style="87" bestFit="1" customWidth="1"/>
    <col min="21" max="16384" width="11.42578125" style="87"/>
  </cols>
  <sheetData>
    <row r="2" spans="1:21" ht="26.25" x14ac:dyDescent="0.25">
      <c r="B2" s="151" t="s">
        <v>102</v>
      </c>
      <c r="C2" s="152"/>
      <c r="D2" s="152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21" s="153" customFormat="1" ht="6" customHeight="1" x14ac:dyDescent="0.25">
      <c r="E3" s="154"/>
    </row>
    <row r="4" spans="1:21" s="153" customFormat="1" ht="3" customHeight="1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T4" s="155"/>
      <c r="U4" s="155"/>
    </row>
    <row r="5" spans="1:21" s="153" customFormat="1" ht="6" customHeight="1" x14ac:dyDescent="0.25">
      <c r="E5" s="154"/>
    </row>
    <row r="6" spans="1:21" ht="15.75" x14ac:dyDescent="0.25">
      <c r="B6" s="156" t="s">
        <v>98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3"/>
      <c r="T6" s="157"/>
      <c r="U6" s="157"/>
    </row>
    <row r="7" spans="1:21" s="153" customFormat="1" ht="6" customHeight="1" x14ac:dyDescent="0.25">
      <c r="E7" s="154"/>
    </row>
    <row r="8" spans="1:21" x14ac:dyDescent="0.25">
      <c r="B8" s="748" t="s">
        <v>8</v>
      </c>
      <c r="C8" s="751" t="s">
        <v>27</v>
      </c>
      <c r="D8" s="754" t="s">
        <v>249</v>
      </c>
      <c r="E8" s="751" t="s">
        <v>9</v>
      </c>
      <c r="F8" s="757" t="s">
        <v>10</v>
      </c>
      <c r="G8" s="158" t="s">
        <v>11</v>
      </c>
      <c r="H8" s="159"/>
      <c r="I8" s="159"/>
      <c r="J8" s="159"/>
      <c r="K8" s="159"/>
      <c r="L8" s="159" t="s">
        <v>12</v>
      </c>
      <c r="M8" s="160" t="s">
        <v>13</v>
      </c>
      <c r="N8" s="161" t="s">
        <v>14</v>
      </c>
      <c r="O8" s="162"/>
      <c r="P8" s="160" t="s">
        <v>15</v>
      </c>
      <c r="Q8" s="159" t="s">
        <v>4</v>
      </c>
      <c r="R8" s="158" t="s">
        <v>16</v>
      </c>
      <c r="S8" s="153"/>
      <c r="T8" s="741" t="s">
        <v>94</v>
      </c>
      <c r="U8" s="737" t="s">
        <v>94</v>
      </c>
    </row>
    <row r="9" spans="1:21" ht="15" customHeight="1" x14ac:dyDescent="0.25">
      <c r="B9" s="749"/>
      <c r="C9" s="752"/>
      <c r="D9" s="755"/>
      <c r="E9" s="752"/>
      <c r="F9" s="739"/>
      <c r="G9" s="163"/>
      <c r="H9" s="164"/>
      <c r="I9" s="164"/>
      <c r="J9" s="164"/>
      <c r="K9" s="743" t="s">
        <v>419</v>
      </c>
      <c r="L9" s="165"/>
      <c r="M9" s="166"/>
      <c r="N9" s="166"/>
      <c r="O9" s="739" t="s">
        <v>18</v>
      </c>
      <c r="P9" s="166"/>
      <c r="Q9" s="167"/>
      <c r="R9" s="163"/>
      <c r="S9" s="153"/>
      <c r="T9" s="742"/>
      <c r="U9" s="738"/>
    </row>
    <row r="10" spans="1:21" ht="15" customHeight="1" x14ac:dyDescent="0.25">
      <c r="B10" s="750"/>
      <c r="C10" s="753"/>
      <c r="D10" s="756"/>
      <c r="E10" s="753"/>
      <c r="F10" s="740"/>
      <c r="G10" s="168" t="s">
        <v>1</v>
      </c>
      <c r="H10" s="169" t="s">
        <v>6</v>
      </c>
      <c r="I10" s="170" t="s">
        <v>17</v>
      </c>
      <c r="J10" s="170" t="s">
        <v>66</v>
      </c>
      <c r="K10" s="744"/>
      <c r="L10" s="171"/>
      <c r="M10" s="634">
        <f>Paràmetres!C6</f>
        <v>0</v>
      </c>
      <c r="N10" s="634">
        <f>Paràmetres!C5</f>
        <v>0</v>
      </c>
      <c r="O10" s="740"/>
      <c r="P10" s="172"/>
      <c r="Q10" s="173">
        <v>0.1</v>
      </c>
      <c r="R10" s="168" t="s">
        <v>19</v>
      </c>
      <c r="S10" s="153"/>
      <c r="T10" s="169" t="s">
        <v>95</v>
      </c>
      <c r="U10" s="174" t="s">
        <v>96</v>
      </c>
    </row>
    <row r="11" spans="1:21" s="153" customFormat="1" ht="6" customHeight="1" x14ac:dyDescent="0.25">
      <c r="A11" s="87"/>
      <c r="E11" s="154"/>
    </row>
    <row r="12" spans="1:21" x14ac:dyDescent="0.25">
      <c r="B12" s="175" t="s">
        <v>91</v>
      </c>
      <c r="C12" s="176"/>
      <c r="D12" s="176"/>
      <c r="E12" s="177"/>
      <c r="F12" s="177"/>
      <c r="G12" s="178"/>
      <c r="H12" s="179"/>
      <c r="I12" s="179"/>
      <c r="J12" s="178"/>
      <c r="K12" s="178"/>
      <c r="L12" s="178"/>
      <c r="M12" s="178"/>
      <c r="N12" s="178"/>
      <c r="O12" s="179"/>
      <c r="P12" s="178"/>
      <c r="Q12" s="178"/>
      <c r="R12" s="178"/>
      <c r="S12" s="180"/>
      <c r="T12" s="178"/>
      <c r="U12" s="178"/>
    </row>
    <row r="13" spans="1:21" x14ac:dyDescent="0.25">
      <c r="B13" s="71" t="s">
        <v>86</v>
      </c>
      <c r="C13" s="181">
        <f>EM!O210</f>
        <v>0</v>
      </c>
      <c r="D13" s="181">
        <f>EM!O209</f>
        <v>0</v>
      </c>
      <c r="E13" s="182">
        <f>EM!I57</f>
        <v>0</v>
      </c>
      <c r="F13" s="182">
        <f>EM!J57</f>
        <v>0</v>
      </c>
      <c r="G13" s="633">
        <f>EM!O57</f>
        <v>0</v>
      </c>
      <c r="H13" s="633">
        <f>EM!O111</f>
        <v>0</v>
      </c>
      <c r="I13" s="633">
        <f>EM!O163</f>
        <v>0</v>
      </c>
      <c r="J13" s="633">
        <f>EM!O173</f>
        <v>0</v>
      </c>
      <c r="K13" s="633">
        <f>EM!O185</f>
        <v>0</v>
      </c>
      <c r="L13" s="183">
        <f t="shared" ref="L13:L24" si="0">G13+H13+I13+J13+K13</f>
        <v>0</v>
      </c>
      <c r="M13" s="183">
        <f>+L13*M$10</f>
        <v>0</v>
      </c>
      <c r="N13" s="183">
        <f>+L13*N$10</f>
        <v>0</v>
      </c>
      <c r="O13" s="633">
        <f>EM!O168</f>
        <v>0</v>
      </c>
      <c r="P13" s="183">
        <f>SUM(L13:O13)</f>
        <v>0</v>
      </c>
      <c r="Q13" s="183">
        <f>+$Q$10*P13</f>
        <v>0</v>
      </c>
      <c r="R13" s="183">
        <f>SUM(P13:Q13)</f>
        <v>0</v>
      </c>
      <c r="S13" s="184"/>
      <c r="T13" s="181" t="e">
        <f>+EM!O211</f>
        <v>#DIV/0!</v>
      </c>
      <c r="U13" s="181" t="e">
        <f>+EM!O212</f>
        <v>#DIV/0!</v>
      </c>
    </row>
    <row r="14" spans="1:21" x14ac:dyDescent="0.25">
      <c r="B14" s="71" t="s">
        <v>77</v>
      </c>
      <c r="C14" s="181">
        <f>EMX!O275</f>
        <v>0</v>
      </c>
      <c r="D14" s="181">
        <f>EMX!O274</f>
        <v>0</v>
      </c>
      <c r="E14" s="182">
        <f>EMX!I75</f>
        <v>0</v>
      </c>
      <c r="F14" s="182">
        <f>EMX!J75</f>
        <v>0</v>
      </c>
      <c r="G14" s="633">
        <f>EMX!O75</f>
        <v>0</v>
      </c>
      <c r="H14" s="633">
        <f>EMX!O151</f>
        <v>0</v>
      </c>
      <c r="I14" s="633">
        <f>EMX!O221</f>
        <v>0</v>
      </c>
      <c r="J14" s="633">
        <f>EMX!O237</f>
        <v>0</v>
      </c>
      <c r="K14" s="633">
        <f>EMX!O250</f>
        <v>0</v>
      </c>
      <c r="L14" s="183">
        <f t="shared" si="0"/>
        <v>0</v>
      </c>
      <c r="M14" s="183">
        <f t="shared" ref="M14:M22" si="1">+L14*M$10</f>
        <v>0</v>
      </c>
      <c r="N14" s="183">
        <f t="shared" ref="N14" si="2">+L14*N$10</f>
        <v>0</v>
      </c>
      <c r="O14" s="633">
        <f>EMX!O229</f>
        <v>34699.936249999999</v>
      </c>
      <c r="P14" s="183">
        <f>SUM(L14:O14)</f>
        <v>34699.936249999999</v>
      </c>
      <c r="Q14" s="183">
        <f t="shared" ref="Q14:Q24" si="3">+$Q$10*P14</f>
        <v>3469.9936250000001</v>
      </c>
      <c r="R14" s="183">
        <f t="shared" ref="R14" si="4">SUM(P14:Q14)</f>
        <v>38169.929875000002</v>
      </c>
      <c r="S14" s="184"/>
      <c r="T14" s="181" t="e">
        <f>EMX!O276</f>
        <v>#DIV/0!</v>
      </c>
      <c r="U14" s="181" t="e">
        <f>EMX!O277</f>
        <v>#DIV/0!</v>
      </c>
    </row>
    <row r="15" spans="1:21" x14ac:dyDescent="0.25">
      <c r="B15" s="71" t="s">
        <v>92</v>
      </c>
      <c r="C15" s="181">
        <f>EMC!O210</f>
        <v>0</v>
      </c>
      <c r="D15" s="181">
        <f>EMC!O209</f>
        <v>0</v>
      </c>
      <c r="E15" s="182">
        <f>EMC!I57</f>
        <v>0</v>
      </c>
      <c r="F15" s="182">
        <f>EMC!J57</f>
        <v>0</v>
      </c>
      <c r="G15" s="633">
        <f>EMC!O57</f>
        <v>0</v>
      </c>
      <c r="H15" s="633">
        <f>EMC!O111</f>
        <v>0</v>
      </c>
      <c r="I15" s="633">
        <f>EMC!O163</f>
        <v>0</v>
      </c>
      <c r="J15" s="633">
        <f>EMC!O175</f>
        <v>0</v>
      </c>
      <c r="K15" s="633">
        <f>EMC!O185</f>
        <v>0</v>
      </c>
      <c r="L15" s="183">
        <f t="shared" si="0"/>
        <v>0</v>
      </c>
      <c r="M15" s="183">
        <f>+L15*M$10</f>
        <v>0</v>
      </c>
      <c r="N15" s="183">
        <f>+L15*N$10</f>
        <v>0</v>
      </c>
      <c r="O15" s="633">
        <f>EMC!O168</f>
        <v>0</v>
      </c>
      <c r="P15" s="183">
        <f>SUM(L15:O15)</f>
        <v>0</v>
      </c>
      <c r="Q15" s="183">
        <f>+$Q$10*P15</f>
        <v>0</v>
      </c>
      <c r="R15" s="183">
        <f>SUM(P15:Q15)</f>
        <v>0</v>
      </c>
      <c r="S15" s="184"/>
      <c r="T15" s="181" t="e">
        <f>EMC!O211</f>
        <v>#DIV/0!</v>
      </c>
      <c r="U15" s="181" t="e">
        <f>EMC!O212</f>
        <v>#DIV/0!</v>
      </c>
    </row>
    <row r="16" spans="1:21" x14ac:dyDescent="0.25">
      <c r="B16" s="71" t="s">
        <v>188</v>
      </c>
      <c r="C16" s="181">
        <f>B_HERB!O264</f>
        <v>0</v>
      </c>
      <c r="D16" s="181">
        <f>B_HERB!O263</f>
        <v>0</v>
      </c>
      <c r="E16" s="182">
        <f>B_HERB!I75</f>
        <v>0</v>
      </c>
      <c r="F16" s="182">
        <f>B_HERB!J75</f>
        <v>0</v>
      </c>
      <c r="G16" s="633">
        <f>B_HERB!O75</f>
        <v>0</v>
      </c>
      <c r="H16" s="633">
        <f>B_HERB!O147</f>
        <v>0</v>
      </c>
      <c r="I16" s="633">
        <f>B_HERB!O217</f>
        <v>0</v>
      </c>
      <c r="J16" s="633">
        <f>B_HERB!O228</f>
        <v>0</v>
      </c>
      <c r="K16" s="633">
        <f>B_HERB!O239</f>
        <v>0</v>
      </c>
      <c r="L16" s="183">
        <f t="shared" si="0"/>
        <v>0</v>
      </c>
      <c r="M16" s="183">
        <f t="shared" si="1"/>
        <v>0</v>
      </c>
      <c r="N16" s="183">
        <f>+L16*N$10</f>
        <v>0</v>
      </c>
      <c r="O16" s="633">
        <f>B_HERB!O222</f>
        <v>0</v>
      </c>
      <c r="P16" s="183">
        <f>SUM(L16:O16)</f>
        <v>0</v>
      </c>
      <c r="Q16" s="183">
        <f t="shared" si="3"/>
        <v>0</v>
      </c>
      <c r="R16" s="183">
        <f>SUM(P16:Q16)</f>
        <v>0</v>
      </c>
      <c r="S16" s="184"/>
      <c r="T16" s="181" t="e">
        <f>B_HERB!O265</f>
        <v>#DIV/0!</v>
      </c>
      <c r="U16" s="181" t="e">
        <f>B_HERB!O266</f>
        <v>#DIV/0!</v>
      </c>
    </row>
    <row r="17" spans="1:21" x14ac:dyDescent="0.25">
      <c r="B17" s="71" t="s">
        <v>189</v>
      </c>
      <c r="C17" s="181">
        <f>B_CAIXA!O230</f>
        <v>0</v>
      </c>
      <c r="D17" s="181">
        <f>B_CAIXA!O229</f>
        <v>0</v>
      </c>
      <c r="E17" s="182">
        <f>B_CAIXA!I75</f>
        <v>0</v>
      </c>
      <c r="F17" s="182">
        <f>B_CAIXA!J75</f>
        <v>0</v>
      </c>
      <c r="G17" s="633">
        <f>B_CAIXA!O75</f>
        <v>0</v>
      </c>
      <c r="H17" s="633">
        <f>B_CAIXA!O133</f>
        <v>0</v>
      </c>
      <c r="I17" s="633">
        <f>B_CAIXA!O185</f>
        <v>0</v>
      </c>
      <c r="J17" s="633">
        <f>B_CAIXA!O195</f>
        <v>0</v>
      </c>
      <c r="K17" s="633">
        <f>B_CAIXA!O205</f>
        <v>0</v>
      </c>
      <c r="L17" s="183">
        <f t="shared" si="0"/>
        <v>0</v>
      </c>
      <c r="M17" s="183">
        <f t="shared" si="1"/>
        <v>0</v>
      </c>
      <c r="N17" s="183">
        <f t="shared" ref="N17:N21" si="5">+L17*N$10</f>
        <v>0</v>
      </c>
      <c r="O17" s="633">
        <f>B_CAIXA!O190</f>
        <v>0</v>
      </c>
      <c r="P17" s="183">
        <f t="shared" ref="P17:P23" si="6">SUM(L17:O17)</f>
        <v>0</v>
      </c>
      <c r="Q17" s="183">
        <f t="shared" si="3"/>
        <v>0</v>
      </c>
      <c r="R17" s="183">
        <f t="shared" ref="R17:R21" si="7">SUM(P17:Q17)</f>
        <v>0</v>
      </c>
      <c r="S17" s="184"/>
      <c r="T17" s="181" t="e">
        <f>B_CAIXA!O231</f>
        <v>#DIV/0!</v>
      </c>
      <c r="U17" s="181" t="e">
        <f>B_CAIXA!O232</f>
        <v>#DIV/0!</v>
      </c>
    </row>
    <row r="18" spans="1:21" x14ac:dyDescent="0.25">
      <c r="B18" s="71" t="s">
        <v>190</v>
      </c>
      <c r="C18" s="181">
        <f>B_MERC!O226</f>
        <v>0</v>
      </c>
      <c r="D18" s="181">
        <f>B_MERC!O225</f>
        <v>0</v>
      </c>
      <c r="E18" s="182">
        <f>B_MERC!I75</f>
        <v>0</v>
      </c>
      <c r="F18" s="182">
        <f>B_MERC!J75</f>
        <v>0</v>
      </c>
      <c r="G18" s="633">
        <f>B_MERC!O75</f>
        <v>0</v>
      </c>
      <c r="H18" s="633">
        <f>B_MERC!O129</f>
        <v>0</v>
      </c>
      <c r="I18" s="633">
        <f>B_MERC!O181</f>
        <v>0</v>
      </c>
      <c r="J18" s="633">
        <f>B_MERC!O191</f>
        <v>0</v>
      </c>
      <c r="K18" s="633">
        <f>B_MERC!O201</f>
        <v>0</v>
      </c>
      <c r="L18" s="183">
        <f t="shared" si="0"/>
        <v>0</v>
      </c>
      <c r="M18" s="183">
        <f t="shared" si="1"/>
        <v>0</v>
      </c>
      <c r="N18" s="183">
        <f t="shared" si="5"/>
        <v>0</v>
      </c>
      <c r="O18" s="633">
        <f>B_MERC!O186</f>
        <v>1107.1875</v>
      </c>
      <c r="P18" s="183">
        <f t="shared" si="6"/>
        <v>1107.1875</v>
      </c>
      <c r="Q18" s="183">
        <f t="shared" si="3"/>
        <v>110.71875</v>
      </c>
      <c r="R18" s="183">
        <f t="shared" si="7"/>
        <v>1217.90625</v>
      </c>
      <c r="S18" s="184"/>
      <c r="T18" s="181" t="e">
        <f>B_MERC!O227</f>
        <v>#DIV/0!</v>
      </c>
      <c r="U18" s="181" t="e">
        <f>B_MERC!O228</f>
        <v>#DIV/0!</v>
      </c>
    </row>
    <row r="19" spans="1:21" x14ac:dyDescent="0.25">
      <c r="B19" s="71" t="s">
        <v>191</v>
      </c>
      <c r="C19" s="181">
        <f>B_PAPER!O207</f>
        <v>0</v>
      </c>
      <c r="D19" s="181">
        <f>B_PAPER!O206</f>
        <v>0</v>
      </c>
      <c r="E19" s="182">
        <f>B_PAPER!I57</f>
        <v>0</v>
      </c>
      <c r="F19" s="182">
        <f>B_PAPER!J57</f>
        <v>0</v>
      </c>
      <c r="G19" s="633">
        <f>B_PAPER!O57</f>
        <v>0</v>
      </c>
      <c r="H19" s="633">
        <f>B_PAPER!O110</f>
        <v>0</v>
      </c>
      <c r="I19" s="633">
        <f>B_PAPER!O162</f>
        <v>0</v>
      </c>
      <c r="J19" s="633">
        <f>B_PAPER!O172</f>
        <v>0</v>
      </c>
      <c r="K19" s="633">
        <f>B_PAPER!O182</f>
        <v>0</v>
      </c>
      <c r="L19" s="183">
        <f t="shared" si="0"/>
        <v>0</v>
      </c>
      <c r="M19" s="183">
        <f t="shared" si="1"/>
        <v>0</v>
      </c>
      <c r="N19" s="183">
        <f t="shared" si="5"/>
        <v>0</v>
      </c>
      <c r="O19" s="633">
        <f>B_PAPER!O167</f>
        <v>0</v>
      </c>
      <c r="P19" s="183">
        <f t="shared" si="6"/>
        <v>0</v>
      </c>
      <c r="Q19" s="183">
        <f t="shared" si="3"/>
        <v>0</v>
      </c>
      <c r="R19" s="183">
        <f t="shared" si="7"/>
        <v>0</v>
      </c>
      <c r="S19" s="184"/>
      <c r="T19" s="181" t="e">
        <f>B_PAPER!O208</f>
        <v>#DIV/0!</v>
      </c>
      <c r="U19" s="181" t="e">
        <f>B_PAPER!O209</f>
        <v>#DIV/0!</v>
      </c>
    </row>
    <row r="20" spans="1:21" x14ac:dyDescent="0.25">
      <c r="B20" s="71" t="s">
        <v>222</v>
      </c>
      <c r="C20" s="181">
        <f>B_ACT!O226</f>
        <v>0</v>
      </c>
      <c r="D20" s="181">
        <f>B_ACT!O225</f>
        <v>0</v>
      </c>
      <c r="E20" s="182">
        <f>B_ACT!I75</f>
        <v>0</v>
      </c>
      <c r="F20" s="182">
        <f>B_ACT!J75</f>
        <v>0</v>
      </c>
      <c r="G20" s="633">
        <f>B_ACT!O75</f>
        <v>0</v>
      </c>
      <c r="H20" s="633">
        <f>B_ACT!O129</f>
        <v>0</v>
      </c>
      <c r="I20" s="633">
        <f>B_ACT!O181</f>
        <v>0</v>
      </c>
      <c r="J20" s="633">
        <f>B_ACT!O191</f>
        <v>0</v>
      </c>
      <c r="K20" s="633">
        <f>B_ACT!O201</f>
        <v>0</v>
      </c>
      <c r="L20" s="183">
        <f t="shared" si="0"/>
        <v>0</v>
      </c>
      <c r="M20" s="183">
        <f t="shared" si="1"/>
        <v>0</v>
      </c>
      <c r="N20" s="183">
        <f t="shared" si="5"/>
        <v>0</v>
      </c>
      <c r="O20" s="633">
        <f>B_ACT!O186</f>
        <v>1107.1875</v>
      </c>
      <c r="P20" s="183">
        <f t="shared" si="6"/>
        <v>1107.1875</v>
      </c>
      <c r="Q20" s="183">
        <f t="shared" si="3"/>
        <v>110.71875</v>
      </c>
      <c r="R20" s="183">
        <f t="shared" si="7"/>
        <v>1217.90625</v>
      </c>
      <c r="S20" s="184"/>
      <c r="T20" s="181" t="e">
        <f>B_ACT!O227</f>
        <v>#DIV/0!</v>
      </c>
      <c r="U20" s="181" t="e">
        <f>B_ACT!O228</f>
        <v>#DIV/0!</v>
      </c>
    </row>
    <row r="21" spans="1:21" x14ac:dyDescent="0.25">
      <c r="B21" s="71" t="s">
        <v>210</v>
      </c>
      <c r="C21" s="181">
        <f>Aigua_goupil!O210</f>
        <v>0</v>
      </c>
      <c r="D21" s="181">
        <f>Aigua_goupil!O209</f>
        <v>0</v>
      </c>
      <c r="E21" s="182">
        <f>Aigua_goupil!I57</f>
        <v>0</v>
      </c>
      <c r="F21" s="182">
        <f>Aigua_goupil!J57</f>
        <v>0</v>
      </c>
      <c r="G21" s="633">
        <f>Aigua_goupil!O57</f>
        <v>0</v>
      </c>
      <c r="H21" s="633">
        <f>Aigua_goupil!O111</f>
        <v>0</v>
      </c>
      <c r="I21" s="633">
        <f>Aigua_goupil!O163</f>
        <v>0</v>
      </c>
      <c r="J21" s="633">
        <f>Aigua_goupil!O175</f>
        <v>0</v>
      </c>
      <c r="K21" s="633">
        <f>Aigua_goupil!O185</f>
        <v>0</v>
      </c>
      <c r="L21" s="183">
        <f t="shared" si="0"/>
        <v>0</v>
      </c>
      <c r="M21" s="183">
        <f t="shared" si="1"/>
        <v>0</v>
      </c>
      <c r="N21" s="183">
        <f t="shared" si="5"/>
        <v>0</v>
      </c>
      <c r="O21" s="633">
        <f>Aigua_goupil!O168</f>
        <v>0</v>
      </c>
      <c r="P21" s="183">
        <f t="shared" si="6"/>
        <v>0</v>
      </c>
      <c r="Q21" s="183">
        <f t="shared" si="3"/>
        <v>0</v>
      </c>
      <c r="R21" s="183">
        <f t="shared" si="7"/>
        <v>0</v>
      </c>
      <c r="S21" s="184"/>
      <c r="T21" s="181" t="e">
        <f>Aigua_goupil!O211</f>
        <v>#DIV/0!</v>
      </c>
      <c r="U21" s="181" t="e">
        <f>Aigua_goupil!O212</f>
        <v>#DIV/0!</v>
      </c>
    </row>
    <row r="22" spans="1:21" x14ac:dyDescent="0.25">
      <c r="B22" s="84" t="s">
        <v>194</v>
      </c>
      <c r="C22" s="185">
        <f>Aigua_calent!O208</f>
        <v>0</v>
      </c>
      <c r="D22" s="181">
        <f>Aigua_calent!O207</f>
        <v>0</v>
      </c>
      <c r="E22" s="182">
        <f>Aigua_calent!I57</f>
        <v>0</v>
      </c>
      <c r="F22" s="182">
        <f>Aigua_calent!J57</f>
        <v>0</v>
      </c>
      <c r="G22" s="633">
        <f>Aigua_calent!O57</f>
        <v>0</v>
      </c>
      <c r="H22" s="633">
        <f>Aigua_calent!O111</f>
        <v>0</v>
      </c>
      <c r="I22" s="633">
        <f>Aigua_calent!O163</f>
        <v>0</v>
      </c>
      <c r="J22" s="633">
        <f>Aigua_calent!O173</f>
        <v>0</v>
      </c>
      <c r="K22" s="633">
        <f>Aigua_calent!O183</f>
        <v>0</v>
      </c>
      <c r="L22" s="183">
        <f t="shared" si="0"/>
        <v>0</v>
      </c>
      <c r="M22" s="183">
        <f t="shared" si="1"/>
        <v>0</v>
      </c>
      <c r="N22" s="183">
        <f>+L22*N$10</f>
        <v>0</v>
      </c>
      <c r="O22" s="633">
        <f>Aigua_calent!O168</f>
        <v>3290</v>
      </c>
      <c r="P22" s="183">
        <f t="shared" si="6"/>
        <v>3290</v>
      </c>
      <c r="Q22" s="183">
        <f t="shared" si="3"/>
        <v>329</v>
      </c>
      <c r="R22" s="183">
        <f>SUM(P22:Q22)</f>
        <v>3619</v>
      </c>
      <c r="S22" s="184"/>
      <c r="T22" s="181" t="e">
        <f>Aigua_calent!O209</f>
        <v>#DIV/0!</v>
      </c>
      <c r="U22" s="181" t="e">
        <f>Aigua_calent!O210</f>
        <v>#DIV/0!</v>
      </c>
    </row>
    <row r="23" spans="1:21" x14ac:dyDescent="0.25">
      <c r="B23" s="84" t="s">
        <v>193</v>
      </c>
      <c r="C23" s="181">
        <f>Aiguabat!O206</f>
        <v>0</v>
      </c>
      <c r="D23" s="181">
        <f>Aiguabat!O205</f>
        <v>0</v>
      </c>
      <c r="E23" s="182">
        <f>Aiguabat!I57</f>
        <v>0</v>
      </c>
      <c r="F23" s="182">
        <f>Aiguabat!J57</f>
        <v>0</v>
      </c>
      <c r="G23" s="633">
        <f>Aiguabat!O57</f>
        <v>0</v>
      </c>
      <c r="H23" s="633">
        <f>Aiguabat!O109</f>
        <v>0</v>
      </c>
      <c r="I23" s="633">
        <f>Aiguabat!O161</f>
        <v>0</v>
      </c>
      <c r="J23" s="633">
        <f>Aiguabat!O171</f>
        <v>0</v>
      </c>
      <c r="K23" s="633">
        <f>Aiguabat!O181</f>
        <v>0</v>
      </c>
      <c r="L23" s="183">
        <f t="shared" si="0"/>
        <v>0</v>
      </c>
      <c r="M23" s="183">
        <f t="shared" ref="M23:M24" si="8">+L23*M$10</f>
        <v>0</v>
      </c>
      <c r="N23" s="183">
        <f>+L23*N$10</f>
        <v>0</v>
      </c>
      <c r="O23" s="633">
        <f>Aiguabat!O166</f>
        <v>0</v>
      </c>
      <c r="P23" s="183">
        <f t="shared" si="6"/>
        <v>0</v>
      </c>
      <c r="Q23" s="183">
        <f t="shared" si="3"/>
        <v>0</v>
      </c>
      <c r="R23" s="183">
        <f>SUM(P23:Q23)</f>
        <v>0</v>
      </c>
      <c r="S23" s="184"/>
      <c r="T23" s="181" t="e">
        <f>Aiguabat!O207</f>
        <v>#DIV/0!</v>
      </c>
      <c r="U23" s="181" t="e">
        <f>Aiguabat!O208</f>
        <v>#DIV/0!</v>
      </c>
    </row>
    <row r="24" spans="1:21" x14ac:dyDescent="0.25">
      <c r="B24" s="84" t="s">
        <v>192</v>
      </c>
      <c r="C24" s="181">
        <f>Baldeja!O207</f>
        <v>0</v>
      </c>
      <c r="D24" s="181">
        <f>Baldeja!O206</f>
        <v>0</v>
      </c>
      <c r="E24" s="182">
        <f>Baldeja!I57</f>
        <v>0</v>
      </c>
      <c r="F24" s="182">
        <f>Baldeja!J57</f>
        <v>0</v>
      </c>
      <c r="G24" s="633">
        <f>Baldeja!O57</f>
        <v>0</v>
      </c>
      <c r="H24" s="633">
        <f>Baldeja!O110</f>
        <v>0</v>
      </c>
      <c r="I24" s="633">
        <f>Baldeja!O162</f>
        <v>0</v>
      </c>
      <c r="J24" s="633">
        <f>Baldeja!O172</f>
        <v>0</v>
      </c>
      <c r="K24" s="633">
        <f>Baldeja!O182</f>
        <v>0</v>
      </c>
      <c r="L24" s="183">
        <f t="shared" si="0"/>
        <v>0</v>
      </c>
      <c r="M24" s="183">
        <f t="shared" si="8"/>
        <v>0</v>
      </c>
      <c r="N24" s="183">
        <f>+L24*N$10</f>
        <v>0</v>
      </c>
      <c r="O24" s="633">
        <f>Baldeja!O167</f>
        <v>9187.5</v>
      </c>
      <c r="P24" s="183">
        <f>SUM(L24:O24)</f>
        <v>9187.5</v>
      </c>
      <c r="Q24" s="183">
        <f t="shared" si="3"/>
        <v>918.75</v>
      </c>
      <c r="R24" s="183">
        <f>SUM(P24:Q24)</f>
        <v>10106.25</v>
      </c>
      <c r="S24" s="184"/>
      <c r="T24" s="181" t="e">
        <f>Baldeja!O208</f>
        <v>#DIV/0!</v>
      </c>
      <c r="U24" s="181" t="e">
        <f>Baldeja!O209</f>
        <v>#DIV/0!</v>
      </c>
    </row>
    <row r="25" spans="1:21" x14ac:dyDescent="0.25">
      <c r="B25" s="186" t="s">
        <v>78</v>
      </c>
      <c r="C25" s="186"/>
      <c r="D25" s="186"/>
      <c r="E25" s="187"/>
      <c r="F25" s="187"/>
      <c r="G25" s="188"/>
      <c r="H25" s="189"/>
      <c r="I25" s="189"/>
      <c r="J25" s="188"/>
      <c r="K25" s="188"/>
      <c r="L25" s="188"/>
      <c r="M25" s="188"/>
      <c r="N25" s="188"/>
      <c r="O25" s="189"/>
      <c r="P25" s="188"/>
      <c r="Q25" s="188"/>
      <c r="R25" s="188"/>
      <c r="S25" s="184"/>
      <c r="T25" s="188"/>
      <c r="U25" s="188"/>
    </row>
    <row r="26" spans="1:21" x14ac:dyDescent="0.25">
      <c r="B26" s="84" t="s">
        <v>69</v>
      </c>
      <c r="C26" s="181">
        <f>Comuns!O87</f>
        <v>0</v>
      </c>
      <c r="D26" s="181">
        <f>Comuns!O86</f>
        <v>0</v>
      </c>
      <c r="E26" s="182">
        <f>Comuns!I16</f>
        <v>0</v>
      </c>
      <c r="F26" s="182">
        <f>Comuns!J16</f>
        <v>0</v>
      </c>
      <c r="G26" s="633">
        <f>Comuns!O16</f>
        <v>0</v>
      </c>
      <c r="H26" s="633">
        <f>Comuns!O27</f>
        <v>0</v>
      </c>
      <c r="I26" s="633">
        <f>Comuns!O38</f>
        <v>0</v>
      </c>
      <c r="J26" s="633">
        <f>Comuns!O52</f>
        <v>0</v>
      </c>
      <c r="K26" s="633">
        <f>Comuns!O62</f>
        <v>0</v>
      </c>
      <c r="L26" s="183">
        <f>G26+H26+I26+J26+K26</f>
        <v>0</v>
      </c>
      <c r="M26" s="183">
        <f t="shared" ref="M26" si="9">+L26*M$10</f>
        <v>0</v>
      </c>
      <c r="N26" s="183">
        <f t="shared" ref="N26" si="10">+L26*N$10</f>
        <v>0</v>
      </c>
      <c r="O26" s="633">
        <f>Comuns!O46</f>
        <v>2028.625</v>
      </c>
      <c r="P26" s="183">
        <f>SUM(L26:O26)</f>
        <v>2028.625</v>
      </c>
      <c r="Q26" s="183">
        <f>+$Q$10*P26</f>
        <v>202.86250000000001</v>
      </c>
      <c r="R26" s="183">
        <f t="shared" ref="R26" si="11">SUM(P26:Q26)</f>
        <v>2231.4875000000002</v>
      </c>
      <c r="S26" s="184"/>
      <c r="T26" s="181" t="e">
        <f>Comuns!O88</f>
        <v>#DIV/0!</v>
      </c>
      <c r="U26" s="181" t="e">
        <f>Comuns!O89</f>
        <v>#DIV/0!</v>
      </c>
    </row>
    <row r="27" spans="1:21" s="153" customFormat="1" ht="6" customHeight="1" x14ac:dyDescent="0.25">
      <c r="A27" s="87"/>
      <c r="E27" s="154"/>
    </row>
    <row r="28" spans="1:21" x14ac:dyDescent="0.25">
      <c r="B28" s="190" t="s">
        <v>7</v>
      </c>
      <c r="C28" s="191">
        <f t="shared" ref="C28:J28" si="12">SUM(C13:C27)</f>
        <v>0</v>
      </c>
      <c r="D28" s="191">
        <f t="shared" si="12"/>
        <v>0</v>
      </c>
      <c r="E28" s="192">
        <f t="shared" si="12"/>
        <v>0</v>
      </c>
      <c r="F28" s="192">
        <f>SUM(F13:F27)</f>
        <v>0</v>
      </c>
      <c r="G28" s="193">
        <f t="shared" si="12"/>
        <v>0</v>
      </c>
      <c r="H28" s="193">
        <f t="shared" si="12"/>
        <v>0</v>
      </c>
      <c r="I28" s="193">
        <f t="shared" si="12"/>
        <v>0</v>
      </c>
      <c r="J28" s="193">
        <f t="shared" si="12"/>
        <v>0</v>
      </c>
      <c r="K28" s="193">
        <f>SUM(K13:K26)</f>
        <v>0</v>
      </c>
      <c r="L28" s="193">
        <f>SUM(L11:L27)</f>
        <v>0</v>
      </c>
      <c r="M28" s="193">
        <f>SUM(M11:M27)</f>
        <v>0</v>
      </c>
      <c r="N28" s="193">
        <f>SUM(N11:N27)</f>
        <v>0</v>
      </c>
      <c r="O28" s="193">
        <f>SUM(O13:O27)</f>
        <v>51420.436249999999</v>
      </c>
      <c r="P28" s="194">
        <f>SUM(P11:P27)</f>
        <v>51420.436249999999</v>
      </c>
      <c r="Q28" s="193">
        <f t="shared" ref="Q28" si="13">SUM(Q11:Q27)</f>
        <v>5142.0436250000002</v>
      </c>
      <c r="R28" s="193">
        <f>SUM(R11:R27)</f>
        <v>56562.479875000005</v>
      </c>
      <c r="S28" s="153"/>
    </row>
    <row r="29" spans="1:21" x14ac:dyDescent="0.25">
      <c r="B29" s="65"/>
      <c r="C29" s="195"/>
      <c r="F29" s="196">
        <f>G29+H29+I29+J29+K29+M29+N29+O29</f>
        <v>1</v>
      </c>
      <c r="G29" s="197">
        <f>G28/P28</f>
        <v>0</v>
      </c>
      <c r="H29" s="197">
        <f>H28/P28</f>
        <v>0</v>
      </c>
      <c r="I29" s="197">
        <f>I28/P28</f>
        <v>0</v>
      </c>
      <c r="J29" s="198">
        <f>J28/P28</f>
        <v>0</v>
      </c>
      <c r="K29" s="198">
        <f>K28/P28</f>
        <v>0</v>
      </c>
      <c r="L29" s="199"/>
      <c r="M29" s="198">
        <f>M28/P28</f>
        <v>0</v>
      </c>
      <c r="N29" s="198">
        <f>N28/P28</f>
        <v>0</v>
      </c>
      <c r="O29" s="198">
        <f>O28/P28</f>
        <v>1</v>
      </c>
    </row>
    <row r="30" spans="1:21" x14ac:dyDescent="0.25">
      <c r="B30" s="65"/>
      <c r="C30" s="195"/>
      <c r="E30" s="200"/>
      <c r="F30" s="65"/>
      <c r="G30" s="745">
        <f>G28+H28+I28+J28+K28</f>
        <v>0</v>
      </c>
      <c r="H30" s="746"/>
      <c r="I30" s="746"/>
      <c r="J30" s="746"/>
      <c r="K30" s="747"/>
      <c r="M30" s="736">
        <f>SUM(M28+N28)</f>
        <v>0</v>
      </c>
      <c r="N30" s="736"/>
    </row>
    <row r="31" spans="1:21" x14ac:dyDescent="0.25">
      <c r="B31" s="65"/>
      <c r="C31" s="195"/>
      <c r="F31" s="65"/>
      <c r="H31" s="201"/>
      <c r="I31" s="202"/>
    </row>
    <row r="32" spans="1:21" x14ac:dyDescent="0.25">
      <c r="B32" s="203"/>
      <c r="C32" s="204" t="s">
        <v>398</v>
      </c>
      <c r="G32" s="205" t="s">
        <v>418</v>
      </c>
      <c r="H32" s="197">
        <f>G29+H29+I29</f>
        <v>0</v>
      </c>
      <c r="I32" s="206"/>
      <c r="S32" s="153"/>
    </row>
    <row r="33" spans="2:19" x14ac:dyDescent="0.25">
      <c r="B33" s="207" t="s">
        <v>251</v>
      </c>
      <c r="C33" s="208">
        <f>Personal!B55</f>
        <v>0</v>
      </c>
      <c r="G33" s="209" t="s">
        <v>417</v>
      </c>
      <c r="H33" s="210">
        <f>J29+K29+M29+N29+O29</f>
        <v>1</v>
      </c>
      <c r="L33" s="195"/>
      <c r="S33" s="153"/>
    </row>
    <row r="34" spans="2:19" x14ac:dyDescent="0.25">
      <c r="B34" s="207" t="s">
        <v>343</v>
      </c>
      <c r="C34" s="208">
        <f>Personal!J55</f>
        <v>0</v>
      </c>
      <c r="H34" s="211">
        <f>SUM(H32:H33)</f>
        <v>1</v>
      </c>
      <c r="S34" s="153"/>
    </row>
    <row r="35" spans="2:19" x14ac:dyDescent="0.25">
      <c r="B35" s="207" t="s">
        <v>399</v>
      </c>
      <c r="C35" s="208">
        <f>Personal!B60</f>
        <v>0</v>
      </c>
      <c r="S35" s="153"/>
    </row>
    <row r="36" spans="2:19" x14ac:dyDescent="0.25">
      <c r="B36" s="207" t="s">
        <v>400</v>
      </c>
      <c r="C36" s="208">
        <f>Personal!B61</f>
        <v>0</v>
      </c>
      <c r="S36" s="153"/>
    </row>
    <row r="37" spans="2:19" x14ac:dyDescent="0.25">
      <c r="B37" s="207" t="s">
        <v>401</v>
      </c>
      <c r="C37" s="208">
        <f>Personal!B62</f>
        <v>0</v>
      </c>
      <c r="S37" s="153"/>
    </row>
    <row r="38" spans="2:19" x14ac:dyDescent="0.25">
      <c r="B38" s="207" t="s">
        <v>402</v>
      </c>
      <c r="C38" s="208">
        <f>Personal!B63</f>
        <v>0</v>
      </c>
    </row>
    <row r="39" spans="2:19" ht="15" customHeight="1" x14ac:dyDescent="0.25">
      <c r="C39" s="212">
        <f>SUM(C33:C38)</f>
        <v>0</v>
      </c>
    </row>
    <row r="40" spans="2:19" ht="15" customHeight="1" x14ac:dyDescent="0.25"/>
    <row r="41" spans="2:19" ht="15" customHeight="1" x14ac:dyDescent="0.25"/>
    <row r="42" spans="2:19" ht="15" customHeight="1" x14ac:dyDescent="0.25">
      <c r="B42" s="200"/>
    </row>
    <row r="43" spans="2:19" ht="15" customHeight="1" x14ac:dyDescent="0.25">
      <c r="D43" s="200"/>
    </row>
    <row r="44" spans="2:19" ht="15" customHeight="1" x14ac:dyDescent="0.25">
      <c r="B44" s="213"/>
    </row>
    <row r="45" spans="2:19" ht="15" customHeight="1" x14ac:dyDescent="0.25"/>
    <row r="51" spans="2:14" x14ac:dyDescent="0.25">
      <c r="B51" s="200"/>
    </row>
    <row r="55" spans="2:14" ht="15" customHeight="1" x14ac:dyDescent="0.25"/>
    <row r="56" spans="2:14" ht="15" customHeight="1" x14ac:dyDescent="0.25"/>
    <row r="57" spans="2:14" ht="15" customHeight="1" x14ac:dyDescent="0.25"/>
    <row r="58" spans="2:14" ht="15" customHeight="1" x14ac:dyDescent="0.25"/>
    <row r="59" spans="2:14" ht="15" customHeight="1" x14ac:dyDescent="0.25">
      <c r="H59" s="214"/>
      <c r="I59" s="214"/>
      <c r="J59" s="214"/>
      <c r="K59" s="214"/>
      <c r="L59" s="214"/>
      <c r="M59" s="214"/>
      <c r="N59" s="214"/>
    </row>
    <row r="60" spans="2:14" ht="15" customHeight="1" x14ac:dyDescent="0.25">
      <c r="H60" s="214"/>
      <c r="I60" s="214"/>
      <c r="J60" s="214"/>
      <c r="K60" s="214"/>
      <c r="L60" s="214"/>
      <c r="M60" s="214"/>
      <c r="N60" s="214"/>
    </row>
    <row r="61" spans="2:14" ht="15" customHeight="1" x14ac:dyDescent="0.25"/>
    <row r="67" spans="8:12" ht="15" customHeight="1" x14ac:dyDescent="1.35">
      <c r="H67" s="215"/>
      <c r="I67" s="215"/>
      <c r="J67" s="215"/>
      <c r="K67" s="215"/>
      <c r="L67" s="215"/>
    </row>
    <row r="68" spans="8:12" ht="15" customHeight="1" x14ac:dyDescent="1.35">
      <c r="H68" s="215"/>
      <c r="I68" s="215"/>
      <c r="J68" s="215"/>
      <c r="K68" s="215"/>
      <c r="L68" s="215"/>
    </row>
    <row r="69" spans="8:12" ht="15" customHeight="1" x14ac:dyDescent="1.35">
      <c r="H69" s="215"/>
      <c r="I69" s="215"/>
      <c r="J69" s="215"/>
      <c r="K69" s="215"/>
      <c r="L69" s="215"/>
    </row>
    <row r="70" spans="8:12" ht="15" customHeight="1" x14ac:dyDescent="1.35">
      <c r="H70" s="215"/>
      <c r="I70" s="215"/>
      <c r="J70" s="215"/>
      <c r="K70" s="215"/>
      <c r="L70" s="215"/>
    </row>
    <row r="71" spans="8:12" ht="15" customHeight="1" x14ac:dyDescent="1.35">
      <c r="H71" s="215"/>
      <c r="I71" s="215"/>
      <c r="J71" s="215"/>
      <c r="K71" s="215"/>
      <c r="L71" s="215"/>
    </row>
    <row r="72" spans="8:12" ht="15" customHeight="1" x14ac:dyDescent="1.35">
      <c r="H72" s="215"/>
      <c r="I72" s="215"/>
      <c r="J72" s="215"/>
      <c r="K72" s="215"/>
      <c r="L72" s="215"/>
    </row>
    <row r="73" spans="8:12" ht="15" customHeight="1" x14ac:dyDescent="1.35">
      <c r="H73" s="215"/>
      <c r="I73" s="215"/>
      <c r="J73" s="215"/>
      <c r="K73" s="215"/>
      <c r="L73" s="215"/>
    </row>
  </sheetData>
  <sheetProtection algorithmName="SHA-512" hashValue="Fbt8oEYczGlPXqO9Dvm2oszuP4GjNvjc61qUVblyQcW4ioHrkWmb8H5yENMkJ3DBkDy6BuquWekkPysS/IUllA==" saltValue="jUjbVqYZdq7EaMVkLi0c8w==" spinCount="100000" sheet="1" selectLockedCells="1" selectUnlockedCells="1"/>
  <mergeCells count="11">
    <mergeCell ref="B8:B10"/>
    <mergeCell ref="C8:C10"/>
    <mergeCell ref="D8:D10"/>
    <mergeCell ref="E8:E10"/>
    <mergeCell ref="F8:F10"/>
    <mergeCell ref="M30:N30"/>
    <mergeCell ref="U8:U9"/>
    <mergeCell ref="O9:O10"/>
    <mergeCell ref="T8:T9"/>
    <mergeCell ref="K9:K10"/>
    <mergeCell ref="G30:K30"/>
  </mergeCells>
  <printOptions horizontalCentered="1" verticalCentered="1"/>
  <pageMargins left="0.3" right="0.32" top="0.74803149606299213" bottom="0.74803149606299213" header="0.31496062992125984" footer="0.31496062992125984"/>
  <pageSetup paperSize="8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O213"/>
  <sheetViews>
    <sheetView showGridLines="0" topLeftCell="A7" zoomScale="70" zoomScaleNormal="70" zoomScaleSheetLayoutView="70" workbookViewId="0">
      <selection activeCell="E19" sqref="E19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2.85546875" style="87" bestFit="1" customWidth="1"/>
    <col min="8" max="8" width="15" style="87" customWidth="1"/>
    <col min="9" max="10" width="11.7109375" style="87" customWidth="1"/>
    <col min="11" max="11" width="14" style="87" bestFit="1" customWidth="1"/>
    <col min="12" max="12" width="14.85546875" style="87" bestFit="1" customWidth="1"/>
    <col min="13" max="13" width="11.5703125" style="87" bestFit="1" customWidth="1"/>
    <col min="14" max="14" width="14.140625" style="87" bestFit="1" customWidth="1"/>
    <col min="15" max="15" width="20.14062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200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ht="14.25" customHeight="1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ht="15" customHeight="1" x14ac:dyDescent="0.25">
      <c r="A9" s="229" t="s">
        <v>198</v>
      </c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</row>
    <row r="10" spans="1:15" s="153" customFormat="1" ht="15" customHeight="1" x14ac:dyDescent="0.25">
      <c r="A10" s="232" t="s">
        <v>195</v>
      </c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ht="15" customHeigh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ht="15" customHeight="1" x14ac:dyDescent="0.25">
      <c r="A12" s="734" t="s">
        <v>183</v>
      </c>
      <c r="B12" s="734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Personal!G12</f>
        <v>0</v>
      </c>
      <c r="L12" s="491">
        <f>+K12/C12</f>
        <v>0</v>
      </c>
      <c r="M12" s="139" t="s">
        <v>41</v>
      </c>
      <c r="N12" s="139" t="s">
        <v>42</v>
      </c>
      <c r="O12" s="144">
        <f>+K12*G12</f>
        <v>0</v>
      </c>
    </row>
    <row r="13" spans="1:15" s="153" customFormat="1" ht="15" customHeight="1" x14ac:dyDescent="0.25">
      <c r="A13" s="764" t="s">
        <v>89</v>
      </c>
      <c r="B13" s="764"/>
      <c r="C13" s="241"/>
      <c r="D13" s="241"/>
      <c r="E13" s="241"/>
      <c r="F13" s="241"/>
      <c r="G13" s="241"/>
      <c r="H13" s="241"/>
      <c r="I13" s="320"/>
      <c r="J13" s="320"/>
      <c r="K13" s="241"/>
      <c r="L13" s="241"/>
      <c r="M13" s="241"/>
      <c r="N13" s="241"/>
      <c r="O13" s="241"/>
    </row>
    <row r="14" spans="1:15" s="240" customFormat="1" ht="15" customHeight="1" x14ac:dyDescent="0.25">
      <c r="A14" s="734" t="s">
        <v>183</v>
      </c>
      <c r="B14" s="734"/>
      <c r="C14" s="137">
        <v>6.1666699999999999</v>
      </c>
      <c r="D14" s="138">
        <v>1</v>
      </c>
      <c r="E14" s="701"/>
      <c r="F14" s="139">
        <f>Dies!$C$48</f>
        <v>95</v>
      </c>
      <c r="G14" s="273">
        <f>+F14*E14*D14</f>
        <v>0</v>
      </c>
      <c r="H14" s="273">
        <f>$H$12</f>
        <v>265</v>
      </c>
      <c r="I14" s="320">
        <f t="shared" ref="I14:I40" si="0">G14/H14</f>
        <v>0</v>
      </c>
      <c r="J14" s="320">
        <f t="shared" ref="J14" si="1">G14/298</f>
        <v>0</v>
      </c>
      <c r="K14" s="320">
        <f>K12</f>
        <v>0</v>
      </c>
      <c r="L14" s="491">
        <f>+K14/C14</f>
        <v>0</v>
      </c>
      <c r="M14" s="139" t="s">
        <v>90</v>
      </c>
      <c r="N14" s="139" t="s">
        <v>42</v>
      </c>
      <c r="O14" s="144">
        <f>+K14*G14</f>
        <v>0</v>
      </c>
    </row>
    <row r="15" spans="1:15" s="153" customFormat="1" ht="15" customHeight="1" x14ac:dyDescent="0.25">
      <c r="A15" s="762" t="s">
        <v>196</v>
      </c>
      <c r="B15" s="762"/>
      <c r="C15" s="241"/>
      <c r="D15" s="241"/>
      <c r="E15" s="241"/>
      <c r="F15" s="241"/>
      <c r="G15" s="241"/>
      <c r="H15" s="241"/>
      <c r="I15" s="320"/>
      <c r="J15" s="320"/>
      <c r="K15" s="241"/>
      <c r="L15" s="241"/>
      <c r="M15" s="241"/>
      <c r="N15" s="241"/>
      <c r="O15" s="241"/>
    </row>
    <row r="16" spans="1:15" s="153" customFormat="1" ht="15" customHeight="1" x14ac:dyDescent="0.25">
      <c r="A16" s="765" t="s">
        <v>88</v>
      </c>
      <c r="B16" s="765"/>
      <c r="C16" s="241"/>
      <c r="D16" s="241"/>
      <c r="E16" s="241"/>
      <c r="F16" s="241"/>
      <c r="G16" s="241"/>
      <c r="H16" s="241"/>
      <c r="I16" s="320"/>
      <c r="J16" s="320"/>
      <c r="K16" s="241"/>
      <c r="L16" s="241"/>
      <c r="M16" s="241"/>
      <c r="N16" s="241"/>
      <c r="O16" s="241"/>
    </row>
    <row r="17" spans="1:15" s="240" customFormat="1" ht="15" customHeight="1" x14ac:dyDescent="0.25">
      <c r="A17" s="734" t="s">
        <v>183</v>
      </c>
      <c r="B17" s="734"/>
      <c r="C17" s="137">
        <v>6.1666699999999999</v>
      </c>
      <c r="D17" s="7">
        <v>0.33333333333333337</v>
      </c>
      <c r="E17" s="701"/>
      <c r="F17" s="139">
        <f>Dies!$C$49</f>
        <v>20</v>
      </c>
      <c r="G17" s="273">
        <f>+F17*E17*D17</f>
        <v>0</v>
      </c>
      <c r="H17" s="273">
        <f>$H$12</f>
        <v>265</v>
      </c>
      <c r="I17" s="320">
        <f t="shared" si="0"/>
        <v>0</v>
      </c>
      <c r="J17" s="320">
        <f>G17/298</f>
        <v>0</v>
      </c>
      <c r="K17" s="320">
        <f>K12</f>
        <v>0</v>
      </c>
      <c r="L17" s="491">
        <f>+K17/C17</f>
        <v>0</v>
      </c>
      <c r="M17" s="139" t="s">
        <v>41</v>
      </c>
      <c r="N17" s="139" t="s">
        <v>42</v>
      </c>
      <c r="O17" s="144">
        <f>+K17*G17</f>
        <v>0</v>
      </c>
    </row>
    <row r="18" spans="1:15" s="153" customFormat="1" ht="15" customHeight="1" x14ac:dyDescent="0.25">
      <c r="A18" s="764" t="s">
        <v>89</v>
      </c>
      <c r="B18" s="764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41"/>
      <c r="N18" s="241"/>
      <c r="O18" s="241"/>
    </row>
    <row r="19" spans="1:15" s="240" customFormat="1" ht="15" customHeight="1" x14ac:dyDescent="0.25">
      <c r="A19" s="734" t="s">
        <v>183</v>
      </c>
      <c r="B19" s="734"/>
      <c r="C19" s="137">
        <v>6.1666699999999999</v>
      </c>
      <c r="D19" s="138">
        <v>0.33333333333333337</v>
      </c>
      <c r="E19" s="701"/>
      <c r="F19" s="139">
        <f>Dies!$C$49</f>
        <v>20</v>
      </c>
      <c r="G19" s="273">
        <f>+F19*E19*D19</f>
        <v>0</v>
      </c>
      <c r="H19" s="273">
        <f>$H$12</f>
        <v>265</v>
      </c>
      <c r="I19" s="320">
        <f t="shared" si="0"/>
        <v>0</v>
      </c>
      <c r="J19" s="320">
        <f>G19/298</f>
        <v>0</v>
      </c>
      <c r="K19" s="320">
        <f>K12</f>
        <v>0</v>
      </c>
      <c r="L19" s="491">
        <f>+K19/C19</f>
        <v>0</v>
      </c>
      <c r="M19" s="139" t="s">
        <v>90</v>
      </c>
      <c r="N19" s="139" t="s">
        <v>42</v>
      </c>
      <c r="O19" s="144">
        <f>+K19*G19</f>
        <v>0</v>
      </c>
    </row>
    <row r="20" spans="1:15" s="153" customFormat="1" ht="15" customHeight="1" x14ac:dyDescent="0.25">
      <c r="A20" s="762" t="s">
        <v>197</v>
      </c>
      <c r="B20" s="762"/>
      <c r="C20" s="241"/>
      <c r="D20" s="241"/>
      <c r="E20" s="241"/>
      <c r="F20" s="241"/>
      <c r="G20" s="241"/>
      <c r="H20" s="241"/>
      <c r="I20" s="320"/>
      <c r="J20" s="320"/>
      <c r="K20" s="241"/>
      <c r="L20" s="241"/>
      <c r="M20" s="241"/>
      <c r="N20" s="241"/>
      <c r="O20" s="241"/>
    </row>
    <row r="21" spans="1:15" s="153" customFormat="1" ht="15" customHeight="1" x14ac:dyDescent="0.25">
      <c r="A21" s="765" t="s">
        <v>88</v>
      </c>
      <c r="B21" s="765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41"/>
      <c r="N21" s="241"/>
      <c r="O21" s="241"/>
    </row>
    <row r="22" spans="1:15" s="240" customFormat="1" ht="15" customHeight="1" x14ac:dyDescent="0.25">
      <c r="A22" s="734" t="s">
        <v>183</v>
      </c>
      <c r="B22" s="734"/>
      <c r="C22" s="137">
        <v>6.1666699999999999</v>
      </c>
      <c r="D22" s="138">
        <v>0.66666666666666674</v>
      </c>
      <c r="E22" s="701"/>
      <c r="F22" s="139">
        <f>Dies!$C$50</f>
        <v>20</v>
      </c>
      <c r="G22" s="273">
        <f>+F22*E22*D22</f>
        <v>0</v>
      </c>
      <c r="H22" s="273">
        <f>$H$12</f>
        <v>265</v>
      </c>
      <c r="I22" s="320">
        <f t="shared" si="0"/>
        <v>0</v>
      </c>
      <c r="J22" s="320">
        <f>G22/298</f>
        <v>0</v>
      </c>
      <c r="K22" s="320">
        <f>K12+Personal!D38</f>
        <v>0</v>
      </c>
      <c r="L22" s="491">
        <f>+K22/C22</f>
        <v>0</v>
      </c>
      <c r="M22" s="139" t="s">
        <v>41</v>
      </c>
      <c r="N22" s="139" t="s">
        <v>42</v>
      </c>
      <c r="O22" s="144">
        <f>+K22*G22</f>
        <v>0</v>
      </c>
    </row>
    <row r="23" spans="1:15" s="153" customFormat="1" ht="15" customHeight="1" x14ac:dyDescent="0.25">
      <c r="A23" s="764" t="s">
        <v>89</v>
      </c>
      <c r="B23" s="764"/>
      <c r="C23" s="241"/>
      <c r="D23" s="241"/>
      <c r="E23" s="241"/>
      <c r="F23" s="241"/>
      <c r="G23" s="241"/>
      <c r="H23" s="241"/>
      <c r="I23" s="320"/>
      <c r="J23" s="320"/>
      <c r="K23" s="241"/>
      <c r="L23" s="241"/>
      <c r="M23" s="241"/>
      <c r="N23" s="241"/>
      <c r="O23" s="241"/>
    </row>
    <row r="24" spans="1:15" s="240" customFormat="1" ht="15" customHeight="1" x14ac:dyDescent="0.25">
      <c r="A24" s="734" t="s">
        <v>183</v>
      </c>
      <c r="B24" s="734"/>
      <c r="C24" s="137">
        <v>6.1666699999999999</v>
      </c>
      <c r="D24" s="138">
        <v>0.66666666666666674</v>
      </c>
      <c r="E24" s="701"/>
      <c r="F24" s="139">
        <f>Dies!$C$50</f>
        <v>20</v>
      </c>
      <c r="G24" s="273">
        <f>+F24*E24*D24</f>
        <v>0</v>
      </c>
      <c r="H24" s="273">
        <f>$H$12</f>
        <v>265</v>
      </c>
      <c r="I24" s="320">
        <f t="shared" si="0"/>
        <v>0</v>
      </c>
      <c r="J24" s="320">
        <f>G24/298</f>
        <v>0</v>
      </c>
      <c r="K24" s="320">
        <f>K12+Personal!D38</f>
        <v>0</v>
      </c>
      <c r="L24" s="491">
        <f>+K24/C24</f>
        <v>0</v>
      </c>
      <c r="M24" s="139" t="s">
        <v>90</v>
      </c>
      <c r="N24" s="139" t="s">
        <v>42</v>
      </c>
      <c r="O24" s="144">
        <f>+K24*G24</f>
        <v>0</v>
      </c>
    </row>
    <row r="25" spans="1:15" s="240" customFormat="1" ht="15" customHeight="1" x14ac:dyDescent="0.25">
      <c r="A25" s="229" t="s">
        <v>199</v>
      </c>
      <c r="B25" s="242"/>
      <c r="C25" s="243"/>
      <c r="D25" s="244"/>
      <c r="E25" s="245"/>
      <c r="F25" s="245"/>
      <c r="G25" s="246"/>
      <c r="H25" s="246"/>
      <c r="I25" s="247"/>
      <c r="J25" s="247"/>
      <c r="K25" s="247"/>
      <c r="L25" s="247"/>
      <c r="M25" s="245"/>
      <c r="N25" s="245"/>
      <c r="O25" s="248"/>
    </row>
    <row r="26" spans="1:15" s="153" customFormat="1" ht="15" customHeight="1" x14ac:dyDescent="0.25">
      <c r="A26" s="762" t="s">
        <v>195</v>
      </c>
      <c r="B26" s="762"/>
      <c r="C26" s="241"/>
      <c r="D26" s="241"/>
      <c r="E26" s="241"/>
      <c r="F26" s="234"/>
      <c r="G26" s="234"/>
      <c r="H26" s="234"/>
      <c r="I26" s="236"/>
      <c r="J26" s="236"/>
      <c r="K26" s="234"/>
      <c r="L26" s="234"/>
      <c r="M26" s="234"/>
      <c r="N26" s="234"/>
      <c r="O26" s="234"/>
    </row>
    <row r="27" spans="1:15" s="153" customFormat="1" ht="15" customHeight="1" x14ac:dyDescent="0.25">
      <c r="A27" s="765" t="s">
        <v>88</v>
      </c>
      <c r="B27" s="765"/>
      <c r="C27" s="241"/>
      <c r="D27" s="241"/>
      <c r="E27" s="241"/>
      <c r="F27" s="234"/>
      <c r="G27" s="234"/>
      <c r="H27" s="234"/>
      <c r="I27" s="236"/>
      <c r="J27" s="236"/>
      <c r="K27" s="234"/>
      <c r="L27" s="234"/>
      <c r="M27" s="234"/>
      <c r="N27" s="234"/>
      <c r="O27" s="234"/>
    </row>
    <row r="28" spans="1:15" s="240" customFormat="1" ht="15" customHeight="1" x14ac:dyDescent="0.25">
      <c r="A28" s="734" t="s">
        <v>183</v>
      </c>
      <c r="B28" s="734"/>
      <c r="C28" s="137">
        <v>6.1666699999999999</v>
      </c>
      <c r="D28" s="138">
        <v>1</v>
      </c>
      <c r="E28" s="701"/>
      <c r="F28" s="139">
        <f>Dies!$C$53</f>
        <v>77</v>
      </c>
      <c r="G28" s="273">
        <f>+F28*E28*D28</f>
        <v>0</v>
      </c>
      <c r="H28" s="273">
        <f>$H$12</f>
        <v>265</v>
      </c>
      <c r="I28" s="320">
        <f t="shared" si="0"/>
        <v>0</v>
      </c>
      <c r="J28" s="320">
        <f>G28/298</f>
        <v>0</v>
      </c>
      <c r="K28" s="320">
        <f>K12</f>
        <v>0</v>
      </c>
      <c r="L28" s="491">
        <f>+K28/C28</f>
        <v>0</v>
      </c>
      <c r="M28" s="139" t="s">
        <v>41</v>
      </c>
      <c r="N28" s="139" t="s">
        <v>42</v>
      </c>
      <c r="O28" s="144">
        <f>+K28*G28</f>
        <v>0</v>
      </c>
    </row>
    <row r="29" spans="1:15" s="153" customFormat="1" ht="15" customHeight="1" x14ac:dyDescent="0.25">
      <c r="A29" s="764" t="s">
        <v>89</v>
      </c>
      <c r="B29" s="764"/>
      <c r="C29" s="241"/>
      <c r="D29" s="241"/>
      <c r="E29" s="241"/>
      <c r="F29" s="241"/>
      <c r="G29" s="241"/>
      <c r="H29" s="241"/>
      <c r="I29" s="320"/>
      <c r="J29" s="320"/>
      <c r="K29" s="241"/>
      <c r="L29" s="241"/>
      <c r="M29" s="241"/>
      <c r="N29" s="241"/>
      <c r="O29" s="241"/>
    </row>
    <row r="30" spans="1:15" s="240" customFormat="1" ht="15" customHeight="1" x14ac:dyDescent="0.25">
      <c r="A30" s="734" t="s">
        <v>183</v>
      </c>
      <c r="B30" s="734"/>
      <c r="C30" s="137">
        <v>6.1666699999999999</v>
      </c>
      <c r="D30" s="138">
        <v>1</v>
      </c>
      <c r="E30" s="701"/>
      <c r="F30" s="139">
        <f>Dies!$C$53</f>
        <v>77</v>
      </c>
      <c r="G30" s="273">
        <f>+F30*E30*D30</f>
        <v>0</v>
      </c>
      <c r="H30" s="273">
        <f>$H$12</f>
        <v>265</v>
      </c>
      <c r="I30" s="320">
        <f t="shared" si="0"/>
        <v>0</v>
      </c>
      <c r="J30" s="320">
        <f>G30/298</f>
        <v>0</v>
      </c>
      <c r="K30" s="320">
        <f>K12</f>
        <v>0</v>
      </c>
      <c r="L30" s="491">
        <f>+K30/C30</f>
        <v>0</v>
      </c>
      <c r="M30" s="139" t="s">
        <v>90</v>
      </c>
      <c r="N30" s="139" t="s">
        <v>42</v>
      </c>
      <c r="O30" s="144">
        <f>+K30*G30</f>
        <v>0</v>
      </c>
    </row>
    <row r="31" spans="1:15" s="153" customFormat="1" ht="15" customHeight="1" x14ac:dyDescent="0.25">
      <c r="A31" s="762" t="s">
        <v>196</v>
      </c>
      <c r="B31" s="762"/>
      <c r="C31" s="241"/>
      <c r="D31" s="241"/>
      <c r="E31" s="241"/>
      <c r="F31" s="241"/>
      <c r="G31" s="241"/>
      <c r="H31" s="241"/>
      <c r="I31" s="320"/>
      <c r="J31" s="320"/>
      <c r="K31" s="241"/>
      <c r="L31" s="241"/>
      <c r="M31" s="241"/>
      <c r="N31" s="241"/>
      <c r="O31" s="241"/>
    </row>
    <row r="32" spans="1:15" s="153" customFormat="1" ht="15" customHeight="1" x14ac:dyDescent="0.25">
      <c r="A32" s="765" t="s">
        <v>88</v>
      </c>
      <c r="B32" s="765"/>
      <c r="C32" s="241"/>
      <c r="D32" s="241"/>
      <c r="E32" s="241"/>
      <c r="F32" s="241"/>
      <c r="G32" s="241"/>
      <c r="H32" s="241"/>
      <c r="I32" s="320"/>
      <c r="J32" s="320"/>
      <c r="K32" s="241"/>
      <c r="L32" s="241"/>
      <c r="M32" s="241"/>
      <c r="N32" s="241"/>
      <c r="O32" s="241"/>
    </row>
    <row r="33" spans="1:15" s="240" customFormat="1" ht="15" customHeight="1" x14ac:dyDescent="0.25">
      <c r="A33" s="734" t="s">
        <v>183</v>
      </c>
      <c r="B33" s="734"/>
      <c r="C33" s="137">
        <v>6.1666699999999999</v>
      </c>
      <c r="D33" s="7">
        <v>0.33333333333333337</v>
      </c>
      <c r="E33" s="701"/>
      <c r="F33" s="139">
        <f>Dies!$C$54</f>
        <v>15</v>
      </c>
      <c r="G33" s="273">
        <f>+F33*E33*D33</f>
        <v>0</v>
      </c>
      <c r="H33" s="273">
        <f>$H$12</f>
        <v>265</v>
      </c>
      <c r="I33" s="320">
        <f t="shared" si="0"/>
        <v>0</v>
      </c>
      <c r="J33" s="320">
        <f>G33/298</f>
        <v>0</v>
      </c>
      <c r="K33" s="320">
        <f>K12</f>
        <v>0</v>
      </c>
      <c r="L33" s="491">
        <f>+K33/C33</f>
        <v>0</v>
      </c>
      <c r="M33" s="139" t="s">
        <v>41</v>
      </c>
      <c r="N33" s="139" t="s">
        <v>42</v>
      </c>
      <c r="O33" s="144">
        <f>+K33*G33</f>
        <v>0</v>
      </c>
    </row>
    <row r="34" spans="1:15" s="153" customFormat="1" ht="15" customHeight="1" x14ac:dyDescent="0.25">
      <c r="A34" s="764" t="s">
        <v>89</v>
      </c>
      <c r="B34" s="764"/>
      <c r="C34" s="241"/>
      <c r="D34" s="241"/>
      <c r="E34" s="241"/>
      <c r="F34" s="241"/>
      <c r="G34" s="241"/>
      <c r="H34" s="241"/>
      <c r="I34" s="320"/>
      <c r="J34" s="320"/>
      <c r="K34" s="241"/>
      <c r="L34" s="241"/>
      <c r="M34" s="241"/>
      <c r="N34" s="241"/>
      <c r="O34" s="241"/>
    </row>
    <row r="35" spans="1:15" s="240" customFormat="1" ht="15" customHeight="1" x14ac:dyDescent="0.25">
      <c r="A35" s="734" t="s">
        <v>183</v>
      </c>
      <c r="B35" s="734"/>
      <c r="C35" s="137">
        <v>6.1666699999999999</v>
      </c>
      <c r="D35" s="138">
        <v>0.33333333333333337</v>
      </c>
      <c r="E35" s="701"/>
      <c r="F35" s="139">
        <f>Dies!$C$54</f>
        <v>15</v>
      </c>
      <c r="G35" s="273">
        <f>+F35*E35*D35</f>
        <v>0</v>
      </c>
      <c r="H35" s="273">
        <f>$H$12</f>
        <v>265</v>
      </c>
      <c r="I35" s="320">
        <f t="shared" si="0"/>
        <v>0</v>
      </c>
      <c r="J35" s="320">
        <f>G35/298</f>
        <v>0</v>
      </c>
      <c r="K35" s="320">
        <f>K12</f>
        <v>0</v>
      </c>
      <c r="L35" s="491">
        <f>+K35/C35</f>
        <v>0</v>
      </c>
      <c r="M35" s="139" t="s">
        <v>90</v>
      </c>
      <c r="N35" s="139" t="s">
        <v>42</v>
      </c>
      <c r="O35" s="144">
        <f>+K35*G35</f>
        <v>0</v>
      </c>
    </row>
    <row r="36" spans="1:15" s="153" customFormat="1" ht="15" customHeight="1" x14ac:dyDescent="0.25">
      <c r="A36" s="762" t="s">
        <v>197</v>
      </c>
      <c r="B36" s="762"/>
      <c r="C36" s="241"/>
      <c r="D36" s="241"/>
      <c r="E36" s="241"/>
      <c r="F36" s="241"/>
      <c r="G36" s="241"/>
      <c r="H36" s="241"/>
      <c r="I36" s="320"/>
      <c r="J36" s="320"/>
      <c r="K36" s="241"/>
      <c r="L36" s="241"/>
      <c r="M36" s="241"/>
      <c r="N36" s="241"/>
      <c r="O36" s="241"/>
    </row>
    <row r="37" spans="1:15" s="153" customFormat="1" ht="15" customHeight="1" x14ac:dyDescent="0.25">
      <c r="A37" s="765" t="s">
        <v>88</v>
      </c>
      <c r="B37" s="765"/>
      <c r="C37" s="241"/>
      <c r="D37" s="241"/>
      <c r="E37" s="241"/>
      <c r="F37" s="241"/>
      <c r="G37" s="241"/>
      <c r="H37" s="241"/>
      <c r="I37" s="320"/>
      <c r="J37" s="320"/>
      <c r="K37" s="241"/>
      <c r="L37" s="241"/>
      <c r="M37" s="241"/>
      <c r="N37" s="241"/>
      <c r="O37" s="241"/>
    </row>
    <row r="38" spans="1:15" s="240" customFormat="1" ht="15" customHeight="1" x14ac:dyDescent="0.25">
      <c r="A38" s="734" t="s">
        <v>183</v>
      </c>
      <c r="B38" s="734"/>
      <c r="C38" s="137">
        <v>6.1666699999999999</v>
      </c>
      <c r="D38" s="138">
        <v>0.66666666666666674</v>
      </c>
      <c r="E38" s="701"/>
      <c r="F38" s="139">
        <f>Dies!$C$55</f>
        <v>15</v>
      </c>
      <c r="G38" s="273">
        <f>+F38*E38*D38</f>
        <v>0</v>
      </c>
      <c r="H38" s="273">
        <f>$H$12</f>
        <v>265</v>
      </c>
      <c r="I38" s="320">
        <f t="shared" si="0"/>
        <v>0</v>
      </c>
      <c r="J38" s="320">
        <f>G38/298</f>
        <v>0</v>
      </c>
      <c r="K38" s="320">
        <f>K12+Personal!D38</f>
        <v>0</v>
      </c>
      <c r="L38" s="491">
        <f>+K38/C38</f>
        <v>0</v>
      </c>
      <c r="M38" s="139" t="s">
        <v>41</v>
      </c>
      <c r="N38" s="139" t="s">
        <v>42</v>
      </c>
      <c r="O38" s="144">
        <f>+K38*G38</f>
        <v>0</v>
      </c>
    </row>
    <row r="39" spans="1:15" s="153" customFormat="1" ht="15" customHeight="1" x14ac:dyDescent="0.25">
      <c r="A39" s="764" t="s">
        <v>89</v>
      </c>
      <c r="B39" s="764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41"/>
      <c r="N39" s="241"/>
      <c r="O39" s="241"/>
    </row>
    <row r="40" spans="1:15" s="240" customFormat="1" ht="15" customHeight="1" x14ac:dyDescent="0.25">
      <c r="A40" s="734" t="s">
        <v>183</v>
      </c>
      <c r="B40" s="734"/>
      <c r="C40" s="146">
        <v>6.1666699999999999</v>
      </c>
      <c r="D40" s="138">
        <v>0.66666666666666674</v>
      </c>
      <c r="E40" s="701"/>
      <c r="F40" s="139">
        <f>Dies!$C$55</f>
        <v>15</v>
      </c>
      <c r="G40" s="273">
        <f>+F40*E40*D40</f>
        <v>0</v>
      </c>
      <c r="H40" s="273">
        <f>$H$12</f>
        <v>265</v>
      </c>
      <c r="I40" s="320">
        <f t="shared" si="0"/>
        <v>0</v>
      </c>
      <c r="J40" s="320">
        <f>G40/298</f>
        <v>0</v>
      </c>
      <c r="K40" s="320">
        <f>K12+Personal!D38</f>
        <v>0</v>
      </c>
      <c r="L40" s="491">
        <f>+K40/C40</f>
        <v>0</v>
      </c>
      <c r="M40" s="139" t="s">
        <v>90</v>
      </c>
      <c r="N40" s="139" t="s">
        <v>42</v>
      </c>
      <c r="O40" s="144">
        <f>+K40*G40</f>
        <v>0</v>
      </c>
    </row>
    <row r="41" spans="1:15" s="240" customFormat="1" ht="15" customHeight="1" x14ac:dyDescent="0.25">
      <c r="A41" s="229" t="s">
        <v>326</v>
      </c>
      <c r="B41" s="242"/>
      <c r="C41" s="243"/>
      <c r="D41" s="244"/>
      <c r="E41" s="245"/>
      <c r="F41" s="245"/>
      <c r="G41" s="246"/>
      <c r="H41" s="246"/>
      <c r="I41" s="247"/>
      <c r="J41" s="247"/>
      <c r="K41" s="247"/>
      <c r="L41" s="247"/>
      <c r="M41" s="245"/>
      <c r="N41" s="245"/>
      <c r="O41" s="248"/>
    </row>
    <row r="42" spans="1:15" s="240" customFormat="1" ht="15" customHeight="1" x14ac:dyDescent="0.25">
      <c r="A42" s="762" t="s">
        <v>195</v>
      </c>
      <c r="B42" s="762"/>
      <c r="C42" s="241"/>
      <c r="D42" s="241"/>
      <c r="E42" s="241"/>
      <c r="F42" s="234"/>
      <c r="G42" s="234"/>
      <c r="H42" s="234"/>
      <c r="I42" s="236"/>
      <c r="J42" s="236"/>
      <c r="K42" s="234"/>
      <c r="L42" s="234"/>
      <c r="M42" s="234"/>
      <c r="N42" s="234"/>
      <c r="O42" s="234"/>
    </row>
    <row r="43" spans="1:15" s="240" customFormat="1" ht="15" customHeight="1" x14ac:dyDescent="0.25">
      <c r="A43" s="763" t="s">
        <v>88</v>
      </c>
      <c r="B43" s="763"/>
      <c r="C43" s="241"/>
      <c r="D43" s="241"/>
      <c r="E43" s="241"/>
      <c r="F43" s="234"/>
      <c r="G43" s="234"/>
      <c r="H43" s="234"/>
      <c r="I43" s="236"/>
      <c r="J43" s="236"/>
      <c r="K43" s="234"/>
      <c r="L43" s="234"/>
      <c r="M43" s="234"/>
      <c r="N43" s="234"/>
      <c r="O43" s="234"/>
    </row>
    <row r="44" spans="1:15" s="240" customFormat="1" ht="15" customHeight="1" x14ac:dyDescent="0.25">
      <c r="A44" s="733" t="s">
        <v>183</v>
      </c>
      <c r="B44" s="733"/>
      <c r="C44" s="137">
        <v>6.1666699999999999</v>
      </c>
      <c r="D44" s="138">
        <v>1</v>
      </c>
      <c r="E44" s="701"/>
      <c r="F44" s="139">
        <f>Dies!$C$58</f>
        <v>89</v>
      </c>
      <c r="G44" s="273">
        <f>+F44*E44*D44</f>
        <v>0</v>
      </c>
      <c r="H44" s="273">
        <f>$H$12</f>
        <v>265</v>
      </c>
      <c r="I44" s="320">
        <f t="shared" ref="I44" si="2">G44/H44</f>
        <v>0</v>
      </c>
      <c r="J44" s="320">
        <f>G44/298</f>
        <v>0</v>
      </c>
      <c r="K44" s="320">
        <f>K28</f>
        <v>0</v>
      </c>
      <c r="L44" s="491">
        <f>+K44/C44</f>
        <v>0</v>
      </c>
      <c r="M44" s="139" t="s">
        <v>41</v>
      </c>
      <c r="N44" s="139" t="s">
        <v>42</v>
      </c>
      <c r="O44" s="144">
        <f>+K44*G44</f>
        <v>0</v>
      </c>
    </row>
    <row r="45" spans="1:15" s="240" customFormat="1" ht="15" customHeight="1" x14ac:dyDescent="0.25">
      <c r="A45" s="770" t="s">
        <v>89</v>
      </c>
      <c r="B45" s="770"/>
      <c r="C45" s="241"/>
      <c r="D45" s="241"/>
      <c r="E45" s="241"/>
      <c r="F45" s="241"/>
      <c r="G45" s="241"/>
      <c r="H45" s="241"/>
      <c r="I45" s="320"/>
      <c r="J45" s="320"/>
      <c r="K45" s="241"/>
      <c r="L45" s="241"/>
      <c r="M45" s="241"/>
      <c r="N45" s="241"/>
      <c r="O45" s="241"/>
    </row>
    <row r="46" spans="1:15" s="240" customFormat="1" ht="15" customHeight="1" x14ac:dyDescent="0.25">
      <c r="A46" s="733" t="s">
        <v>183</v>
      </c>
      <c r="B46" s="733"/>
      <c r="C46" s="137">
        <v>6.1666699999999999</v>
      </c>
      <c r="D46" s="138">
        <v>1</v>
      </c>
      <c r="E46" s="701"/>
      <c r="F46" s="139">
        <f>Dies!$C$58</f>
        <v>89</v>
      </c>
      <c r="G46" s="273">
        <f>+F46*E46*D46</f>
        <v>0</v>
      </c>
      <c r="H46" s="273">
        <f>$H$12</f>
        <v>265</v>
      </c>
      <c r="I46" s="320">
        <f t="shared" ref="I46" si="3">G46/H46</f>
        <v>0</v>
      </c>
      <c r="J46" s="320">
        <f>G46/298</f>
        <v>0</v>
      </c>
      <c r="K46" s="320">
        <f>K28</f>
        <v>0</v>
      </c>
      <c r="L46" s="491">
        <f>+K46/C46</f>
        <v>0</v>
      </c>
      <c r="M46" s="139" t="s">
        <v>90</v>
      </c>
      <c r="N46" s="139" t="s">
        <v>42</v>
      </c>
      <c r="O46" s="144">
        <f>+K46*G46</f>
        <v>0</v>
      </c>
    </row>
    <row r="47" spans="1:15" s="240" customFormat="1" ht="15" customHeight="1" x14ac:dyDescent="0.25">
      <c r="A47" s="762" t="s">
        <v>196</v>
      </c>
      <c r="B47" s="762"/>
      <c r="C47" s="241"/>
      <c r="D47" s="241"/>
      <c r="E47" s="241"/>
      <c r="F47" s="241"/>
      <c r="G47" s="241"/>
      <c r="H47" s="241"/>
      <c r="I47" s="320"/>
      <c r="J47" s="320"/>
      <c r="K47" s="241"/>
      <c r="L47" s="241"/>
      <c r="M47" s="241"/>
      <c r="N47" s="241"/>
      <c r="O47" s="241"/>
    </row>
    <row r="48" spans="1:15" s="240" customFormat="1" ht="15" customHeight="1" x14ac:dyDescent="0.25">
      <c r="A48" s="763" t="s">
        <v>88</v>
      </c>
      <c r="B48" s="763"/>
      <c r="C48" s="241"/>
      <c r="D48" s="241"/>
      <c r="E48" s="241"/>
      <c r="F48" s="241"/>
      <c r="G48" s="241"/>
      <c r="H48" s="241"/>
      <c r="I48" s="320"/>
      <c r="J48" s="320"/>
      <c r="K48" s="241"/>
      <c r="L48" s="241"/>
      <c r="M48" s="241"/>
      <c r="N48" s="241"/>
      <c r="O48" s="241"/>
    </row>
    <row r="49" spans="1:15" s="240" customFormat="1" ht="15" customHeight="1" x14ac:dyDescent="0.25">
      <c r="A49" s="733" t="s">
        <v>183</v>
      </c>
      <c r="B49" s="733"/>
      <c r="C49" s="137">
        <v>6.1666699999999999</v>
      </c>
      <c r="D49" s="7">
        <v>0.33333333333333337</v>
      </c>
      <c r="E49" s="701"/>
      <c r="F49" s="139">
        <f>Dies!$C$59</f>
        <v>17</v>
      </c>
      <c r="G49" s="273">
        <f>+F49*E49*D49</f>
        <v>0</v>
      </c>
      <c r="H49" s="273">
        <f>$H$12</f>
        <v>265</v>
      </c>
      <c r="I49" s="320">
        <f t="shared" ref="I49" si="4">G49/H49</f>
        <v>0</v>
      </c>
      <c r="J49" s="320">
        <f>G49/298</f>
        <v>0</v>
      </c>
      <c r="K49" s="320">
        <f>K28</f>
        <v>0</v>
      </c>
      <c r="L49" s="491">
        <f>+K49/C49</f>
        <v>0</v>
      </c>
      <c r="M49" s="139" t="s">
        <v>41</v>
      </c>
      <c r="N49" s="139" t="s">
        <v>42</v>
      </c>
      <c r="O49" s="144">
        <f>+K49*G49</f>
        <v>0</v>
      </c>
    </row>
    <row r="50" spans="1:15" s="240" customFormat="1" ht="15" customHeight="1" x14ac:dyDescent="0.25">
      <c r="A50" s="770" t="s">
        <v>89</v>
      </c>
      <c r="B50" s="770"/>
      <c r="C50" s="241"/>
      <c r="D50" s="241"/>
      <c r="E50" s="241"/>
      <c r="F50" s="241"/>
      <c r="G50" s="241"/>
      <c r="H50" s="241"/>
      <c r="I50" s="320"/>
      <c r="J50" s="320"/>
      <c r="K50" s="241"/>
      <c r="L50" s="241"/>
      <c r="M50" s="241"/>
      <c r="N50" s="241"/>
      <c r="O50" s="241"/>
    </row>
    <row r="51" spans="1:15" s="240" customFormat="1" ht="15" customHeight="1" x14ac:dyDescent="0.25">
      <c r="A51" s="733" t="s">
        <v>183</v>
      </c>
      <c r="B51" s="733"/>
      <c r="C51" s="137">
        <v>6.1666699999999999</v>
      </c>
      <c r="D51" s="138">
        <v>0.33333333333333337</v>
      </c>
      <c r="E51" s="701"/>
      <c r="F51" s="139">
        <f>Dies!$C$59</f>
        <v>17</v>
      </c>
      <c r="G51" s="273">
        <f>+F51*E51*D51</f>
        <v>0</v>
      </c>
      <c r="H51" s="273">
        <f>$H$12</f>
        <v>265</v>
      </c>
      <c r="I51" s="320">
        <f t="shared" ref="I51" si="5">G51/H51</f>
        <v>0</v>
      </c>
      <c r="J51" s="320">
        <f>G51/298</f>
        <v>0</v>
      </c>
      <c r="K51" s="320">
        <f>K28</f>
        <v>0</v>
      </c>
      <c r="L51" s="491">
        <f>+K51/C51</f>
        <v>0</v>
      </c>
      <c r="M51" s="139" t="s">
        <v>90</v>
      </c>
      <c r="N51" s="139" t="s">
        <v>42</v>
      </c>
      <c r="O51" s="144">
        <f>+K51*G51</f>
        <v>0</v>
      </c>
    </row>
    <row r="52" spans="1:15" s="240" customFormat="1" ht="15" customHeight="1" x14ac:dyDescent="0.25">
      <c r="A52" s="762" t="s">
        <v>197</v>
      </c>
      <c r="B52" s="762"/>
      <c r="C52" s="241"/>
      <c r="D52" s="241"/>
      <c r="E52" s="241"/>
      <c r="F52" s="241"/>
      <c r="G52" s="241"/>
      <c r="H52" s="241"/>
      <c r="I52" s="320"/>
      <c r="J52" s="320"/>
      <c r="K52" s="241"/>
      <c r="L52" s="241"/>
      <c r="M52" s="241"/>
      <c r="N52" s="241"/>
      <c r="O52" s="241"/>
    </row>
    <row r="53" spans="1:15" s="240" customFormat="1" ht="15" customHeight="1" x14ac:dyDescent="0.25">
      <c r="A53" s="763" t="s">
        <v>88</v>
      </c>
      <c r="B53" s="763"/>
      <c r="C53" s="241"/>
      <c r="D53" s="241"/>
      <c r="E53" s="241"/>
      <c r="F53" s="241"/>
      <c r="G53" s="241"/>
      <c r="H53" s="241"/>
      <c r="I53" s="320"/>
      <c r="J53" s="320"/>
      <c r="K53" s="241"/>
      <c r="L53" s="640"/>
      <c r="M53" s="241"/>
      <c r="N53" s="241"/>
      <c r="O53" s="241"/>
    </row>
    <row r="54" spans="1:15" s="240" customFormat="1" ht="15" customHeight="1" x14ac:dyDescent="0.25">
      <c r="A54" s="733" t="s">
        <v>183</v>
      </c>
      <c r="B54" s="733"/>
      <c r="C54" s="137">
        <v>6.1666699999999999</v>
      </c>
      <c r="D54" s="138">
        <v>0.66666666666666674</v>
      </c>
      <c r="E54" s="701"/>
      <c r="F54" s="139">
        <f>Dies!$C$60</f>
        <v>17</v>
      </c>
      <c r="G54" s="273">
        <f>+F54*E54*D54</f>
        <v>0</v>
      </c>
      <c r="H54" s="273">
        <f>$H$12</f>
        <v>265</v>
      </c>
      <c r="I54" s="320">
        <f t="shared" ref="I54" si="6">G54/H54</f>
        <v>0</v>
      </c>
      <c r="J54" s="320">
        <f>G54/298</f>
        <v>0</v>
      </c>
      <c r="K54" s="320">
        <f>K28+Personal!D38</f>
        <v>0</v>
      </c>
      <c r="L54" s="491">
        <f>+K54/C54</f>
        <v>0</v>
      </c>
      <c r="M54" s="139" t="s">
        <v>41</v>
      </c>
      <c r="N54" s="139" t="s">
        <v>42</v>
      </c>
      <c r="O54" s="144">
        <f>+K54*G54</f>
        <v>0</v>
      </c>
    </row>
    <row r="55" spans="1:15" s="240" customFormat="1" ht="15" customHeight="1" x14ac:dyDescent="0.25">
      <c r="A55" s="770" t="s">
        <v>89</v>
      </c>
      <c r="B55" s="770"/>
      <c r="C55" s="241"/>
      <c r="D55" s="241"/>
      <c r="E55" s="241"/>
      <c r="F55" s="241"/>
      <c r="G55" s="241"/>
      <c r="H55" s="241"/>
      <c r="I55" s="320"/>
      <c r="J55" s="320"/>
      <c r="K55" s="241"/>
      <c r="L55" s="241"/>
      <c r="M55" s="241"/>
      <c r="N55" s="241"/>
      <c r="O55" s="241"/>
    </row>
    <row r="56" spans="1:15" s="240" customFormat="1" ht="15" customHeight="1" x14ac:dyDescent="0.25">
      <c r="A56" s="771" t="s">
        <v>183</v>
      </c>
      <c r="B56" s="771"/>
      <c r="C56" s="250">
        <v>6.1666699999999999</v>
      </c>
      <c r="D56" s="138">
        <v>0.66666666666666674</v>
      </c>
      <c r="E56" s="701"/>
      <c r="F56" s="641">
        <f>Dies!$C$60</f>
        <v>17</v>
      </c>
      <c r="G56" s="276">
        <f>+F56*E56*D56</f>
        <v>0</v>
      </c>
      <c r="H56" s="276">
        <f>$H$12</f>
        <v>265</v>
      </c>
      <c r="I56" s="362">
        <f t="shared" ref="I56" si="7">G56/H56</f>
        <v>0</v>
      </c>
      <c r="J56" s="362">
        <f>G56/298</f>
        <v>0</v>
      </c>
      <c r="K56" s="362">
        <f>K28+Personal!D38</f>
        <v>0</v>
      </c>
      <c r="L56" s="642">
        <f>+K56/C56</f>
        <v>0</v>
      </c>
      <c r="M56" s="641" t="s">
        <v>90</v>
      </c>
      <c r="N56" s="641" t="s">
        <v>42</v>
      </c>
      <c r="O56" s="643">
        <f>+K56*G56</f>
        <v>0</v>
      </c>
    </row>
    <row r="57" spans="1:15" x14ac:dyDescent="0.25">
      <c r="A57" s="254"/>
      <c r="B57" s="255"/>
      <c r="C57" s="255"/>
      <c r="D57" s="255"/>
      <c r="E57" s="256" t="s">
        <v>45</v>
      </c>
      <c r="F57" s="255"/>
      <c r="G57" s="255">
        <f>SUM(G12:G56)</f>
        <v>0</v>
      </c>
      <c r="H57" s="255"/>
      <c r="I57" s="255">
        <f>SUM(I12:I56)</f>
        <v>0</v>
      </c>
      <c r="J57" s="255">
        <f>SUM(J12:J56)</f>
        <v>0</v>
      </c>
      <c r="K57" s="255"/>
      <c r="L57" s="255"/>
      <c r="M57" s="255"/>
      <c r="N57" s="255"/>
      <c r="O57" s="257">
        <f>SUM(O10:O56)</f>
        <v>0</v>
      </c>
    </row>
    <row r="58" spans="1:15" x14ac:dyDescent="0.25">
      <c r="A58" s="254"/>
      <c r="B58" s="255"/>
      <c r="C58" s="255"/>
      <c r="D58" s="255"/>
      <c r="E58" s="256"/>
      <c r="F58" s="258" t="s">
        <v>298</v>
      </c>
      <c r="G58" s="255">
        <f>G12+G14+G17+G19+G28+G30+G33+G35+G44+G46+G49+G51</f>
        <v>0</v>
      </c>
      <c r="H58" s="255"/>
      <c r="I58" s="255"/>
      <c r="J58" s="255"/>
      <c r="K58" s="255"/>
      <c r="L58" s="255"/>
      <c r="M58" s="255"/>
      <c r="N58" s="255"/>
      <c r="O58" s="257"/>
    </row>
    <row r="59" spans="1:15" x14ac:dyDescent="0.25">
      <c r="A59" s="254"/>
      <c r="B59" s="255"/>
      <c r="C59" s="255"/>
      <c r="D59" s="255"/>
      <c r="E59" s="256"/>
      <c r="F59" s="255" t="s">
        <v>217</v>
      </c>
      <c r="G59" s="255">
        <f>G22+G24+G38+G40+G54+G56</f>
        <v>0</v>
      </c>
      <c r="H59" s="255"/>
      <c r="I59" s="255"/>
      <c r="J59" s="255"/>
      <c r="K59" s="255"/>
      <c r="L59" s="255"/>
      <c r="M59" s="255"/>
      <c r="N59" s="255"/>
      <c r="O59" s="257"/>
    </row>
    <row r="60" spans="1:15" s="153" customFormat="1" ht="26.25" x14ac:dyDescent="0.4">
      <c r="A60" s="259" t="s">
        <v>211</v>
      </c>
      <c r="B60" s="260"/>
      <c r="C60" s="260"/>
      <c r="D60" s="261"/>
      <c r="E60" s="261"/>
      <c r="F60" s="261"/>
      <c r="G60" s="261"/>
      <c r="H60" s="261"/>
      <c r="I60" s="261"/>
      <c r="J60" s="261"/>
      <c r="K60" s="262"/>
      <c r="L60" s="262"/>
      <c r="M60" s="262"/>
      <c r="N60" s="262"/>
      <c r="O60" s="263"/>
    </row>
    <row r="61" spans="1:15" x14ac:dyDescent="0.25">
      <c r="A61" s="774" t="s">
        <v>20</v>
      </c>
      <c r="B61" s="775"/>
      <c r="C61" s="264" t="s">
        <v>27</v>
      </c>
      <c r="D61" s="264" t="s">
        <v>28</v>
      </c>
      <c r="E61" s="264" t="s">
        <v>21</v>
      </c>
      <c r="F61" s="264" t="s">
        <v>29</v>
      </c>
      <c r="G61" s="264"/>
      <c r="H61" s="264"/>
      <c r="I61" s="264"/>
      <c r="J61" s="264"/>
      <c r="K61" s="264" t="s">
        <v>30</v>
      </c>
      <c r="L61" s="264" t="s">
        <v>23</v>
      </c>
      <c r="M61" s="264" t="s">
        <v>31</v>
      </c>
      <c r="N61" s="264"/>
      <c r="O61" s="265" t="s">
        <v>32</v>
      </c>
    </row>
    <row r="62" spans="1:15" x14ac:dyDescent="0.25">
      <c r="A62" s="776"/>
      <c r="B62" s="777"/>
      <c r="C62" s="266" t="s">
        <v>44</v>
      </c>
      <c r="D62" s="266" t="s">
        <v>5</v>
      </c>
      <c r="E62" s="266" t="s">
        <v>24</v>
      </c>
      <c r="F62" s="267" t="s">
        <v>34</v>
      </c>
      <c r="G62" s="266" t="s">
        <v>35</v>
      </c>
      <c r="H62" s="266"/>
      <c r="I62" s="266"/>
      <c r="J62" s="266"/>
      <c r="K62" s="266" t="s">
        <v>36</v>
      </c>
      <c r="L62" s="268" t="s">
        <v>37</v>
      </c>
      <c r="M62" s="266" t="s">
        <v>38</v>
      </c>
      <c r="N62" s="266"/>
      <c r="O62" s="269" t="s">
        <v>40</v>
      </c>
    </row>
    <row r="63" spans="1:15" x14ac:dyDescent="0.25">
      <c r="A63" s="270" t="s">
        <v>198</v>
      </c>
      <c r="B63" s="270"/>
      <c r="C63" s="271"/>
      <c r="D63" s="271"/>
      <c r="E63" s="271"/>
      <c r="F63" s="272"/>
      <c r="G63" s="271"/>
      <c r="H63" s="271"/>
      <c r="I63" s="271"/>
      <c r="J63" s="271"/>
      <c r="K63" s="271"/>
      <c r="L63" s="271"/>
      <c r="M63" s="271"/>
      <c r="N63" s="271"/>
      <c r="O63" s="271"/>
    </row>
    <row r="64" spans="1:15" s="153" customFormat="1" x14ac:dyDescent="0.25">
      <c r="A64" s="232" t="s">
        <v>195</v>
      </c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</row>
    <row r="65" spans="1:15" s="153" customFormat="1" x14ac:dyDescent="0.25">
      <c r="A65" s="763" t="s">
        <v>88</v>
      </c>
      <c r="B65" s="763"/>
      <c r="C65" s="241"/>
      <c r="D65" s="241"/>
      <c r="E65" s="241"/>
      <c r="F65" s="241"/>
      <c r="G65" s="241"/>
      <c r="H65" s="241"/>
      <c r="I65" s="241"/>
      <c r="J65" s="241"/>
      <c r="K65" s="234"/>
      <c r="L65" s="234"/>
      <c r="M65" s="234"/>
      <c r="N65" s="234"/>
      <c r="O65" s="234"/>
    </row>
    <row r="66" spans="1:15" x14ac:dyDescent="0.25">
      <c r="A66" s="734" t="s">
        <v>247</v>
      </c>
      <c r="B66" s="734"/>
      <c r="C66" s="137">
        <v>6.1666699999999999</v>
      </c>
      <c r="D66" s="138">
        <v>1</v>
      </c>
      <c r="E66" s="139">
        <f>$E$12</f>
        <v>0</v>
      </c>
      <c r="F66" s="139">
        <f>Dies!$C$48</f>
        <v>95</v>
      </c>
      <c r="G66" s="273">
        <f>+D66*E66*F66</f>
        <v>0</v>
      </c>
      <c r="H66" s="273"/>
      <c r="I66" s="273"/>
      <c r="J66" s="273"/>
      <c r="K66" s="320">
        <f>'Seguro+combustible+reparacions'!F19</f>
        <v>0</v>
      </c>
      <c r="L66" s="491">
        <f>+K66/C66</f>
        <v>0</v>
      </c>
      <c r="M66" s="139" t="str">
        <f>+M12</f>
        <v>Matí</v>
      </c>
      <c r="N66" s="139"/>
      <c r="O66" s="144">
        <f>+K66*G66</f>
        <v>0</v>
      </c>
    </row>
    <row r="67" spans="1:15" s="153" customFormat="1" x14ac:dyDescent="0.25">
      <c r="A67" s="764" t="s">
        <v>89</v>
      </c>
      <c r="B67" s="764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</row>
    <row r="68" spans="1:15" x14ac:dyDescent="0.25">
      <c r="A68" s="734" t="s">
        <v>247</v>
      </c>
      <c r="B68" s="734"/>
      <c r="C68" s="137">
        <v>6.1666699999999999</v>
      </c>
      <c r="D68" s="138">
        <v>1</v>
      </c>
      <c r="E68" s="139">
        <f>$E$14</f>
        <v>0</v>
      </c>
      <c r="F68" s="139">
        <f>Dies!$C$48</f>
        <v>95</v>
      </c>
      <c r="G68" s="273">
        <f>+D68*E68*F68</f>
        <v>0</v>
      </c>
      <c r="H68" s="273"/>
      <c r="I68" s="273"/>
      <c r="J68" s="273"/>
      <c r="K68" s="320">
        <f>K66</f>
        <v>0</v>
      </c>
      <c r="L68" s="491">
        <f>+K68/C68</f>
        <v>0</v>
      </c>
      <c r="M68" s="139" t="str">
        <f>+M14</f>
        <v>Tarda</v>
      </c>
      <c r="N68" s="139"/>
      <c r="O68" s="144">
        <f>+K68*G68</f>
        <v>0</v>
      </c>
    </row>
    <row r="69" spans="1:15" s="153" customFormat="1" x14ac:dyDescent="0.25">
      <c r="A69" s="762" t="s">
        <v>196</v>
      </c>
      <c r="B69" s="762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</row>
    <row r="70" spans="1:15" s="153" customFormat="1" x14ac:dyDescent="0.25">
      <c r="A70" s="765" t="s">
        <v>88</v>
      </c>
      <c r="B70" s="765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</row>
    <row r="71" spans="1:15" x14ac:dyDescent="0.25">
      <c r="A71" s="734" t="s">
        <v>247</v>
      </c>
      <c r="B71" s="734"/>
      <c r="C71" s="137">
        <v>6.1666699999999999</v>
      </c>
      <c r="D71" s="138">
        <v>1</v>
      </c>
      <c r="E71" s="139">
        <f>$E$17</f>
        <v>0</v>
      </c>
      <c r="F71" s="139">
        <f>Dies!$C$49</f>
        <v>20</v>
      </c>
      <c r="G71" s="273">
        <f>+D71*E71*F71</f>
        <v>0</v>
      </c>
      <c r="H71" s="273"/>
      <c r="I71" s="273"/>
      <c r="J71" s="273"/>
      <c r="K71" s="320">
        <f>K66</f>
        <v>0</v>
      </c>
      <c r="L71" s="491">
        <f>+K71/C71</f>
        <v>0</v>
      </c>
      <c r="M71" s="139" t="str">
        <f>+M17</f>
        <v>Matí</v>
      </c>
      <c r="N71" s="139"/>
      <c r="O71" s="144">
        <f>+K71*G71</f>
        <v>0</v>
      </c>
    </row>
    <row r="72" spans="1:15" s="153" customFormat="1" x14ac:dyDescent="0.25">
      <c r="A72" s="764" t="s">
        <v>89</v>
      </c>
      <c r="B72" s="764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</row>
    <row r="73" spans="1:15" x14ac:dyDescent="0.25">
      <c r="A73" s="734" t="s">
        <v>247</v>
      </c>
      <c r="B73" s="734"/>
      <c r="C73" s="137">
        <v>6.1666699999999999</v>
      </c>
      <c r="D73" s="138">
        <v>1</v>
      </c>
      <c r="E73" s="139">
        <f>$E$19</f>
        <v>0</v>
      </c>
      <c r="F73" s="139">
        <f>Dies!$C$49</f>
        <v>20</v>
      </c>
      <c r="G73" s="273">
        <f>+D73*E73*F73</f>
        <v>0</v>
      </c>
      <c r="H73" s="273"/>
      <c r="I73" s="273"/>
      <c r="J73" s="273"/>
      <c r="K73" s="320">
        <f>K66</f>
        <v>0</v>
      </c>
      <c r="L73" s="491">
        <f>+K73/C73</f>
        <v>0</v>
      </c>
      <c r="M73" s="139" t="str">
        <f>+M19</f>
        <v>Tarda</v>
      </c>
      <c r="N73" s="139"/>
      <c r="O73" s="144">
        <f>+K73*G73</f>
        <v>0</v>
      </c>
    </row>
    <row r="74" spans="1:15" s="153" customFormat="1" x14ac:dyDescent="0.25">
      <c r="A74" s="762" t="s">
        <v>197</v>
      </c>
      <c r="B74" s="762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</row>
    <row r="75" spans="1:15" s="153" customFormat="1" x14ac:dyDescent="0.25">
      <c r="A75" s="765" t="s">
        <v>88</v>
      </c>
      <c r="B75" s="765"/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</row>
    <row r="76" spans="1:15" x14ac:dyDescent="0.25">
      <c r="A76" s="734" t="s">
        <v>247</v>
      </c>
      <c r="B76" s="734"/>
      <c r="C76" s="137">
        <v>6.1666699999999999</v>
      </c>
      <c r="D76" s="138">
        <v>1</v>
      </c>
      <c r="E76" s="139">
        <f>$E$22</f>
        <v>0</v>
      </c>
      <c r="F76" s="139">
        <f>Dies!$C$50</f>
        <v>20</v>
      </c>
      <c r="G76" s="273">
        <f>+D76*E76*F76</f>
        <v>0</v>
      </c>
      <c r="H76" s="273"/>
      <c r="I76" s="273"/>
      <c r="J76" s="273"/>
      <c r="K76" s="320">
        <f>K66</f>
        <v>0</v>
      </c>
      <c r="L76" s="491">
        <f>+K76/C76</f>
        <v>0</v>
      </c>
      <c r="M76" s="139" t="str">
        <f>+M22</f>
        <v>Matí</v>
      </c>
      <c r="N76" s="139"/>
      <c r="O76" s="144">
        <f>+K76*G76</f>
        <v>0</v>
      </c>
    </row>
    <row r="77" spans="1:15" s="153" customFormat="1" x14ac:dyDescent="0.25">
      <c r="A77" s="764" t="s">
        <v>89</v>
      </c>
      <c r="B77" s="764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</row>
    <row r="78" spans="1:15" x14ac:dyDescent="0.25">
      <c r="A78" s="734" t="s">
        <v>247</v>
      </c>
      <c r="B78" s="734"/>
      <c r="C78" s="137">
        <v>6.1666699999999999</v>
      </c>
      <c r="D78" s="138">
        <v>1</v>
      </c>
      <c r="E78" s="139">
        <f>$E$24</f>
        <v>0</v>
      </c>
      <c r="F78" s="139">
        <f>Dies!$C$50</f>
        <v>20</v>
      </c>
      <c r="G78" s="273">
        <f>+D78*E78*F78</f>
        <v>0</v>
      </c>
      <c r="H78" s="273"/>
      <c r="I78" s="273"/>
      <c r="J78" s="273"/>
      <c r="K78" s="320">
        <f>K66</f>
        <v>0</v>
      </c>
      <c r="L78" s="491">
        <f>+K78/C78</f>
        <v>0</v>
      </c>
      <c r="M78" s="139" t="str">
        <f>+M24</f>
        <v>Tarda</v>
      </c>
      <c r="N78" s="139"/>
      <c r="O78" s="144">
        <f>+K78*G78</f>
        <v>0</v>
      </c>
    </row>
    <row r="79" spans="1:15" x14ac:dyDescent="0.25">
      <c r="A79" s="229" t="s">
        <v>199</v>
      </c>
      <c r="B79" s="242"/>
      <c r="C79" s="243"/>
      <c r="D79" s="244"/>
      <c r="E79" s="245"/>
      <c r="F79" s="245"/>
      <c r="G79" s="246"/>
      <c r="H79" s="246"/>
      <c r="I79" s="246"/>
      <c r="J79" s="246"/>
      <c r="K79" s="247"/>
      <c r="L79" s="247"/>
      <c r="M79" s="245"/>
      <c r="N79" s="245"/>
      <c r="O79" s="248"/>
    </row>
    <row r="80" spans="1:15" s="153" customFormat="1" x14ac:dyDescent="0.25">
      <c r="A80" s="232" t="s">
        <v>195</v>
      </c>
      <c r="B80" s="233"/>
      <c r="C80" s="241"/>
      <c r="D80" s="241"/>
      <c r="E80" s="241"/>
      <c r="F80" s="234"/>
      <c r="G80" s="241"/>
      <c r="H80" s="241"/>
      <c r="I80" s="241"/>
      <c r="J80" s="241"/>
      <c r="K80" s="234"/>
      <c r="L80" s="234"/>
      <c r="M80" s="234"/>
      <c r="N80" s="234"/>
      <c r="O80" s="234"/>
    </row>
    <row r="81" spans="1:15" s="153" customFormat="1" x14ac:dyDescent="0.25">
      <c r="A81" s="763" t="s">
        <v>88</v>
      </c>
      <c r="B81" s="763"/>
      <c r="C81" s="241"/>
      <c r="D81" s="241"/>
      <c r="E81" s="241"/>
      <c r="F81" s="234"/>
      <c r="G81" s="241"/>
      <c r="H81" s="241"/>
      <c r="I81" s="241"/>
      <c r="J81" s="241"/>
      <c r="K81" s="234"/>
      <c r="L81" s="234"/>
      <c r="M81" s="234"/>
      <c r="N81" s="234"/>
      <c r="O81" s="234"/>
    </row>
    <row r="82" spans="1:15" x14ac:dyDescent="0.25">
      <c r="A82" s="734" t="s">
        <v>247</v>
      </c>
      <c r="B82" s="734"/>
      <c r="C82" s="137">
        <v>6.1666699999999999</v>
      </c>
      <c r="D82" s="138">
        <v>1</v>
      </c>
      <c r="E82" s="139">
        <f>$E$28</f>
        <v>0</v>
      </c>
      <c r="F82" s="139">
        <f>Dies!$C$53</f>
        <v>77</v>
      </c>
      <c r="G82" s="273">
        <f>+D82*E82*F82</f>
        <v>0</v>
      </c>
      <c r="H82" s="273"/>
      <c r="I82" s="273"/>
      <c r="J82" s="273"/>
      <c r="K82" s="320">
        <f>K66</f>
        <v>0</v>
      </c>
      <c r="L82" s="491">
        <f>+K82/C82</f>
        <v>0</v>
      </c>
      <c r="M82" s="139" t="str">
        <f>+M28</f>
        <v>Matí</v>
      </c>
      <c r="N82" s="139"/>
      <c r="O82" s="144">
        <f>+K82*G82</f>
        <v>0</v>
      </c>
    </row>
    <row r="83" spans="1:15" s="153" customFormat="1" x14ac:dyDescent="0.25">
      <c r="A83" s="764" t="s">
        <v>89</v>
      </c>
      <c r="B83" s="764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</row>
    <row r="84" spans="1:15" x14ac:dyDescent="0.25">
      <c r="A84" s="734" t="s">
        <v>247</v>
      </c>
      <c r="B84" s="734"/>
      <c r="C84" s="137">
        <v>6.1666699999999999</v>
      </c>
      <c r="D84" s="138">
        <v>1</v>
      </c>
      <c r="E84" s="139">
        <f>$E$30</f>
        <v>0</v>
      </c>
      <c r="F84" s="139">
        <f>Dies!$C$53</f>
        <v>77</v>
      </c>
      <c r="G84" s="273">
        <f>+D84*E84*F84</f>
        <v>0</v>
      </c>
      <c r="H84" s="273"/>
      <c r="I84" s="273"/>
      <c r="J84" s="273"/>
      <c r="K84" s="320">
        <f>K66</f>
        <v>0</v>
      </c>
      <c r="L84" s="491">
        <f>+K84/C84</f>
        <v>0</v>
      </c>
      <c r="M84" s="139" t="str">
        <f>+M30</f>
        <v>Tarda</v>
      </c>
      <c r="N84" s="139"/>
      <c r="O84" s="144">
        <f>+K84*G84</f>
        <v>0</v>
      </c>
    </row>
    <row r="85" spans="1:15" s="153" customFormat="1" x14ac:dyDescent="0.25">
      <c r="A85" s="762" t="s">
        <v>196</v>
      </c>
      <c r="B85" s="762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</row>
    <row r="86" spans="1:15" s="153" customFormat="1" x14ac:dyDescent="0.25">
      <c r="A86" s="765" t="s">
        <v>88</v>
      </c>
      <c r="B86" s="765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</row>
    <row r="87" spans="1:15" x14ac:dyDescent="0.25">
      <c r="A87" s="734" t="s">
        <v>247</v>
      </c>
      <c r="B87" s="734"/>
      <c r="C87" s="137">
        <v>6.1666699999999999</v>
      </c>
      <c r="D87" s="138">
        <v>1</v>
      </c>
      <c r="E87" s="139">
        <f>$E$33</f>
        <v>0</v>
      </c>
      <c r="F87" s="139">
        <f>Dies!$C$54</f>
        <v>15</v>
      </c>
      <c r="G87" s="273">
        <f>+D87*E87*F87</f>
        <v>0</v>
      </c>
      <c r="H87" s="273"/>
      <c r="I87" s="273"/>
      <c r="J87" s="273"/>
      <c r="K87" s="320">
        <f>K66</f>
        <v>0</v>
      </c>
      <c r="L87" s="491">
        <f>+K87/C87</f>
        <v>0</v>
      </c>
      <c r="M87" s="139" t="str">
        <f>+M33</f>
        <v>Matí</v>
      </c>
      <c r="N87" s="139"/>
      <c r="O87" s="144">
        <f>+K87*G87</f>
        <v>0</v>
      </c>
    </row>
    <row r="88" spans="1:15" s="153" customFormat="1" x14ac:dyDescent="0.25">
      <c r="A88" s="764" t="s">
        <v>89</v>
      </c>
      <c r="B88" s="764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</row>
    <row r="89" spans="1:15" x14ac:dyDescent="0.25">
      <c r="A89" s="734" t="s">
        <v>247</v>
      </c>
      <c r="B89" s="734"/>
      <c r="C89" s="137">
        <v>6.1666699999999999</v>
      </c>
      <c r="D89" s="138">
        <v>1</v>
      </c>
      <c r="E89" s="139">
        <f>$E$35</f>
        <v>0</v>
      </c>
      <c r="F89" s="139">
        <f>Dies!$C$54</f>
        <v>15</v>
      </c>
      <c r="G89" s="273">
        <f>+D89*E89*F89</f>
        <v>0</v>
      </c>
      <c r="H89" s="273"/>
      <c r="I89" s="273"/>
      <c r="J89" s="273"/>
      <c r="K89" s="320">
        <f>K66</f>
        <v>0</v>
      </c>
      <c r="L89" s="491">
        <f>+K89/C89</f>
        <v>0</v>
      </c>
      <c r="M89" s="139" t="str">
        <f>+M35</f>
        <v>Tarda</v>
      </c>
      <c r="N89" s="139"/>
      <c r="O89" s="144">
        <f>+K89*G89</f>
        <v>0</v>
      </c>
    </row>
    <row r="90" spans="1:15" s="153" customFormat="1" x14ac:dyDescent="0.25">
      <c r="A90" s="762" t="s">
        <v>197</v>
      </c>
      <c r="B90" s="762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</row>
    <row r="91" spans="1:15" s="153" customFormat="1" x14ac:dyDescent="0.25">
      <c r="A91" s="765" t="s">
        <v>88</v>
      </c>
      <c r="B91" s="765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</row>
    <row r="92" spans="1:15" x14ac:dyDescent="0.25">
      <c r="A92" s="734" t="s">
        <v>247</v>
      </c>
      <c r="B92" s="734"/>
      <c r="C92" s="137">
        <v>6.1666699999999999</v>
      </c>
      <c r="D92" s="138">
        <v>1</v>
      </c>
      <c r="E92" s="139">
        <f>$E$38</f>
        <v>0</v>
      </c>
      <c r="F92" s="139">
        <f>Dies!$C$55</f>
        <v>15</v>
      </c>
      <c r="G92" s="273">
        <f>+D92*E92*F92</f>
        <v>0</v>
      </c>
      <c r="H92" s="273"/>
      <c r="I92" s="273"/>
      <c r="J92" s="273"/>
      <c r="K92" s="320">
        <f>K66</f>
        <v>0</v>
      </c>
      <c r="L92" s="491">
        <f>+K92/C92</f>
        <v>0</v>
      </c>
      <c r="M92" s="139" t="str">
        <f>+M38</f>
        <v>Matí</v>
      </c>
      <c r="N92" s="139"/>
      <c r="O92" s="144">
        <f>+K92*G92</f>
        <v>0</v>
      </c>
    </row>
    <row r="93" spans="1:15" s="153" customFormat="1" x14ac:dyDescent="0.25">
      <c r="A93" s="764" t="s">
        <v>89</v>
      </c>
      <c r="B93" s="764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</row>
    <row r="94" spans="1:15" x14ac:dyDescent="0.25">
      <c r="A94" s="734" t="s">
        <v>247</v>
      </c>
      <c r="B94" s="734"/>
      <c r="C94" s="137">
        <v>6.1666699999999999</v>
      </c>
      <c r="D94" s="138">
        <v>1</v>
      </c>
      <c r="E94" s="139">
        <f>$E$40</f>
        <v>0</v>
      </c>
      <c r="F94" s="139">
        <f>Dies!$C$55</f>
        <v>15</v>
      </c>
      <c r="G94" s="273">
        <f>+D94*E94*F94</f>
        <v>0</v>
      </c>
      <c r="H94" s="273"/>
      <c r="I94" s="273"/>
      <c r="J94" s="273"/>
      <c r="K94" s="320">
        <f>K66</f>
        <v>0</v>
      </c>
      <c r="L94" s="491">
        <f>+K94/C94</f>
        <v>0</v>
      </c>
      <c r="M94" s="139" t="str">
        <f>+M40</f>
        <v>Tarda</v>
      </c>
      <c r="N94" s="139"/>
      <c r="O94" s="144">
        <f>+K94*G94</f>
        <v>0</v>
      </c>
    </row>
    <row r="95" spans="1:15" s="153" customFormat="1" x14ac:dyDescent="0.25">
      <c r="A95" s="229" t="s">
        <v>326</v>
      </c>
      <c r="B95" s="242"/>
      <c r="C95" s="243"/>
      <c r="D95" s="244"/>
      <c r="E95" s="245"/>
      <c r="F95" s="245"/>
      <c r="G95" s="246"/>
      <c r="H95" s="246"/>
      <c r="I95" s="246"/>
      <c r="J95" s="246"/>
      <c r="K95" s="247"/>
      <c r="L95" s="247"/>
      <c r="M95" s="245"/>
      <c r="N95" s="245"/>
      <c r="O95" s="248"/>
    </row>
    <row r="96" spans="1:15" s="153" customFormat="1" x14ac:dyDescent="0.25">
      <c r="A96" s="232" t="s">
        <v>195</v>
      </c>
      <c r="B96" s="233"/>
      <c r="C96" s="241"/>
      <c r="D96" s="241"/>
      <c r="E96" s="241"/>
      <c r="F96" s="234"/>
      <c r="G96" s="241"/>
      <c r="H96" s="241"/>
      <c r="I96" s="241"/>
      <c r="J96" s="241"/>
      <c r="K96" s="234"/>
      <c r="L96" s="234"/>
      <c r="M96" s="234"/>
      <c r="N96" s="234"/>
      <c r="O96" s="234"/>
    </row>
    <row r="97" spans="1:15" s="153" customFormat="1" x14ac:dyDescent="0.25">
      <c r="A97" s="763" t="s">
        <v>88</v>
      </c>
      <c r="B97" s="763"/>
      <c r="C97" s="241"/>
      <c r="D97" s="241"/>
      <c r="E97" s="241"/>
      <c r="F97" s="234"/>
      <c r="G97" s="241"/>
      <c r="H97" s="241"/>
      <c r="I97" s="241"/>
      <c r="J97" s="241"/>
      <c r="K97" s="234"/>
      <c r="L97" s="234"/>
      <c r="M97" s="234"/>
      <c r="N97" s="234"/>
      <c r="O97" s="234"/>
    </row>
    <row r="98" spans="1:15" s="153" customFormat="1" x14ac:dyDescent="0.25">
      <c r="A98" s="734" t="s">
        <v>247</v>
      </c>
      <c r="B98" s="734"/>
      <c r="C98" s="137">
        <v>6.1666699999999999</v>
      </c>
      <c r="D98" s="138">
        <v>1</v>
      </c>
      <c r="E98" s="139">
        <f>$E$44</f>
        <v>0</v>
      </c>
      <c r="F98" s="139">
        <f>Dies!$C$58</f>
        <v>89</v>
      </c>
      <c r="G98" s="273">
        <f>+D98*E98*F98</f>
        <v>0</v>
      </c>
      <c r="H98" s="273"/>
      <c r="I98" s="273"/>
      <c r="J98" s="273"/>
      <c r="K98" s="320">
        <f>K82</f>
        <v>0</v>
      </c>
      <c r="L98" s="491">
        <f>+K98/C98</f>
        <v>0</v>
      </c>
      <c r="M98" s="139" t="str">
        <f>+M44</f>
        <v>Matí</v>
      </c>
      <c r="N98" s="139"/>
      <c r="O98" s="144">
        <f>+K98*G98</f>
        <v>0</v>
      </c>
    </row>
    <row r="99" spans="1:15" s="153" customFormat="1" x14ac:dyDescent="0.25">
      <c r="A99" s="764" t="s">
        <v>89</v>
      </c>
      <c r="B99" s="764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</row>
    <row r="100" spans="1:15" s="153" customFormat="1" x14ac:dyDescent="0.25">
      <c r="A100" s="734" t="s">
        <v>247</v>
      </c>
      <c r="B100" s="734"/>
      <c r="C100" s="137">
        <v>6.1666699999999999</v>
      </c>
      <c r="D100" s="138">
        <v>1</v>
      </c>
      <c r="E100" s="139">
        <f>$E$46</f>
        <v>0</v>
      </c>
      <c r="F100" s="139">
        <f>Dies!$C$58</f>
        <v>89</v>
      </c>
      <c r="G100" s="273">
        <f>+D100*E100*F100</f>
        <v>0</v>
      </c>
      <c r="H100" s="273"/>
      <c r="I100" s="273"/>
      <c r="J100" s="273"/>
      <c r="K100" s="320">
        <f>K82</f>
        <v>0</v>
      </c>
      <c r="L100" s="491">
        <f>+K100/C100</f>
        <v>0</v>
      </c>
      <c r="M100" s="139" t="str">
        <f>+M46</f>
        <v>Tarda</v>
      </c>
      <c r="N100" s="139"/>
      <c r="O100" s="144">
        <f>+K100*G100</f>
        <v>0</v>
      </c>
    </row>
    <row r="101" spans="1:15" s="153" customFormat="1" x14ac:dyDescent="0.25">
      <c r="A101" s="762" t="s">
        <v>196</v>
      </c>
      <c r="B101" s="762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</row>
    <row r="102" spans="1:15" s="153" customFormat="1" x14ac:dyDescent="0.25">
      <c r="A102" s="765" t="s">
        <v>88</v>
      </c>
      <c r="B102" s="765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</row>
    <row r="103" spans="1:15" s="153" customFormat="1" x14ac:dyDescent="0.25">
      <c r="A103" s="734" t="s">
        <v>247</v>
      </c>
      <c r="B103" s="734"/>
      <c r="C103" s="137">
        <v>6.1666699999999999</v>
      </c>
      <c r="D103" s="138">
        <v>1</v>
      </c>
      <c r="E103" s="139">
        <f>$E$49</f>
        <v>0</v>
      </c>
      <c r="F103" s="139">
        <f>Dies!$C$59</f>
        <v>17</v>
      </c>
      <c r="G103" s="273">
        <f>+D103*E103*F103</f>
        <v>0</v>
      </c>
      <c r="H103" s="273"/>
      <c r="I103" s="273"/>
      <c r="J103" s="273"/>
      <c r="K103" s="320">
        <f>K82</f>
        <v>0</v>
      </c>
      <c r="L103" s="491">
        <f>+K103/C103</f>
        <v>0</v>
      </c>
      <c r="M103" s="139" t="str">
        <f>+M49</f>
        <v>Matí</v>
      </c>
      <c r="N103" s="139"/>
      <c r="O103" s="144">
        <f>+K103*G103</f>
        <v>0</v>
      </c>
    </row>
    <row r="104" spans="1:15" s="153" customFormat="1" x14ac:dyDescent="0.25">
      <c r="A104" s="764" t="s">
        <v>89</v>
      </c>
      <c r="B104" s="764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</row>
    <row r="105" spans="1:15" s="153" customFormat="1" x14ac:dyDescent="0.25">
      <c r="A105" s="734" t="s">
        <v>247</v>
      </c>
      <c r="B105" s="734"/>
      <c r="C105" s="137">
        <v>6.1666699999999999</v>
      </c>
      <c r="D105" s="138">
        <v>1</v>
      </c>
      <c r="E105" s="139">
        <f>$E$51</f>
        <v>0</v>
      </c>
      <c r="F105" s="139">
        <f>Dies!$C$59</f>
        <v>17</v>
      </c>
      <c r="G105" s="273">
        <f>+D105*E105*F105</f>
        <v>0</v>
      </c>
      <c r="H105" s="273"/>
      <c r="I105" s="273"/>
      <c r="J105" s="273"/>
      <c r="K105" s="320">
        <f>K82</f>
        <v>0</v>
      </c>
      <c r="L105" s="491">
        <f>+K105/C105</f>
        <v>0</v>
      </c>
      <c r="M105" s="139" t="str">
        <f>+M51</f>
        <v>Tarda</v>
      </c>
      <c r="N105" s="139"/>
      <c r="O105" s="144">
        <f>+K105*G105</f>
        <v>0</v>
      </c>
    </row>
    <row r="106" spans="1:15" s="153" customFormat="1" x14ac:dyDescent="0.25">
      <c r="A106" s="762" t="s">
        <v>197</v>
      </c>
      <c r="B106" s="762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</row>
    <row r="107" spans="1:15" s="153" customFormat="1" x14ac:dyDescent="0.25">
      <c r="A107" s="765" t="s">
        <v>88</v>
      </c>
      <c r="B107" s="765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</row>
    <row r="108" spans="1:15" s="153" customFormat="1" x14ac:dyDescent="0.25">
      <c r="A108" s="734" t="s">
        <v>247</v>
      </c>
      <c r="B108" s="734"/>
      <c r="C108" s="137">
        <v>6.1666699999999999</v>
      </c>
      <c r="D108" s="138">
        <v>1</v>
      </c>
      <c r="E108" s="139">
        <f>$E$54</f>
        <v>0</v>
      </c>
      <c r="F108" s="139">
        <f>Dies!$C$60</f>
        <v>17</v>
      </c>
      <c r="G108" s="273">
        <f>+D108*E108*F108</f>
        <v>0</v>
      </c>
      <c r="H108" s="273"/>
      <c r="I108" s="273"/>
      <c r="J108" s="273"/>
      <c r="K108" s="320">
        <f>K82</f>
        <v>0</v>
      </c>
      <c r="L108" s="491">
        <f>+K108/C108</f>
        <v>0</v>
      </c>
      <c r="M108" s="139" t="str">
        <f>+M54</f>
        <v>Matí</v>
      </c>
      <c r="N108" s="139"/>
      <c r="O108" s="144">
        <f>+K108*G108</f>
        <v>0</v>
      </c>
    </row>
    <row r="109" spans="1:15" s="153" customFormat="1" x14ac:dyDescent="0.25">
      <c r="A109" s="764" t="s">
        <v>89</v>
      </c>
      <c r="B109" s="764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</row>
    <row r="110" spans="1:15" s="153" customFormat="1" x14ac:dyDescent="0.25">
      <c r="A110" s="734" t="s">
        <v>247</v>
      </c>
      <c r="B110" s="734"/>
      <c r="C110" s="274">
        <v>6.1666699999999999</v>
      </c>
      <c r="D110" s="275">
        <v>1</v>
      </c>
      <c r="E110" s="641">
        <f>$E$56</f>
        <v>0</v>
      </c>
      <c r="F110" s="641">
        <f>Dies!$C$60</f>
        <v>17</v>
      </c>
      <c r="G110" s="276">
        <f>+D110*E110*F110</f>
        <v>0</v>
      </c>
      <c r="H110" s="276"/>
      <c r="I110" s="276"/>
      <c r="J110" s="276"/>
      <c r="K110" s="362">
        <f>K82</f>
        <v>0</v>
      </c>
      <c r="L110" s="642">
        <f>+K110/C110</f>
        <v>0</v>
      </c>
      <c r="M110" s="641" t="str">
        <f>+M56</f>
        <v>Tarda</v>
      </c>
      <c r="N110" s="641"/>
      <c r="O110" s="643">
        <f>+K110*G110</f>
        <v>0</v>
      </c>
    </row>
    <row r="111" spans="1:15" x14ac:dyDescent="0.25">
      <c r="A111" s="254"/>
      <c r="B111" s="255"/>
      <c r="C111" s="255"/>
      <c r="D111" s="255"/>
      <c r="E111" s="256" t="s">
        <v>46</v>
      </c>
      <c r="F111" s="255"/>
      <c r="G111" s="255"/>
      <c r="H111" s="255"/>
      <c r="I111" s="255"/>
      <c r="J111" s="255"/>
      <c r="K111" s="255"/>
      <c r="L111" s="255"/>
      <c r="M111" s="255"/>
      <c r="N111" s="255"/>
      <c r="O111" s="257">
        <f>SUM(O64:O110)</f>
        <v>0</v>
      </c>
    </row>
    <row r="112" spans="1:15" s="153" customFormat="1" ht="26.25" x14ac:dyDescent="0.4">
      <c r="A112" s="259" t="s">
        <v>212</v>
      </c>
      <c r="B112" s="260"/>
      <c r="C112" s="260"/>
      <c r="D112" s="261"/>
      <c r="E112" s="261"/>
      <c r="F112" s="261"/>
      <c r="G112" s="261"/>
      <c r="H112" s="261"/>
      <c r="I112" s="261"/>
      <c r="J112" s="261"/>
      <c r="K112" s="262"/>
      <c r="L112" s="262"/>
      <c r="M112" s="262"/>
      <c r="N112" s="262"/>
      <c r="O112" s="277"/>
    </row>
    <row r="113" spans="1:15" x14ac:dyDescent="0.25">
      <c r="A113" s="774" t="s">
        <v>20</v>
      </c>
      <c r="B113" s="775"/>
      <c r="C113" s="264" t="s">
        <v>27</v>
      </c>
      <c r="D113" s="264" t="s">
        <v>28</v>
      </c>
      <c r="E113" s="264" t="s">
        <v>21</v>
      </c>
      <c r="F113" s="264" t="s">
        <v>29</v>
      </c>
      <c r="G113" s="264"/>
      <c r="H113" s="264"/>
      <c r="I113" s="264"/>
      <c r="J113" s="264"/>
      <c r="K113" s="264" t="s">
        <v>30</v>
      </c>
      <c r="L113" s="264" t="s">
        <v>23</v>
      </c>
      <c r="M113" s="264" t="s">
        <v>31</v>
      </c>
      <c r="N113" s="264"/>
      <c r="O113" s="265" t="s">
        <v>32</v>
      </c>
    </row>
    <row r="114" spans="1:15" x14ac:dyDescent="0.25">
      <c r="A114" s="776"/>
      <c r="B114" s="777"/>
      <c r="C114" s="266" t="s">
        <v>44</v>
      </c>
      <c r="D114" s="266" t="s">
        <v>5</v>
      </c>
      <c r="E114" s="266" t="s">
        <v>24</v>
      </c>
      <c r="F114" s="267" t="s">
        <v>34</v>
      </c>
      <c r="G114" s="266" t="s">
        <v>35</v>
      </c>
      <c r="H114" s="266"/>
      <c r="I114" s="266"/>
      <c r="J114" s="266"/>
      <c r="K114" s="266" t="s">
        <v>36</v>
      </c>
      <c r="L114" s="268" t="s">
        <v>37</v>
      </c>
      <c r="M114" s="266" t="s">
        <v>38</v>
      </c>
      <c r="N114" s="266"/>
      <c r="O114" s="269" t="s">
        <v>40</v>
      </c>
    </row>
    <row r="115" spans="1:15" s="153" customFormat="1" x14ac:dyDescent="0.25">
      <c r="A115" s="229" t="s">
        <v>198</v>
      </c>
      <c r="B115" s="229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9"/>
    </row>
    <row r="116" spans="1:15" s="153" customFormat="1" x14ac:dyDescent="0.25">
      <c r="A116" s="232" t="s">
        <v>195</v>
      </c>
      <c r="B116" s="233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</row>
    <row r="117" spans="1:15" s="153" customFormat="1" x14ac:dyDescent="0.25">
      <c r="A117" s="763" t="s">
        <v>88</v>
      </c>
      <c r="B117" s="763"/>
      <c r="C117" s="241"/>
      <c r="D117" s="241"/>
      <c r="E117" s="241"/>
      <c r="F117" s="241"/>
      <c r="G117" s="241"/>
      <c r="H117" s="241"/>
      <c r="I117" s="241"/>
      <c r="J117" s="241"/>
      <c r="K117" s="234"/>
      <c r="L117" s="234"/>
      <c r="M117" s="234"/>
      <c r="N117" s="234"/>
      <c r="O117" s="234"/>
    </row>
    <row r="118" spans="1:15" x14ac:dyDescent="0.25">
      <c r="A118" s="734" t="s">
        <v>247</v>
      </c>
      <c r="B118" s="734"/>
      <c r="C118" s="137">
        <v>6.1666699999999999</v>
      </c>
      <c r="D118" s="138">
        <v>1</v>
      </c>
      <c r="E118" s="139">
        <f>$E$12</f>
        <v>0</v>
      </c>
      <c r="F118" s="139">
        <f>Dies!$C$48</f>
        <v>95</v>
      </c>
      <c r="G118" s="273">
        <f>+D118*E118*F118</f>
        <v>0</v>
      </c>
      <c r="H118" s="273"/>
      <c r="I118" s="273"/>
      <c r="J118" s="273"/>
      <c r="K118" s="320">
        <f>'Seguro+combustible+reparacions'!G19</f>
        <v>0</v>
      </c>
      <c r="L118" s="491">
        <f>+K118/C118</f>
        <v>0</v>
      </c>
      <c r="M118" s="139" t="str">
        <f>+M66</f>
        <v>Matí</v>
      </c>
      <c r="N118" s="139"/>
      <c r="O118" s="144">
        <f>+K118*G118</f>
        <v>0</v>
      </c>
    </row>
    <row r="119" spans="1:15" s="153" customFormat="1" x14ac:dyDescent="0.25">
      <c r="A119" s="764" t="s">
        <v>89</v>
      </c>
      <c r="B119" s="764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</row>
    <row r="120" spans="1:15" x14ac:dyDescent="0.25">
      <c r="A120" s="734" t="s">
        <v>247</v>
      </c>
      <c r="B120" s="734"/>
      <c r="C120" s="137">
        <v>6.1666699999999999</v>
      </c>
      <c r="D120" s="138">
        <v>1</v>
      </c>
      <c r="E120" s="139">
        <f>$E$14</f>
        <v>0</v>
      </c>
      <c r="F120" s="139">
        <f>Dies!$C$48</f>
        <v>95</v>
      </c>
      <c r="G120" s="273">
        <f>+D120*E120*F120</f>
        <v>0</v>
      </c>
      <c r="H120" s="273"/>
      <c r="I120" s="273"/>
      <c r="J120" s="273"/>
      <c r="K120" s="320">
        <f>K118</f>
        <v>0</v>
      </c>
      <c r="L120" s="491">
        <f>+K120/C120</f>
        <v>0</v>
      </c>
      <c r="M120" s="139" t="str">
        <f>+M68</f>
        <v>Tarda</v>
      </c>
      <c r="N120" s="139"/>
      <c r="O120" s="144">
        <f>+K120*G120</f>
        <v>0</v>
      </c>
    </row>
    <row r="121" spans="1:15" s="153" customFormat="1" x14ac:dyDescent="0.25">
      <c r="A121" s="762" t="s">
        <v>196</v>
      </c>
      <c r="B121" s="762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</row>
    <row r="122" spans="1:15" s="153" customFormat="1" x14ac:dyDescent="0.25">
      <c r="A122" s="765" t="s">
        <v>88</v>
      </c>
      <c r="B122" s="765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</row>
    <row r="123" spans="1:15" x14ac:dyDescent="0.25">
      <c r="A123" s="734" t="s">
        <v>247</v>
      </c>
      <c r="B123" s="734"/>
      <c r="C123" s="137">
        <v>6.1666699999999999</v>
      </c>
      <c r="D123" s="138">
        <v>1</v>
      </c>
      <c r="E123" s="139">
        <f>$E$17</f>
        <v>0</v>
      </c>
      <c r="F123" s="139">
        <f>Dies!$C$49</f>
        <v>20</v>
      </c>
      <c r="G123" s="273">
        <f>+D123*E123*F123</f>
        <v>0</v>
      </c>
      <c r="H123" s="273"/>
      <c r="I123" s="273"/>
      <c r="J123" s="273"/>
      <c r="K123" s="320">
        <f>K118</f>
        <v>0</v>
      </c>
      <c r="L123" s="491">
        <f>+K123/C123</f>
        <v>0</v>
      </c>
      <c r="M123" s="139" t="str">
        <f>+M71</f>
        <v>Matí</v>
      </c>
      <c r="N123" s="139"/>
      <c r="O123" s="144">
        <f>+K123*G123</f>
        <v>0</v>
      </c>
    </row>
    <row r="124" spans="1:15" s="153" customFormat="1" x14ac:dyDescent="0.25">
      <c r="A124" s="764" t="s">
        <v>89</v>
      </c>
      <c r="B124" s="764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</row>
    <row r="125" spans="1:15" x14ac:dyDescent="0.25">
      <c r="A125" s="734" t="s">
        <v>247</v>
      </c>
      <c r="B125" s="734"/>
      <c r="C125" s="137">
        <v>6.1666699999999999</v>
      </c>
      <c r="D125" s="138">
        <v>1</v>
      </c>
      <c r="E125" s="139">
        <f>$E$19</f>
        <v>0</v>
      </c>
      <c r="F125" s="139">
        <f>Dies!$C$49</f>
        <v>20</v>
      </c>
      <c r="G125" s="273">
        <f>+D125*E125*F125</f>
        <v>0</v>
      </c>
      <c r="H125" s="273"/>
      <c r="I125" s="273"/>
      <c r="J125" s="273"/>
      <c r="K125" s="320">
        <f>K118</f>
        <v>0</v>
      </c>
      <c r="L125" s="491">
        <f>+K125/C125</f>
        <v>0</v>
      </c>
      <c r="M125" s="139" t="str">
        <f>+M73</f>
        <v>Tarda</v>
      </c>
      <c r="N125" s="139"/>
      <c r="O125" s="144">
        <f>+K125*G125</f>
        <v>0</v>
      </c>
    </row>
    <row r="126" spans="1:15" s="153" customFormat="1" x14ac:dyDescent="0.25">
      <c r="A126" s="762" t="s">
        <v>197</v>
      </c>
      <c r="B126" s="762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</row>
    <row r="127" spans="1:15" s="153" customFormat="1" x14ac:dyDescent="0.25">
      <c r="A127" s="765" t="s">
        <v>88</v>
      </c>
      <c r="B127" s="765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</row>
    <row r="128" spans="1:15" x14ac:dyDescent="0.25">
      <c r="A128" s="734" t="s">
        <v>247</v>
      </c>
      <c r="B128" s="734"/>
      <c r="C128" s="137">
        <v>6.1666699999999999</v>
      </c>
      <c r="D128" s="138">
        <v>1</v>
      </c>
      <c r="E128" s="139">
        <f>$E$22</f>
        <v>0</v>
      </c>
      <c r="F128" s="139">
        <f>Dies!$C$50</f>
        <v>20</v>
      </c>
      <c r="G128" s="273">
        <f>+D128*E128*F128</f>
        <v>0</v>
      </c>
      <c r="H128" s="273"/>
      <c r="I128" s="273"/>
      <c r="J128" s="273"/>
      <c r="K128" s="320">
        <f>K118</f>
        <v>0</v>
      </c>
      <c r="L128" s="491">
        <f>+K128/C128</f>
        <v>0</v>
      </c>
      <c r="M128" s="139" t="str">
        <f>+M76</f>
        <v>Matí</v>
      </c>
      <c r="N128" s="139"/>
      <c r="O128" s="144">
        <f>+K128*G128</f>
        <v>0</v>
      </c>
    </row>
    <row r="129" spans="1:15" s="153" customFormat="1" x14ac:dyDescent="0.25">
      <c r="A129" s="764" t="s">
        <v>89</v>
      </c>
      <c r="B129" s="764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</row>
    <row r="130" spans="1:15" x14ac:dyDescent="0.25">
      <c r="A130" s="734" t="s">
        <v>247</v>
      </c>
      <c r="B130" s="734"/>
      <c r="C130" s="137">
        <v>6.1666699999999999</v>
      </c>
      <c r="D130" s="138">
        <v>1</v>
      </c>
      <c r="E130" s="139">
        <f>$E$24</f>
        <v>0</v>
      </c>
      <c r="F130" s="139">
        <f>Dies!$C$50</f>
        <v>20</v>
      </c>
      <c r="G130" s="273">
        <f>+D130*E130*F130</f>
        <v>0</v>
      </c>
      <c r="H130" s="273"/>
      <c r="I130" s="273"/>
      <c r="J130" s="273"/>
      <c r="K130" s="320">
        <f>K118</f>
        <v>0</v>
      </c>
      <c r="L130" s="491">
        <f>+K130/C130</f>
        <v>0</v>
      </c>
      <c r="M130" s="139" t="str">
        <f>+M78</f>
        <v>Tarda</v>
      </c>
      <c r="N130" s="139"/>
      <c r="O130" s="144">
        <f>+K130*G130</f>
        <v>0</v>
      </c>
    </row>
    <row r="131" spans="1:15" x14ac:dyDescent="0.25">
      <c r="A131" s="229" t="s">
        <v>199</v>
      </c>
      <c r="B131" s="242"/>
      <c r="C131" s="243"/>
      <c r="D131" s="244"/>
      <c r="E131" s="245"/>
      <c r="F131" s="245"/>
      <c r="G131" s="246"/>
      <c r="H131" s="246"/>
      <c r="I131" s="246"/>
      <c r="J131" s="246"/>
      <c r="K131" s="247"/>
      <c r="L131" s="247"/>
      <c r="M131" s="245"/>
      <c r="N131" s="245"/>
      <c r="O131" s="248"/>
    </row>
    <row r="132" spans="1:15" s="153" customFormat="1" x14ac:dyDescent="0.25">
      <c r="A132" s="232" t="s">
        <v>195</v>
      </c>
      <c r="B132" s="233"/>
      <c r="C132" s="241"/>
      <c r="D132" s="241"/>
      <c r="E132" s="241"/>
      <c r="F132" s="234"/>
      <c r="G132" s="241"/>
      <c r="H132" s="241"/>
      <c r="I132" s="241"/>
      <c r="J132" s="241"/>
      <c r="K132" s="241"/>
      <c r="L132" s="241"/>
      <c r="M132" s="234"/>
      <c r="N132" s="234"/>
      <c r="O132" s="234"/>
    </row>
    <row r="133" spans="1:15" s="153" customFormat="1" x14ac:dyDescent="0.25">
      <c r="A133" s="763" t="s">
        <v>88</v>
      </c>
      <c r="B133" s="763"/>
      <c r="C133" s="241"/>
      <c r="D133" s="241"/>
      <c r="E133" s="241"/>
      <c r="F133" s="234"/>
      <c r="G133" s="241"/>
      <c r="H133" s="241"/>
      <c r="I133" s="241"/>
      <c r="J133" s="241"/>
      <c r="K133" s="234"/>
      <c r="L133" s="234"/>
      <c r="M133" s="234"/>
      <c r="N133" s="234"/>
      <c r="O133" s="234"/>
    </row>
    <row r="134" spans="1:15" x14ac:dyDescent="0.25">
      <c r="A134" s="734" t="s">
        <v>247</v>
      </c>
      <c r="B134" s="734"/>
      <c r="C134" s="137">
        <v>6.1666699999999999</v>
      </c>
      <c r="D134" s="138">
        <v>1</v>
      </c>
      <c r="E134" s="139">
        <f>$E$28</f>
        <v>0</v>
      </c>
      <c r="F134" s="139">
        <f>Dies!$C$53</f>
        <v>77</v>
      </c>
      <c r="G134" s="273">
        <f>+D134*E134*F134</f>
        <v>0</v>
      </c>
      <c r="H134" s="273"/>
      <c r="I134" s="273"/>
      <c r="J134" s="273"/>
      <c r="K134" s="320">
        <f>K118</f>
        <v>0</v>
      </c>
      <c r="L134" s="491">
        <f>+K134/C134</f>
        <v>0</v>
      </c>
      <c r="M134" s="139" t="str">
        <f>+M82</f>
        <v>Matí</v>
      </c>
      <c r="N134" s="139"/>
      <c r="O134" s="144">
        <f>+K134*G134</f>
        <v>0</v>
      </c>
    </row>
    <row r="135" spans="1:15" s="153" customFormat="1" x14ac:dyDescent="0.25">
      <c r="A135" s="764" t="s">
        <v>89</v>
      </c>
      <c r="B135" s="764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</row>
    <row r="136" spans="1:15" x14ac:dyDescent="0.25">
      <c r="A136" s="734" t="s">
        <v>247</v>
      </c>
      <c r="B136" s="734"/>
      <c r="C136" s="137">
        <v>6.1666699999999999</v>
      </c>
      <c r="D136" s="138">
        <v>1</v>
      </c>
      <c r="E136" s="139">
        <f>$E$30</f>
        <v>0</v>
      </c>
      <c r="F136" s="139">
        <f>Dies!$C$53</f>
        <v>77</v>
      </c>
      <c r="G136" s="273">
        <f>+D136*E136*F136</f>
        <v>0</v>
      </c>
      <c r="H136" s="273"/>
      <c r="I136" s="273"/>
      <c r="J136" s="273"/>
      <c r="K136" s="320">
        <f>K118</f>
        <v>0</v>
      </c>
      <c r="L136" s="491">
        <f>+K136/C136</f>
        <v>0</v>
      </c>
      <c r="M136" s="139" t="str">
        <f>+M84</f>
        <v>Tarda</v>
      </c>
      <c r="N136" s="139"/>
      <c r="O136" s="144">
        <f>+K136*G136</f>
        <v>0</v>
      </c>
    </row>
    <row r="137" spans="1:15" s="153" customFormat="1" x14ac:dyDescent="0.25">
      <c r="A137" s="762" t="s">
        <v>196</v>
      </c>
      <c r="B137" s="762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</row>
    <row r="138" spans="1:15" s="153" customFormat="1" x14ac:dyDescent="0.25">
      <c r="A138" s="765" t="s">
        <v>88</v>
      </c>
      <c r="B138" s="765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</row>
    <row r="139" spans="1:15" x14ac:dyDescent="0.25">
      <c r="A139" s="734" t="s">
        <v>247</v>
      </c>
      <c r="B139" s="734"/>
      <c r="C139" s="137">
        <v>6.1666699999999999</v>
      </c>
      <c r="D139" s="138">
        <v>1</v>
      </c>
      <c r="E139" s="139">
        <f>$E$33</f>
        <v>0</v>
      </c>
      <c r="F139" s="139">
        <f>Dies!$C$54</f>
        <v>15</v>
      </c>
      <c r="G139" s="273">
        <f>+D139*E139*F139</f>
        <v>0</v>
      </c>
      <c r="H139" s="273"/>
      <c r="I139" s="273"/>
      <c r="J139" s="273"/>
      <c r="K139" s="320">
        <f>K118</f>
        <v>0</v>
      </c>
      <c r="L139" s="491">
        <f>+K139/C139</f>
        <v>0</v>
      </c>
      <c r="M139" s="139" t="str">
        <f>+M87</f>
        <v>Matí</v>
      </c>
      <c r="N139" s="139"/>
      <c r="O139" s="144">
        <f>+K139*G139</f>
        <v>0</v>
      </c>
    </row>
    <row r="140" spans="1:15" s="153" customFormat="1" x14ac:dyDescent="0.25">
      <c r="A140" s="764" t="s">
        <v>89</v>
      </c>
      <c r="B140" s="764"/>
      <c r="C140" s="241"/>
      <c r="D140" s="138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</row>
    <row r="141" spans="1:15" x14ac:dyDescent="0.25">
      <c r="A141" s="734" t="s">
        <v>247</v>
      </c>
      <c r="B141" s="734"/>
      <c r="C141" s="137">
        <v>6.1666699999999999</v>
      </c>
      <c r="D141" s="138">
        <v>1</v>
      </c>
      <c r="E141" s="139">
        <f>$E$35</f>
        <v>0</v>
      </c>
      <c r="F141" s="139">
        <f>Dies!$C$54</f>
        <v>15</v>
      </c>
      <c r="G141" s="273">
        <f>+D141*E141*F141</f>
        <v>0</v>
      </c>
      <c r="H141" s="273"/>
      <c r="I141" s="273"/>
      <c r="J141" s="273"/>
      <c r="K141" s="320">
        <f>K118</f>
        <v>0</v>
      </c>
      <c r="L141" s="491">
        <f>+K141/C141</f>
        <v>0</v>
      </c>
      <c r="M141" s="139" t="str">
        <f>+M89</f>
        <v>Tarda</v>
      </c>
      <c r="N141" s="139"/>
      <c r="O141" s="144">
        <f>+K141*G141</f>
        <v>0</v>
      </c>
    </row>
    <row r="142" spans="1:15" s="153" customFormat="1" x14ac:dyDescent="0.25">
      <c r="A142" s="762" t="s">
        <v>197</v>
      </c>
      <c r="B142" s="762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</row>
    <row r="143" spans="1:15" s="153" customFormat="1" x14ac:dyDescent="0.25">
      <c r="A143" s="765" t="s">
        <v>88</v>
      </c>
      <c r="B143" s="765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</row>
    <row r="144" spans="1:15" x14ac:dyDescent="0.25">
      <c r="A144" s="734" t="s">
        <v>247</v>
      </c>
      <c r="B144" s="734"/>
      <c r="C144" s="137">
        <v>6.1666699999999999</v>
      </c>
      <c r="D144" s="138">
        <v>1</v>
      </c>
      <c r="E144" s="139">
        <f>$E$38</f>
        <v>0</v>
      </c>
      <c r="F144" s="139">
        <f>Dies!$C$55</f>
        <v>15</v>
      </c>
      <c r="G144" s="273">
        <f>+D144*E144*F144</f>
        <v>0</v>
      </c>
      <c r="H144" s="273"/>
      <c r="I144" s="273"/>
      <c r="J144" s="273"/>
      <c r="K144" s="320">
        <f>K118</f>
        <v>0</v>
      </c>
      <c r="L144" s="491">
        <f>+K144/C144</f>
        <v>0</v>
      </c>
      <c r="M144" s="139" t="str">
        <f>+M92</f>
        <v>Matí</v>
      </c>
      <c r="N144" s="139"/>
      <c r="O144" s="144">
        <f>+K144*G144</f>
        <v>0</v>
      </c>
    </row>
    <row r="145" spans="1:15" s="153" customFormat="1" x14ac:dyDescent="0.25">
      <c r="A145" s="764" t="s">
        <v>89</v>
      </c>
      <c r="B145" s="764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</row>
    <row r="146" spans="1:15" x14ac:dyDescent="0.25">
      <c r="A146" s="734" t="s">
        <v>247</v>
      </c>
      <c r="B146" s="734"/>
      <c r="C146" s="137">
        <v>6.1666699999999999</v>
      </c>
      <c r="D146" s="138">
        <v>1</v>
      </c>
      <c r="E146" s="139">
        <f>$E$40</f>
        <v>0</v>
      </c>
      <c r="F146" s="139">
        <f>Dies!$C$55</f>
        <v>15</v>
      </c>
      <c r="G146" s="273">
        <f>+D146*E146*F146</f>
        <v>0</v>
      </c>
      <c r="H146" s="273"/>
      <c r="I146" s="273"/>
      <c r="J146" s="273"/>
      <c r="K146" s="320">
        <f>K118</f>
        <v>0</v>
      </c>
      <c r="L146" s="491">
        <f>+K146/C146</f>
        <v>0</v>
      </c>
      <c r="M146" s="139" t="str">
        <f>+M94</f>
        <v>Tarda</v>
      </c>
      <c r="N146" s="139"/>
      <c r="O146" s="144">
        <f>+K146*G146</f>
        <v>0</v>
      </c>
    </row>
    <row r="147" spans="1:15" x14ac:dyDescent="0.25">
      <c r="A147" s="229" t="s">
        <v>326</v>
      </c>
      <c r="B147" s="242"/>
      <c r="C147" s="243"/>
      <c r="D147" s="244"/>
      <c r="E147" s="245"/>
      <c r="F147" s="245"/>
      <c r="G147" s="246"/>
      <c r="H147" s="246"/>
      <c r="I147" s="246"/>
      <c r="J147" s="246"/>
      <c r="K147" s="247"/>
      <c r="L147" s="247"/>
      <c r="M147" s="245"/>
      <c r="N147" s="245"/>
      <c r="O147" s="248"/>
    </row>
    <row r="148" spans="1:15" x14ac:dyDescent="0.25">
      <c r="A148" s="232" t="s">
        <v>195</v>
      </c>
      <c r="B148" s="233"/>
      <c r="C148" s="241"/>
      <c r="D148" s="241"/>
      <c r="E148" s="241"/>
      <c r="F148" s="234"/>
      <c r="G148" s="241"/>
      <c r="H148" s="241"/>
      <c r="I148" s="241"/>
      <c r="J148" s="241"/>
      <c r="K148" s="234"/>
      <c r="L148" s="234"/>
      <c r="M148" s="234"/>
      <c r="N148" s="234"/>
      <c r="O148" s="234"/>
    </row>
    <row r="149" spans="1:15" x14ac:dyDescent="0.25">
      <c r="A149" s="763" t="s">
        <v>88</v>
      </c>
      <c r="B149" s="763"/>
      <c r="C149" s="241"/>
      <c r="D149" s="241"/>
      <c r="E149" s="241"/>
      <c r="F149" s="234"/>
      <c r="G149" s="241"/>
      <c r="H149" s="241"/>
      <c r="I149" s="241"/>
      <c r="J149" s="241"/>
      <c r="K149" s="234"/>
      <c r="L149" s="234"/>
      <c r="M149" s="234"/>
      <c r="N149" s="234"/>
      <c r="O149" s="234"/>
    </row>
    <row r="150" spans="1:15" x14ac:dyDescent="0.25">
      <c r="A150" s="734" t="s">
        <v>247</v>
      </c>
      <c r="B150" s="734"/>
      <c r="C150" s="137">
        <v>6.1666699999999999</v>
      </c>
      <c r="D150" s="138">
        <v>1</v>
      </c>
      <c r="E150" s="139">
        <f>$E$44</f>
        <v>0</v>
      </c>
      <c r="F150" s="139">
        <f>Dies!$C$58</f>
        <v>89</v>
      </c>
      <c r="G150" s="273">
        <f>+D150*E150*F150</f>
        <v>0</v>
      </c>
      <c r="H150" s="273"/>
      <c r="I150" s="273"/>
      <c r="J150" s="273"/>
      <c r="K150" s="320">
        <f>K134</f>
        <v>0</v>
      </c>
      <c r="L150" s="491">
        <f>+K150/C150</f>
        <v>0</v>
      </c>
      <c r="M150" s="139" t="str">
        <f>+M98</f>
        <v>Matí</v>
      </c>
      <c r="N150" s="139"/>
      <c r="O150" s="144">
        <f>+K150*G150</f>
        <v>0</v>
      </c>
    </row>
    <row r="151" spans="1:15" x14ac:dyDescent="0.25">
      <c r="A151" s="764" t="s">
        <v>89</v>
      </c>
      <c r="B151" s="764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</row>
    <row r="152" spans="1:15" x14ac:dyDescent="0.25">
      <c r="A152" s="734" t="s">
        <v>247</v>
      </c>
      <c r="B152" s="734"/>
      <c r="C152" s="137">
        <v>6.1666699999999999</v>
      </c>
      <c r="D152" s="138">
        <v>1</v>
      </c>
      <c r="E152" s="139">
        <f>$E$46</f>
        <v>0</v>
      </c>
      <c r="F152" s="139">
        <f>Dies!$C$58</f>
        <v>89</v>
      </c>
      <c r="G152" s="273">
        <f>+D152*E152*F152</f>
        <v>0</v>
      </c>
      <c r="H152" s="273"/>
      <c r="I152" s="273"/>
      <c r="J152" s="273"/>
      <c r="K152" s="320">
        <f>K134</f>
        <v>0</v>
      </c>
      <c r="L152" s="491">
        <f>+K152/C152</f>
        <v>0</v>
      </c>
      <c r="M152" s="139" t="str">
        <f>+M100</f>
        <v>Tarda</v>
      </c>
      <c r="N152" s="139"/>
      <c r="O152" s="144">
        <f>+K152*G152</f>
        <v>0</v>
      </c>
    </row>
    <row r="153" spans="1:15" x14ac:dyDescent="0.25">
      <c r="A153" s="762" t="s">
        <v>196</v>
      </c>
      <c r="B153" s="762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</row>
    <row r="154" spans="1:15" x14ac:dyDescent="0.25">
      <c r="A154" s="765" t="s">
        <v>88</v>
      </c>
      <c r="B154" s="765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</row>
    <row r="155" spans="1:15" x14ac:dyDescent="0.25">
      <c r="A155" s="734" t="s">
        <v>247</v>
      </c>
      <c r="B155" s="734"/>
      <c r="C155" s="137">
        <v>6.1666699999999999</v>
      </c>
      <c r="D155" s="138">
        <v>1</v>
      </c>
      <c r="E155" s="139">
        <f>$E$49</f>
        <v>0</v>
      </c>
      <c r="F155" s="139">
        <f>Dies!$C$59</f>
        <v>17</v>
      </c>
      <c r="G155" s="273">
        <f>+D155*E155*F155</f>
        <v>0</v>
      </c>
      <c r="H155" s="273"/>
      <c r="I155" s="273"/>
      <c r="J155" s="273"/>
      <c r="K155" s="320">
        <f>K134</f>
        <v>0</v>
      </c>
      <c r="L155" s="491">
        <f>+K155/C155</f>
        <v>0</v>
      </c>
      <c r="M155" s="139" t="str">
        <f>+M103</f>
        <v>Matí</v>
      </c>
      <c r="N155" s="139"/>
      <c r="O155" s="144">
        <f>+K155*G155</f>
        <v>0</v>
      </c>
    </row>
    <row r="156" spans="1:15" x14ac:dyDescent="0.25">
      <c r="A156" s="764" t="s">
        <v>89</v>
      </c>
      <c r="B156" s="764"/>
      <c r="C156" s="241"/>
      <c r="D156" s="138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</row>
    <row r="157" spans="1:15" x14ac:dyDescent="0.25">
      <c r="A157" s="734" t="s">
        <v>247</v>
      </c>
      <c r="B157" s="734"/>
      <c r="C157" s="137">
        <v>6.1666699999999999</v>
      </c>
      <c r="D157" s="138">
        <v>1</v>
      </c>
      <c r="E157" s="139">
        <f>$E$51</f>
        <v>0</v>
      </c>
      <c r="F157" s="139">
        <f>Dies!$C$59</f>
        <v>17</v>
      </c>
      <c r="G157" s="273">
        <f>+D157*E157*F157</f>
        <v>0</v>
      </c>
      <c r="H157" s="273"/>
      <c r="I157" s="273"/>
      <c r="J157" s="273"/>
      <c r="K157" s="320">
        <f>K134</f>
        <v>0</v>
      </c>
      <c r="L157" s="491">
        <f>+K157/C157</f>
        <v>0</v>
      </c>
      <c r="M157" s="139" t="str">
        <f>+M105</f>
        <v>Tarda</v>
      </c>
      <c r="N157" s="139"/>
      <c r="O157" s="144">
        <f>+K157*G157</f>
        <v>0</v>
      </c>
    </row>
    <row r="158" spans="1:15" x14ac:dyDescent="0.25">
      <c r="A158" s="762" t="s">
        <v>197</v>
      </c>
      <c r="B158" s="762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</row>
    <row r="159" spans="1:15" x14ac:dyDescent="0.25">
      <c r="A159" s="765" t="s">
        <v>88</v>
      </c>
      <c r="B159" s="765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</row>
    <row r="160" spans="1:15" x14ac:dyDescent="0.25">
      <c r="A160" s="734" t="s">
        <v>247</v>
      </c>
      <c r="B160" s="734"/>
      <c r="C160" s="137">
        <v>6.1666699999999999</v>
      </c>
      <c r="D160" s="138">
        <v>1</v>
      </c>
      <c r="E160" s="139">
        <f>$E$54</f>
        <v>0</v>
      </c>
      <c r="F160" s="139">
        <f>Dies!$C$60</f>
        <v>17</v>
      </c>
      <c r="G160" s="273">
        <f>+D160*E160*F160</f>
        <v>0</v>
      </c>
      <c r="H160" s="273"/>
      <c r="I160" s="273"/>
      <c r="J160" s="273"/>
      <c r="K160" s="320">
        <f>K134</f>
        <v>0</v>
      </c>
      <c r="L160" s="491">
        <f>+K160/C160</f>
        <v>0</v>
      </c>
      <c r="M160" s="139" t="str">
        <f>+M108</f>
        <v>Matí</v>
      </c>
      <c r="N160" s="139"/>
      <c r="O160" s="144">
        <f>+K160*G160</f>
        <v>0</v>
      </c>
    </row>
    <row r="161" spans="1:15" x14ac:dyDescent="0.25">
      <c r="A161" s="764" t="s">
        <v>89</v>
      </c>
      <c r="B161" s="764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</row>
    <row r="162" spans="1:15" x14ac:dyDescent="0.25">
      <c r="A162" s="734" t="s">
        <v>247</v>
      </c>
      <c r="B162" s="734"/>
      <c r="C162" s="274">
        <v>6.1666699999999999</v>
      </c>
      <c r="D162" s="275">
        <v>1</v>
      </c>
      <c r="E162" s="641">
        <f>$E$56</f>
        <v>0</v>
      </c>
      <c r="F162" s="641">
        <f>Dies!$C$60</f>
        <v>17</v>
      </c>
      <c r="G162" s="276">
        <f>+D162*E162*F162</f>
        <v>0</v>
      </c>
      <c r="H162" s="276"/>
      <c r="I162" s="276"/>
      <c r="J162" s="276"/>
      <c r="K162" s="362">
        <f>K134</f>
        <v>0</v>
      </c>
      <c r="L162" s="642">
        <f>+K162/C162</f>
        <v>0</v>
      </c>
      <c r="M162" s="641" t="str">
        <f>+M110</f>
        <v>Tarda</v>
      </c>
      <c r="N162" s="641"/>
      <c r="O162" s="643">
        <f>+K162*G162</f>
        <v>0</v>
      </c>
    </row>
    <row r="163" spans="1:15" x14ac:dyDescent="0.25">
      <c r="A163" s="254"/>
      <c r="B163" s="255"/>
      <c r="C163" s="255"/>
      <c r="D163" s="255"/>
      <c r="E163" s="256" t="s">
        <v>47</v>
      </c>
      <c r="F163" s="255"/>
      <c r="G163" s="255"/>
      <c r="H163" s="255"/>
      <c r="I163" s="255"/>
      <c r="J163" s="255"/>
      <c r="K163" s="255"/>
      <c r="L163" s="255"/>
      <c r="M163" s="255"/>
      <c r="N163" s="255"/>
      <c r="O163" s="257">
        <f>SUM(O116:O162)</f>
        <v>0</v>
      </c>
    </row>
    <row r="164" spans="1:15" s="153" customFormat="1" ht="26.25" x14ac:dyDescent="0.4">
      <c r="A164" s="259" t="s">
        <v>272</v>
      </c>
      <c r="B164" s="260"/>
      <c r="C164" s="260"/>
      <c r="D164" s="261"/>
      <c r="E164" s="261"/>
      <c r="F164" s="261"/>
      <c r="G164" s="261"/>
      <c r="H164" s="261"/>
      <c r="I164" s="261"/>
      <c r="J164" s="261"/>
      <c r="K164" s="262"/>
      <c r="L164" s="262"/>
      <c r="M164" s="262"/>
      <c r="N164" s="262"/>
      <c r="O164" s="277"/>
    </row>
    <row r="165" spans="1:15" s="281" customFormat="1" x14ac:dyDescent="0.25">
      <c r="A165" s="779" t="s">
        <v>20</v>
      </c>
      <c r="B165" s="768"/>
      <c r="C165" s="768" t="s">
        <v>27</v>
      </c>
      <c r="D165" s="768" t="s">
        <v>28</v>
      </c>
      <c r="E165" s="768" t="s">
        <v>21</v>
      </c>
      <c r="F165" s="768" t="s">
        <v>23</v>
      </c>
      <c r="G165" s="768" t="s">
        <v>22</v>
      </c>
      <c r="H165" s="280"/>
      <c r="I165" s="280"/>
      <c r="J165" s="280"/>
      <c r="K165" s="768" t="s">
        <v>79</v>
      </c>
      <c r="L165" s="280"/>
      <c r="M165" s="768"/>
      <c r="N165" s="768" t="s">
        <v>80</v>
      </c>
      <c r="O165" s="766" t="s">
        <v>32</v>
      </c>
    </row>
    <row r="166" spans="1:15" s="281" customFormat="1" x14ac:dyDescent="0.25">
      <c r="A166" s="775"/>
      <c r="B166" s="769"/>
      <c r="C166" s="769" t="s">
        <v>44</v>
      </c>
      <c r="D166" s="769" t="s">
        <v>5</v>
      </c>
      <c r="E166" s="769" t="s">
        <v>24</v>
      </c>
      <c r="F166" s="769" t="s">
        <v>81</v>
      </c>
      <c r="G166" s="769" t="s">
        <v>82</v>
      </c>
      <c r="H166" s="282"/>
      <c r="I166" s="282"/>
      <c r="J166" s="282"/>
      <c r="K166" s="769" t="s">
        <v>28</v>
      </c>
      <c r="L166" s="282"/>
      <c r="M166" s="769"/>
      <c r="N166" s="769" t="s">
        <v>83</v>
      </c>
      <c r="O166" s="767" t="s">
        <v>40</v>
      </c>
    </row>
    <row r="167" spans="1:15" x14ac:dyDescent="0.25">
      <c r="A167" s="733"/>
      <c r="B167" s="733"/>
      <c r="C167" s="137"/>
      <c r="D167" s="138"/>
      <c r="E167" s="139"/>
      <c r="F167" s="283"/>
      <c r="G167" s="273"/>
      <c r="H167" s="273"/>
      <c r="I167" s="273"/>
      <c r="J167" s="273"/>
      <c r="K167" s="284"/>
      <c r="L167" s="284"/>
      <c r="M167" s="139"/>
      <c r="N167" s="140"/>
      <c r="O167" s="144">
        <f>E167*N167</f>
        <v>0</v>
      </c>
    </row>
    <row r="168" spans="1:15" s="281" customFormat="1" x14ac:dyDescent="0.25">
      <c r="A168" s="254"/>
      <c r="B168" s="255"/>
      <c r="C168" s="255"/>
      <c r="D168" s="255"/>
      <c r="E168" s="256"/>
      <c r="F168" s="256" t="s">
        <v>84</v>
      </c>
      <c r="G168" s="255"/>
      <c r="H168" s="255"/>
      <c r="I168" s="255"/>
      <c r="J168" s="255"/>
      <c r="K168" s="255"/>
      <c r="L168" s="255"/>
      <c r="M168" s="255"/>
      <c r="N168" s="255"/>
      <c r="O168" s="257">
        <f>SUM(O167:O167)</f>
        <v>0</v>
      </c>
    </row>
    <row r="169" spans="1:15" s="5" customFormat="1" ht="26.25" x14ac:dyDescent="0.4">
      <c r="A169" s="285" t="s">
        <v>213</v>
      </c>
      <c r="B169" s="286"/>
      <c r="C169" s="286"/>
      <c r="D169" s="287"/>
      <c r="E169" s="287"/>
      <c r="F169" s="287"/>
      <c r="G169" s="287"/>
      <c r="H169" s="287"/>
      <c r="I169" s="287"/>
      <c r="J169" s="287"/>
      <c r="K169" s="288"/>
      <c r="L169" s="288"/>
      <c r="M169" s="288"/>
      <c r="N169" s="288"/>
      <c r="O169" s="289"/>
    </row>
    <row r="170" spans="1:15" s="281" customFormat="1" x14ac:dyDescent="0.25">
      <c r="A170" s="758" t="s">
        <v>20</v>
      </c>
      <c r="B170" s="759"/>
      <c r="C170" s="290" t="s">
        <v>27</v>
      </c>
      <c r="D170" s="290" t="s">
        <v>28</v>
      </c>
      <c r="E170" s="290" t="s">
        <v>21</v>
      </c>
      <c r="F170" s="290"/>
      <c r="G170" s="290"/>
      <c r="H170" s="290"/>
      <c r="I170" s="290"/>
      <c r="J170" s="290"/>
      <c r="K170" s="290" t="s">
        <v>100</v>
      </c>
      <c r="L170" s="290"/>
      <c r="M170" s="290"/>
      <c r="N170" s="290"/>
      <c r="O170" s="291" t="s">
        <v>32</v>
      </c>
    </row>
    <row r="171" spans="1:15" s="281" customFormat="1" x14ac:dyDescent="0.25">
      <c r="A171" s="760"/>
      <c r="B171" s="761"/>
      <c r="C171" s="292" t="s">
        <v>44</v>
      </c>
      <c r="D171" s="292" t="s">
        <v>5</v>
      </c>
      <c r="E171" s="292" t="s">
        <v>24</v>
      </c>
      <c r="F171" s="293"/>
      <c r="G171" s="292"/>
      <c r="H171" s="292"/>
      <c r="I171" s="292"/>
      <c r="J171" s="292"/>
      <c r="K171" s="292" t="s">
        <v>101</v>
      </c>
      <c r="L171" s="292"/>
      <c r="M171" s="292"/>
      <c r="N171" s="292"/>
      <c r="O171" s="294" t="s">
        <v>40</v>
      </c>
    </row>
    <row r="172" spans="1:15" s="281" customFormat="1" x14ac:dyDescent="0.25">
      <c r="A172" s="778"/>
      <c r="B172" s="778"/>
      <c r="C172" s="295"/>
      <c r="D172" s="296"/>
      <c r="E172" s="297"/>
      <c r="F172" s="298"/>
      <c r="G172" s="299"/>
      <c r="H172" s="299"/>
      <c r="I172" s="299"/>
      <c r="J172" s="299"/>
      <c r="K172" s="300"/>
      <c r="L172" s="300"/>
      <c r="M172" s="299"/>
      <c r="N172" s="298"/>
      <c r="O172" s="301">
        <f>E172*K172</f>
        <v>0</v>
      </c>
    </row>
    <row r="173" spans="1:15" s="281" customFormat="1" x14ac:dyDescent="0.25">
      <c r="A173" s="254"/>
      <c r="B173" s="255"/>
      <c r="C173" s="255"/>
      <c r="D173" s="255"/>
      <c r="E173" s="256"/>
      <c r="F173" s="256" t="s">
        <v>85</v>
      </c>
      <c r="G173" s="255"/>
      <c r="H173" s="255"/>
      <c r="I173" s="255"/>
      <c r="J173" s="255"/>
      <c r="K173" s="255"/>
      <c r="L173" s="255"/>
      <c r="M173" s="255"/>
      <c r="N173" s="255"/>
      <c r="O173" s="257">
        <f>SUM(O172:O172)</f>
        <v>0</v>
      </c>
    </row>
    <row r="174" spans="1:15" s="281" customFormat="1" ht="26.25" x14ac:dyDescent="0.4">
      <c r="A174" s="285" t="s">
        <v>420</v>
      </c>
      <c r="B174" s="286"/>
      <c r="C174" s="286"/>
      <c r="D174" s="287"/>
      <c r="E174" s="287"/>
      <c r="F174" s="287"/>
      <c r="G174" s="287"/>
      <c r="H174" s="287"/>
      <c r="I174" s="287"/>
      <c r="J174" s="287"/>
      <c r="K174" s="288"/>
      <c r="L174" s="288"/>
      <c r="M174" s="288"/>
      <c r="N174" s="288"/>
      <c r="O174" s="289"/>
    </row>
    <row r="175" spans="1:15" s="281" customFormat="1" x14ac:dyDescent="0.25">
      <c r="A175" s="758" t="s">
        <v>225</v>
      </c>
      <c r="B175" s="759"/>
      <c r="C175" s="290"/>
      <c r="D175" s="290" t="s">
        <v>28</v>
      </c>
      <c r="E175" s="290"/>
      <c r="F175" s="290"/>
      <c r="G175" s="290"/>
      <c r="H175" s="290"/>
      <c r="I175" s="290"/>
      <c r="J175" s="290"/>
      <c r="K175" s="290" t="s">
        <v>100</v>
      </c>
      <c r="L175" s="290"/>
      <c r="M175" s="290"/>
      <c r="N175" s="290"/>
      <c r="O175" s="291" t="s">
        <v>32</v>
      </c>
    </row>
    <row r="176" spans="1:15" s="281" customFormat="1" x14ac:dyDescent="0.25">
      <c r="A176" s="760"/>
      <c r="B176" s="761"/>
      <c r="C176" s="292"/>
      <c r="D176" s="292" t="s">
        <v>5</v>
      </c>
      <c r="E176" s="290" t="s">
        <v>21</v>
      </c>
      <c r="F176" s="293"/>
      <c r="G176" s="292"/>
      <c r="H176" s="292"/>
      <c r="I176" s="292"/>
      <c r="J176" s="292"/>
      <c r="K176" s="292" t="s">
        <v>238</v>
      </c>
      <c r="L176" s="292"/>
      <c r="M176" s="292"/>
      <c r="N176" s="292"/>
      <c r="O176" s="294" t="s">
        <v>40</v>
      </c>
    </row>
    <row r="177" spans="1:15" s="281" customFormat="1" x14ac:dyDescent="0.25">
      <c r="A177" s="733" t="s">
        <v>245</v>
      </c>
      <c r="B177" s="733"/>
      <c r="C177" s="137"/>
      <c r="D177" s="138">
        <v>1</v>
      </c>
      <c r="E177" s="650">
        <f>I57</f>
        <v>0</v>
      </c>
      <c r="F177" s="373"/>
      <c r="G177" s="372"/>
      <c r="H177" s="372"/>
      <c r="I177" s="372"/>
      <c r="J177" s="372"/>
      <c r="K177" s="650">
        <f>Consumibles!E46</f>
        <v>0</v>
      </c>
      <c r="L177" s="304"/>
      <c r="M177" s="372"/>
      <c r="N177" s="373"/>
      <c r="O177" s="144">
        <f>E177*K177</f>
        <v>0</v>
      </c>
    </row>
    <row r="178" spans="1:15" s="281" customFormat="1" x14ac:dyDescent="0.25">
      <c r="A178" s="733" t="s">
        <v>226</v>
      </c>
      <c r="B178" s="733"/>
      <c r="C178" s="137"/>
      <c r="D178" s="138">
        <v>1</v>
      </c>
      <c r="E178" s="651">
        <v>21400</v>
      </c>
      <c r="F178" s="373"/>
      <c r="G178" s="372"/>
      <c r="H178" s="372"/>
      <c r="I178" s="372"/>
      <c r="J178" s="372"/>
      <c r="K178" s="650">
        <f>Consumibles!E21</f>
        <v>0</v>
      </c>
      <c r="L178" s="304"/>
      <c r="M178" s="372"/>
      <c r="N178" s="373"/>
      <c r="O178" s="144">
        <f>E178*K178</f>
        <v>0</v>
      </c>
    </row>
    <row r="179" spans="1:15" s="281" customFormat="1" x14ac:dyDescent="0.25">
      <c r="A179" s="733" t="s">
        <v>234</v>
      </c>
      <c r="B179" s="733"/>
      <c r="C179" s="137"/>
      <c r="D179" s="138">
        <v>1</v>
      </c>
      <c r="E179" s="651">
        <v>50</v>
      </c>
      <c r="F179" s="373"/>
      <c r="G179" s="372"/>
      <c r="H179" s="372"/>
      <c r="I179" s="372"/>
      <c r="J179" s="372"/>
      <c r="K179" s="650">
        <f>Consumibles!E23</f>
        <v>0</v>
      </c>
      <c r="L179" s="304"/>
      <c r="M179" s="372"/>
      <c r="N179" s="373"/>
      <c r="O179" s="144">
        <f t="shared" ref="O179:O184" si="8">E179*K179</f>
        <v>0</v>
      </c>
    </row>
    <row r="180" spans="1:15" s="281" customFormat="1" x14ac:dyDescent="0.25">
      <c r="A180" s="733" t="s">
        <v>235</v>
      </c>
      <c r="B180" s="733"/>
      <c r="C180" s="137"/>
      <c r="D180" s="138">
        <v>1</v>
      </c>
      <c r="E180" s="651">
        <v>80</v>
      </c>
      <c r="F180" s="373"/>
      <c r="G180" s="372"/>
      <c r="H180" s="372"/>
      <c r="I180" s="372"/>
      <c r="J180" s="372"/>
      <c r="K180" s="650">
        <f>Consumibles!E24</f>
        <v>0</v>
      </c>
      <c r="L180" s="304"/>
      <c r="M180" s="372"/>
      <c r="N180" s="373"/>
      <c r="O180" s="144">
        <f t="shared" si="8"/>
        <v>0</v>
      </c>
    </row>
    <row r="181" spans="1:15" s="281" customFormat="1" x14ac:dyDescent="0.25">
      <c r="A181" s="733" t="s">
        <v>236</v>
      </c>
      <c r="B181" s="733"/>
      <c r="C181" s="137"/>
      <c r="D181" s="138">
        <v>1</v>
      </c>
      <c r="E181" s="651">
        <v>90</v>
      </c>
      <c r="F181" s="373"/>
      <c r="G181" s="372"/>
      <c r="H181" s="372"/>
      <c r="I181" s="372"/>
      <c r="J181" s="372"/>
      <c r="K181" s="650">
        <f>Consumibles!E25</f>
        <v>0</v>
      </c>
      <c r="L181" s="304"/>
      <c r="M181" s="372"/>
      <c r="N181" s="373"/>
      <c r="O181" s="144">
        <f t="shared" si="8"/>
        <v>0</v>
      </c>
    </row>
    <row r="182" spans="1:15" s="281" customFormat="1" x14ac:dyDescent="0.25">
      <c r="A182" s="733" t="s">
        <v>305</v>
      </c>
      <c r="B182" s="733"/>
      <c r="C182" s="305"/>
      <c r="D182" s="138">
        <v>1</v>
      </c>
      <c r="E182" s="651">
        <v>3</v>
      </c>
      <c r="F182" s="373"/>
      <c r="G182" s="372"/>
      <c r="H182" s="372"/>
      <c r="I182" s="372"/>
      <c r="J182" s="372"/>
      <c r="K182" s="650">
        <f>Consumibles!E7</f>
        <v>0</v>
      </c>
      <c r="L182" s="304"/>
      <c r="M182" s="372"/>
      <c r="N182" s="373"/>
      <c r="O182" s="144">
        <f t="shared" si="8"/>
        <v>0</v>
      </c>
    </row>
    <row r="183" spans="1:15" s="281" customFormat="1" x14ac:dyDescent="0.25">
      <c r="A183" s="306" t="s">
        <v>227</v>
      </c>
      <c r="B183" s="306"/>
      <c r="C183" s="305"/>
      <c r="D183" s="138">
        <v>1</v>
      </c>
      <c r="E183" s="651">
        <v>10</v>
      </c>
      <c r="F183" s="373"/>
      <c r="G183" s="372"/>
      <c r="H183" s="372"/>
      <c r="I183" s="372"/>
      <c r="J183" s="372"/>
      <c r="K183" s="650">
        <f>Consumibles!E10</f>
        <v>0</v>
      </c>
      <c r="L183" s="304"/>
      <c r="M183" s="372"/>
      <c r="N183" s="373"/>
      <c r="O183" s="144">
        <f t="shared" si="8"/>
        <v>0</v>
      </c>
    </row>
    <row r="184" spans="1:15" s="281" customFormat="1" x14ac:dyDescent="0.25">
      <c r="A184" s="306" t="s">
        <v>228</v>
      </c>
      <c r="B184" s="306"/>
      <c r="C184" s="305"/>
      <c r="D184" s="138">
        <v>1</v>
      </c>
      <c r="E184" s="651">
        <v>14</v>
      </c>
      <c r="F184" s="373"/>
      <c r="G184" s="372"/>
      <c r="H184" s="372"/>
      <c r="I184" s="372"/>
      <c r="J184" s="372"/>
      <c r="K184" s="650">
        <f>Consumibles!E9</f>
        <v>0</v>
      </c>
      <c r="L184" s="304"/>
      <c r="M184" s="372"/>
      <c r="N184" s="373"/>
      <c r="O184" s="144">
        <f t="shared" si="8"/>
        <v>0</v>
      </c>
    </row>
    <row r="185" spans="1:15" s="281" customFormat="1" x14ac:dyDescent="0.25">
      <c r="A185" s="254"/>
      <c r="B185" s="255"/>
      <c r="C185" s="255"/>
      <c r="D185" s="255"/>
      <c r="E185" s="256"/>
      <c r="F185" s="256" t="s">
        <v>224</v>
      </c>
      <c r="G185" s="255"/>
      <c r="H185" s="255"/>
      <c r="I185" s="255"/>
      <c r="J185" s="255"/>
      <c r="K185" s="255"/>
      <c r="L185" s="255"/>
      <c r="M185" s="255"/>
      <c r="N185" s="255"/>
      <c r="O185" s="257">
        <f>SUM(O177:O184)</f>
        <v>0</v>
      </c>
    </row>
    <row r="186" spans="1:15" x14ac:dyDescent="0.25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</row>
    <row r="187" spans="1:15" x14ac:dyDescent="0.25">
      <c r="A187" s="218"/>
      <c r="B187" s="218"/>
      <c r="C187" s="218"/>
      <c r="D187" s="218"/>
      <c r="E187" s="218"/>
      <c r="F187" s="307" t="s">
        <v>271</v>
      </c>
      <c r="G187" s="308"/>
      <c r="H187" s="308"/>
      <c r="I187" s="308"/>
      <c r="J187" s="308"/>
      <c r="K187" s="308"/>
      <c r="L187" s="308"/>
      <c r="M187" s="308"/>
      <c r="N187" s="308"/>
      <c r="O187" s="309">
        <f>+O57+O111+O163+O173+O185</f>
        <v>0</v>
      </c>
    </row>
    <row r="188" spans="1:15" x14ac:dyDescent="0.25">
      <c r="A188" s="218"/>
      <c r="B188" s="218"/>
      <c r="C188" s="218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310"/>
    </row>
    <row r="189" spans="1:15" x14ac:dyDescent="0.25">
      <c r="A189" s="218"/>
      <c r="B189" s="218"/>
      <c r="C189" s="218"/>
      <c r="D189" s="218"/>
      <c r="E189" s="218"/>
      <c r="F189" s="311" t="s">
        <v>3</v>
      </c>
      <c r="G189" s="312"/>
      <c r="H189" s="312"/>
      <c r="I189" s="312"/>
      <c r="J189" s="312"/>
      <c r="K189" s="312"/>
      <c r="L189" s="312"/>
      <c r="M189" s="652">
        <f>Paràmetres!C6</f>
        <v>0</v>
      </c>
      <c r="N189" s="312"/>
      <c r="O189" s="313">
        <f>+O187*M189</f>
        <v>0</v>
      </c>
    </row>
    <row r="190" spans="1:15" x14ac:dyDescent="0.25">
      <c r="A190" s="218"/>
      <c r="B190" s="218"/>
      <c r="C190" s="218"/>
      <c r="D190" s="218"/>
      <c r="E190" s="218"/>
      <c r="F190" s="312"/>
      <c r="G190" s="312"/>
      <c r="H190" s="312"/>
      <c r="I190" s="312"/>
      <c r="J190" s="312"/>
      <c r="K190" s="312"/>
      <c r="L190" s="312"/>
      <c r="M190" s="314"/>
      <c r="N190" s="312"/>
      <c r="O190" s="313"/>
    </row>
    <row r="191" spans="1:15" x14ac:dyDescent="0.25">
      <c r="A191" s="218"/>
      <c r="B191" s="218"/>
      <c r="C191" s="218"/>
      <c r="D191" s="218"/>
      <c r="E191" s="218"/>
      <c r="F191" s="311" t="s">
        <v>2</v>
      </c>
      <c r="G191" s="312"/>
      <c r="H191" s="312"/>
      <c r="I191" s="312"/>
      <c r="J191" s="312"/>
      <c r="K191" s="312"/>
      <c r="L191" s="312"/>
      <c r="M191" s="652">
        <f>Paràmetres!C5</f>
        <v>0</v>
      </c>
      <c r="N191" s="312"/>
      <c r="O191" s="313">
        <f>+O187*M191</f>
        <v>0</v>
      </c>
    </row>
    <row r="192" spans="1:15" x14ac:dyDescent="0.25">
      <c r="A192" s="218"/>
      <c r="B192" s="218"/>
      <c r="C192" s="218"/>
      <c r="D192" s="218"/>
      <c r="E192" s="218"/>
      <c r="F192" s="312"/>
      <c r="G192" s="312"/>
      <c r="H192" s="312"/>
      <c r="I192" s="312"/>
      <c r="J192" s="312"/>
      <c r="K192" s="312"/>
      <c r="L192" s="312"/>
      <c r="M192" s="314"/>
      <c r="N192" s="312"/>
      <c r="O192" s="313"/>
    </row>
    <row r="193" spans="1:15" x14ac:dyDescent="0.25">
      <c r="A193" s="218"/>
      <c r="B193" s="218"/>
      <c r="C193" s="218"/>
      <c r="D193" s="218"/>
      <c r="E193" s="218"/>
      <c r="F193" s="311" t="s">
        <v>48</v>
      </c>
      <c r="G193" s="312"/>
      <c r="H193" s="312"/>
      <c r="I193" s="312"/>
      <c r="J193" s="312"/>
      <c r="K193" s="312"/>
      <c r="L193" s="312"/>
      <c r="M193" s="314"/>
      <c r="N193" s="312"/>
      <c r="O193" s="313">
        <f>+O187*M193</f>
        <v>0</v>
      </c>
    </row>
    <row r="194" spans="1:15" x14ac:dyDescent="0.25">
      <c r="A194" s="218"/>
      <c r="B194" s="218"/>
      <c r="C194" s="218"/>
      <c r="D194" s="218"/>
      <c r="E194" s="218"/>
      <c r="F194" s="312"/>
      <c r="G194" s="312"/>
      <c r="H194" s="312"/>
      <c r="I194" s="312"/>
      <c r="J194" s="312"/>
      <c r="K194" s="312"/>
      <c r="L194" s="312"/>
      <c r="M194" s="314"/>
      <c r="N194" s="312"/>
      <c r="O194" s="313"/>
    </row>
    <row r="195" spans="1:15" x14ac:dyDescent="0.25">
      <c r="A195" s="218"/>
      <c r="B195" s="218"/>
      <c r="C195" s="218"/>
      <c r="D195" s="218"/>
      <c r="E195" s="218"/>
      <c r="F195" s="311" t="s">
        <v>76</v>
      </c>
      <c r="G195" s="312"/>
      <c r="H195" s="312"/>
      <c r="I195" s="312"/>
      <c r="J195" s="312"/>
      <c r="K195" s="312"/>
      <c r="L195" s="312"/>
      <c r="M195" s="314"/>
      <c r="N195" s="312"/>
      <c r="O195" s="313">
        <f>+O187*M195</f>
        <v>0</v>
      </c>
    </row>
    <row r="196" spans="1:15" x14ac:dyDescent="0.25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310"/>
    </row>
    <row r="197" spans="1:15" x14ac:dyDescent="0.25">
      <c r="A197" s="218"/>
      <c r="B197" s="218"/>
      <c r="C197" s="218"/>
      <c r="D197" s="218"/>
      <c r="E197" s="218"/>
      <c r="F197" s="315" t="s">
        <v>270</v>
      </c>
      <c r="G197" s="316"/>
      <c r="H197" s="316"/>
      <c r="I197" s="316"/>
      <c r="J197" s="316"/>
      <c r="K197" s="316"/>
      <c r="L197" s="316"/>
      <c r="M197" s="316"/>
      <c r="N197" s="316"/>
      <c r="O197" s="317">
        <f>SUM(O187:O195)+O168</f>
        <v>0</v>
      </c>
    </row>
    <row r="198" spans="1:15" x14ac:dyDescent="0.25">
      <c r="A198" s="218"/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310"/>
    </row>
    <row r="199" spans="1:15" x14ac:dyDescent="0.25">
      <c r="A199" s="218"/>
      <c r="B199" s="218"/>
      <c r="C199" s="218"/>
      <c r="D199" s="218"/>
      <c r="E199" s="218"/>
      <c r="F199" s="311" t="s">
        <v>4</v>
      </c>
      <c r="G199" s="312"/>
      <c r="H199" s="312"/>
      <c r="I199" s="312"/>
      <c r="J199" s="312"/>
      <c r="K199" s="312"/>
      <c r="L199" s="312"/>
      <c r="M199" s="314">
        <v>0.1</v>
      </c>
      <c r="N199" s="312"/>
      <c r="O199" s="313">
        <f>+O197*M199</f>
        <v>0</v>
      </c>
    </row>
    <row r="200" spans="1:15" x14ac:dyDescent="0.25">
      <c r="A200" s="218"/>
      <c r="B200" s="218"/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310"/>
    </row>
    <row r="201" spans="1:15" x14ac:dyDescent="0.25">
      <c r="A201" s="218"/>
      <c r="B201" s="218"/>
      <c r="C201" s="218"/>
      <c r="D201" s="218"/>
      <c r="E201" s="218"/>
      <c r="F201" s="315" t="s">
        <v>49</v>
      </c>
      <c r="G201" s="316"/>
      <c r="H201" s="316"/>
      <c r="I201" s="316"/>
      <c r="J201" s="316"/>
      <c r="K201" s="316"/>
      <c r="L201" s="316"/>
      <c r="M201" s="316"/>
      <c r="N201" s="316"/>
      <c r="O201" s="317">
        <f>+O197+O199</f>
        <v>0</v>
      </c>
    </row>
    <row r="202" spans="1:15" x14ac:dyDescent="0.25">
      <c r="A202" s="218"/>
      <c r="B202" s="218"/>
      <c r="C202" s="218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</row>
    <row r="203" spans="1:15" x14ac:dyDescent="0.25">
      <c r="A203" s="218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</row>
    <row r="204" spans="1:15" x14ac:dyDescent="0.25">
      <c r="A204" s="218"/>
      <c r="B204" s="218"/>
      <c r="C204" s="218"/>
      <c r="D204" s="218"/>
      <c r="E204" s="218"/>
      <c r="F204" s="315" t="s">
        <v>50</v>
      </c>
      <c r="G204" s="316"/>
      <c r="H204" s="316"/>
      <c r="I204" s="316"/>
      <c r="J204" s="316"/>
      <c r="K204" s="316"/>
      <c r="L204" s="316"/>
      <c r="M204" s="316"/>
      <c r="N204" s="316"/>
      <c r="O204" s="317" t="s">
        <v>51</v>
      </c>
    </row>
    <row r="205" spans="1:15" x14ac:dyDescent="0.25">
      <c r="A205" s="218"/>
      <c r="B205" s="218"/>
      <c r="C205" s="218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</row>
    <row r="206" spans="1:15" x14ac:dyDescent="0.25">
      <c r="A206" s="218"/>
      <c r="B206" s="218"/>
      <c r="C206" s="218"/>
      <c r="D206" s="218"/>
      <c r="E206" s="218"/>
      <c r="F206" s="218" t="s">
        <v>52</v>
      </c>
      <c r="G206" s="218"/>
      <c r="H206" s="218"/>
      <c r="I206" s="218"/>
      <c r="J206" s="218"/>
      <c r="K206" s="218"/>
      <c r="L206" s="218"/>
      <c r="M206" s="218"/>
      <c r="N206" s="218"/>
      <c r="O206" s="313">
        <f>+O57*(1+M189+M191)*(1+M199)</f>
        <v>0</v>
      </c>
    </row>
    <row r="207" spans="1:15" x14ac:dyDescent="0.25">
      <c r="A207" s="218"/>
      <c r="B207" s="218"/>
      <c r="C207" s="218"/>
      <c r="D207" s="218"/>
      <c r="E207" s="218"/>
      <c r="F207" s="218" t="s">
        <v>53</v>
      </c>
      <c r="G207" s="218"/>
      <c r="H207" s="218"/>
      <c r="I207" s="218"/>
      <c r="J207" s="218"/>
      <c r="K207" s="218"/>
      <c r="L207" s="218"/>
      <c r="M207" s="218"/>
      <c r="N207" s="218"/>
      <c r="O207" s="313">
        <f>+(O111+O163)*(1+M189+M191)*(1+M199)</f>
        <v>0</v>
      </c>
    </row>
    <row r="208" spans="1:15" x14ac:dyDescent="0.25">
      <c r="A208" s="218"/>
      <c r="B208" s="218"/>
      <c r="C208" s="218"/>
      <c r="D208" s="218"/>
      <c r="E208" s="218"/>
      <c r="F208" s="218" t="s">
        <v>54</v>
      </c>
      <c r="G208" s="218"/>
      <c r="H208" s="218"/>
      <c r="I208" s="218"/>
      <c r="J208" s="218"/>
      <c r="K208" s="218"/>
      <c r="L208" s="218"/>
      <c r="M208" s="218"/>
      <c r="N208" s="218"/>
      <c r="O208" s="313"/>
    </row>
    <row r="209" spans="1:15" x14ac:dyDescent="0.25">
      <c r="A209" s="218"/>
      <c r="B209" s="218"/>
      <c r="C209" s="218"/>
      <c r="D209" s="218"/>
      <c r="E209" s="218"/>
      <c r="F209" s="311" t="s">
        <v>55</v>
      </c>
      <c r="G209" s="312"/>
      <c r="H209" s="312"/>
      <c r="I209" s="312"/>
      <c r="J209" s="312"/>
      <c r="K209" s="312"/>
      <c r="L209" s="312"/>
      <c r="M209" s="312"/>
      <c r="N209" s="312"/>
      <c r="O209" s="313">
        <f>G57</f>
        <v>0</v>
      </c>
    </row>
    <row r="210" spans="1:15" x14ac:dyDescent="0.25">
      <c r="A210" s="218"/>
      <c r="B210" s="218"/>
      <c r="C210" s="218"/>
      <c r="D210" s="218"/>
      <c r="E210" s="218"/>
      <c r="F210" s="311" t="s">
        <v>56</v>
      </c>
      <c r="G210" s="312"/>
      <c r="H210" s="312"/>
      <c r="I210" s="312"/>
      <c r="J210" s="312"/>
      <c r="K210" s="312"/>
      <c r="L210" s="312"/>
      <c r="M210" s="312"/>
      <c r="N210" s="312"/>
      <c r="O210" s="313">
        <f>+O209*6.16667</f>
        <v>0</v>
      </c>
    </row>
    <row r="211" spans="1:15" x14ac:dyDescent="0.25">
      <c r="A211" s="218"/>
      <c r="B211" s="218"/>
      <c r="C211" s="218"/>
      <c r="D211" s="218"/>
      <c r="E211" s="218"/>
      <c r="F211" s="218" t="s">
        <v>57</v>
      </c>
      <c r="G211" s="218"/>
      <c r="H211" s="218"/>
      <c r="I211" s="218"/>
      <c r="J211" s="218"/>
      <c r="K211" s="218"/>
      <c r="L211" s="218"/>
      <c r="M211" s="218"/>
      <c r="N211" s="218"/>
      <c r="O211" s="313" t="e">
        <f>+O201/O209</f>
        <v>#DIV/0!</v>
      </c>
    </row>
    <row r="212" spans="1:15" x14ac:dyDescent="0.25">
      <c r="A212" s="218"/>
      <c r="B212" s="218"/>
      <c r="C212" s="218"/>
      <c r="D212" s="218"/>
      <c r="E212" s="218"/>
      <c r="F212" s="218" t="s">
        <v>58</v>
      </c>
      <c r="G212" s="218"/>
      <c r="H212" s="218"/>
      <c r="I212" s="218"/>
      <c r="J212" s="218"/>
      <c r="K212" s="218"/>
      <c r="L212" s="218"/>
      <c r="M212" s="218"/>
      <c r="N212" s="218"/>
      <c r="O212" s="313" t="e">
        <f>+O201/O210</f>
        <v>#DIV/0!</v>
      </c>
    </row>
    <row r="213" spans="1:15" x14ac:dyDescent="0.25">
      <c r="O213" s="318"/>
    </row>
  </sheetData>
  <sheetProtection algorithmName="SHA-512" hashValue="H1woWRbqwP0/Jpae5mFUzKsJHXK0b+etXLSZ5fsoGyVLegQW7kFZrlJ11+SuoVH27yPZb7SDZIh8jvo2kH9b9Q==" saltValue="W+rROtXf18qRVgEyOflsNg==" spinCount="100000" sheet="1" objects="1" scenarios="1" selectLockedCells="1"/>
  <mergeCells count="152">
    <mergeCell ref="A182:B182"/>
    <mergeCell ref="A178:B178"/>
    <mergeCell ref="A179:B179"/>
    <mergeCell ref="A5:O5"/>
    <mergeCell ref="A7:B8"/>
    <mergeCell ref="A61:B62"/>
    <mergeCell ref="A113:B114"/>
    <mergeCell ref="A159:B159"/>
    <mergeCell ref="A160:B160"/>
    <mergeCell ref="A161:B161"/>
    <mergeCell ref="A162:B162"/>
    <mergeCell ref="A172:B172"/>
    <mergeCell ref="A167:B167"/>
    <mergeCell ref="A170:B171"/>
    <mergeCell ref="A165:B166"/>
    <mergeCell ref="A154:B154"/>
    <mergeCell ref="A155:B155"/>
    <mergeCell ref="A156:B156"/>
    <mergeCell ref="A157:B157"/>
    <mergeCell ref="A158:B15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37:B137"/>
    <mergeCell ref="A138:B138"/>
    <mergeCell ref="A139:B139"/>
    <mergeCell ref="A140:B140"/>
    <mergeCell ref="A141:B141"/>
    <mergeCell ref="A130:B130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09:B109"/>
    <mergeCell ref="A110:B110"/>
    <mergeCell ref="A117:B117"/>
    <mergeCell ref="A118:B118"/>
    <mergeCell ref="A119:B119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7:B97"/>
    <mergeCell ref="A98:B98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6:B76"/>
    <mergeCell ref="A77:B77"/>
    <mergeCell ref="A78:B78"/>
    <mergeCell ref="A81:B81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42:B42"/>
    <mergeCell ref="A54:B54"/>
    <mergeCell ref="A55:B55"/>
    <mergeCell ref="A56:B56"/>
    <mergeCell ref="A65:B65"/>
    <mergeCell ref="A49:B49"/>
    <mergeCell ref="A50:B50"/>
    <mergeCell ref="A51:B51"/>
    <mergeCell ref="A52:B52"/>
    <mergeCell ref="A53:B53"/>
    <mergeCell ref="A32:B32"/>
    <mergeCell ref="A33:B33"/>
    <mergeCell ref="A34:B34"/>
    <mergeCell ref="A35:B35"/>
    <mergeCell ref="A36:B36"/>
    <mergeCell ref="O165:O166"/>
    <mergeCell ref="F165:F166"/>
    <mergeCell ref="G165:G166"/>
    <mergeCell ref="K165:K166"/>
    <mergeCell ref="C165:C166"/>
    <mergeCell ref="D165:D166"/>
    <mergeCell ref="E165:E166"/>
    <mergeCell ref="M165:M166"/>
    <mergeCell ref="N165:N166"/>
    <mergeCell ref="A47:B47"/>
    <mergeCell ref="A43:B43"/>
    <mergeCell ref="A44:B44"/>
    <mergeCell ref="A45:B45"/>
    <mergeCell ref="A46:B46"/>
    <mergeCell ref="A48:B48"/>
    <mergeCell ref="A37:B37"/>
    <mergeCell ref="A38:B38"/>
    <mergeCell ref="A39:B39"/>
    <mergeCell ref="A40:B40"/>
    <mergeCell ref="A175:B176"/>
    <mergeCell ref="A177:B177"/>
    <mergeCell ref="A180:B180"/>
    <mergeCell ref="A181:B181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6:B2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7" fitToHeight="0" orientation="portrait" r:id="rId1"/>
  <rowBreaks count="1" manualBreakCount="1">
    <brk id="111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9D09-2EF7-46B8-BEF6-C2243D37F99F}">
  <sheetPr>
    <tabColor theme="0"/>
  </sheetPr>
  <dimension ref="A1:O278"/>
  <sheetViews>
    <sheetView showGridLines="0" topLeftCell="A12" zoomScale="70" zoomScaleNormal="70" zoomScaleSheetLayoutView="70" workbookViewId="0">
      <selection activeCell="E13" sqref="E13"/>
    </sheetView>
  </sheetViews>
  <sheetFormatPr defaultColWidth="11.42578125" defaultRowHeight="15" x14ac:dyDescent="0.25"/>
  <cols>
    <col min="1" max="1" width="6.7109375" style="87" customWidth="1"/>
    <col min="2" max="2" width="49.5703125" style="87" customWidth="1"/>
    <col min="3" max="3" width="10.140625" style="87" customWidth="1"/>
    <col min="4" max="4" width="9.7109375" style="87" customWidth="1"/>
    <col min="5" max="5" width="11.5703125" style="87" customWidth="1"/>
    <col min="6" max="6" width="15.28515625" style="87" customWidth="1"/>
    <col min="7" max="7" width="12.85546875" style="87" bestFit="1" customWidth="1"/>
    <col min="8" max="8" width="15" style="87" customWidth="1"/>
    <col min="9" max="10" width="11.7109375" style="87" customWidth="1"/>
    <col min="11" max="11" width="14" style="87" bestFit="1" customWidth="1"/>
    <col min="12" max="12" width="14.85546875" style="87" bestFit="1" customWidth="1"/>
    <col min="13" max="13" width="10.7109375" style="87" customWidth="1"/>
    <col min="14" max="14" width="14.140625" style="87" bestFit="1" customWidth="1"/>
    <col min="15" max="15" width="17.7109375" style="87" customWidth="1"/>
    <col min="16" max="16384" width="11.42578125" style="87"/>
  </cols>
  <sheetData>
    <row r="1" spans="1:15" ht="26.25" x14ac:dyDescent="0.25">
      <c r="A1" s="216" t="s">
        <v>97</v>
      </c>
      <c r="B1" s="217"/>
      <c r="C1" s="217"/>
      <c r="D1" s="217"/>
      <c r="E1" s="217"/>
      <c r="F1" s="218"/>
      <c r="G1" s="217"/>
      <c r="H1" s="217"/>
      <c r="I1" s="217"/>
      <c r="J1" s="217"/>
      <c r="K1" s="217"/>
      <c r="L1" s="217"/>
      <c r="M1" s="217"/>
      <c r="N1" s="218"/>
      <c r="O1" s="218"/>
    </row>
    <row r="2" spans="1:15" s="153" customFormat="1" ht="6" customHeight="1" x14ac:dyDescent="0.25">
      <c r="A2" s="217"/>
      <c r="B2" s="219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153" customFormat="1" ht="3" customHeight="1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153" customFormat="1" ht="6" customHeight="1" x14ac:dyDescent="0.25">
      <c r="A4" s="217"/>
      <c r="B4" s="21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36" x14ac:dyDescent="0.25">
      <c r="A5" s="772" t="s">
        <v>203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5" s="153" customFormat="1" ht="26.25" x14ac:dyDescent="0.4">
      <c r="A6" s="220" t="s">
        <v>25</v>
      </c>
      <c r="B6" s="221"/>
      <c r="C6" s="222"/>
      <c r="D6" s="223"/>
      <c r="E6" s="223"/>
      <c r="F6" s="223"/>
      <c r="G6" s="223"/>
      <c r="H6" s="223"/>
      <c r="I6" s="223"/>
      <c r="J6" s="223"/>
      <c r="K6" s="224"/>
      <c r="L6" s="224"/>
      <c r="M6" s="224"/>
      <c r="N6" s="224"/>
      <c r="O6" s="224"/>
    </row>
    <row r="7" spans="1:15" x14ac:dyDescent="0.25">
      <c r="A7" s="773" t="s">
        <v>26</v>
      </c>
      <c r="B7" s="773"/>
      <c r="C7" s="225" t="s">
        <v>27</v>
      </c>
      <c r="D7" s="225" t="s">
        <v>28</v>
      </c>
      <c r="E7" s="225" t="s">
        <v>21</v>
      </c>
      <c r="F7" s="225" t="s">
        <v>29</v>
      </c>
      <c r="G7" s="225"/>
      <c r="H7" s="225" t="s">
        <v>177</v>
      </c>
      <c r="I7" s="225"/>
      <c r="J7" s="225" t="s">
        <v>178</v>
      </c>
      <c r="K7" s="225" t="s">
        <v>30</v>
      </c>
      <c r="L7" s="225" t="s">
        <v>23</v>
      </c>
      <c r="M7" s="225" t="s">
        <v>31</v>
      </c>
      <c r="N7" s="225" t="s">
        <v>0</v>
      </c>
      <c r="O7" s="225" t="s">
        <v>32</v>
      </c>
    </row>
    <row r="8" spans="1:15" x14ac:dyDescent="0.25">
      <c r="A8" s="768"/>
      <c r="B8" s="768"/>
      <c r="C8" s="226" t="s">
        <v>33</v>
      </c>
      <c r="D8" s="226" t="s">
        <v>5</v>
      </c>
      <c r="E8" s="226" t="s">
        <v>24</v>
      </c>
      <c r="F8" s="227" t="s">
        <v>34</v>
      </c>
      <c r="G8" s="226" t="s">
        <v>35</v>
      </c>
      <c r="H8" s="226" t="s">
        <v>180</v>
      </c>
      <c r="I8" s="226" t="s">
        <v>9</v>
      </c>
      <c r="J8" s="226" t="s">
        <v>179</v>
      </c>
      <c r="K8" s="226" t="s">
        <v>36</v>
      </c>
      <c r="L8" s="228" t="s">
        <v>37</v>
      </c>
      <c r="M8" s="226" t="s">
        <v>38</v>
      </c>
      <c r="N8" s="226" t="s">
        <v>39</v>
      </c>
      <c r="O8" s="226" t="s">
        <v>40</v>
      </c>
    </row>
    <row r="9" spans="1:15" s="153" customFormat="1" x14ac:dyDescent="0.25">
      <c r="A9" s="229" t="s">
        <v>198</v>
      </c>
      <c r="B9" s="230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s="153" customFormat="1" x14ac:dyDescent="0.25">
      <c r="A10" s="782" t="s">
        <v>195</v>
      </c>
      <c r="B10" s="782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</row>
    <row r="11" spans="1:15" s="153" customFormat="1" x14ac:dyDescent="0.25">
      <c r="A11" s="763" t="s">
        <v>88</v>
      </c>
      <c r="B11" s="76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</row>
    <row r="12" spans="1:15" s="240" customFormat="1" x14ac:dyDescent="0.25">
      <c r="A12" s="733" t="s">
        <v>72</v>
      </c>
      <c r="B12" s="733"/>
      <c r="C12" s="137">
        <v>6.1666699999999999</v>
      </c>
      <c r="D12" s="138">
        <v>1</v>
      </c>
      <c r="E12" s="701"/>
      <c r="F12" s="139">
        <f>Dies!$C$48</f>
        <v>95</v>
      </c>
      <c r="G12" s="273">
        <f>+F12*E12*D12</f>
        <v>0</v>
      </c>
      <c r="H12" s="273">
        <f>Dies!B20</f>
        <v>265</v>
      </c>
      <c r="I12" s="320">
        <f>G12/H12</f>
        <v>0</v>
      </c>
      <c r="J12" s="320">
        <f>G12/298</f>
        <v>0</v>
      </c>
      <c r="K12" s="320">
        <f>Personal!G9+Personal!D34</f>
        <v>0</v>
      </c>
      <c r="L12" s="237">
        <f>+K12/C12</f>
        <v>0</v>
      </c>
      <c r="M12" s="238" t="s">
        <v>41</v>
      </c>
      <c r="N12" s="238" t="s">
        <v>42</v>
      </c>
      <c r="O12" s="239">
        <f>+K12*G12</f>
        <v>0</v>
      </c>
    </row>
    <row r="13" spans="1:15" s="240" customFormat="1" x14ac:dyDescent="0.25">
      <c r="A13" s="733" t="s">
        <v>183</v>
      </c>
      <c r="B13" s="733"/>
      <c r="C13" s="137">
        <v>6.1666699999999999</v>
      </c>
      <c r="D13" s="138">
        <v>1</v>
      </c>
      <c r="E13" s="701"/>
      <c r="F13" s="139">
        <f>Dies!$C$48</f>
        <v>95</v>
      </c>
      <c r="G13" s="273">
        <f>+F13*E13*D13</f>
        <v>0</v>
      </c>
      <c r="H13" s="273">
        <f>$H$12</f>
        <v>265</v>
      </c>
      <c r="I13" s="320">
        <f t="shared" ref="I13:I23" si="0">G13/H13</f>
        <v>0</v>
      </c>
      <c r="J13" s="320">
        <f>G13/298</f>
        <v>0</v>
      </c>
      <c r="K13" s="320">
        <f>Personal!G12+Personal!D34</f>
        <v>0</v>
      </c>
      <c r="L13" s="237">
        <f>+K13/C13</f>
        <v>0</v>
      </c>
      <c r="M13" s="238" t="s">
        <v>41</v>
      </c>
      <c r="N13" s="238" t="s">
        <v>42</v>
      </c>
      <c r="O13" s="239">
        <f>+K13*G13</f>
        <v>0</v>
      </c>
    </row>
    <row r="14" spans="1:15" s="153" customFormat="1" x14ac:dyDescent="0.25">
      <c r="A14" s="764" t="s">
        <v>89</v>
      </c>
      <c r="B14" s="764"/>
      <c r="C14" s="241"/>
      <c r="D14" s="241"/>
      <c r="E14" s="241"/>
      <c r="F14" s="241"/>
      <c r="G14" s="241"/>
      <c r="H14" s="241"/>
      <c r="I14" s="320"/>
      <c r="J14" s="320"/>
      <c r="K14" s="241"/>
      <c r="L14" s="241"/>
      <c r="M14" s="234"/>
      <c r="N14" s="234"/>
      <c r="O14" s="234"/>
    </row>
    <row r="15" spans="1:15" s="240" customFormat="1" x14ac:dyDescent="0.25">
      <c r="A15" s="733" t="s">
        <v>72</v>
      </c>
      <c r="B15" s="733"/>
      <c r="C15" s="137">
        <v>6.1666699999999999</v>
      </c>
      <c r="D15" s="138">
        <v>1</v>
      </c>
      <c r="E15" s="701"/>
      <c r="F15" s="139">
        <f>Dies!$C$48</f>
        <v>95</v>
      </c>
      <c r="G15" s="273">
        <f>+F15*E15*D15</f>
        <v>0</v>
      </c>
      <c r="H15" s="273">
        <f t="shared" ref="H15:H16" si="1">$H$12</f>
        <v>265</v>
      </c>
      <c r="I15" s="320">
        <f t="shared" si="0"/>
        <v>0</v>
      </c>
      <c r="J15" s="320">
        <f>G15/298</f>
        <v>0</v>
      </c>
      <c r="K15" s="320">
        <f>$K$12</f>
        <v>0</v>
      </c>
      <c r="L15" s="237">
        <f>+K15/C15</f>
        <v>0</v>
      </c>
      <c r="M15" s="238" t="s">
        <v>90</v>
      </c>
      <c r="N15" s="238" t="s">
        <v>42</v>
      </c>
      <c r="O15" s="239">
        <f>+K15*G15</f>
        <v>0</v>
      </c>
    </row>
    <row r="16" spans="1:15" s="240" customFormat="1" x14ac:dyDescent="0.25">
      <c r="A16" s="733" t="s">
        <v>183</v>
      </c>
      <c r="B16" s="733"/>
      <c r="C16" s="137">
        <v>6.1666699999999999</v>
      </c>
      <c r="D16" s="138">
        <v>1</v>
      </c>
      <c r="E16" s="701"/>
      <c r="F16" s="139">
        <f>Dies!$C$48</f>
        <v>95</v>
      </c>
      <c r="G16" s="273">
        <f>+F16*E16*D16</f>
        <v>0</v>
      </c>
      <c r="H16" s="273">
        <f t="shared" si="1"/>
        <v>265</v>
      </c>
      <c r="I16" s="320">
        <f t="shared" si="0"/>
        <v>0</v>
      </c>
      <c r="J16" s="320">
        <f>G16/298</f>
        <v>0</v>
      </c>
      <c r="K16" s="320">
        <f>$K$13</f>
        <v>0</v>
      </c>
      <c r="L16" s="237">
        <f>+K16/C16</f>
        <v>0</v>
      </c>
      <c r="M16" s="238" t="str">
        <f>+M15</f>
        <v>Tarda</v>
      </c>
      <c r="N16" s="238" t="s">
        <v>42</v>
      </c>
      <c r="O16" s="239">
        <f>+K16*G16</f>
        <v>0</v>
      </c>
    </row>
    <row r="17" spans="1:15" s="153" customFormat="1" x14ac:dyDescent="0.25">
      <c r="A17" s="762" t="s">
        <v>196</v>
      </c>
      <c r="B17" s="762"/>
      <c r="C17" s="241"/>
      <c r="D17" s="241"/>
      <c r="E17" s="241"/>
      <c r="F17" s="241"/>
      <c r="G17" s="241"/>
      <c r="H17" s="241"/>
      <c r="I17" s="320"/>
      <c r="J17" s="320"/>
      <c r="K17" s="241"/>
      <c r="L17" s="241"/>
      <c r="M17" s="234"/>
      <c r="N17" s="234"/>
      <c r="O17" s="234"/>
    </row>
    <row r="18" spans="1:15" s="153" customFormat="1" x14ac:dyDescent="0.25">
      <c r="A18" s="763" t="s">
        <v>88</v>
      </c>
      <c r="B18" s="763"/>
      <c r="C18" s="241"/>
      <c r="D18" s="241"/>
      <c r="E18" s="241"/>
      <c r="F18" s="241"/>
      <c r="G18" s="241"/>
      <c r="H18" s="241"/>
      <c r="I18" s="320"/>
      <c r="J18" s="320"/>
      <c r="K18" s="241"/>
      <c r="L18" s="241"/>
      <c r="M18" s="234"/>
      <c r="N18" s="234"/>
      <c r="O18" s="234"/>
    </row>
    <row r="19" spans="1:15" s="240" customFormat="1" x14ac:dyDescent="0.25">
      <c r="A19" s="733" t="s">
        <v>72</v>
      </c>
      <c r="B19" s="733"/>
      <c r="C19" s="137">
        <v>6.1666699999999999</v>
      </c>
      <c r="D19" s="7">
        <v>0.33333333333333337</v>
      </c>
      <c r="E19" s="701"/>
      <c r="F19" s="139">
        <f>Dies!$C$49</f>
        <v>20</v>
      </c>
      <c r="G19" s="273">
        <f>+F19*E19*D19</f>
        <v>0</v>
      </c>
      <c r="H19" s="273">
        <f t="shared" ref="H19:H20" si="2">$H$12</f>
        <v>265</v>
      </c>
      <c r="I19" s="320">
        <f t="shared" si="0"/>
        <v>0</v>
      </c>
      <c r="J19" s="320">
        <f>G19/298</f>
        <v>0</v>
      </c>
      <c r="K19" s="320">
        <f>$K$12</f>
        <v>0</v>
      </c>
      <c r="L19" s="237">
        <f>+K19/C19</f>
        <v>0</v>
      </c>
      <c r="M19" s="238" t="s">
        <v>41</v>
      </c>
      <c r="N19" s="238" t="s">
        <v>42</v>
      </c>
      <c r="O19" s="239">
        <f>+K19*G19</f>
        <v>0</v>
      </c>
    </row>
    <row r="20" spans="1:15" s="240" customFormat="1" x14ac:dyDescent="0.25">
      <c r="A20" s="733" t="s">
        <v>183</v>
      </c>
      <c r="B20" s="733"/>
      <c r="C20" s="137">
        <v>6.1666699999999999</v>
      </c>
      <c r="D20" s="7">
        <v>0.33333333333333337</v>
      </c>
      <c r="E20" s="701"/>
      <c r="F20" s="139">
        <f>Dies!$C$49</f>
        <v>20</v>
      </c>
      <c r="G20" s="273">
        <f>+F20*E20*D20</f>
        <v>0</v>
      </c>
      <c r="H20" s="273">
        <f t="shared" si="2"/>
        <v>265</v>
      </c>
      <c r="I20" s="320">
        <f t="shared" si="0"/>
        <v>0</v>
      </c>
      <c r="J20" s="320">
        <f>G20/298</f>
        <v>0</v>
      </c>
      <c r="K20" s="320">
        <f>$K$13</f>
        <v>0</v>
      </c>
      <c r="L20" s="237">
        <f>+K20/C20</f>
        <v>0</v>
      </c>
      <c r="M20" s="238" t="s">
        <v>41</v>
      </c>
      <c r="N20" s="238" t="s">
        <v>42</v>
      </c>
      <c r="O20" s="239">
        <f>+K20*G20</f>
        <v>0</v>
      </c>
    </row>
    <row r="21" spans="1:15" s="153" customFormat="1" x14ac:dyDescent="0.25">
      <c r="A21" s="764" t="s">
        <v>89</v>
      </c>
      <c r="B21" s="764"/>
      <c r="C21" s="241"/>
      <c r="D21" s="241"/>
      <c r="E21" s="241"/>
      <c r="F21" s="241"/>
      <c r="G21" s="241"/>
      <c r="H21" s="241"/>
      <c r="I21" s="320"/>
      <c r="J21" s="320"/>
      <c r="K21" s="241"/>
      <c r="L21" s="241"/>
      <c r="M21" s="234"/>
      <c r="N21" s="234"/>
      <c r="O21" s="234"/>
    </row>
    <row r="22" spans="1:15" s="240" customFormat="1" x14ac:dyDescent="0.25">
      <c r="A22" s="733" t="s">
        <v>72</v>
      </c>
      <c r="B22" s="733"/>
      <c r="C22" s="137">
        <v>6.1666699999999999</v>
      </c>
      <c r="D22" s="7">
        <v>0.33333333333333337</v>
      </c>
      <c r="E22" s="701"/>
      <c r="F22" s="139">
        <f>Dies!$C$49</f>
        <v>20</v>
      </c>
      <c r="G22" s="273">
        <f>+F22*E22*D22</f>
        <v>0</v>
      </c>
      <c r="H22" s="273">
        <f t="shared" ref="H22:H23" si="3">$H$12</f>
        <v>265</v>
      </c>
      <c r="I22" s="320">
        <f t="shared" si="0"/>
        <v>0</v>
      </c>
      <c r="J22" s="320">
        <f>G22/298</f>
        <v>0</v>
      </c>
      <c r="K22" s="320">
        <f>$K$12</f>
        <v>0</v>
      </c>
      <c r="L22" s="237">
        <f>+K22/C22</f>
        <v>0</v>
      </c>
      <c r="M22" s="238" t="s">
        <v>90</v>
      </c>
      <c r="N22" s="238" t="s">
        <v>42</v>
      </c>
      <c r="O22" s="239">
        <f>+K22*G22</f>
        <v>0</v>
      </c>
    </row>
    <row r="23" spans="1:15" s="240" customFormat="1" x14ac:dyDescent="0.25">
      <c r="A23" s="733" t="s">
        <v>183</v>
      </c>
      <c r="B23" s="733"/>
      <c r="C23" s="137">
        <v>6.1666699999999999</v>
      </c>
      <c r="D23" s="7">
        <v>0.33333333333333337</v>
      </c>
      <c r="E23" s="701"/>
      <c r="F23" s="139">
        <f>Dies!$C$49</f>
        <v>20</v>
      </c>
      <c r="G23" s="273">
        <f>+F23*E23*D23</f>
        <v>0</v>
      </c>
      <c r="H23" s="273">
        <f t="shared" si="3"/>
        <v>265</v>
      </c>
      <c r="I23" s="320">
        <f t="shared" si="0"/>
        <v>0</v>
      </c>
      <c r="J23" s="320">
        <f>G23/298</f>
        <v>0</v>
      </c>
      <c r="K23" s="320">
        <f>$K$13</f>
        <v>0</v>
      </c>
      <c r="L23" s="237">
        <f>+K23/C23</f>
        <v>0</v>
      </c>
      <c r="M23" s="238" t="str">
        <f>+M22</f>
        <v>Tarda</v>
      </c>
      <c r="N23" s="238" t="s">
        <v>42</v>
      </c>
      <c r="O23" s="239">
        <f>+K23*G23</f>
        <v>0</v>
      </c>
    </row>
    <row r="24" spans="1:15" s="153" customFormat="1" x14ac:dyDescent="0.25">
      <c r="A24" s="762" t="s">
        <v>197</v>
      </c>
      <c r="B24" s="762"/>
      <c r="C24" s="241"/>
      <c r="D24" s="241"/>
      <c r="E24" s="241"/>
      <c r="F24" s="241"/>
      <c r="G24" s="241"/>
      <c r="H24" s="241"/>
      <c r="I24" s="320"/>
      <c r="J24" s="320"/>
      <c r="K24" s="241"/>
      <c r="L24" s="241"/>
      <c r="M24" s="234"/>
      <c r="N24" s="234"/>
      <c r="O24" s="234"/>
    </row>
    <row r="25" spans="1:15" s="153" customFormat="1" x14ac:dyDescent="0.25">
      <c r="A25" s="763" t="s">
        <v>88</v>
      </c>
      <c r="B25" s="763"/>
      <c r="C25" s="241"/>
      <c r="D25" s="241"/>
      <c r="E25" s="241"/>
      <c r="F25" s="241"/>
      <c r="G25" s="241"/>
      <c r="H25" s="241"/>
      <c r="I25" s="320"/>
      <c r="J25" s="320"/>
      <c r="K25" s="241"/>
      <c r="L25" s="241"/>
      <c r="M25" s="234"/>
      <c r="N25" s="234"/>
      <c r="O25" s="234"/>
    </row>
    <row r="26" spans="1:15" s="153" customFormat="1" x14ac:dyDescent="0.25">
      <c r="A26" s="733" t="s">
        <v>72</v>
      </c>
      <c r="B26" s="733"/>
      <c r="C26" s="137">
        <v>6.1666699999999999</v>
      </c>
      <c r="D26" s="138">
        <v>0.66666666666666674</v>
      </c>
      <c r="E26" s="701"/>
      <c r="F26" s="139">
        <f>Dies!$C$50</f>
        <v>20</v>
      </c>
      <c r="G26" s="273">
        <f>+F26*E26*D26</f>
        <v>0</v>
      </c>
      <c r="H26" s="273">
        <f t="shared" ref="H26:H27" si="4">$H$12</f>
        <v>265</v>
      </c>
      <c r="I26" s="320">
        <f>G26/H26</f>
        <v>0</v>
      </c>
      <c r="J26" s="320">
        <f>G26/298</f>
        <v>0</v>
      </c>
      <c r="K26" s="320">
        <f>$K$12+Personal!D38</f>
        <v>0</v>
      </c>
      <c r="L26" s="237">
        <f>+K26/C26</f>
        <v>0</v>
      </c>
      <c r="M26" s="238" t="s">
        <v>41</v>
      </c>
      <c r="N26" s="238" t="s">
        <v>42</v>
      </c>
      <c r="O26" s="239">
        <f>+K26*G26</f>
        <v>0</v>
      </c>
    </row>
    <row r="27" spans="1:15" s="153" customFormat="1" x14ac:dyDescent="0.25">
      <c r="A27" s="733" t="s">
        <v>183</v>
      </c>
      <c r="B27" s="733"/>
      <c r="C27" s="137">
        <v>6.1666699999999999</v>
      </c>
      <c r="D27" s="138">
        <v>0.66666666666666674</v>
      </c>
      <c r="E27" s="701"/>
      <c r="F27" s="139">
        <f>Dies!$C$50</f>
        <v>20</v>
      </c>
      <c r="G27" s="273">
        <f>+F27*E27*D27</f>
        <v>0</v>
      </c>
      <c r="H27" s="273">
        <f t="shared" si="4"/>
        <v>265</v>
      </c>
      <c r="I27" s="320">
        <f>G27/H27</f>
        <v>0</v>
      </c>
      <c r="J27" s="320">
        <f>G27/298</f>
        <v>0</v>
      </c>
      <c r="K27" s="320">
        <f>$K$13+Personal!D38</f>
        <v>0</v>
      </c>
      <c r="L27" s="237">
        <f>+K27/C27</f>
        <v>0</v>
      </c>
      <c r="M27" s="238" t="s">
        <v>41</v>
      </c>
      <c r="N27" s="238" t="s">
        <v>42</v>
      </c>
      <c r="O27" s="239">
        <f>+K27*G27</f>
        <v>0</v>
      </c>
    </row>
    <row r="28" spans="1:15" s="153" customFormat="1" x14ac:dyDescent="0.25">
      <c r="A28" s="764" t="s">
        <v>89</v>
      </c>
      <c r="B28" s="764"/>
      <c r="C28" s="241"/>
      <c r="D28" s="241"/>
      <c r="E28" s="241"/>
      <c r="F28" s="241"/>
      <c r="G28" s="241"/>
      <c r="H28" s="241"/>
      <c r="I28" s="320"/>
      <c r="J28" s="320"/>
      <c r="K28" s="241"/>
      <c r="L28" s="241"/>
      <c r="M28" s="234"/>
      <c r="N28" s="234"/>
      <c r="O28" s="234"/>
    </row>
    <row r="29" spans="1:15" s="153" customFormat="1" x14ac:dyDescent="0.25">
      <c r="A29" s="733" t="s">
        <v>72</v>
      </c>
      <c r="B29" s="733"/>
      <c r="C29" s="137">
        <v>6.1666699999999999</v>
      </c>
      <c r="D29" s="138">
        <v>0.66666666666666674</v>
      </c>
      <c r="E29" s="701"/>
      <c r="F29" s="139">
        <f>Dies!$C$50</f>
        <v>20</v>
      </c>
      <c r="G29" s="273">
        <f>+F29*E29*D29</f>
        <v>0</v>
      </c>
      <c r="H29" s="273">
        <f t="shared" ref="H29:H30" si="5">$H$12</f>
        <v>265</v>
      </c>
      <c r="I29" s="320">
        <f>G29/H29</f>
        <v>0</v>
      </c>
      <c r="J29" s="320">
        <f>G29/298</f>
        <v>0</v>
      </c>
      <c r="K29" s="320">
        <f>$K$12+Personal!D38</f>
        <v>0</v>
      </c>
      <c r="L29" s="237">
        <f>+K29/C29</f>
        <v>0</v>
      </c>
      <c r="M29" s="238" t="s">
        <v>90</v>
      </c>
      <c r="N29" s="238" t="s">
        <v>42</v>
      </c>
      <c r="O29" s="239">
        <f>+K29*G29</f>
        <v>0</v>
      </c>
    </row>
    <row r="30" spans="1:15" s="240" customFormat="1" x14ac:dyDescent="0.25">
      <c r="A30" s="733" t="s">
        <v>183</v>
      </c>
      <c r="B30" s="733"/>
      <c r="C30" s="137">
        <v>6.1666699999999999</v>
      </c>
      <c r="D30" s="138">
        <v>0.66666666666666674</v>
      </c>
      <c r="E30" s="701"/>
      <c r="F30" s="139">
        <f>Dies!$C$50</f>
        <v>20</v>
      </c>
      <c r="G30" s="273">
        <f>+F30*E30*D30</f>
        <v>0</v>
      </c>
      <c r="H30" s="273">
        <f t="shared" si="5"/>
        <v>265</v>
      </c>
      <c r="I30" s="320">
        <f>G30/H30</f>
        <v>0</v>
      </c>
      <c r="J30" s="320">
        <f>G30/298</f>
        <v>0</v>
      </c>
      <c r="K30" s="320">
        <f>$K$13+Personal!D38</f>
        <v>0</v>
      </c>
      <c r="L30" s="237">
        <f>+K30/C30</f>
        <v>0</v>
      </c>
      <c r="M30" s="238" t="s">
        <v>90</v>
      </c>
      <c r="N30" s="238" t="s">
        <v>42</v>
      </c>
      <c r="O30" s="239">
        <f>+K30*G30</f>
        <v>0</v>
      </c>
    </row>
    <row r="31" spans="1:15" s="240" customFormat="1" x14ac:dyDescent="0.25">
      <c r="A31" s="229" t="s">
        <v>199</v>
      </c>
      <c r="B31" s="242"/>
      <c r="C31" s="243"/>
      <c r="D31" s="244"/>
      <c r="E31" s="245"/>
      <c r="F31" s="245"/>
      <c r="G31" s="246"/>
      <c r="H31" s="246"/>
      <c r="I31" s="247"/>
      <c r="J31" s="247"/>
      <c r="K31" s="247"/>
      <c r="L31" s="319"/>
      <c r="M31" s="245"/>
      <c r="N31" s="245"/>
      <c r="O31" s="248"/>
    </row>
    <row r="32" spans="1:15" s="240" customFormat="1" x14ac:dyDescent="0.25">
      <c r="A32" s="782" t="s">
        <v>195</v>
      </c>
      <c r="B32" s="782"/>
      <c r="C32" s="137"/>
      <c r="D32" s="138"/>
      <c r="E32" s="139"/>
      <c r="F32" s="139"/>
      <c r="G32" s="273"/>
      <c r="H32" s="273"/>
      <c r="I32" s="320"/>
      <c r="J32" s="320"/>
      <c r="K32" s="320"/>
      <c r="L32" s="237"/>
      <c r="M32" s="238"/>
      <c r="N32" s="238"/>
      <c r="O32" s="239"/>
    </row>
    <row r="33" spans="1:15" s="240" customFormat="1" x14ac:dyDescent="0.25">
      <c r="A33" s="763" t="s">
        <v>88</v>
      </c>
      <c r="B33" s="763"/>
      <c r="C33" s="137"/>
      <c r="D33" s="138"/>
      <c r="E33" s="139"/>
      <c r="F33" s="139"/>
      <c r="G33" s="273"/>
      <c r="H33" s="273"/>
      <c r="I33" s="320"/>
      <c r="J33" s="320"/>
      <c r="K33" s="320"/>
      <c r="L33" s="237"/>
      <c r="M33" s="238"/>
      <c r="N33" s="238"/>
      <c r="O33" s="239"/>
    </row>
    <row r="34" spans="1:15" s="240" customFormat="1" x14ac:dyDescent="0.25">
      <c r="A34" s="733" t="s">
        <v>72</v>
      </c>
      <c r="B34" s="733"/>
      <c r="C34" s="137">
        <v>6.1666699999999999</v>
      </c>
      <c r="D34" s="138">
        <v>1</v>
      </c>
      <c r="E34" s="701"/>
      <c r="F34" s="139">
        <f>Dies!$C$53</f>
        <v>77</v>
      </c>
      <c r="G34" s="273">
        <f>+F34*E34*D34</f>
        <v>0</v>
      </c>
      <c r="H34" s="273">
        <f t="shared" ref="H34:H35" si="6">$H$12</f>
        <v>265</v>
      </c>
      <c r="I34" s="320">
        <f>G34/H34</f>
        <v>0</v>
      </c>
      <c r="J34" s="320">
        <f>G34/298</f>
        <v>0</v>
      </c>
      <c r="K34" s="320">
        <f>$K$12</f>
        <v>0</v>
      </c>
      <c r="L34" s="237">
        <f>+K34/C34</f>
        <v>0</v>
      </c>
      <c r="M34" s="238" t="s">
        <v>41</v>
      </c>
      <c r="N34" s="238" t="s">
        <v>42</v>
      </c>
      <c r="O34" s="239">
        <f>+K34*G34</f>
        <v>0</v>
      </c>
    </row>
    <row r="35" spans="1:15" s="240" customFormat="1" x14ac:dyDescent="0.25">
      <c r="A35" s="733" t="s">
        <v>183</v>
      </c>
      <c r="B35" s="733"/>
      <c r="C35" s="137">
        <v>6.1666699999999999</v>
      </c>
      <c r="D35" s="138">
        <v>1</v>
      </c>
      <c r="E35" s="701"/>
      <c r="F35" s="139">
        <f>Dies!$C$53</f>
        <v>77</v>
      </c>
      <c r="G35" s="273">
        <f>+F35*E35*D35</f>
        <v>0</v>
      </c>
      <c r="H35" s="273">
        <f t="shared" si="6"/>
        <v>265</v>
      </c>
      <c r="I35" s="320">
        <f t="shared" ref="I35" si="7">G35/H35</f>
        <v>0</v>
      </c>
      <c r="J35" s="320">
        <f>G35/298</f>
        <v>0</v>
      </c>
      <c r="K35" s="320">
        <f>$K$13</f>
        <v>0</v>
      </c>
      <c r="L35" s="237">
        <f>+K35/C35</f>
        <v>0</v>
      </c>
      <c r="M35" s="238" t="s">
        <v>41</v>
      </c>
      <c r="N35" s="238" t="s">
        <v>42</v>
      </c>
      <c r="O35" s="239">
        <f>+K35*G35</f>
        <v>0</v>
      </c>
    </row>
    <row r="36" spans="1:15" s="240" customFormat="1" x14ac:dyDescent="0.25">
      <c r="A36" s="764" t="s">
        <v>89</v>
      </c>
      <c r="B36" s="764"/>
      <c r="C36" s="241"/>
      <c r="D36" s="241"/>
      <c r="E36" s="241"/>
      <c r="F36" s="241"/>
      <c r="G36" s="241"/>
      <c r="H36" s="241"/>
      <c r="I36" s="320"/>
      <c r="J36" s="320"/>
      <c r="K36" s="241"/>
      <c r="L36" s="241"/>
      <c r="M36" s="234"/>
      <c r="N36" s="234"/>
      <c r="O36" s="234"/>
    </row>
    <row r="37" spans="1:15" s="240" customFormat="1" x14ac:dyDescent="0.25">
      <c r="A37" s="733" t="s">
        <v>72</v>
      </c>
      <c r="B37" s="733"/>
      <c r="C37" s="137">
        <v>6.1666699999999999</v>
      </c>
      <c r="D37" s="138">
        <v>1</v>
      </c>
      <c r="E37" s="701"/>
      <c r="F37" s="139">
        <f>Dies!$C$53</f>
        <v>77</v>
      </c>
      <c r="G37" s="273">
        <f>+F37*E37*D37</f>
        <v>0</v>
      </c>
      <c r="H37" s="273">
        <f t="shared" ref="H37:H38" si="8">$H$12</f>
        <v>265</v>
      </c>
      <c r="I37" s="320">
        <f t="shared" ref="I37:I38" si="9">G37/H37</f>
        <v>0</v>
      </c>
      <c r="J37" s="320">
        <f>G37/298</f>
        <v>0</v>
      </c>
      <c r="K37" s="320">
        <f>$K$12</f>
        <v>0</v>
      </c>
      <c r="L37" s="237">
        <f>+K37/C37</f>
        <v>0</v>
      </c>
      <c r="M37" s="238" t="s">
        <v>90</v>
      </c>
      <c r="N37" s="238" t="s">
        <v>42</v>
      </c>
      <c r="O37" s="239">
        <f>+K37*G37</f>
        <v>0</v>
      </c>
    </row>
    <row r="38" spans="1:15" s="240" customFormat="1" x14ac:dyDescent="0.25">
      <c r="A38" s="733" t="s">
        <v>183</v>
      </c>
      <c r="B38" s="733"/>
      <c r="C38" s="137">
        <v>6.1666699999999999</v>
      </c>
      <c r="D38" s="138">
        <v>1</v>
      </c>
      <c r="E38" s="701"/>
      <c r="F38" s="139">
        <f>Dies!$C$53</f>
        <v>77</v>
      </c>
      <c r="G38" s="273">
        <f>+F38*E38*D38</f>
        <v>0</v>
      </c>
      <c r="H38" s="273">
        <f t="shared" si="8"/>
        <v>265</v>
      </c>
      <c r="I38" s="320">
        <f t="shared" si="9"/>
        <v>0</v>
      </c>
      <c r="J38" s="320">
        <f>G38/298</f>
        <v>0</v>
      </c>
      <c r="K38" s="320">
        <f>$K$13</f>
        <v>0</v>
      </c>
      <c r="L38" s="237">
        <f>+K38/C38</f>
        <v>0</v>
      </c>
      <c r="M38" s="238" t="str">
        <f>+M37</f>
        <v>Tarda</v>
      </c>
      <c r="N38" s="238" t="s">
        <v>42</v>
      </c>
      <c r="O38" s="239">
        <f>+K38*G38</f>
        <v>0</v>
      </c>
    </row>
    <row r="39" spans="1:15" s="240" customFormat="1" x14ac:dyDescent="0.25">
      <c r="A39" s="762" t="s">
        <v>196</v>
      </c>
      <c r="B39" s="762"/>
      <c r="C39" s="241"/>
      <c r="D39" s="241"/>
      <c r="E39" s="241"/>
      <c r="F39" s="241"/>
      <c r="G39" s="241"/>
      <c r="H39" s="241"/>
      <c r="I39" s="320"/>
      <c r="J39" s="320"/>
      <c r="K39" s="241"/>
      <c r="L39" s="241"/>
      <c r="M39" s="234"/>
      <c r="N39" s="234"/>
      <c r="O39" s="234"/>
    </row>
    <row r="40" spans="1:15" s="240" customFormat="1" x14ac:dyDescent="0.25">
      <c r="A40" s="763" t="s">
        <v>88</v>
      </c>
      <c r="B40" s="763"/>
      <c r="C40" s="241"/>
      <c r="D40" s="241"/>
      <c r="E40" s="241"/>
      <c r="F40" s="241"/>
      <c r="G40" s="241"/>
      <c r="H40" s="241"/>
      <c r="I40" s="320"/>
      <c r="J40" s="320"/>
      <c r="K40" s="241"/>
      <c r="L40" s="241"/>
      <c r="M40" s="234"/>
      <c r="N40" s="234"/>
      <c r="O40" s="234"/>
    </row>
    <row r="41" spans="1:15" s="240" customFormat="1" x14ac:dyDescent="0.25">
      <c r="A41" s="733" t="s">
        <v>72</v>
      </c>
      <c r="B41" s="733"/>
      <c r="C41" s="137">
        <v>6.1666699999999999</v>
      </c>
      <c r="D41" s="7">
        <v>0.33333333333333337</v>
      </c>
      <c r="E41" s="701"/>
      <c r="F41" s="139">
        <f>Dies!$C$54</f>
        <v>15</v>
      </c>
      <c r="G41" s="273">
        <f>+F41*E41*D41</f>
        <v>0</v>
      </c>
      <c r="H41" s="273">
        <f t="shared" ref="H41:H42" si="10">$H$12</f>
        <v>265</v>
      </c>
      <c r="I41" s="320">
        <f t="shared" ref="I41:I42" si="11">G41/H41</f>
        <v>0</v>
      </c>
      <c r="J41" s="320">
        <f>G41/298</f>
        <v>0</v>
      </c>
      <c r="K41" s="320">
        <f>$K$12</f>
        <v>0</v>
      </c>
      <c r="L41" s="237">
        <f>+K41/C41</f>
        <v>0</v>
      </c>
      <c r="M41" s="238" t="s">
        <v>41</v>
      </c>
      <c r="N41" s="238" t="s">
        <v>42</v>
      </c>
      <c r="O41" s="239">
        <f>+K41*G41</f>
        <v>0</v>
      </c>
    </row>
    <row r="42" spans="1:15" s="240" customFormat="1" x14ac:dyDescent="0.25">
      <c r="A42" s="733" t="s">
        <v>183</v>
      </c>
      <c r="B42" s="733"/>
      <c r="C42" s="137">
        <v>6.1666699999999999</v>
      </c>
      <c r="D42" s="7">
        <v>0.33333333333333337</v>
      </c>
      <c r="E42" s="701"/>
      <c r="F42" s="139">
        <f>Dies!$C$54</f>
        <v>15</v>
      </c>
      <c r="G42" s="273">
        <f>+F42*E42*D42</f>
        <v>0</v>
      </c>
      <c r="H42" s="273">
        <f t="shared" si="10"/>
        <v>265</v>
      </c>
      <c r="I42" s="320">
        <f t="shared" si="11"/>
        <v>0</v>
      </c>
      <c r="J42" s="320">
        <f>G42/298</f>
        <v>0</v>
      </c>
      <c r="K42" s="320">
        <f>$K$13</f>
        <v>0</v>
      </c>
      <c r="L42" s="237">
        <f>+K42/C42</f>
        <v>0</v>
      </c>
      <c r="M42" s="238" t="s">
        <v>41</v>
      </c>
      <c r="N42" s="238" t="s">
        <v>42</v>
      </c>
      <c r="O42" s="239">
        <f>+K42*G42</f>
        <v>0</v>
      </c>
    </row>
    <row r="43" spans="1:15" s="240" customFormat="1" x14ac:dyDescent="0.25">
      <c r="A43" s="764" t="s">
        <v>89</v>
      </c>
      <c r="B43" s="764"/>
      <c r="C43" s="241"/>
      <c r="D43" s="241"/>
      <c r="E43" s="241"/>
      <c r="F43" s="241"/>
      <c r="G43" s="241"/>
      <c r="H43" s="241"/>
      <c r="I43" s="320"/>
      <c r="J43" s="320"/>
      <c r="K43" s="241"/>
      <c r="L43" s="241"/>
      <c r="M43" s="234"/>
      <c r="N43" s="234"/>
      <c r="O43" s="234"/>
    </row>
    <row r="44" spans="1:15" s="240" customFormat="1" x14ac:dyDescent="0.25">
      <c r="A44" s="733" t="s">
        <v>72</v>
      </c>
      <c r="B44" s="733"/>
      <c r="C44" s="137">
        <v>6.1666699999999999</v>
      </c>
      <c r="D44" s="7">
        <v>0.33333333333333337</v>
      </c>
      <c r="E44" s="701"/>
      <c r="F44" s="139">
        <f>Dies!$C$54</f>
        <v>15</v>
      </c>
      <c r="G44" s="273">
        <f>+F44*E44*D44</f>
        <v>0</v>
      </c>
      <c r="H44" s="273">
        <f t="shared" ref="H44:H45" si="12">$H$12</f>
        <v>265</v>
      </c>
      <c r="I44" s="320">
        <f t="shared" ref="I44:I45" si="13">G44/H44</f>
        <v>0</v>
      </c>
      <c r="J44" s="320">
        <f>G44/298</f>
        <v>0</v>
      </c>
      <c r="K44" s="320">
        <f>$K$12</f>
        <v>0</v>
      </c>
      <c r="L44" s="237">
        <f>+K44/C44</f>
        <v>0</v>
      </c>
      <c r="M44" s="238" t="s">
        <v>90</v>
      </c>
      <c r="N44" s="238" t="s">
        <v>42</v>
      </c>
      <c r="O44" s="239">
        <f>+K44*G44</f>
        <v>0</v>
      </c>
    </row>
    <row r="45" spans="1:15" s="240" customFormat="1" x14ac:dyDescent="0.25">
      <c r="A45" s="733" t="s">
        <v>183</v>
      </c>
      <c r="B45" s="733"/>
      <c r="C45" s="137">
        <v>6.1666699999999999</v>
      </c>
      <c r="D45" s="7">
        <v>0.33333333333333337</v>
      </c>
      <c r="E45" s="701"/>
      <c r="F45" s="139">
        <f>Dies!$C$54</f>
        <v>15</v>
      </c>
      <c r="G45" s="273">
        <f>+F45*E45*D45</f>
        <v>0</v>
      </c>
      <c r="H45" s="273">
        <f t="shared" si="12"/>
        <v>265</v>
      </c>
      <c r="I45" s="320">
        <f t="shared" si="13"/>
        <v>0</v>
      </c>
      <c r="J45" s="320">
        <f>G45/298</f>
        <v>0</v>
      </c>
      <c r="K45" s="320">
        <f>$K$13</f>
        <v>0</v>
      </c>
      <c r="L45" s="237">
        <f>+K45/C45</f>
        <v>0</v>
      </c>
      <c r="M45" s="238" t="str">
        <f>+M44</f>
        <v>Tarda</v>
      </c>
      <c r="N45" s="238" t="s">
        <v>42</v>
      </c>
      <c r="O45" s="239">
        <f>+K45*G45</f>
        <v>0</v>
      </c>
    </row>
    <row r="46" spans="1:15" s="240" customFormat="1" x14ac:dyDescent="0.25">
      <c r="A46" s="762" t="s">
        <v>197</v>
      </c>
      <c r="B46" s="762"/>
      <c r="C46" s="241"/>
      <c r="D46" s="241"/>
      <c r="E46" s="241"/>
      <c r="F46" s="241"/>
      <c r="G46" s="241"/>
      <c r="H46" s="241"/>
      <c r="I46" s="320"/>
      <c r="J46" s="320"/>
      <c r="K46" s="241"/>
      <c r="L46" s="241"/>
      <c r="M46" s="234"/>
      <c r="N46" s="234"/>
      <c r="O46" s="234"/>
    </row>
    <row r="47" spans="1:15" s="240" customFormat="1" x14ac:dyDescent="0.25">
      <c r="A47" s="763" t="s">
        <v>88</v>
      </c>
      <c r="B47" s="763"/>
      <c r="C47" s="241"/>
      <c r="D47" s="241"/>
      <c r="E47" s="241"/>
      <c r="F47" s="241"/>
      <c r="G47" s="241"/>
      <c r="H47" s="241"/>
      <c r="I47" s="320"/>
      <c r="J47" s="320"/>
      <c r="K47" s="241"/>
      <c r="L47" s="241"/>
      <c r="M47" s="234"/>
      <c r="N47" s="234"/>
      <c r="O47" s="234"/>
    </row>
    <row r="48" spans="1:15" s="240" customFormat="1" x14ac:dyDescent="0.25">
      <c r="A48" s="733" t="s">
        <v>72</v>
      </c>
      <c r="B48" s="733"/>
      <c r="C48" s="137">
        <v>6.1666699999999999</v>
      </c>
      <c r="D48" s="138">
        <v>0.66666666666666674</v>
      </c>
      <c r="E48" s="701"/>
      <c r="F48" s="139">
        <f>Dies!$C$55</f>
        <v>15</v>
      </c>
      <c r="G48" s="273">
        <f>+F48*E48*D48</f>
        <v>0</v>
      </c>
      <c r="H48" s="273">
        <f t="shared" ref="H48:H49" si="14">$H$12</f>
        <v>265</v>
      </c>
      <c r="I48" s="320">
        <f>G48/H48</f>
        <v>0</v>
      </c>
      <c r="J48" s="320">
        <f>G48/298</f>
        <v>0</v>
      </c>
      <c r="K48" s="320">
        <f>$K$12+Personal!D38</f>
        <v>0</v>
      </c>
      <c r="L48" s="237">
        <f>+K48/C48</f>
        <v>0</v>
      </c>
      <c r="M48" s="238" t="s">
        <v>41</v>
      </c>
      <c r="N48" s="238" t="s">
        <v>42</v>
      </c>
      <c r="O48" s="239">
        <f>+K48*G48</f>
        <v>0</v>
      </c>
    </row>
    <row r="49" spans="1:15" s="240" customFormat="1" x14ac:dyDescent="0.25">
      <c r="A49" s="733" t="s">
        <v>183</v>
      </c>
      <c r="B49" s="733"/>
      <c r="C49" s="137">
        <v>6.1666699999999999</v>
      </c>
      <c r="D49" s="138">
        <v>0.66666666666666674</v>
      </c>
      <c r="E49" s="701"/>
      <c r="F49" s="139">
        <f>Dies!$C$55</f>
        <v>15</v>
      </c>
      <c r="G49" s="273">
        <f>+F49*E49*D49</f>
        <v>0</v>
      </c>
      <c r="H49" s="273">
        <f t="shared" si="14"/>
        <v>265</v>
      </c>
      <c r="I49" s="320">
        <f>G49/H49</f>
        <v>0</v>
      </c>
      <c r="J49" s="320">
        <f>G49/298</f>
        <v>0</v>
      </c>
      <c r="K49" s="320">
        <f>$K$13+Personal!D38</f>
        <v>0</v>
      </c>
      <c r="L49" s="237">
        <f>+K49/C49</f>
        <v>0</v>
      </c>
      <c r="M49" s="238" t="s">
        <v>41</v>
      </c>
      <c r="N49" s="238" t="s">
        <v>42</v>
      </c>
      <c r="O49" s="239">
        <f>+K49*G49</f>
        <v>0</v>
      </c>
    </row>
    <row r="50" spans="1:15" s="240" customFormat="1" x14ac:dyDescent="0.25">
      <c r="A50" s="764" t="s">
        <v>89</v>
      </c>
      <c r="B50" s="764"/>
      <c r="C50" s="241"/>
      <c r="D50" s="241"/>
      <c r="E50" s="241"/>
      <c r="F50" s="241"/>
      <c r="G50" s="241"/>
      <c r="H50" s="241"/>
      <c r="I50" s="320"/>
      <c r="J50" s="320"/>
      <c r="K50" s="241"/>
      <c r="L50" s="241"/>
      <c r="M50" s="234"/>
      <c r="N50" s="234"/>
      <c r="O50" s="234"/>
    </row>
    <row r="51" spans="1:15" s="240" customFormat="1" x14ac:dyDescent="0.25">
      <c r="A51" s="733" t="s">
        <v>72</v>
      </c>
      <c r="B51" s="733"/>
      <c r="C51" s="137">
        <v>6.1666699999999999</v>
      </c>
      <c r="D51" s="138">
        <v>0.66666666666666674</v>
      </c>
      <c r="E51" s="701"/>
      <c r="F51" s="139">
        <f>Dies!$C$55</f>
        <v>15</v>
      </c>
      <c r="G51" s="273">
        <f>+F51*E51*D51</f>
        <v>0</v>
      </c>
      <c r="H51" s="273">
        <f t="shared" ref="H51:H52" si="15">$H$12</f>
        <v>265</v>
      </c>
      <c r="I51" s="320">
        <f>G51/H51</f>
        <v>0</v>
      </c>
      <c r="J51" s="320">
        <f>G51/298</f>
        <v>0</v>
      </c>
      <c r="K51" s="320">
        <f>$K$12+Personal!D38</f>
        <v>0</v>
      </c>
      <c r="L51" s="237">
        <f>+K51/C51</f>
        <v>0</v>
      </c>
      <c r="M51" s="238" t="s">
        <v>90</v>
      </c>
      <c r="N51" s="238" t="s">
        <v>42</v>
      </c>
      <c r="O51" s="239">
        <f>+K51*G51</f>
        <v>0</v>
      </c>
    </row>
    <row r="52" spans="1:15" s="240" customFormat="1" x14ac:dyDescent="0.25">
      <c r="A52" s="733" t="s">
        <v>183</v>
      </c>
      <c r="B52" s="733"/>
      <c r="C52" s="137">
        <v>6.1666699999999999</v>
      </c>
      <c r="D52" s="138">
        <v>0.66666666666666674</v>
      </c>
      <c r="E52" s="701"/>
      <c r="F52" s="139">
        <f>Dies!$C$55</f>
        <v>15</v>
      </c>
      <c r="G52" s="273">
        <f>+F52*E52*D52</f>
        <v>0</v>
      </c>
      <c r="H52" s="273">
        <f t="shared" si="15"/>
        <v>265</v>
      </c>
      <c r="I52" s="320">
        <f>G52/H52</f>
        <v>0</v>
      </c>
      <c r="J52" s="320">
        <f>G52/298</f>
        <v>0</v>
      </c>
      <c r="K52" s="320">
        <f>$K$13+Personal!D38</f>
        <v>0</v>
      </c>
      <c r="L52" s="237">
        <f>+K52/C52</f>
        <v>0</v>
      </c>
      <c r="M52" s="238" t="s">
        <v>90</v>
      </c>
      <c r="N52" s="238" t="s">
        <v>42</v>
      </c>
      <c r="O52" s="239">
        <f>+K52*G52</f>
        <v>0</v>
      </c>
    </row>
    <row r="53" spans="1:15" s="240" customFormat="1" x14ac:dyDescent="0.25">
      <c r="A53" s="229" t="s">
        <v>326</v>
      </c>
      <c r="B53" s="242"/>
      <c r="C53" s="243"/>
      <c r="D53" s="244"/>
      <c r="E53" s="245"/>
      <c r="F53" s="245"/>
      <c r="G53" s="246"/>
      <c r="H53" s="246"/>
      <c r="I53" s="247"/>
      <c r="J53" s="247"/>
      <c r="K53" s="247"/>
      <c r="L53" s="319"/>
      <c r="M53" s="245"/>
      <c r="N53" s="245"/>
      <c r="O53" s="248"/>
    </row>
    <row r="54" spans="1:15" s="240" customFormat="1" x14ac:dyDescent="0.25">
      <c r="A54" s="782" t="s">
        <v>195</v>
      </c>
      <c r="B54" s="782"/>
      <c r="C54" s="137"/>
      <c r="D54" s="138"/>
      <c r="E54" s="139"/>
      <c r="F54" s="139"/>
      <c r="G54" s="273"/>
      <c r="H54" s="273"/>
      <c r="I54" s="320"/>
      <c r="J54" s="320"/>
      <c r="K54" s="320"/>
      <c r="L54" s="237"/>
      <c r="M54" s="238"/>
      <c r="N54" s="238"/>
      <c r="O54" s="239"/>
    </row>
    <row r="55" spans="1:15" s="240" customFormat="1" x14ac:dyDescent="0.25">
      <c r="A55" s="763" t="s">
        <v>88</v>
      </c>
      <c r="B55" s="763"/>
      <c r="C55" s="137"/>
      <c r="D55" s="138"/>
      <c r="E55" s="139"/>
      <c r="F55" s="139"/>
      <c r="G55" s="273"/>
      <c r="H55" s="273"/>
      <c r="I55" s="320"/>
      <c r="J55" s="320"/>
      <c r="K55" s="320"/>
      <c r="L55" s="237"/>
      <c r="M55" s="238"/>
      <c r="N55" s="238"/>
      <c r="O55" s="239"/>
    </row>
    <row r="56" spans="1:15" s="240" customFormat="1" x14ac:dyDescent="0.25">
      <c r="A56" s="733" t="s">
        <v>72</v>
      </c>
      <c r="B56" s="733"/>
      <c r="C56" s="137">
        <v>6.1666699999999999</v>
      </c>
      <c r="D56" s="138">
        <v>1</v>
      </c>
      <c r="E56" s="701"/>
      <c r="F56" s="139">
        <f>Dies!$C$58</f>
        <v>89</v>
      </c>
      <c r="G56" s="273">
        <f>+F56*E56*D56</f>
        <v>0</v>
      </c>
      <c r="H56" s="273">
        <f t="shared" ref="H56:H57" si="16">$H$12</f>
        <v>265</v>
      </c>
      <c r="I56" s="320">
        <f>G56/H56</f>
        <v>0</v>
      </c>
      <c r="J56" s="320">
        <f>G56/298</f>
        <v>0</v>
      </c>
      <c r="K56" s="320">
        <f>$K$12</f>
        <v>0</v>
      </c>
      <c r="L56" s="491">
        <f>+K56/C56</f>
        <v>0</v>
      </c>
      <c r="M56" s="238" t="s">
        <v>41</v>
      </c>
      <c r="N56" s="238" t="s">
        <v>42</v>
      </c>
      <c r="O56" s="239">
        <f>+K56*G56</f>
        <v>0</v>
      </c>
    </row>
    <row r="57" spans="1:15" s="240" customFormat="1" x14ac:dyDescent="0.25">
      <c r="A57" s="733" t="s">
        <v>183</v>
      </c>
      <c r="B57" s="733"/>
      <c r="C57" s="137">
        <v>6.1666699999999999</v>
      </c>
      <c r="D57" s="138">
        <v>1</v>
      </c>
      <c r="E57" s="701"/>
      <c r="F57" s="139">
        <f>Dies!$C$58</f>
        <v>89</v>
      </c>
      <c r="G57" s="273">
        <f>+F57*E57*D57</f>
        <v>0</v>
      </c>
      <c r="H57" s="273">
        <f t="shared" si="16"/>
        <v>265</v>
      </c>
      <c r="I57" s="320">
        <f t="shared" ref="I57" si="17">G57/H57</f>
        <v>0</v>
      </c>
      <c r="J57" s="320">
        <f>G57/298</f>
        <v>0</v>
      </c>
      <c r="K57" s="320">
        <f>$K$13</f>
        <v>0</v>
      </c>
      <c r="L57" s="491">
        <f>+K57/C57</f>
        <v>0</v>
      </c>
      <c r="M57" s="238" t="s">
        <v>41</v>
      </c>
      <c r="N57" s="238" t="s">
        <v>42</v>
      </c>
      <c r="O57" s="239">
        <f>+K57*G57</f>
        <v>0</v>
      </c>
    </row>
    <row r="58" spans="1:15" s="240" customFormat="1" x14ac:dyDescent="0.25">
      <c r="A58" s="764" t="s">
        <v>89</v>
      </c>
      <c r="B58" s="764"/>
      <c r="C58" s="241"/>
      <c r="D58" s="241"/>
      <c r="E58" s="241"/>
      <c r="F58" s="241"/>
      <c r="G58" s="241"/>
      <c r="H58" s="241"/>
      <c r="I58" s="320"/>
      <c r="J58" s="320"/>
      <c r="K58" s="241"/>
      <c r="L58" s="241"/>
      <c r="M58" s="234"/>
      <c r="N58" s="234"/>
      <c r="O58" s="234"/>
    </row>
    <row r="59" spans="1:15" s="240" customFormat="1" x14ac:dyDescent="0.25">
      <c r="A59" s="733" t="s">
        <v>72</v>
      </c>
      <c r="B59" s="733"/>
      <c r="C59" s="137">
        <v>6.1666699999999999</v>
      </c>
      <c r="D59" s="138">
        <v>1</v>
      </c>
      <c r="E59" s="701"/>
      <c r="F59" s="139">
        <f>Dies!$C$58</f>
        <v>89</v>
      </c>
      <c r="G59" s="273">
        <f>+F59*E59*D59</f>
        <v>0</v>
      </c>
      <c r="H59" s="273">
        <f t="shared" ref="H59:H60" si="18">$H$12</f>
        <v>265</v>
      </c>
      <c r="I59" s="320">
        <f t="shared" ref="I59:I60" si="19">G59/H59</f>
        <v>0</v>
      </c>
      <c r="J59" s="320">
        <f>G59/298</f>
        <v>0</v>
      </c>
      <c r="K59" s="320">
        <f>$K$12</f>
        <v>0</v>
      </c>
      <c r="L59" s="491">
        <f>+K59/C59</f>
        <v>0</v>
      </c>
      <c r="M59" s="238" t="s">
        <v>90</v>
      </c>
      <c r="N59" s="238" t="s">
        <v>42</v>
      </c>
      <c r="O59" s="239">
        <f>+K59*G59</f>
        <v>0</v>
      </c>
    </row>
    <row r="60" spans="1:15" s="240" customFormat="1" x14ac:dyDescent="0.25">
      <c r="A60" s="733" t="s">
        <v>183</v>
      </c>
      <c r="B60" s="733"/>
      <c r="C60" s="137">
        <v>6.1666699999999999</v>
      </c>
      <c r="D60" s="138">
        <v>1</v>
      </c>
      <c r="E60" s="701"/>
      <c r="F60" s="139">
        <f>Dies!$C$58</f>
        <v>89</v>
      </c>
      <c r="G60" s="273">
        <f>+F60*E60*D60</f>
        <v>0</v>
      </c>
      <c r="H60" s="273">
        <f t="shared" si="18"/>
        <v>265</v>
      </c>
      <c r="I60" s="320">
        <f t="shared" si="19"/>
        <v>0</v>
      </c>
      <c r="J60" s="320">
        <f>G60/298</f>
        <v>0</v>
      </c>
      <c r="K60" s="320">
        <f>$K$13</f>
        <v>0</v>
      </c>
      <c r="L60" s="491">
        <f>+K60/C60</f>
        <v>0</v>
      </c>
      <c r="M60" s="238" t="str">
        <f>+M59</f>
        <v>Tarda</v>
      </c>
      <c r="N60" s="238" t="s">
        <v>42</v>
      </c>
      <c r="O60" s="239">
        <f>+K60*G60</f>
        <v>0</v>
      </c>
    </row>
    <row r="61" spans="1:15" s="240" customFormat="1" x14ac:dyDescent="0.25">
      <c r="A61" s="762" t="s">
        <v>196</v>
      </c>
      <c r="B61" s="762"/>
      <c r="C61" s="241"/>
      <c r="D61" s="241"/>
      <c r="E61" s="241"/>
      <c r="F61" s="241"/>
      <c r="G61" s="241"/>
      <c r="H61" s="241"/>
      <c r="I61" s="320"/>
      <c r="J61" s="320"/>
      <c r="K61" s="241"/>
      <c r="L61" s="241"/>
      <c r="M61" s="234"/>
      <c r="N61" s="234"/>
      <c r="O61" s="234"/>
    </row>
    <row r="62" spans="1:15" s="240" customFormat="1" x14ac:dyDescent="0.25">
      <c r="A62" s="763" t="s">
        <v>88</v>
      </c>
      <c r="B62" s="763"/>
      <c r="C62" s="241"/>
      <c r="D62" s="241"/>
      <c r="E62" s="241"/>
      <c r="F62" s="241"/>
      <c r="G62" s="241"/>
      <c r="H62" s="241"/>
      <c r="I62" s="320"/>
      <c r="J62" s="320"/>
      <c r="K62" s="241"/>
      <c r="L62" s="241"/>
      <c r="M62" s="234"/>
      <c r="N62" s="234"/>
      <c r="O62" s="234"/>
    </row>
    <row r="63" spans="1:15" s="240" customFormat="1" x14ac:dyDescent="0.25">
      <c r="A63" s="733" t="s">
        <v>72</v>
      </c>
      <c r="B63" s="733"/>
      <c r="C63" s="137">
        <v>6.1666699999999999</v>
      </c>
      <c r="D63" s="7">
        <v>0.33333333333333337</v>
      </c>
      <c r="E63" s="701"/>
      <c r="F63" s="139">
        <f>Dies!$C$59</f>
        <v>17</v>
      </c>
      <c r="G63" s="273">
        <f>+F63*E63*D63</f>
        <v>0</v>
      </c>
      <c r="H63" s="273">
        <f t="shared" ref="H63:H64" si="20">$H$12</f>
        <v>265</v>
      </c>
      <c r="I63" s="320">
        <f t="shared" ref="I63:I64" si="21">G63/H63</f>
        <v>0</v>
      </c>
      <c r="J63" s="320">
        <f>G63/298</f>
        <v>0</v>
      </c>
      <c r="K63" s="320">
        <f>$K$12</f>
        <v>0</v>
      </c>
      <c r="L63" s="491">
        <f>+K63/C63</f>
        <v>0</v>
      </c>
      <c r="M63" s="238" t="s">
        <v>41</v>
      </c>
      <c r="N63" s="238" t="s">
        <v>42</v>
      </c>
      <c r="O63" s="239">
        <f>+K63*G63</f>
        <v>0</v>
      </c>
    </row>
    <row r="64" spans="1:15" s="240" customFormat="1" x14ac:dyDescent="0.25">
      <c r="A64" s="733" t="s">
        <v>183</v>
      </c>
      <c r="B64" s="733"/>
      <c r="C64" s="137">
        <v>6.1666699999999999</v>
      </c>
      <c r="D64" s="7">
        <v>0.33333333333333337</v>
      </c>
      <c r="E64" s="701"/>
      <c r="F64" s="139">
        <f>Dies!$C$59</f>
        <v>17</v>
      </c>
      <c r="G64" s="273">
        <f>+F64*E64*D64</f>
        <v>0</v>
      </c>
      <c r="H64" s="273">
        <f t="shared" si="20"/>
        <v>265</v>
      </c>
      <c r="I64" s="320">
        <f t="shared" si="21"/>
        <v>0</v>
      </c>
      <c r="J64" s="320">
        <f>G64/298</f>
        <v>0</v>
      </c>
      <c r="K64" s="320">
        <f>$K$13</f>
        <v>0</v>
      </c>
      <c r="L64" s="491">
        <f>+K64/C64</f>
        <v>0</v>
      </c>
      <c r="M64" s="238" t="s">
        <v>41</v>
      </c>
      <c r="N64" s="238" t="s">
        <v>42</v>
      </c>
      <c r="O64" s="239">
        <f>+K64*G64</f>
        <v>0</v>
      </c>
    </row>
    <row r="65" spans="1:15" s="240" customFormat="1" x14ac:dyDescent="0.25">
      <c r="A65" s="764" t="s">
        <v>89</v>
      </c>
      <c r="B65" s="764"/>
      <c r="C65" s="241"/>
      <c r="D65" s="241"/>
      <c r="E65" s="241"/>
      <c r="F65" s="241"/>
      <c r="G65" s="241"/>
      <c r="H65" s="241"/>
      <c r="I65" s="320"/>
      <c r="J65" s="320"/>
      <c r="K65" s="241"/>
      <c r="L65" s="241"/>
      <c r="M65" s="234"/>
      <c r="N65" s="234"/>
      <c r="O65" s="234"/>
    </row>
    <row r="66" spans="1:15" s="240" customFormat="1" x14ac:dyDescent="0.25">
      <c r="A66" s="733" t="s">
        <v>72</v>
      </c>
      <c r="B66" s="733"/>
      <c r="C66" s="137">
        <v>6.1666699999999999</v>
      </c>
      <c r="D66" s="7">
        <v>0.33333333333333337</v>
      </c>
      <c r="E66" s="701"/>
      <c r="F66" s="139">
        <f>Dies!$C$59</f>
        <v>17</v>
      </c>
      <c r="G66" s="273">
        <f>+F66*E66*D66</f>
        <v>0</v>
      </c>
      <c r="H66" s="273">
        <f t="shared" ref="H66:H67" si="22">$H$12</f>
        <v>265</v>
      </c>
      <c r="I66" s="320">
        <f t="shared" ref="I66:I67" si="23">G66/H66</f>
        <v>0</v>
      </c>
      <c r="J66" s="320">
        <f>G66/298</f>
        <v>0</v>
      </c>
      <c r="K66" s="320">
        <f>$K$12</f>
        <v>0</v>
      </c>
      <c r="L66" s="491">
        <f>+K66/C66</f>
        <v>0</v>
      </c>
      <c r="M66" s="238" t="s">
        <v>90</v>
      </c>
      <c r="N66" s="238" t="s">
        <v>42</v>
      </c>
      <c r="O66" s="239">
        <f>+K66*G66</f>
        <v>0</v>
      </c>
    </row>
    <row r="67" spans="1:15" s="240" customFormat="1" x14ac:dyDescent="0.25">
      <c r="A67" s="733" t="s">
        <v>183</v>
      </c>
      <c r="B67" s="733"/>
      <c r="C67" s="137">
        <v>6.1666699999999999</v>
      </c>
      <c r="D67" s="7">
        <v>0.33333333333333337</v>
      </c>
      <c r="E67" s="701"/>
      <c r="F67" s="139">
        <f>Dies!$C$59</f>
        <v>17</v>
      </c>
      <c r="G67" s="273">
        <f>+F67*E67*D67</f>
        <v>0</v>
      </c>
      <c r="H67" s="273">
        <f t="shared" si="22"/>
        <v>265</v>
      </c>
      <c r="I67" s="320">
        <f t="shared" si="23"/>
        <v>0</v>
      </c>
      <c r="J67" s="320">
        <f>G67/298</f>
        <v>0</v>
      </c>
      <c r="K67" s="320">
        <f>$K$13</f>
        <v>0</v>
      </c>
      <c r="L67" s="491">
        <f>+K67/C67</f>
        <v>0</v>
      </c>
      <c r="M67" s="238" t="str">
        <f>+M66</f>
        <v>Tarda</v>
      </c>
      <c r="N67" s="238" t="s">
        <v>42</v>
      </c>
      <c r="O67" s="239">
        <f>+K67*G67</f>
        <v>0</v>
      </c>
    </row>
    <row r="68" spans="1:15" s="240" customFormat="1" x14ac:dyDescent="0.25">
      <c r="A68" s="762" t="s">
        <v>197</v>
      </c>
      <c r="B68" s="762"/>
      <c r="C68" s="241"/>
      <c r="D68" s="241"/>
      <c r="E68" s="241"/>
      <c r="F68" s="241"/>
      <c r="G68" s="241"/>
      <c r="H68" s="241"/>
      <c r="I68" s="320"/>
      <c r="J68" s="320"/>
      <c r="K68" s="241"/>
      <c r="L68" s="241"/>
      <c r="M68" s="234"/>
      <c r="N68" s="234"/>
      <c r="O68" s="234"/>
    </row>
    <row r="69" spans="1:15" s="240" customFormat="1" x14ac:dyDescent="0.25">
      <c r="A69" s="763" t="s">
        <v>88</v>
      </c>
      <c r="B69" s="763"/>
      <c r="C69" s="241"/>
      <c r="D69" s="241"/>
      <c r="E69" s="241"/>
      <c r="F69" s="241"/>
      <c r="G69" s="241"/>
      <c r="H69" s="241"/>
      <c r="I69" s="320"/>
      <c r="J69" s="320"/>
      <c r="K69" s="241"/>
      <c r="L69" s="241"/>
      <c r="M69" s="234"/>
      <c r="N69" s="234"/>
      <c r="O69" s="234"/>
    </row>
    <row r="70" spans="1:15" s="240" customFormat="1" x14ac:dyDescent="0.25">
      <c r="A70" s="733" t="s">
        <v>72</v>
      </c>
      <c r="B70" s="733"/>
      <c r="C70" s="137">
        <v>6.1666699999999999</v>
      </c>
      <c r="D70" s="138">
        <v>0.66666666666666674</v>
      </c>
      <c r="E70" s="701"/>
      <c r="F70" s="139">
        <f>Dies!$C$60</f>
        <v>17</v>
      </c>
      <c r="G70" s="273">
        <f>+F70*E70*D70</f>
        <v>0</v>
      </c>
      <c r="H70" s="273">
        <f t="shared" ref="H70:H71" si="24">$H$12</f>
        <v>265</v>
      </c>
      <c r="I70" s="320">
        <f>G70/H70</f>
        <v>0</v>
      </c>
      <c r="J70" s="320">
        <f>G70/298</f>
        <v>0</v>
      </c>
      <c r="K70" s="320">
        <f>$K$12+Personal!D38</f>
        <v>0</v>
      </c>
      <c r="L70" s="491">
        <f>+K70/C70</f>
        <v>0</v>
      </c>
      <c r="M70" s="238" t="s">
        <v>41</v>
      </c>
      <c r="N70" s="238" t="s">
        <v>42</v>
      </c>
      <c r="O70" s="239">
        <f>+K70*G70</f>
        <v>0</v>
      </c>
    </row>
    <row r="71" spans="1:15" s="240" customFormat="1" x14ac:dyDescent="0.25">
      <c r="A71" s="733" t="s">
        <v>183</v>
      </c>
      <c r="B71" s="733"/>
      <c r="C71" s="137">
        <v>6.1666699999999999</v>
      </c>
      <c r="D71" s="138">
        <v>0.66666666666666674</v>
      </c>
      <c r="E71" s="701"/>
      <c r="F71" s="139">
        <f>Dies!$C$60</f>
        <v>17</v>
      </c>
      <c r="G71" s="273">
        <f>+F71*E71*D71</f>
        <v>0</v>
      </c>
      <c r="H71" s="273">
        <f t="shared" si="24"/>
        <v>265</v>
      </c>
      <c r="I71" s="320">
        <f>G71/H71</f>
        <v>0</v>
      </c>
      <c r="J71" s="320">
        <f>G71/298</f>
        <v>0</v>
      </c>
      <c r="K71" s="320">
        <f>$K$13+Personal!D38</f>
        <v>0</v>
      </c>
      <c r="L71" s="491">
        <f>+K71/C71</f>
        <v>0</v>
      </c>
      <c r="M71" s="238" t="s">
        <v>41</v>
      </c>
      <c r="N71" s="238" t="s">
        <v>42</v>
      </c>
      <c r="O71" s="239">
        <f>+K71*G71</f>
        <v>0</v>
      </c>
    </row>
    <row r="72" spans="1:15" s="240" customFormat="1" x14ac:dyDescent="0.25">
      <c r="A72" s="764" t="s">
        <v>89</v>
      </c>
      <c r="B72" s="764"/>
      <c r="C72" s="241"/>
      <c r="D72" s="241"/>
      <c r="E72" s="241"/>
      <c r="F72" s="241"/>
      <c r="G72" s="241"/>
      <c r="H72" s="241"/>
      <c r="I72" s="320"/>
      <c r="J72" s="320"/>
      <c r="K72" s="241"/>
      <c r="L72" s="241"/>
      <c r="M72" s="234"/>
      <c r="N72" s="234"/>
      <c r="O72" s="234"/>
    </row>
    <row r="73" spans="1:15" s="240" customFormat="1" x14ac:dyDescent="0.25">
      <c r="A73" s="733" t="s">
        <v>72</v>
      </c>
      <c r="B73" s="733"/>
      <c r="C73" s="137">
        <v>6.1666699999999999</v>
      </c>
      <c r="D73" s="138">
        <v>0.66666666666666674</v>
      </c>
      <c r="E73" s="701"/>
      <c r="F73" s="139">
        <f>Dies!$C$60</f>
        <v>17</v>
      </c>
      <c r="G73" s="273">
        <f>+F73*E73*D73</f>
        <v>0</v>
      </c>
      <c r="H73" s="273">
        <f t="shared" ref="H73:H74" si="25">$H$12</f>
        <v>265</v>
      </c>
      <c r="I73" s="320">
        <f>G73/H73</f>
        <v>0</v>
      </c>
      <c r="J73" s="320">
        <f>G73/298</f>
        <v>0</v>
      </c>
      <c r="K73" s="320">
        <f>$K$12+Personal!D38</f>
        <v>0</v>
      </c>
      <c r="L73" s="491">
        <f>+K73/C73</f>
        <v>0</v>
      </c>
      <c r="M73" s="238" t="s">
        <v>90</v>
      </c>
      <c r="N73" s="238" t="s">
        <v>42</v>
      </c>
      <c r="O73" s="239">
        <f>+K73*G73</f>
        <v>0</v>
      </c>
    </row>
    <row r="74" spans="1:15" s="240" customFormat="1" x14ac:dyDescent="0.25">
      <c r="A74" s="771" t="s">
        <v>183</v>
      </c>
      <c r="B74" s="771"/>
      <c r="C74" s="274">
        <v>6.1666699999999999</v>
      </c>
      <c r="D74" s="138">
        <v>0.66666666666666674</v>
      </c>
      <c r="E74" s="702"/>
      <c r="F74" s="641">
        <f>Dies!$C$60</f>
        <v>17</v>
      </c>
      <c r="G74" s="276">
        <f>+F74*E74*D74</f>
        <v>0</v>
      </c>
      <c r="H74" s="276">
        <f t="shared" si="25"/>
        <v>265</v>
      </c>
      <c r="I74" s="362">
        <f>G74/H74</f>
        <v>0</v>
      </c>
      <c r="J74" s="362">
        <f>G74/298</f>
        <v>0</v>
      </c>
      <c r="K74" s="362">
        <f>$K$13+Personal!D38</f>
        <v>0</v>
      </c>
      <c r="L74" s="642">
        <f>+K74/C74</f>
        <v>0</v>
      </c>
      <c r="M74" s="252" t="s">
        <v>90</v>
      </c>
      <c r="N74" s="252" t="s">
        <v>42</v>
      </c>
      <c r="O74" s="253">
        <f>+K74*G74</f>
        <v>0</v>
      </c>
    </row>
    <row r="75" spans="1:15" x14ac:dyDescent="0.25">
      <c r="A75" s="321"/>
      <c r="B75" s="322"/>
      <c r="C75" s="322"/>
      <c r="D75" s="322"/>
      <c r="E75" s="323" t="s">
        <v>45</v>
      </c>
      <c r="F75" s="324"/>
      <c r="G75" s="324">
        <f>SUM(G12:G74)</f>
        <v>0</v>
      </c>
      <c r="H75" s="324"/>
      <c r="I75" s="324">
        <f>SUM(I12:I74)</f>
        <v>0</v>
      </c>
      <c r="J75" s="324">
        <f>SUM(J12:J74)</f>
        <v>0</v>
      </c>
      <c r="K75" s="322"/>
      <c r="L75" s="322"/>
      <c r="M75" s="322"/>
      <c r="N75" s="322"/>
      <c r="O75" s="325">
        <f>SUM(O12:O74)</f>
        <v>0</v>
      </c>
    </row>
    <row r="76" spans="1:15" x14ac:dyDescent="0.25">
      <c r="A76" s="326"/>
      <c r="B76" s="327"/>
      <c r="C76" s="327"/>
      <c r="D76" s="327"/>
      <c r="E76" s="328"/>
      <c r="F76" s="327"/>
      <c r="G76" s="324">
        <f>G13+G16+G20+G23+G27+G30+G35+G38+G42+G45+G49+G52+G57+G60+G64+G67+G71+G74</f>
        <v>0</v>
      </c>
      <c r="H76" s="324" t="s">
        <v>248</v>
      </c>
      <c r="I76" s="324">
        <f>I13+I16+I20+I23+I27+I30+I35+I38+I42+I45+I49+I52+I57+I60+I64+I67+I71+I74</f>
        <v>0</v>
      </c>
      <c r="J76" s="324">
        <f>J13+J16+J20+J23+J27+J30+J35+J38+J42+J45+J49+J52+J57+J60+J64+J71+J74</f>
        <v>0</v>
      </c>
      <c r="K76" s="327"/>
      <c r="L76" s="327"/>
      <c r="M76" s="327"/>
      <c r="N76" s="327"/>
      <c r="O76" s="329"/>
    </row>
    <row r="77" spans="1:15" x14ac:dyDescent="0.25">
      <c r="A77" s="326"/>
      <c r="B77" s="327"/>
      <c r="C77" s="327"/>
      <c r="D77" s="327"/>
      <c r="E77" s="328"/>
      <c r="F77" s="258" t="s">
        <v>299</v>
      </c>
      <c r="G77" s="324">
        <f>G13+G16+G20+G23+G35+G38+G42+G45+G57+G60+G64+G67</f>
        <v>0</v>
      </c>
      <c r="H77" s="324"/>
      <c r="I77" s="324"/>
      <c r="J77" s="324"/>
      <c r="K77" s="327"/>
      <c r="L77" s="327"/>
      <c r="M77" s="327"/>
      <c r="N77" s="327"/>
      <c r="O77" s="329"/>
    </row>
    <row r="78" spans="1:15" x14ac:dyDescent="0.25">
      <c r="A78" s="326"/>
      <c r="B78" s="327"/>
      <c r="C78" s="327"/>
      <c r="D78" s="327"/>
      <c r="E78" s="328"/>
      <c r="F78" s="258" t="s">
        <v>300</v>
      </c>
      <c r="G78" s="324">
        <f>G27+G30+G49+G52+G71+G74</f>
        <v>0</v>
      </c>
      <c r="H78" s="324"/>
      <c r="I78" s="324"/>
      <c r="J78" s="324"/>
      <c r="K78" s="327"/>
      <c r="L78" s="327"/>
      <c r="M78" s="327"/>
      <c r="N78" s="327"/>
      <c r="O78" s="329"/>
    </row>
    <row r="79" spans="1:15" x14ac:dyDescent="0.25">
      <c r="A79" s="326"/>
      <c r="B79" s="327"/>
      <c r="C79" s="327"/>
      <c r="D79" s="327"/>
      <c r="E79" s="328"/>
      <c r="F79" s="330"/>
      <c r="G79" s="324">
        <f>G12+G15+G19+G22+G26+G29+G34+G37+G41+G44+G48+G51+G56+G59+G63+G66+G70+G73</f>
        <v>0</v>
      </c>
      <c r="H79" s="324" t="s">
        <v>72</v>
      </c>
      <c r="I79" s="324">
        <f>I12+I15+I19+I22+I26+I29+I34+I37+I41+I44+I48+I51+I56+I59+I63+I66+I70+I73</f>
        <v>0</v>
      </c>
      <c r="J79" s="324">
        <f>J12+J15+J19+J22+J26+J29+J34+J37+J41+J44+J48+J51+J56+J59+J63+J66+J70+J73</f>
        <v>0</v>
      </c>
      <c r="K79" s="327"/>
      <c r="L79" s="327"/>
      <c r="M79" s="327"/>
      <c r="N79" s="327"/>
      <c r="O79" s="329"/>
    </row>
    <row r="80" spans="1:15" x14ac:dyDescent="0.25">
      <c r="A80" s="326"/>
      <c r="B80" s="327"/>
      <c r="C80" s="327"/>
      <c r="D80" s="327"/>
      <c r="E80" s="328"/>
      <c r="F80" s="258" t="s">
        <v>301</v>
      </c>
      <c r="G80" s="324">
        <f>G12+G15+G19+G22+G34+G37+G41+G44+G56+G59+G63+G66</f>
        <v>0</v>
      </c>
      <c r="H80" s="324"/>
      <c r="I80" s="324"/>
      <c r="J80" s="324"/>
      <c r="K80" s="327"/>
      <c r="L80" s="327"/>
      <c r="M80" s="327"/>
      <c r="N80" s="327"/>
      <c r="O80" s="329"/>
    </row>
    <row r="81" spans="1:15" x14ac:dyDescent="0.25">
      <c r="A81" s="331"/>
      <c r="B81" s="330"/>
      <c r="C81" s="330"/>
      <c r="D81" s="330"/>
      <c r="E81" s="332"/>
      <c r="F81" s="258" t="s">
        <v>302</v>
      </c>
      <c r="G81" s="324">
        <f>G26+G29+G48+G51+G70+G73</f>
        <v>0</v>
      </c>
      <c r="H81" s="333"/>
      <c r="I81" s="333"/>
      <c r="J81" s="333"/>
      <c r="K81" s="330"/>
      <c r="L81" s="330"/>
      <c r="M81" s="330"/>
      <c r="N81" s="330"/>
      <c r="O81" s="334"/>
    </row>
    <row r="82" spans="1:15" s="153" customFormat="1" ht="26.25" x14ac:dyDescent="0.4">
      <c r="A82" s="335" t="s">
        <v>211</v>
      </c>
      <c r="B82" s="336"/>
      <c r="C82" s="336"/>
      <c r="D82" s="337"/>
      <c r="E82" s="337"/>
      <c r="F82" s="337"/>
      <c r="G82" s="337"/>
      <c r="H82" s="337"/>
      <c r="I82" s="337"/>
      <c r="J82" s="337"/>
      <c r="K82" s="338"/>
      <c r="L82" s="338"/>
      <c r="M82" s="338"/>
      <c r="N82" s="338"/>
      <c r="O82" s="339"/>
    </row>
    <row r="83" spans="1:15" x14ac:dyDescent="0.25">
      <c r="A83" s="779" t="s">
        <v>20</v>
      </c>
      <c r="B83" s="768"/>
      <c r="C83" s="264" t="s">
        <v>27</v>
      </c>
      <c r="D83" s="264" t="s">
        <v>28</v>
      </c>
      <c r="E83" s="264" t="s">
        <v>21</v>
      </c>
      <c r="F83" s="264" t="s">
        <v>29</v>
      </c>
      <c r="G83" s="264"/>
      <c r="H83" s="264"/>
      <c r="I83" s="264"/>
      <c r="J83" s="264"/>
      <c r="K83" s="264" t="s">
        <v>30</v>
      </c>
      <c r="L83" s="264" t="s">
        <v>23</v>
      </c>
      <c r="M83" s="264" t="s">
        <v>31</v>
      </c>
      <c r="N83" s="264"/>
      <c r="O83" s="265" t="s">
        <v>32</v>
      </c>
    </row>
    <row r="84" spans="1:15" x14ac:dyDescent="0.25">
      <c r="A84" s="775"/>
      <c r="B84" s="769"/>
      <c r="C84" s="266" t="s">
        <v>44</v>
      </c>
      <c r="D84" s="266" t="s">
        <v>5</v>
      </c>
      <c r="E84" s="266" t="s">
        <v>24</v>
      </c>
      <c r="F84" s="267" t="s">
        <v>34</v>
      </c>
      <c r="G84" s="266" t="s">
        <v>35</v>
      </c>
      <c r="H84" s="266"/>
      <c r="I84" s="266"/>
      <c r="J84" s="266"/>
      <c r="K84" s="266" t="s">
        <v>36</v>
      </c>
      <c r="L84" s="268" t="s">
        <v>37</v>
      </c>
      <c r="M84" s="266" t="s">
        <v>38</v>
      </c>
      <c r="N84" s="266"/>
      <c r="O84" s="269" t="s">
        <v>40</v>
      </c>
    </row>
    <row r="85" spans="1:15" x14ac:dyDescent="0.25">
      <c r="A85" s="270" t="s">
        <v>198</v>
      </c>
      <c r="B85" s="340"/>
      <c r="C85" s="271"/>
      <c r="D85" s="271"/>
      <c r="E85" s="271"/>
      <c r="F85" s="272"/>
      <c r="G85" s="271"/>
      <c r="H85" s="271"/>
      <c r="I85" s="271"/>
      <c r="J85" s="271"/>
      <c r="K85" s="271"/>
      <c r="L85" s="341"/>
      <c r="M85" s="271"/>
      <c r="N85" s="271"/>
      <c r="O85" s="271"/>
    </row>
    <row r="86" spans="1:15" x14ac:dyDescent="0.25">
      <c r="A86" s="782" t="s">
        <v>195</v>
      </c>
      <c r="B86" s="782"/>
      <c r="C86" s="342"/>
      <c r="D86" s="342"/>
      <c r="E86" s="342"/>
      <c r="F86" s="343"/>
      <c r="G86" s="342"/>
      <c r="H86" s="342"/>
      <c r="I86" s="342"/>
      <c r="J86" s="342"/>
      <c r="K86" s="342"/>
      <c r="L86" s="344"/>
      <c r="M86" s="342"/>
      <c r="N86" s="342"/>
      <c r="O86" s="342"/>
    </row>
    <row r="87" spans="1:15" x14ac:dyDescent="0.25">
      <c r="A87" s="763" t="s">
        <v>88</v>
      </c>
      <c r="B87" s="763"/>
      <c r="C87" s="342"/>
      <c r="D87" s="342"/>
      <c r="E87" s="342"/>
      <c r="F87" s="343"/>
      <c r="G87" s="342"/>
      <c r="H87" s="342"/>
      <c r="I87" s="342"/>
      <c r="J87" s="342"/>
      <c r="K87" s="342"/>
      <c r="L87" s="344"/>
      <c r="M87" s="342"/>
      <c r="N87" s="342"/>
      <c r="O87" s="342"/>
    </row>
    <row r="88" spans="1:15" x14ac:dyDescent="0.25">
      <c r="A88" s="733" t="s">
        <v>64</v>
      </c>
      <c r="B88" s="733"/>
      <c r="C88" s="137">
        <v>6.1666699999999999</v>
      </c>
      <c r="D88" s="138">
        <v>1</v>
      </c>
      <c r="E88" s="139">
        <f>$E$12</f>
        <v>0</v>
      </c>
      <c r="F88" s="139">
        <f>Dies!$C$48</f>
        <v>95</v>
      </c>
      <c r="G88" s="273">
        <f>+D88*E88*F88</f>
        <v>0</v>
      </c>
      <c r="H88" s="273"/>
      <c r="I88" s="273"/>
      <c r="J88" s="273"/>
      <c r="K88" s="320">
        <f>'Seguro+combustible+reparacions'!F20</f>
        <v>0</v>
      </c>
      <c r="L88" s="237">
        <f>+K88/C88</f>
        <v>0</v>
      </c>
      <c r="M88" s="238" t="s">
        <v>41</v>
      </c>
      <c r="N88" s="238"/>
      <c r="O88" s="239">
        <f>+K88*G88</f>
        <v>0</v>
      </c>
    </row>
    <row r="89" spans="1:15" x14ac:dyDescent="0.25">
      <c r="A89" s="733" t="s">
        <v>99</v>
      </c>
      <c r="B89" s="733"/>
      <c r="C89" s="137">
        <v>6.1666699999999999</v>
      </c>
      <c r="D89" s="138">
        <v>1</v>
      </c>
      <c r="E89" s="139">
        <f>$E$13</f>
        <v>0</v>
      </c>
      <c r="F89" s="139">
        <f>Dies!$C$48</f>
        <v>95</v>
      </c>
      <c r="G89" s="273">
        <f>+D89*E89*F89</f>
        <v>0</v>
      </c>
      <c r="H89" s="273"/>
      <c r="I89" s="273"/>
      <c r="J89" s="273"/>
      <c r="K89" s="320">
        <f>'Seguro+combustible+reparacions'!F5</f>
        <v>0</v>
      </c>
      <c r="L89" s="237">
        <f>+K89/C89</f>
        <v>0</v>
      </c>
      <c r="M89" s="238" t="s">
        <v>41</v>
      </c>
      <c r="N89" s="238"/>
      <c r="O89" s="239">
        <f>+K89*G89</f>
        <v>0</v>
      </c>
    </row>
    <row r="90" spans="1:15" x14ac:dyDescent="0.25">
      <c r="A90" s="764" t="s">
        <v>89</v>
      </c>
      <c r="B90" s="764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34"/>
      <c r="N90" s="234"/>
      <c r="O90" s="234"/>
    </row>
    <row r="91" spans="1:15" x14ac:dyDescent="0.25">
      <c r="A91" s="733" t="s">
        <v>64</v>
      </c>
      <c r="B91" s="733"/>
      <c r="C91" s="137">
        <v>6.1666699999999999</v>
      </c>
      <c r="D91" s="138">
        <v>1</v>
      </c>
      <c r="E91" s="139">
        <f>$E$15</f>
        <v>0</v>
      </c>
      <c r="F91" s="139">
        <f>Dies!$C$48</f>
        <v>95</v>
      </c>
      <c r="G91" s="273">
        <f>+D91*E91*F91</f>
        <v>0</v>
      </c>
      <c r="H91" s="273"/>
      <c r="I91" s="273"/>
      <c r="J91" s="273"/>
      <c r="K91" s="320">
        <f>$K$88</f>
        <v>0</v>
      </c>
      <c r="L91" s="237">
        <f>+K91/C91</f>
        <v>0</v>
      </c>
      <c r="M91" s="238" t="s">
        <v>90</v>
      </c>
      <c r="N91" s="238"/>
      <c r="O91" s="239">
        <f>+K91*G91</f>
        <v>0</v>
      </c>
    </row>
    <row r="92" spans="1:15" x14ac:dyDescent="0.25">
      <c r="A92" s="733" t="s">
        <v>99</v>
      </c>
      <c r="B92" s="733"/>
      <c r="C92" s="137">
        <v>6.1666699999999999</v>
      </c>
      <c r="D92" s="138">
        <v>1</v>
      </c>
      <c r="E92" s="139">
        <f>$E$16</f>
        <v>0</v>
      </c>
      <c r="F92" s="139">
        <f>Dies!$C$48</f>
        <v>95</v>
      </c>
      <c r="G92" s="273">
        <f>+D92*E92*F92</f>
        <v>0</v>
      </c>
      <c r="H92" s="273"/>
      <c r="I92" s="273"/>
      <c r="J92" s="273"/>
      <c r="K92" s="320">
        <f>$K$89</f>
        <v>0</v>
      </c>
      <c r="L92" s="237">
        <f>+K92/C92</f>
        <v>0</v>
      </c>
      <c r="M92" s="238" t="str">
        <f>+M91</f>
        <v>Tarda</v>
      </c>
      <c r="N92" s="238"/>
      <c r="O92" s="239">
        <f>+K92*G92</f>
        <v>0</v>
      </c>
    </row>
    <row r="93" spans="1:15" x14ac:dyDescent="0.25">
      <c r="A93" s="762" t="s">
        <v>196</v>
      </c>
      <c r="B93" s="762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34"/>
      <c r="N93" s="234"/>
      <c r="O93" s="234"/>
    </row>
    <row r="94" spans="1:15" x14ac:dyDescent="0.25">
      <c r="A94" s="763" t="s">
        <v>88</v>
      </c>
      <c r="B94" s="763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34"/>
      <c r="N94" s="234"/>
      <c r="O94" s="234"/>
    </row>
    <row r="95" spans="1:15" x14ac:dyDescent="0.25">
      <c r="A95" s="733" t="s">
        <v>64</v>
      </c>
      <c r="B95" s="733"/>
      <c r="C95" s="137">
        <v>6.1666699999999999</v>
      </c>
      <c r="D95" s="138">
        <v>1</v>
      </c>
      <c r="E95" s="139">
        <f>$E$19</f>
        <v>0</v>
      </c>
      <c r="F95" s="139">
        <f>Dies!$C$49</f>
        <v>20</v>
      </c>
      <c r="G95" s="273">
        <f>+D95*E95*F95</f>
        <v>0</v>
      </c>
      <c r="H95" s="273"/>
      <c r="I95" s="273"/>
      <c r="J95" s="273"/>
      <c r="K95" s="320">
        <f>$K$88</f>
        <v>0</v>
      </c>
      <c r="L95" s="237">
        <f>+K95/C95</f>
        <v>0</v>
      </c>
      <c r="M95" s="238" t="s">
        <v>41</v>
      </c>
      <c r="N95" s="238"/>
      <c r="O95" s="239">
        <f>+K95*G95</f>
        <v>0</v>
      </c>
    </row>
    <row r="96" spans="1:15" x14ac:dyDescent="0.25">
      <c r="A96" s="733" t="s">
        <v>99</v>
      </c>
      <c r="B96" s="733"/>
      <c r="C96" s="137">
        <v>6.1666699999999999</v>
      </c>
      <c r="D96" s="138">
        <v>1</v>
      </c>
      <c r="E96" s="139">
        <f>$E$20</f>
        <v>0</v>
      </c>
      <c r="F96" s="139">
        <f>Dies!$C$49</f>
        <v>20</v>
      </c>
      <c r="G96" s="273">
        <f>+D96*E96*F96</f>
        <v>0</v>
      </c>
      <c r="H96" s="273"/>
      <c r="I96" s="273"/>
      <c r="J96" s="273"/>
      <c r="K96" s="320">
        <f>$K$89</f>
        <v>0</v>
      </c>
      <c r="L96" s="237">
        <f>+K96/C96</f>
        <v>0</v>
      </c>
      <c r="M96" s="238" t="s">
        <v>41</v>
      </c>
      <c r="N96" s="238"/>
      <c r="O96" s="239">
        <f>+K96*G96</f>
        <v>0</v>
      </c>
    </row>
    <row r="97" spans="1:15" x14ac:dyDescent="0.25">
      <c r="A97" s="764" t="s">
        <v>89</v>
      </c>
      <c r="B97" s="764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34"/>
      <c r="N97" s="234"/>
      <c r="O97" s="234"/>
    </row>
    <row r="98" spans="1:15" x14ac:dyDescent="0.25">
      <c r="A98" s="733" t="s">
        <v>64</v>
      </c>
      <c r="B98" s="733"/>
      <c r="C98" s="137">
        <v>6.1666699999999999</v>
      </c>
      <c r="D98" s="138">
        <v>1</v>
      </c>
      <c r="E98" s="139">
        <f>$E$22</f>
        <v>0</v>
      </c>
      <c r="F98" s="139">
        <f>Dies!$C$49</f>
        <v>20</v>
      </c>
      <c r="G98" s="273">
        <f>+D98*E98*F98</f>
        <v>0</v>
      </c>
      <c r="H98" s="273"/>
      <c r="I98" s="273"/>
      <c r="J98" s="273"/>
      <c r="K98" s="320">
        <f>K95</f>
        <v>0</v>
      </c>
      <c r="L98" s="237">
        <f>+K98/C98</f>
        <v>0</v>
      </c>
      <c r="M98" s="238" t="s">
        <v>90</v>
      </c>
      <c r="N98" s="238"/>
      <c r="O98" s="239">
        <f>+K98*G98</f>
        <v>0</v>
      </c>
    </row>
    <row r="99" spans="1:15" x14ac:dyDescent="0.25">
      <c r="A99" s="733" t="s">
        <v>99</v>
      </c>
      <c r="B99" s="733"/>
      <c r="C99" s="137">
        <v>6.1666699999999999</v>
      </c>
      <c r="D99" s="138">
        <v>1</v>
      </c>
      <c r="E99" s="139">
        <f>$E$23</f>
        <v>0</v>
      </c>
      <c r="F99" s="139">
        <f>Dies!$C$49</f>
        <v>20</v>
      </c>
      <c r="G99" s="273">
        <f>+D99*E99*F99</f>
        <v>0</v>
      </c>
      <c r="H99" s="273"/>
      <c r="I99" s="273"/>
      <c r="J99" s="273"/>
      <c r="K99" s="320">
        <f>$K$89</f>
        <v>0</v>
      </c>
      <c r="L99" s="237">
        <f>+K99/C99</f>
        <v>0</v>
      </c>
      <c r="M99" s="238" t="str">
        <f>+M98</f>
        <v>Tarda</v>
      </c>
      <c r="N99" s="238"/>
      <c r="O99" s="239">
        <f>+K99*G99</f>
        <v>0</v>
      </c>
    </row>
    <row r="100" spans="1:15" x14ac:dyDescent="0.25">
      <c r="A100" s="762" t="s">
        <v>197</v>
      </c>
      <c r="B100" s="762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34"/>
      <c r="N100" s="234"/>
      <c r="O100" s="234"/>
    </row>
    <row r="101" spans="1:15" x14ac:dyDescent="0.25">
      <c r="A101" s="763" t="s">
        <v>88</v>
      </c>
      <c r="B101" s="763"/>
      <c r="C101" s="345"/>
      <c r="D101" s="345"/>
      <c r="E101" s="653"/>
      <c r="F101" s="653"/>
      <c r="G101" s="653"/>
      <c r="H101" s="653"/>
      <c r="I101" s="653"/>
      <c r="J101" s="653"/>
      <c r="K101" s="653"/>
      <c r="L101" s="345"/>
      <c r="M101" s="234"/>
      <c r="N101" s="345"/>
      <c r="O101" s="345"/>
    </row>
    <row r="102" spans="1:15" x14ac:dyDescent="0.25">
      <c r="A102" s="733" t="s">
        <v>64</v>
      </c>
      <c r="B102" s="733"/>
      <c r="C102" s="137">
        <v>6.1666699999999999</v>
      </c>
      <c r="D102" s="138">
        <v>1</v>
      </c>
      <c r="E102" s="139">
        <f>$E$26</f>
        <v>0</v>
      </c>
      <c r="F102" s="139">
        <f>Dies!$C$50</f>
        <v>20</v>
      </c>
      <c r="G102" s="273">
        <f>+D102*E102*F102</f>
        <v>0</v>
      </c>
      <c r="H102" s="273"/>
      <c r="I102" s="273"/>
      <c r="J102" s="273"/>
      <c r="K102" s="320">
        <f>$K$88</f>
        <v>0</v>
      </c>
      <c r="L102" s="237">
        <f>+K102/C102</f>
        <v>0</v>
      </c>
      <c r="M102" s="238" t="s">
        <v>41</v>
      </c>
      <c r="N102" s="238"/>
      <c r="O102" s="239">
        <f>+K102*G102</f>
        <v>0</v>
      </c>
    </row>
    <row r="103" spans="1:15" x14ac:dyDescent="0.25">
      <c r="A103" s="733" t="s">
        <v>99</v>
      </c>
      <c r="B103" s="733"/>
      <c r="C103" s="137">
        <v>6.1666699999999999</v>
      </c>
      <c r="D103" s="138">
        <v>1</v>
      </c>
      <c r="E103" s="139">
        <f>$E$27</f>
        <v>0</v>
      </c>
      <c r="F103" s="139">
        <f>Dies!$C$50</f>
        <v>20</v>
      </c>
      <c r="G103" s="273">
        <f>+D103*E103*F103</f>
        <v>0</v>
      </c>
      <c r="H103" s="273"/>
      <c r="I103" s="273"/>
      <c r="J103" s="273"/>
      <c r="K103" s="320">
        <f>$K$89</f>
        <v>0</v>
      </c>
      <c r="L103" s="237">
        <f>+K103/C103</f>
        <v>0</v>
      </c>
      <c r="M103" s="238" t="s">
        <v>41</v>
      </c>
      <c r="N103" s="238"/>
      <c r="O103" s="239">
        <f>+K103*G103</f>
        <v>0</v>
      </c>
    </row>
    <row r="104" spans="1:15" x14ac:dyDescent="0.25">
      <c r="A104" s="764" t="s">
        <v>89</v>
      </c>
      <c r="B104" s="764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34"/>
      <c r="N104" s="234"/>
      <c r="O104" s="234"/>
    </row>
    <row r="105" spans="1:15" x14ac:dyDescent="0.25">
      <c r="A105" s="733" t="s">
        <v>64</v>
      </c>
      <c r="B105" s="733"/>
      <c r="C105" s="137">
        <v>6.1666699999999999</v>
      </c>
      <c r="D105" s="138">
        <v>1</v>
      </c>
      <c r="E105" s="139">
        <f>$E$29</f>
        <v>0</v>
      </c>
      <c r="F105" s="139">
        <f>Dies!$C$50</f>
        <v>20</v>
      </c>
      <c r="G105" s="273">
        <f>+D105*E105*F105</f>
        <v>0</v>
      </c>
      <c r="H105" s="273"/>
      <c r="I105" s="273"/>
      <c r="J105" s="273"/>
      <c r="K105" s="320">
        <f>$K$88</f>
        <v>0</v>
      </c>
      <c r="L105" s="237">
        <f>+K105/C105</f>
        <v>0</v>
      </c>
      <c r="M105" s="238" t="s">
        <v>90</v>
      </c>
      <c r="N105" s="238"/>
      <c r="O105" s="239">
        <f>+K105*G105</f>
        <v>0</v>
      </c>
    </row>
    <row r="106" spans="1:15" x14ac:dyDescent="0.25">
      <c r="A106" s="733" t="s">
        <v>99</v>
      </c>
      <c r="B106" s="733"/>
      <c r="C106" s="137">
        <v>6.1666699999999999</v>
      </c>
      <c r="D106" s="138">
        <v>1</v>
      </c>
      <c r="E106" s="139">
        <f>$E$30</f>
        <v>0</v>
      </c>
      <c r="F106" s="139">
        <f>Dies!$C$50</f>
        <v>20</v>
      </c>
      <c r="G106" s="273">
        <f>+D106*E106*F106</f>
        <v>0</v>
      </c>
      <c r="H106" s="273"/>
      <c r="I106" s="273"/>
      <c r="J106" s="273"/>
      <c r="K106" s="320">
        <f>$K$89</f>
        <v>0</v>
      </c>
      <c r="L106" s="237">
        <f>+K106/C106</f>
        <v>0</v>
      </c>
      <c r="M106" s="238" t="s">
        <v>90</v>
      </c>
      <c r="N106" s="238"/>
      <c r="O106" s="239">
        <f>+K106*G106</f>
        <v>0</v>
      </c>
    </row>
    <row r="107" spans="1:15" x14ac:dyDescent="0.25">
      <c r="A107" s="229" t="s">
        <v>199</v>
      </c>
      <c r="B107" s="242"/>
      <c r="C107" s="346"/>
      <c r="D107" s="346"/>
      <c r="E107" s="346"/>
      <c r="F107" s="346"/>
      <c r="G107" s="346"/>
      <c r="H107" s="346"/>
      <c r="I107" s="346"/>
      <c r="J107" s="346"/>
      <c r="K107" s="346"/>
      <c r="L107" s="346"/>
      <c r="M107" s="346"/>
      <c r="N107" s="346"/>
      <c r="O107" s="346"/>
    </row>
    <row r="108" spans="1:15" x14ac:dyDescent="0.25">
      <c r="A108" s="782" t="s">
        <v>195</v>
      </c>
      <c r="B108" s="782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34"/>
      <c r="N108" s="234"/>
      <c r="O108" s="234"/>
    </row>
    <row r="109" spans="1:15" x14ac:dyDescent="0.25">
      <c r="A109" s="763" t="s">
        <v>88</v>
      </c>
      <c r="B109" s="763"/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</row>
    <row r="110" spans="1:15" x14ac:dyDescent="0.25">
      <c r="A110" s="733" t="s">
        <v>64</v>
      </c>
      <c r="B110" s="733"/>
      <c r="C110" s="137">
        <v>6.1666699999999999</v>
      </c>
      <c r="D110" s="138">
        <v>1</v>
      </c>
      <c r="E110" s="139">
        <f>$E$34</f>
        <v>0</v>
      </c>
      <c r="F110" s="139">
        <f>Dies!$C$53</f>
        <v>77</v>
      </c>
      <c r="G110" s="273">
        <f>+D110*E110*F110</f>
        <v>0</v>
      </c>
      <c r="H110" s="273"/>
      <c r="I110" s="273"/>
      <c r="J110" s="273"/>
      <c r="K110" s="320">
        <f>$K$88</f>
        <v>0</v>
      </c>
      <c r="L110" s="237">
        <f>+K110/C110</f>
        <v>0</v>
      </c>
      <c r="M110" s="238" t="s">
        <v>41</v>
      </c>
      <c r="N110" s="238"/>
      <c r="O110" s="239">
        <f>+K110*G110</f>
        <v>0</v>
      </c>
    </row>
    <row r="111" spans="1:15" x14ac:dyDescent="0.25">
      <c r="A111" s="733" t="s">
        <v>99</v>
      </c>
      <c r="B111" s="733"/>
      <c r="C111" s="137">
        <v>6.1666699999999999</v>
      </c>
      <c r="D111" s="138">
        <v>1</v>
      </c>
      <c r="E111" s="139">
        <f>$E$35</f>
        <v>0</v>
      </c>
      <c r="F111" s="139">
        <f>Dies!$C$53</f>
        <v>77</v>
      </c>
      <c r="G111" s="273">
        <f>+D111*E111*F111</f>
        <v>0</v>
      </c>
      <c r="H111" s="273"/>
      <c r="I111" s="273"/>
      <c r="J111" s="273"/>
      <c r="K111" s="320">
        <f>$K$89</f>
        <v>0</v>
      </c>
      <c r="L111" s="237">
        <f>+K111/C111</f>
        <v>0</v>
      </c>
      <c r="M111" s="238" t="s">
        <v>41</v>
      </c>
      <c r="N111" s="238"/>
      <c r="O111" s="239">
        <f>+K111*G111</f>
        <v>0</v>
      </c>
    </row>
    <row r="112" spans="1:15" x14ac:dyDescent="0.25">
      <c r="A112" s="764" t="s">
        <v>89</v>
      </c>
      <c r="B112" s="764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34"/>
      <c r="N112" s="234"/>
      <c r="O112" s="234"/>
    </row>
    <row r="113" spans="1:15" x14ac:dyDescent="0.25">
      <c r="A113" s="733" t="s">
        <v>64</v>
      </c>
      <c r="B113" s="733"/>
      <c r="C113" s="137">
        <v>6.1666699999999999</v>
      </c>
      <c r="D113" s="138">
        <v>1</v>
      </c>
      <c r="E113" s="139">
        <f>$E$37</f>
        <v>0</v>
      </c>
      <c r="F113" s="139">
        <f>Dies!$C$53</f>
        <v>77</v>
      </c>
      <c r="G113" s="273">
        <f>+D113*E113*F113</f>
        <v>0</v>
      </c>
      <c r="H113" s="273"/>
      <c r="I113" s="273"/>
      <c r="J113" s="273"/>
      <c r="K113" s="320">
        <f>$K$88</f>
        <v>0</v>
      </c>
      <c r="L113" s="237">
        <f>+K113/C113</f>
        <v>0</v>
      </c>
      <c r="M113" s="238" t="s">
        <v>90</v>
      </c>
      <c r="N113" s="238"/>
      <c r="O113" s="239">
        <f>+K113*G113</f>
        <v>0</v>
      </c>
    </row>
    <row r="114" spans="1:15" x14ac:dyDescent="0.25">
      <c r="A114" s="733" t="s">
        <v>99</v>
      </c>
      <c r="B114" s="733"/>
      <c r="C114" s="137">
        <v>6.1666699999999999</v>
      </c>
      <c r="D114" s="138">
        <v>1</v>
      </c>
      <c r="E114" s="139">
        <f>$E$38</f>
        <v>0</v>
      </c>
      <c r="F114" s="139">
        <f>Dies!$C$53</f>
        <v>77</v>
      </c>
      <c r="G114" s="273">
        <f>+D114*E114*F114</f>
        <v>0</v>
      </c>
      <c r="H114" s="273"/>
      <c r="I114" s="273"/>
      <c r="J114" s="273"/>
      <c r="K114" s="320">
        <f>$K$89</f>
        <v>0</v>
      </c>
      <c r="L114" s="237">
        <f>+K114/C114</f>
        <v>0</v>
      </c>
      <c r="M114" s="238" t="str">
        <f>+M113</f>
        <v>Tarda</v>
      </c>
      <c r="N114" s="238"/>
      <c r="O114" s="239">
        <f>+K114*G114</f>
        <v>0</v>
      </c>
    </row>
    <row r="115" spans="1:15" x14ac:dyDescent="0.25">
      <c r="A115" s="762" t="s">
        <v>196</v>
      </c>
      <c r="B115" s="762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34"/>
      <c r="N115" s="234"/>
      <c r="O115" s="234"/>
    </row>
    <row r="116" spans="1:15" x14ac:dyDescent="0.25">
      <c r="A116" s="763" t="s">
        <v>88</v>
      </c>
      <c r="B116" s="763"/>
      <c r="C116" s="345"/>
      <c r="D116" s="345"/>
      <c r="E116" s="653"/>
      <c r="F116" s="653"/>
      <c r="G116" s="653"/>
      <c r="H116" s="653"/>
      <c r="I116" s="653"/>
      <c r="J116" s="653"/>
      <c r="K116" s="653"/>
      <c r="L116" s="345"/>
      <c r="M116" s="234"/>
      <c r="N116" s="345"/>
      <c r="O116" s="345"/>
    </row>
    <row r="117" spans="1:15" x14ac:dyDescent="0.25">
      <c r="A117" s="733" t="s">
        <v>64</v>
      </c>
      <c r="B117" s="733"/>
      <c r="C117" s="137">
        <v>6.1666699999999999</v>
      </c>
      <c r="D117" s="138">
        <v>1</v>
      </c>
      <c r="E117" s="139">
        <f>$E$41</f>
        <v>0</v>
      </c>
      <c r="F117" s="139">
        <f>Dies!$C$54</f>
        <v>15</v>
      </c>
      <c r="G117" s="273">
        <f>+D117*E117*F117</f>
        <v>0</v>
      </c>
      <c r="H117" s="273"/>
      <c r="I117" s="273"/>
      <c r="J117" s="273"/>
      <c r="K117" s="320">
        <f>$K$88</f>
        <v>0</v>
      </c>
      <c r="L117" s="237">
        <f>+K117/C117</f>
        <v>0</v>
      </c>
      <c r="M117" s="238" t="s">
        <v>41</v>
      </c>
      <c r="N117" s="238"/>
      <c r="O117" s="239">
        <f>+K117*G117</f>
        <v>0</v>
      </c>
    </row>
    <row r="118" spans="1:15" x14ac:dyDescent="0.25">
      <c r="A118" s="733" t="s">
        <v>99</v>
      </c>
      <c r="B118" s="733"/>
      <c r="C118" s="137">
        <v>6.1666699999999999</v>
      </c>
      <c r="D118" s="138">
        <v>1</v>
      </c>
      <c r="E118" s="139">
        <f>$E$42</f>
        <v>0</v>
      </c>
      <c r="F118" s="139">
        <f>Dies!$C$54</f>
        <v>15</v>
      </c>
      <c r="G118" s="273">
        <f>+D118*E118*F118</f>
        <v>0</v>
      </c>
      <c r="H118" s="273"/>
      <c r="I118" s="273"/>
      <c r="J118" s="273"/>
      <c r="K118" s="320">
        <f>$K$89</f>
        <v>0</v>
      </c>
      <c r="L118" s="237">
        <f>+K118/C118</f>
        <v>0</v>
      </c>
      <c r="M118" s="238" t="s">
        <v>41</v>
      </c>
      <c r="N118" s="238"/>
      <c r="O118" s="239">
        <f>+K118*G118</f>
        <v>0</v>
      </c>
    </row>
    <row r="119" spans="1:15" x14ac:dyDescent="0.25">
      <c r="A119" s="764" t="s">
        <v>89</v>
      </c>
      <c r="B119" s="764"/>
      <c r="C119" s="345"/>
      <c r="D119" s="345"/>
      <c r="E119" s="653"/>
      <c r="F119" s="241"/>
      <c r="G119" s="653"/>
      <c r="H119" s="653"/>
      <c r="I119" s="653"/>
      <c r="J119" s="653"/>
      <c r="K119" s="653"/>
      <c r="L119" s="345"/>
      <c r="M119" s="234"/>
      <c r="N119" s="345"/>
      <c r="O119" s="345"/>
    </row>
    <row r="120" spans="1:15" x14ac:dyDescent="0.25">
      <c r="A120" s="733" t="s">
        <v>64</v>
      </c>
      <c r="B120" s="733"/>
      <c r="C120" s="137">
        <v>6.1666699999999999</v>
      </c>
      <c r="D120" s="138">
        <v>1</v>
      </c>
      <c r="E120" s="139">
        <f>$E$44</f>
        <v>0</v>
      </c>
      <c r="F120" s="139">
        <f>Dies!$C$54</f>
        <v>15</v>
      </c>
      <c r="G120" s="273">
        <f>+D120*E120*F120</f>
        <v>0</v>
      </c>
      <c r="H120" s="273"/>
      <c r="I120" s="273"/>
      <c r="J120" s="273"/>
      <c r="K120" s="320">
        <f>$K$88</f>
        <v>0</v>
      </c>
      <c r="L120" s="237">
        <f>+K120/C120</f>
        <v>0</v>
      </c>
      <c r="M120" s="238" t="s">
        <v>90</v>
      </c>
      <c r="N120" s="238"/>
      <c r="O120" s="239">
        <f>+K120*G120</f>
        <v>0</v>
      </c>
    </row>
    <row r="121" spans="1:15" x14ac:dyDescent="0.25">
      <c r="A121" s="733" t="s">
        <v>99</v>
      </c>
      <c r="B121" s="733"/>
      <c r="C121" s="137">
        <v>6.1666699999999999</v>
      </c>
      <c r="D121" s="138">
        <v>1</v>
      </c>
      <c r="E121" s="139">
        <f>$E$45</f>
        <v>0</v>
      </c>
      <c r="F121" s="139">
        <f>Dies!$C$54</f>
        <v>15</v>
      </c>
      <c r="G121" s="273">
        <f>+D121*E121*F121</f>
        <v>0</v>
      </c>
      <c r="H121" s="273"/>
      <c r="I121" s="273"/>
      <c r="J121" s="273"/>
      <c r="K121" s="320">
        <f>$K$89</f>
        <v>0</v>
      </c>
      <c r="L121" s="237">
        <f>+K121/C121</f>
        <v>0</v>
      </c>
      <c r="M121" s="238" t="str">
        <f>+M120</f>
        <v>Tarda</v>
      </c>
      <c r="N121" s="238"/>
      <c r="O121" s="239">
        <f>+K121*G121</f>
        <v>0</v>
      </c>
    </row>
    <row r="122" spans="1:15" x14ac:dyDescent="0.25">
      <c r="A122" s="762" t="s">
        <v>197</v>
      </c>
      <c r="B122" s="762"/>
      <c r="C122" s="342"/>
      <c r="D122" s="342"/>
      <c r="E122" s="342"/>
      <c r="F122" s="343"/>
      <c r="G122" s="342"/>
      <c r="H122" s="342"/>
      <c r="I122" s="342"/>
      <c r="J122" s="342"/>
      <c r="K122" s="342"/>
      <c r="L122" s="344"/>
      <c r="M122" s="234"/>
      <c r="N122" s="342"/>
      <c r="O122" s="342"/>
    </row>
    <row r="123" spans="1:15" x14ac:dyDescent="0.25">
      <c r="A123" s="763" t="s">
        <v>88</v>
      </c>
      <c r="B123" s="763"/>
      <c r="C123" s="342"/>
      <c r="D123" s="342"/>
      <c r="E123" s="342"/>
      <c r="F123" s="343"/>
      <c r="G123" s="342"/>
      <c r="H123" s="342"/>
      <c r="I123" s="342"/>
      <c r="J123" s="342"/>
      <c r="K123" s="342"/>
      <c r="L123" s="344"/>
      <c r="M123" s="234"/>
      <c r="N123" s="342"/>
      <c r="O123" s="342"/>
    </row>
    <row r="124" spans="1:15" x14ac:dyDescent="0.25">
      <c r="A124" s="733" t="s">
        <v>64</v>
      </c>
      <c r="B124" s="733"/>
      <c r="C124" s="137">
        <v>6.1666699999999999</v>
      </c>
      <c r="D124" s="138">
        <v>1</v>
      </c>
      <c r="E124" s="139">
        <f>$E$48</f>
        <v>0</v>
      </c>
      <c r="F124" s="139">
        <f>Dies!$C$55</f>
        <v>15</v>
      </c>
      <c r="G124" s="273">
        <f>+D124*E124*F124</f>
        <v>0</v>
      </c>
      <c r="H124" s="273"/>
      <c r="I124" s="273"/>
      <c r="J124" s="273"/>
      <c r="K124" s="320">
        <f>$K$88</f>
        <v>0</v>
      </c>
      <c r="L124" s="237">
        <f>+K124/C124</f>
        <v>0</v>
      </c>
      <c r="M124" s="238" t="s">
        <v>41</v>
      </c>
      <c r="N124" s="238"/>
      <c r="O124" s="239">
        <f>+K124*G124</f>
        <v>0</v>
      </c>
    </row>
    <row r="125" spans="1:15" x14ac:dyDescent="0.25">
      <c r="A125" s="733" t="s">
        <v>99</v>
      </c>
      <c r="B125" s="733"/>
      <c r="C125" s="137">
        <v>6.1666699999999999</v>
      </c>
      <c r="D125" s="138">
        <v>1</v>
      </c>
      <c r="E125" s="139">
        <f>$E$49</f>
        <v>0</v>
      </c>
      <c r="F125" s="139">
        <f>Dies!$C$55</f>
        <v>15</v>
      </c>
      <c r="G125" s="273">
        <f>+D125*E125*F125</f>
        <v>0</v>
      </c>
      <c r="H125" s="273"/>
      <c r="I125" s="273"/>
      <c r="J125" s="273"/>
      <c r="K125" s="320">
        <f>$K$89</f>
        <v>0</v>
      </c>
      <c r="L125" s="237">
        <f>+K125/C125</f>
        <v>0</v>
      </c>
      <c r="M125" s="238" t="s">
        <v>41</v>
      </c>
      <c r="N125" s="238"/>
      <c r="O125" s="239">
        <f>+K125*G125</f>
        <v>0</v>
      </c>
    </row>
    <row r="126" spans="1:15" x14ac:dyDescent="0.25">
      <c r="A126" s="764" t="s">
        <v>89</v>
      </c>
      <c r="B126" s="764"/>
      <c r="C126" s="342"/>
      <c r="D126" s="342"/>
      <c r="E126" s="342"/>
      <c r="F126" s="241"/>
      <c r="G126" s="342"/>
      <c r="H126" s="342"/>
      <c r="I126" s="342"/>
      <c r="J126" s="342"/>
      <c r="K126" s="342"/>
      <c r="L126" s="344"/>
      <c r="M126" s="234"/>
      <c r="N126" s="342"/>
      <c r="O126" s="342"/>
    </row>
    <row r="127" spans="1:15" x14ac:dyDescent="0.25">
      <c r="A127" s="733" t="s">
        <v>64</v>
      </c>
      <c r="B127" s="733"/>
      <c r="C127" s="137">
        <v>6.1666699999999999</v>
      </c>
      <c r="D127" s="138">
        <v>1</v>
      </c>
      <c r="E127" s="139">
        <f>$E$51</f>
        <v>0</v>
      </c>
      <c r="F127" s="139">
        <f>Dies!$C$55</f>
        <v>15</v>
      </c>
      <c r="G127" s="273">
        <f>+D127*E127*F127</f>
        <v>0</v>
      </c>
      <c r="H127" s="273"/>
      <c r="I127" s="273"/>
      <c r="J127" s="273"/>
      <c r="K127" s="320">
        <f>$K$88</f>
        <v>0</v>
      </c>
      <c r="L127" s="237">
        <f>+K127/C127</f>
        <v>0</v>
      </c>
      <c r="M127" s="238" t="s">
        <v>90</v>
      </c>
      <c r="N127" s="238"/>
      <c r="O127" s="239">
        <f>+K127*G127</f>
        <v>0</v>
      </c>
    </row>
    <row r="128" spans="1:15" x14ac:dyDescent="0.25">
      <c r="A128" s="733" t="s">
        <v>99</v>
      </c>
      <c r="B128" s="733"/>
      <c r="C128" s="137">
        <v>6.1666699999999999</v>
      </c>
      <c r="D128" s="138">
        <v>1</v>
      </c>
      <c r="E128" s="139">
        <f>$E$52</f>
        <v>0</v>
      </c>
      <c r="F128" s="139">
        <f>Dies!$C$55</f>
        <v>15</v>
      </c>
      <c r="G128" s="273">
        <f>+D128*E128*F128</f>
        <v>0</v>
      </c>
      <c r="H128" s="273"/>
      <c r="I128" s="273"/>
      <c r="J128" s="273"/>
      <c r="K128" s="320">
        <f>$K$89</f>
        <v>0</v>
      </c>
      <c r="L128" s="237">
        <f>+K128/C128</f>
        <v>0</v>
      </c>
      <c r="M128" s="238" t="s">
        <v>90</v>
      </c>
      <c r="N128" s="238"/>
      <c r="O128" s="239">
        <f>+K128*G128</f>
        <v>0</v>
      </c>
    </row>
    <row r="129" spans="1:15" x14ac:dyDescent="0.25">
      <c r="A129" s="229" t="s">
        <v>326</v>
      </c>
      <c r="B129" s="242"/>
      <c r="C129" s="347"/>
      <c r="D129" s="347"/>
      <c r="E129" s="347"/>
      <c r="F129" s="348"/>
      <c r="G129" s="347"/>
      <c r="H129" s="347"/>
      <c r="I129" s="347"/>
      <c r="J129" s="347"/>
      <c r="K129" s="347"/>
      <c r="L129" s="349"/>
      <c r="M129" s="347"/>
      <c r="N129" s="347"/>
      <c r="O129" s="347"/>
    </row>
    <row r="130" spans="1:15" x14ac:dyDescent="0.25">
      <c r="A130" s="782" t="s">
        <v>195</v>
      </c>
      <c r="B130" s="782"/>
      <c r="C130" s="342"/>
      <c r="D130" s="342"/>
      <c r="E130" s="342"/>
      <c r="F130" s="343"/>
      <c r="G130" s="342"/>
      <c r="H130" s="342"/>
      <c r="I130" s="342"/>
      <c r="J130" s="342"/>
      <c r="K130" s="342"/>
      <c r="L130" s="344"/>
      <c r="M130" s="342"/>
      <c r="N130" s="342"/>
      <c r="O130" s="342"/>
    </row>
    <row r="131" spans="1:15" x14ac:dyDescent="0.25">
      <c r="A131" s="763" t="s">
        <v>88</v>
      </c>
      <c r="B131" s="763"/>
      <c r="C131" s="342"/>
      <c r="D131" s="342"/>
      <c r="E131" s="342"/>
      <c r="F131" s="343"/>
      <c r="G131" s="342"/>
      <c r="H131" s="342"/>
      <c r="I131" s="342"/>
      <c r="J131" s="342"/>
      <c r="K131" s="342"/>
      <c r="L131" s="344"/>
      <c r="M131" s="342"/>
      <c r="N131" s="342"/>
      <c r="O131" s="342"/>
    </row>
    <row r="132" spans="1:15" x14ac:dyDescent="0.25">
      <c r="A132" s="733" t="s">
        <v>64</v>
      </c>
      <c r="B132" s="733"/>
      <c r="C132" s="137">
        <v>6.1666699999999999</v>
      </c>
      <c r="D132" s="138">
        <v>1</v>
      </c>
      <c r="E132" s="139">
        <f>$E$56</f>
        <v>0</v>
      </c>
      <c r="F132" s="139">
        <f>Dies!$C$58</f>
        <v>89</v>
      </c>
      <c r="G132" s="273">
        <f>+D132*E132*F132</f>
        <v>0</v>
      </c>
      <c r="H132" s="273"/>
      <c r="I132" s="273"/>
      <c r="J132" s="273"/>
      <c r="K132" s="320">
        <f>$K$88</f>
        <v>0</v>
      </c>
      <c r="L132" s="237">
        <f>+K132/C132</f>
        <v>0</v>
      </c>
      <c r="M132" s="238" t="s">
        <v>41</v>
      </c>
      <c r="N132" s="238"/>
      <c r="O132" s="239">
        <f>+K132*G132</f>
        <v>0</v>
      </c>
    </row>
    <row r="133" spans="1:15" x14ac:dyDescent="0.25">
      <c r="A133" s="733" t="s">
        <v>99</v>
      </c>
      <c r="B133" s="733"/>
      <c r="C133" s="137">
        <v>6.1666699999999999</v>
      </c>
      <c r="D133" s="138">
        <v>1</v>
      </c>
      <c r="E133" s="139">
        <f>$E$57</f>
        <v>0</v>
      </c>
      <c r="F133" s="139">
        <f>Dies!$C$58</f>
        <v>89</v>
      </c>
      <c r="G133" s="273">
        <f>+D133*E133*F133</f>
        <v>0</v>
      </c>
      <c r="H133" s="273"/>
      <c r="I133" s="273"/>
      <c r="J133" s="273"/>
      <c r="K133" s="320">
        <f>$K$89</f>
        <v>0</v>
      </c>
      <c r="L133" s="237">
        <f>+K133/C133</f>
        <v>0</v>
      </c>
      <c r="M133" s="238" t="s">
        <v>41</v>
      </c>
      <c r="N133" s="238"/>
      <c r="O133" s="239">
        <f>+K133*G133</f>
        <v>0</v>
      </c>
    </row>
    <row r="134" spans="1:15" x14ac:dyDescent="0.25">
      <c r="A134" s="764" t="s">
        <v>89</v>
      </c>
      <c r="B134" s="764"/>
      <c r="C134" s="342"/>
      <c r="D134" s="342"/>
      <c r="E134" s="342"/>
      <c r="F134" s="241"/>
      <c r="G134" s="342"/>
      <c r="H134" s="342"/>
      <c r="I134" s="342"/>
      <c r="J134" s="342"/>
      <c r="K134" s="342"/>
      <c r="L134" s="344"/>
      <c r="M134" s="234"/>
      <c r="N134" s="342"/>
      <c r="O134" s="342"/>
    </row>
    <row r="135" spans="1:15" x14ac:dyDescent="0.25">
      <c r="A135" s="733" t="s">
        <v>64</v>
      </c>
      <c r="B135" s="733"/>
      <c r="C135" s="137">
        <v>6.1666699999999999</v>
      </c>
      <c r="D135" s="138">
        <v>1</v>
      </c>
      <c r="E135" s="139">
        <f>$E$59</f>
        <v>0</v>
      </c>
      <c r="F135" s="139">
        <f>Dies!$C$58</f>
        <v>89</v>
      </c>
      <c r="G135" s="273">
        <f>+D135*E135*F135</f>
        <v>0</v>
      </c>
      <c r="H135" s="273"/>
      <c r="I135" s="273"/>
      <c r="J135" s="273"/>
      <c r="K135" s="320">
        <f>$K$88</f>
        <v>0</v>
      </c>
      <c r="L135" s="237">
        <f>+K135/C135</f>
        <v>0</v>
      </c>
      <c r="M135" s="238" t="s">
        <v>90</v>
      </c>
      <c r="N135" s="238"/>
      <c r="O135" s="239">
        <f>+K135*G135</f>
        <v>0</v>
      </c>
    </row>
    <row r="136" spans="1:15" x14ac:dyDescent="0.25">
      <c r="A136" s="733" t="s">
        <v>99</v>
      </c>
      <c r="B136" s="733"/>
      <c r="C136" s="137">
        <v>6.1666699999999999</v>
      </c>
      <c r="D136" s="138">
        <v>1</v>
      </c>
      <c r="E136" s="139">
        <f>$E$60</f>
        <v>0</v>
      </c>
      <c r="F136" s="139">
        <f>Dies!$C$58</f>
        <v>89</v>
      </c>
      <c r="G136" s="273">
        <f>+D136*E136*F136</f>
        <v>0</v>
      </c>
      <c r="H136" s="273"/>
      <c r="I136" s="273"/>
      <c r="J136" s="273"/>
      <c r="K136" s="320">
        <f>$K$89</f>
        <v>0</v>
      </c>
      <c r="L136" s="237">
        <f>+K136/C136</f>
        <v>0</v>
      </c>
      <c r="M136" s="238" t="str">
        <f>+M135</f>
        <v>Tarda</v>
      </c>
      <c r="N136" s="238"/>
      <c r="O136" s="239">
        <f>+K136*G136</f>
        <v>0</v>
      </c>
    </row>
    <row r="137" spans="1:15" x14ac:dyDescent="0.25">
      <c r="A137" s="762" t="s">
        <v>196</v>
      </c>
      <c r="B137" s="762"/>
      <c r="C137" s="342"/>
      <c r="D137" s="342"/>
      <c r="E137" s="342"/>
      <c r="F137" s="241"/>
      <c r="G137" s="342"/>
      <c r="H137" s="342"/>
      <c r="I137" s="342"/>
      <c r="J137" s="342"/>
      <c r="K137" s="342"/>
      <c r="L137" s="344"/>
      <c r="M137" s="234"/>
      <c r="N137" s="342"/>
      <c r="O137" s="342"/>
    </row>
    <row r="138" spans="1:15" x14ac:dyDescent="0.25">
      <c r="A138" s="763" t="s">
        <v>88</v>
      </c>
      <c r="B138" s="763"/>
      <c r="C138" s="342"/>
      <c r="D138" s="342"/>
      <c r="E138" s="342"/>
      <c r="F138" s="241"/>
      <c r="G138" s="342"/>
      <c r="H138" s="342"/>
      <c r="I138" s="342"/>
      <c r="J138" s="342"/>
      <c r="K138" s="342"/>
      <c r="L138" s="344"/>
      <c r="M138" s="234"/>
      <c r="N138" s="342"/>
      <c r="O138" s="342"/>
    </row>
    <row r="139" spans="1:15" x14ac:dyDescent="0.25">
      <c r="A139" s="733" t="s">
        <v>64</v>
      </c>
      <c r="B139" s="733"/>
      <c r="C139" s="137">
        <v>6.1666699999999999</v>
      </c>
      <c r="D139" s="138">
        <v>1</v>
      </c>
      <c r="E139" s="139">
        <f>$E$63</f>
        <v>0</v>
      </c>
      <c r="F139" s="139">
        <f>Dies!$C$59</f>
        <v>17</v>
      </c>
      <c r="G139" s="273">
        <f>+D139*E139*F139</f>
        <v>0</v>
      </c>
      <c r="H139" s="273"/>
      <c r="I139" s="273"/>
      <c r="J139" s="273"/>
      <c r="K139" s="320">
        <f>$K$88</f>
        <v>0</v>
      </c>
      <c r="L139" s="237">
        <f>+K139/C139</f>
        <v>0</v>
      </c>
      <c r="M139" s="238" t="s">
        <v>41</v>
      </c>
      <c r="N139" s="238"/>
      <c r="O139" s="239">
        <f>+K139*G139</f>
        <v>0</v>
      </c>
    </row>
    <row r="140" spans="1:15" x14ac:dyDescent="0.25">
      <c r="A140" s="733" t="s">
        <v>99</v>
      </c>
      <c r="B140" s="733"/>
      <c r="C140" s="137">
        <v>6.1666699999999999</v>
      </c>
      <c r="D140" s="138">
        <v>1</v>
      </c>
      <c r="E140" s="139">
        <f>$E$64</f>
        <v>0</v>
      </c>
      <c r="F140" s="139">
        <f>Dies!$C$59</f>
        <v>17</v>
      </c>
      <c r="G140" s="273">
        <f>+D140*E140*F140</f>
        <v>0</v>
      </c>
      <c r="H140" s="273"/>
      <c r="I140" s="273"/>
      <c r="J140" s="273"/>
      <c r="K140" s="320">
        <f>$K$89</f>
        <v>0</v>
      </c>
      <c r="L140" s="237">
        <f>+K140/C140</f>
        <v>0</v>
      </c>
      <c r="M140" s="238" t="s">
        <v>41</v>
      </c>
      <c r="N140" s="238"/>
      <c r="O140" s="239">
        <f>+K140*G140</f>
        <v>0</v>
      </c>
    </row>
    <row r="141" spans="1:15" x14ac:dyDescent="0.25">
      <c r="A141" s="764" t="s">
        <v>89</v>
      </c>
      <c r="B141" s="764"/>
      <c r="C141" s="342"/>
      <c r="D141" s="342"/>
      <c r="E141" s="342"/>
      <c r="F141" s="241"/>
      <c r="G141" s="342"/>
      <c r="H141" s="342"/>
      <c r="I141" s="342"/>
      <c r="J141" s="342"/>
      <c r="K141" s="342"/>
      <c r="L141" s="344"/>
      <c r="M141" s="234"/>
      <c r="N141" s="342"/>
      <c r="O141" s="342"/>
    </row>
    <row r="142" spans="1:15" x14ac:dyDescent="0.25">
      <c r="A142" s="733" t="s">
        <v>64</v>
      </c>
      <c r="B142" s="733"/>
      <c r="C142" s="137">
        <v>6.1666699999999999</v>
      </c>
      <c r="D142" s="138">
        <v>1</v>
      </c>
      <c r="E142" s="139">
        <f>$E$66</f>
        <v>0</v>
      </c>
      <c r="F142" s="139">
        <f>Dies!$C$59</f>
        <v>17</v>
      </c>
      <c r="G142" s="273">
        <f>+D142*E142*F142</f>
        <v>0</v>
      </c>
      <c r="H142" s="273"/>
      <c r="I142" s="273"/>
      <c r="J142" s="273"/>
      <c r="K142" s="320">
        <f>$K$88</f>
        <v>0</v>
      </c>
      <c r="L142" s="237">
        <f>+K142/C142</f>
        <v>0</v>
      </c>
      <c r="M142" s="238" t="s">
        <v>90</v>
      </c>
      <c r="N142" s="238"/>
      <c r="O142" s="239">
        <f>+K142*G142</f>
        <v>0</v>
      </c>
    </row>
    <row r="143" spans="1:15" x14ac:dyDescent="0.25">
      <c r="A143" s="733" t="s">
        <v>99</v>
      </c>
      <c r="B143" s="733"/>
      <c r="C143" s="137">
        <v>6.1666699999999999</v>
      </c>
      <c r="D143" s="138">
        <v>1</v>
      </c>
      <c r="E143" s="139">
        <f>$E$67</f>
        <v>0</v>
      </c>
      <c r="F143" s="139">
        <f>Dies!$C$59</f>
        <v>17</v>
      </c>
      <c r="G143" s="273">
        <f>+D143*E143*F143</f>
        <v>0</v>
      </c>
      <c r="H143" s="273"/>
      <c r="I143" s="273"/>
      <c r="J143" s="273"/>
      <c r="K143" s="320">
        <f>$K$89</f>
        <v>0</v>
      </c>
      <c r="L143" s="237">
        <f>+K143/C143</f>
        <v>0</v>
      </c>
      <c r="M143" s="238" t="str">
        <f>+M142</f>
        <v>Tarda</v>
      </c>
      <c r="N143" s="238"/>
      <c r="O143" s="239">
        <f>+K143*G143</f>
        <v>0</v>
      </c>
    </row>
    <row r="144" spans="1:15" x14ac:dyDescent="0.25">
      <c r="A144" s="762" t="s">
        <v>197</v>
      </c>
      <c r="B144" s="762"/>
      <c r="C144" s="342"/>
      <c r="D144" s="342"/>
      <c r="E144" s="342"/>
      <c r="F144" s="241"/>
      <c r="G144" s="342"/>
      <c r="H144" s="342"/>
      <c r="I144" s="342"/>
      <c r="J144" s="342"/>
      <c r="K144" s="342"/>
      <c r="L144" s="344"/>
      <c r="M144" s="234"/>
      <c r="N144" s="342"/>
      <c r="O144" s="342"/>
    </row>
    <row r="145" spans="1:15" x14ac:dyDescent="0.25">
      <c r="A145" s="763" t="s">
        <v>88</v>
      </c>
      <c r="B145" s="763"/>
      <c r="C145" s="342"/>
      <c r="D145" s="342"/>
      <c r="E145" s="342"/>
      <c r="F145" s="241"/>
      <c r="G145" s="342"/>
      <c r="H145" s="342"/>
      <c r="I145" s="342"/>
      <c r="J145" s="342"/>
      <c r="K145" s="342"/>
      <c r="L145" s="344"/>
      <c r="M145" s="234"/>
      <c r="N145" s="342"/>
      <c r="O145" s="342"/>
    </row>
    <row r="146" spans="1:15" x14ac:dyDescent="0.25">
      <c r="A146" s="733" t="s">
        <v>64</v>
      </c>
      <c r="B146" s="733"/>
      <c r="C146" s="137">
        <v>6.1666699999999999</v>
      </c>
      <c r="D146" s="138">
        <v>1</v>
      </c>
      <c r="E146" s="139">
        <f>$E$70</f>
        <v>0</v>
      </c>
      <c r="F146" s="139">
        <f>Dies!$C$60</f>
        <v>17</v>
      </c>
      <c r="G146" s="273">
        <f>+D146*E146*F146</f>
        <v>0</v>
      </c>
      <c r="H146" s="273"/>
      <c r="I146" s="273"/>
      <c r="J146" s="273"/>
      <c r="K146" s="320">
        <f>$K$88</f>
        <v>0</v>
      </c>
      <c r="L146" s="237">
        <f>+K146/C146</f>
        <v>0</v>
      </c>
      <c r="M146" s="238" t="s">
        <v>41</v>
      </c>
      <c r="N146" s="238"/>
      <c r="O146" s="239">
        <f>+K146*G146</f>
        <v>0</v>
      </c>
    </row>
    <row r="147" spans="1:15" x14ac:dyDescent="0.25">
      <c r="A147" s="733" t="s">
        <v>99</v>
      </c>
      <c r="B147" s="733"/>
      <c r="C147" s="137">
        <v>6.1666699999999999</v>
      </c>
      <c r="D147" s="138">
        <v>1</v>
      </c>
      <c r="E147" s="139">
        <f>$E$71</f>
        <v>0</v>
      </c>
      <c r="F147" s="139">
        <f>Dies!$C$60</f>
        <v>17</v>
      </c>
      <c r="G147" s="273">
        <f>+D147*E147*F147</f>
        <v>0</v>
      </c>
      <c r="H147" s="273"/>
      <c r="I147" s="273"/>
      <c r="J147" s="273"/>
      <c r="K147" s="320">
        <f>$K$89</f>
        <v>0</v>
      </c>
      <c r="L147" s="237">
        <f>+K147/C147</f>
        <v>0</v>
      </c>
      <c r="M147" s="238" t="s">
        <v>41</v>
      </c>
      <c r="N147" s="238"/>
      <c r="O147" s="239">
        <f>+K147*G147</f>
        <v>0</v>
      </c>
    </row>
    <row r="148" spans="1:15" x14ac:dyDescent="0.25">
      <c r="A148" s="764" t="s">
        <v>89</v>
      </c>
      <c r="B148" s="764"/>
      <c r="C148" s="342"/>
      <c r="D148" s="342"/>
      <c r="E148" s="342"/>
      <c r="F148" s="241"/>
      <c r="G148" s="342"/>
      <c r="H148" s="342"/>
      <c r="I148" s="342"/>
      <c r="J148" s="342"/>
      <c r="K148" s="342"/>
      <c r="L148" s="344"/>
      <c r="M148" s="234"/>
      <c r="N148" s="342"/>
      <c r="O148" s="342"/>
    </row>
    <row r="149" spans="1:15" x14ac:dyDescent="0.25">
      <c r="A149" s="733" t="s">
        <v>64</v>
      </c>
      <c r="B149" s="733"/>
      <c r="C149" s="137">
        <v>6.1666699999999999</v>
      </c>
      <c r="D149" s="138">
        <v>1</v>
      </c>
      <c r="E149" s="139">
        <f>$E$73</f>
        <v>0</v>
      </c>
      <c r="F149" s="139">
        <f>Dies!$C$60</f>
        <v>17</v>
      </c>
      <c r="G149" s="273">
        <f>+D149*E149*F149</f>
        <v>0</v>
      </c>
      <c r="H149" s="273"/>
      <c r="I149" s="273"/>
      <c r="J149" s="273"/>
      <c r="K149" s="320">
        <f>$K$88</f>
        <v>0</v>
      </c>
      <c r="L149" s="237">
        <f>+K149/C149</f>
        <v>0</v>
      </c>
      <c r="M149" s="238" t="s">
        <v>90</v>
      </c>
      <c r="N149" s="238"/>
      <c r="O149" s="239">
        <f>+K149*G149</f>
        <v>0</v>
      </c>
    </row>
    <row r="150" spans="1:15" x14ac:dyDescent="0.25">
      <c r="A150" s="771" t="s">
        <v>99</v>
      </c>
      <c r="B150" s="771"/>
      <c r="C150" s="274">
        <v>6.1666699999999999</v>
      </c>
      <c r="D150" s="275">
        <v>1</v>
      </c>
      <c r="E150" s="641">
        <f>$E$74</f>
        <v>0</v>
      </c>
      <c r="F150" s="641">
        <f>Dies!$C$60</f>
        <v>17</v>
      </c>
      <c r="G150" s="276">
        <f>+D150*E150*F150</f>
        <v>0</v>
      </c>
      <c r="H150" s="276"/>
      <c r="I150" s="276"/>
      <c r="J150" s="276"/>
      <c r="K150" s="362">
        <f>$K$89</f>
        <v>0</v>
      </c>
      <c r="L150" s="251">
        <f>+K150/C150</f>
        <v>0</v>
      </c>
      <c r="M150" s="238" t="s">
        <v>90</v>
      </c>
      <c r="N150" s="252"/>
      <c r="O150" s="253">
        <f>+K150*G150</f>
        <v>0</v>
      </c>
    </row>
    <row r="151" spans="1:15" x14ac:dyDescent="0.25">
      <c r="A151" s="321"/>
      <c r="B151" s="322"/>
      <c r="C151" s="322"/>
      <c r="D151" s="322"/>
      <c r="E151" s="350" t="s">
        <v>46</v>
      </c>
      <c r="F151" s="322"/>
      <c r="G151" s="322"/>
      <c r="H151" s="322"/>
      <c r="I151" s="322"/>
      <c r="J151" s="322"/>
      <c r="K151" s="322"/>
      <c r="L151" s="322"/>
      <c r="M151" s="322"/>
      <c r="N151" s="322"/>
      <c r="O151" s="325">
        <f>SUM(O88:O150)</f>
        <v>0</v>
      </c>
    </row>
    <row r="152" spans="1:15" s="153" customFormat="1" ht="26.25" x14ac:dyDescent="0.4">
      <c r="A152" s="259" t="s">
        <v>212</v>
      </c>
      <c r="B152" s="260"/>
      <c r="C152" s="260"/>
      <c r="D152" s="261"/>
      <c r="E152" s="261"/>
      <c r="F152" s="261"/>
      <c r="G152" s="261"/>
      <c r="H152" s="261"/>
      <c r="I152" s="261"/>
      <c r="J152" s="261"/>
      <c r="K152" s="262"/>
      <c r="L152" s="262"/>
      <c r="M152" s="262"/>
      <c r="N152" s="262"/>
      <c r="O152" s="277"/>
    </row>
    <row r="153" spans="1:15" x14ac:dyDescent="0.25">
      <c r="A153" s="779" t="s">
        <v>20</v>
      </c>
      <c r="B153" s="768"/>
      <c r="C153" s="264" t="s">
        <v>27</v>
      </c>
      <c r="D153" s="264" t="s">
        <v>28</v>
      </c>
      <c r="E153" s="264" t="s">
        <v>21</v>
      </c>
      <c r="F153" s="264" t="s">
        <v>29</v>
      </c>
      <c r="G153" s="264"/>
      <c r="H153" s="264"/>
      <c r="I153" s="264"/>
      <c r="J153" s="264"/>
      <c r="K153" s="264" t="s">
        <v>30</v>
      </c>
      <c r="L153" s="264"/>
      <c r="M153" s="264" t="s">
        <v>31</v>
      </c>
      <c r="N153" s="264"/>
      <c r="O153" s="351" t="s">
        <v>32</v>
      </c>
    </row>
    <row r="154" spans="1:15" x14ac:dyDescent="0.25">
      <c r="A154" s="775"/>
      <c r="B154" s="769"/>
      <c r="C154" s="266" t="s">
        <v>44</v>
      </c>
      <c r="D154" s="266" t="s">
        <v>5</v>
      </c>
      <c r="E154" s="266" t="s">
        <v>24</v>
      </c>
      <c r="F154" s="267" t="s">
        <v>34</v>
      </c>
      <c r="G154" s="266" t="s">
        <v>35</v>
      </c>
      <c r="H154" s="266"/>
      <c r="I154" s="266"/>
      <c r="J154" s="266"/>
      <c r="K154" s="266" t="s">
        <v>36</v>
      </c>
      <c r="L154" s="266"/>
      <c r="M154" s="266" t="s">
        <v>38</v>
      </c>
      <c r="N154" s="266"/>
      <c r="O154" s="352" t="s">
        <v>40</v>
      </c>
    </row>
    <row r="155" spans="1:15" s="153" customFormat="1" x14ac:dyDescent="0.25">
      <c r="A155" s="270" t="s">
        <v>198</v>
      </c>
      <c r="B155" s="340"/>
      <c r="C155" s="271"/>
      <c r="D155" s="271"/>
      <c r="E155" s="271"/>
      <c r="F155" s="272"/>
      <c r="G155" s="271"/>
      <c r="H155" s="271"/>
      <c r="I155" s="271"/>
      <c r="J155" s="271"/>
      <c r="K155" s="271"/>
      <c r="L155" s="341"/>
      <c r="M155" s="271"/>
      <c r="N155" s="271"/>
      <c r="O155" s="271"/>
    </row>
    <row r="156" spans="1:15" s="153" customFormat="1" x14ac:dyDescent="0.25">
      <c r="A156" s="782" t="s">
        <v>195</v>
      </c>
      <c r="B156" s="782"/>
      <c r="C156" s="342"/>
      <c r="D156" s="342"/>
      <c r="E156" s="342"/>
      <c r="F156" s="343"/>
      <c r="G156" s="342"/>
      <c r="H156" s="342"/>
      <c r="I156" s="342"/>
      <c r="J156" s="342"/>
      <c r="K156" s="342"/>
      <c r="L156" s="344"/>
      <c r="M156" s="342"/>
      <c r="N156" s="342"/>
      <c r="O156" s="342"/>
    </row>
    <row r="157" spans="1:15" s="153" customFormat="1" x14ac:dyDescent="0.25">
      <c r="A157" s="763" t="s">
        <v>88</v>
      </c>
      <c r="B157" s="763"/>
      <c r="C157" s="342"/>
      <c r="D157" s="342"/>
      <c r="E157" s="342"/>
      <c r="F157" s="343"/>
      <c r="G157" s="342"/>
      <c r="H157" s="342"/>
      <c r="I157" s="342"/>
      <c r="J157" s="342"/>
      <c r="K157" s="342"/>
      <c r="L157" s="344"/>
      <c r="M157" s="342"/>
      <c r="N157" s="342"/>
      <c r="O157" s="342"/>
    </row>
    <row r="158" spans="1:15" s="153" customFormat="1" x14ac:dyDescent="0.25">
      <c r="A158" s="733" t="s">
        <v>64</v>
      </c>
      <c r="B158" s="733"/>
      <c r="C158" s="137">
        <v>6.1666699999999999</v>
      </c>
      <c r="D158" s="138">
        <v>1</v>
      </c>
      <c r="E158" s="139">
        <f>$E$12</f>
        <v>0</v>
      </c>
      <c r="F158" s="139">
        <f>Dies!$C$48</f>
        <v>95</v>
      </c>
      <c r="G158" s="273">
        <f>+D158*E158*F158</f>
        <v>0</v>
      </c>
      <c r="H158" s="273"/>
      <c r="I158" s="273"/>
      <c r="J158" s="273"/>
      <c r="K158" s="320">
        <f>'Seguro+combustible+reparacions'!G20</f>
        <v>0</v>
      </c>
      <c r="L158" s="491">
        <f>+K158/C158</f>
        <v>0</v>
      </c>
      <c r="M158" s="139" t="s">
        <v>41</v>
      </c>
      <c r="N158" s="238"/>
      <c r="O158" s="239">
        <f>+K158*G158</f>
        <v>0</v>
      </c>
    </row>
    <row r="159" spans="1:15" s="153" customFormat="1" x14ac:dyDescent="0.25">
      <c r="A159" s="733" t="s">
        <v>99</v>
      </c>
      <c r="B159" s="733"/>
      <c r="C159" s="137">
        <v>6.1666699999999999</v>
      </c>
      <c r="D159" s="138">
        <v>1</v>
      </c>
      <c r="E159" s="139">
        <f>$E$13</f>
        <v>0</v>
      </c>
      <c r="F159" s="139">
        <f>Dies!$C$48</f>
        <v>95</v>
      </c>
      <c r="G159" s="273">
        <f>+D159*E159*F159</f>
        <v>0</v>
      </c>
      <c r="H159" s="273"/>
      <c r="I159" s="273"/>
      <c r="J159" s="273"/>
      <c r="K159" s="320">
        <f>'Seguro+combustible+reparacions'!G5</f>
        <v>0</v>
      </c>
      <c r="L159" s="491">
        <f>+K159/C159</f>
        <v>0</v>
      </c>
      <c r="M159" s="139" t="s">
        <v>41</v>
      </c>
      <c r="N159" s="238"/>
      <c r="O159" s="239">
        <f>+K159*G159</f>
        <v>0</v>
      </c>
    </row>
    <row r="160" spans="1:15" s="153" customFormat="1" x14ac:dyDescent="0.25">
      <c r="A160" s="764" t="s">
        <v>89</v>
      </c>
      <c r="B160" s="764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34"/>
      <c r="O160" s="234"/>
    </row>
    <row r="161" spans="1:15" s="153" customFormat="1" x14ac:dyDescent="0.25">
      <c r="A161" s="733" t="s">
        <v>64</v>
      </c>
      <c r="B161" s="733"/>
      <c r="C161" s="137">
        <v>6.1666699999999999</v>
      </c>
      <c r="D161" s="138">
        <v>1</v>
      </c>
      <c r="E161" s="139">
        <f>$E$15</f>
        <v>0</v>
      </c>
      <c r="F161" s="139">
        <f>Dies!$C$48</f>
        <v>95</v>
      </c>
      <c r="G161" s="273">
        <f>+D161*E161*F161</f>
        <v>0</v>
      </c>
      <c r="H161" s="273"/>
      <c r="I161" s="273"/>
      <c r="J161" s="273"/>
      <c r="K161" s="320">
        <f>$K$158</f>
        <v>0</v>
      </c>
      <c r="L161" s="491">
        <f>+K161/C161</f>
        <v>0</v>
      </c>
      <c r="M161" s="139" t="s">
        <v>90</v>
      </c>
      <c r="N161" s="238"/>
      <c r="O161" s="239">
        <f>+K161*G161</f>
        <v>0</v>
      </c>
    </row>
    <row r="162" spans="1:15" s="153" customFormat="1" x14ac:dyDescent="0.25">
      <c r="A162" s="733" t="s">
        <v>99</v>
      </c>
      <c r="B162" s="733"/>
      <c r="C162" s="137">
        <v>6.1666699999999999</v>
      </c>
      <c r="D162" s="138">
        <v>1</v>
      </c>
      <c r="E162" s="139">
        <f>$E$16</f>
        <v>0</v>
      </c>
      <c r="F162" s="139">
        <f>Dies!$C$48</f>
        <v>95</v>
      </c>
      <c r="G162" s="273">
        <f>+D162*E162*F162</f>
        <v>0</v>
      </c>
      <c r="H162" s="273"/>
      <c r="I162" s="273"/>
      <c r="J162" s="273"/>
      <c r="K162" s="320">
        <f>$K$159</f>
        <v>0</v>
      </c>
      <c r="L162" s="491">
        <f>+K162/C162</f>
        <v>0</v>
      </c>
      <c r="M162" s="139" t="str">
        <f>+M161</f>
        <v>Tarda</v>
      </c>
      <c r="N162" s="238"/>
      <c r="O162" s="239">
        <f>+K162*G162</f>
        <v>0</v>
      </c>
    </row>
    <row r="163" spans="1:15" s="153" customFormat="1" x14ac:dyDescent="0.25">
      <c r="A163" s="762" t="s">
        <v>196</v>
      </c>
      <c r="B163" s="762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34"/>
      <c r="O163" s="234"/>
    </row>
    <row r="164" spans="1:15" s="153" customFormat="1" x14ac:dyDescent="0.25">
      <c r="A164" s="763" t="s">
        <v>88</v>
      </c>
      <c r="B164" s="763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34"/>
      <c r="O164" s="234"/>
    </row>
    <row r="165" spans="1:15" s="153" customFormat="1" x14ac:dyDescent="0.25">
      <c r="A165" s="733" t="s">
        <v>64</v>
      </c>
      <c r="B165" s="733"/>
      <c r="C165" s="137">
        <v>6.1666699999999999</v>
      </c>
      <c r="D165" s="138">
        <v>1</v>
      </c>
      <c r="E165" s="139">
        <f>$E$19</f>
        <v>0</v>
      </c>
      <c r="F165" s="139">
        <f>Dies!$C$49</f>
        <v>20</v>
      </c>
      <c r="G165" s="273">
        <f>+D165*E165*F165</f>
        <v>0</v>
      </c>
      <c r="H165" s="273"/>
      <c r="I165" s="273"/>
      <c r="J165" s="273"/>
      <c r="K165" s="320">
        <f>$K$158</f>
        <v>0</v>
      </c>
      <c r="L165" s="491">
        <f>+K165/C165</f>
        <v>0</v>
      </c>
      <c r="M165" s="139" t="s">
        <v>41</v>
      </c>
      <c r="N165" s="238"/>
      <c r="O165" s="239">
        <f>+K165*G165</f>
        <v>0</v>
      </c>
    </row>
    <row r="166" spans="1:15" s="153" customFormat="1" x14ac:dyDescent="0.25">
      <c r="A166" s="733" t="s">
        <v>99</v>
      </c>
      <c r="B166" s="733"/>
      <c r="C166" s="137">
        <v>6.1666699999999999</v>
      </c>
      <c r="D166" s="138">
        <v>1</v>
      </c>
      <c r="E166" s="139">
        <f>$E$20</f>
        <v>0</v>
      </c>
      <c r="F166" s="139">
        <f>Dies!$C$49</f>
        <v>20</v>
      </c>
      <c r="G166" s="273">
        <f>+D166*E166*F166</f>
        <v>0</v>
      </c>
      <c r="H166" s="273"/>
      <c r="I166" s="273"/>
      <c r="J166" s="273"/>
      <c r="K166" s="320">
        <f>$K$159</f>
        <v>0</v>
      </c>
      <c r="L166" s="491">
        <f>+K166/C166</f>
        <v>0</v>
      </c>
      <c r="M166" s="139" t="s">
        <v>41</v>
      </c>
      <c r="N166" s="238"/>
      <c r="O166" s="239">
        <f>+K166*G166</f>
        <v>0</v>
      </c>
    </row>
    <row r="167" spans="1:15" s="153" customFormat="1" x14ac:dyDescent="0.25">
      <c r="A167" s="764" t="s">
        <v>89</v>
      </c>
      <c r="B167" s="764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34"/>
      <c r="O167" s="234"/>
    </row>
    <row r="168" spans="1:15" s="153" customFormat="1" x14ac:dyDescent="0.25">
      <c r="A168" s="733" t="s">
        <v>64</v>
      </c>
      <c r="B168" s="733"/>
      <c r="C168" s="137">
        <v>6.1666699999999999</v>
      </c>
      <c r="D168" s="138">
        <v>1</v>
      </c>
      <c r="E168" s="139">
        <f>$E$22</f>
        <v>0</v>
      </c>
      <c r="F168" s="139">
        <f>Dies!$C$49</f>
        <v>20</v>
      </c>
      <c r="G168" s="273">
        <f>+D168*E168*F168</f>
        <v>0</v>
      </c>
      <c r="H168" s="273"/>
      <c r="I168" s="273"/>
      <c r="J168" s="273"/>
      <c r="K168" s="320">
        <f>$K$158</f>
        <v>0</v>
      </c>
      <c r="L168" s="491">
        <f>+K168/C168</f>
        <v>0</v>
      </c>
      <c r="M168" s="139" t="s">
        <v>90</v>
      </c>
      <c r="N168" s="238"/>
      <c r="O168" s="239">
        <f>+K168*G168</f>
        <v>0</v>
      </c>
    </row>
    <row r="169" spans="1:15" s="153" customFormat="1" x14ac:dyDescent="0.25">
      <c r="A169" s="733" t="s">
        <v>99</v>
      </c>
      <c r="B169" s="733"/>
      <c r="C169" s="137">
        <v>6.1666699999999999</v>
      </c>
      <c r="D169" s="138">
        <v>1</v>
      </c>
      <c r="E169" s="139">
        <f>$E$23</f>
        <v>0</v>
      </c>
      <c r="F169" s="139">
        <f>Dies!$C$49</f>
        <v>20</v>
      </c>
      <c r="G169" s="273">
        <f>+D169*E169*F169</f>
        <v>0</v>
      </c>
      <c r="H169" s="273"/>
      <c r="I169" s="273"/>
      <c r="J169" s="273"/>
      <c r="K169" s="320">
        <f>$K$159</f>
        <v>0</v>
      </c>
      <c r="L169" s="491">
        <f>+K169/C169</f>
        <v>0</v>
      </c>
      <c r="M169" s="139" t="str">
        <f>+M168</f>
        <v>Tarda</v>
      </c>
      <c r="N169" s="238"/>
      <c r="O169" s="239">
        <f>+K169*G169</f>
        <v>0</v>
      </c>
    </row>
    <row r="170" spans="1:15" s="153" customFormat="1" x14ac:dyDescent="0.25">
      <c r="A170" s="762" t="s">
        <v>197</v>
      </c>
      <c r="B170" s="762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34"/>
      <c r="O170" s="234"/>
    </row>
    <row r="171" spans="1:15" s="153" customFormat="1" x14ac:dyDescent="0.25">
      <c r="A171" s="763" t="s">
        <v>88</v>
      </c>
      <c r="B171" s="763"/>
      <c r="C171" s="345"/>
      <c r="D171" s="345"/>
      <c r="E171" s="653"/>
      <c r="F171" s="653"/>
      <c r="G171" s="653"/>
      <c r="H171" s="653"/>
      <c r="I171" s="653"/>
      <c r="J171" s="653"/>
      <c r="K171" s="653"/>
      <c r="L171" s="653"/>
      <c r="M171" s="241"/>
      <c r="N171" s="345"/>
      <c r="O171" s="345"/>
    </row>
    <row r="172" spans="1:15" s="153" customFormat="1" x14ac:dyDescent="0.25">
      <c r="A172" s="733" t="s">
        <v>64</v>
      </c>
      <c r="B172" s="733"/>
      <c r="C172" s="137">
        <v>6.1666699999999999</v>
      </c>
      <c r="D172" s="138">
        <v>1</v>
      </c>
      <c r="E172" s="139">
        <f>$E$26</f>
        <v>0</v>
      </c>
      <c r="F172" s="139">
        <f>Dies!$C$50</f>
        <v>20</v>
      </c>
      <c r="G172" s="273">
        <f>+D172*E172*F172</f>
        <v>0</v>
      </c>
      <c r="H172" s="273"/>
      <c r="I172" s="273"/>
      <c r="J172" s="273"/>
      <c r="K172" s="320">
        <f>$K$158</f>
        <v>0</v>
      </c>
      <c r="L172" s="491">
        <f>+K172/C172</f>
        <v>0</v>
      </c>
      <c r="M172" s="139" t="s">
        <v>41</v>
      </c>
      <c r="N172" s="238"/>
      <c r="O172" s="239">
        <f>+K172*G172</f>
        <v>0</v>
      </c>
    </row>
    <row r="173" spans="1:15" s="153" customFormat="1" x14ac:dyDescent="0.25">
      <c r="A173" s="733" t="s">
        <v>99</v>
      </c>
      <c r="B173" s="733"/>
      <c r="C173" s="137">
        <v>6.1666699999999999</v>
      </c>
      <c r="D173" s="138">
        <v>1</v>
      </c>
      <c r="E173" s="139">
        <f>$E$27</f>
        <v>0</v>
      </c>
      <c r="F173" s="139">
        <f>Dies!$C$50</f>
        <v>20</v>
      </c>
      <c r="G173" s="273">
        <f>+D173*E173*F173</f>
        <v>0</v>
      </c>
      <c r="H173" s="273"/>
      <c r="I173" s="273"/>
      <c r="J173" s="273"/>
      <c r="K173" s="320">
        <f>$K$159</f>
        <v>0</v>
      </c>
      <c r="L173" s="491">
        <f>+K173/C173</f>
        <v>0</v>
      </c>
      <c r="M173" s="139" t="s">
        <v>41</v>
      </c>
      <c r="N173" s="238"/>
      <c r="O173" s="239">
        <f>+K173*G173</f>
        <v>0</v>
      </c>
    </row>
    <row r="174" spans="1:15" s="153" customFormat="1" x14ac:dyDescent="0.25">
      <c r="A174" s="764" t="s">
        <v>89</v>
      </c>
      <c r="B174" s="764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34"/>
      <c r="O174" s="234"/>
    </row>
    <row r="175" spans="1:15" s="153" customFormat="1" x14ac:dyDescent="0.25">
      <c r="A175" s="733" t="s">
        <v>64</v>
      </c>
      <c r="B175" s="733"/>
      <c r="C175" s="137">
        <v>6.1666699999999999</v>
      </c>
      <c r="D175" s="138">
        <v>1</v>
      </c>
      <c r="E175" s="139">
        <f>$E$29</f>
        <v>0</v>
      </c>
      <c r="F175" s="139">
        <f>Dies!$C$50</f>
        <v>20</v>
      </c>
      <c r="G175" s="273">
        <f>+D175*E175*F175</f>
        <v>0</v>
      </c>
      <c r="H175" s="273"/>
      <c r="I175" s="273"/>
      <c r="J175" s="273"/>
      <c r="K175" s="320">
        <f>$K$158</f>
        <v>0</v>
      </c>
      <c r="L175" s="491">
        <f>+K175/C175</f>
        <v>0</v>
      </c>
      <c r="M175" s="139" t="s">
        <v>90</v>
      </c>
      <c r="N175" s="238"/>
      <c r="O175" s="239">
        <f>+K175*G175</f>
        <v>0</v>
      </c>
    </row>
    <row r="176" spans="1:15" s="153" customFormat="1" x14ac:dyDescent="0.25">
      <c r="A176" s="733" t="s">
        <v>99</v>
      </c>
      <c r="B176" s="733"/>
      <c r="C176" s="137">
        <v>6.1666699999999999</v>
      </c>
      <c r="D176" s="138">
        <v>1</v>
      </c>
      <c r="E176" s="139">
        <f>$E$30</f>
        <v>0</v>
      </c>
      <c r="F176" s="139">
        <f>Dies!$C$50</f>
        <v>20</v>
      </c>
      <c r="G176" s="273">
        <f>+D176*E176*F176</f>
        <v>0</v>
      </c>
      <c r="H176" s="273"/>
      <c r="I176" s="273"/>
      <c r="J176" s="273"/>
      <c r="K176" s="320">
        <f>$K$159</f>
        <v>0</v>
      </c>
      <c r="L176" s="491">
        <f>+K176/C176</f>
        <v>0</v>
      </c>
      <c r="M176" s="139" t="s">
        <v>90</v>
      </c>
      <c r="N176" s="238"/>
      <c r="O176" s="239">
        <f>+K176*G176</f>
        <v>0</v>
      </c>
    </row>
    <row r="177" spans="1:15" s="153" customFormat="1" x14ac:dyDescent="0.25">
      <c r="A177" s="229" t="s">
        <v>199</v>
      </c>
      <c r="B177" s="242"/>
      <c r="C177" s="346"/>
      <c r="D177" s="346"/>
      <c r="E177" s="346"/>
      <c r="F177" s="346"/>
      <c r="G177" s="346"/>
      <c r="H177" s="346"/>
      <c r="I177" s="346"/>
      <c r="J177" s="346"/>
      <c r="K177" s="346"/>
      <c r="L177" s="346"/>
      <c r="M177" s="346"/>
      <c r="N177" s="346"/>
      <c r="O177" s="346"/>
    </row>
    <row r="178" spans="1:15" s="153" customFormat="1" x14ac:dyDescent="0.25">
      <c r="A178" s="782" t="s">
        <v>195</v>
      </c>
      <c r="B178" s="782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34"/>
      <c r="N178" s="234"/>
      <c r="O178" s="234"/>
    </row>
    <row r="179" spans="1:15" s="153" customFormat="1" x14ac:dyDescent="0.25">
      <c r="A179" s="763" t="s">
        <v>88</v>
      </c>
      <c r="B179" s="763"/>
      <c r="C179" s="345"/>
      <c r="D179" s="345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</row>
    <row r="180" spans="1:15" s="153" customFormat="1" x14ac:dyDescent="0.25">
      <c r="A180" s="733" t="s">
        <v>64</v>
      </c>
      <c r="B180" s="733"/>
      <c r="C180" s="137">
        <v>6.1666699999999999</v>
      </c>
      <c r="D180" s="138">
        <v>1</v>
      </c>
      <c r="E180" s="139">
        <f>$E$34</f>
        <v>0</v>
      </c>
      <c r="F180" s="139">
        <f>Dies!$C$53</f>
        <v>77</v>
      </c>
      <c r="G180" s="273">
        <f>+D180*E180*F180</f>
        <v>0</v>
      </c>
      <c r="H180" s="273"/>
      <c r="I180" s="273"/>
      <c r="J180" s="273"/>
      <c r="K180" s="320">
        <f>$K$158</f>
        <v>0</v>
      </c>
      <c r="L180" s="491">
        <f>+K180/C180</f>
        <v>0</v>
      </c>
      <c r="M180" s="139" t="s">
        <v>41</v>
      </c>
      <c r="N180" s="139"/>
      <c r="O180" s="144">
        <f>+K180*G180</f>
        <v>0</v>
      </c>
    </row>
    <row r="181" spans="1:15" s="153" customFormat="1" x14ac:dyDescent="0.25">
      <c r="A181" s="733" t="s">
        <v>99</v>
      </c>
      <c r="B181" s="733"/>
      <c r="C181" s="137">
        <v>6.1666699999999999</v>
      </c>
      <c r="D181" s="138">
        <v>1</v>
      </c>
      <c r="E181" s="139">
        <f>$E$35</f>
        <v>0</v>
      </c>
      <c r="F181" s="139">
        <f>Dies!$C$53</f>
        <v>77</v>
      </c>
      <c r="G181" s="273">
        <f>+D181*E181*F181</f>
        <v>0</v>
      </c>
      <c r="H181" s="273"/>
      <c r="I181" s="273"/>
      <c r="J181" s="273"/>
      <c r="K181" s="320">
        <f>$K$159</f>
        <v>0</v>
      </c>
      <c r="L181" s="491">
        <f>+K181/C181</f>
        <v>0</v>
      </c>
      <c r="M181" s="139" t="s">
        <v>41</v>
      </c>
      <c r="N181" s="139"/>
      <c r="O181" s="144">
        <f>+K181*G181</f>
        <v>0</v>
      </c>
    </row>
    <row r="182" spans="1:15" s="153" customFormat="1" x14ac:dyDescent="0.25">
      <c r="A182" s="764" t="s">
        <v>89</v>
      </c>
      <c r="B182" s="764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</row>
    <row r="183" spans="1:15" s="153" customFormat="1" x14ac:dyDescent="0.25">
      <c r="A183" s="733" t="s">
        <v>64</v>
      </c>
      <c r="B183" s="733"/>
      <c r="C183" s="137">
        <v>6.1666699999999999</v>
      </c>
      <c r="D183" s="138">
        <v>1</v>
      </c>
      <c r="E183" s="139">
        <f>$E$37</f>
        <v>0</v>
      </c>
      <c r="F183" s="139">
        <f>Dies!$C$53</f>
        <v>77</v>
      </c>
      <c r="G183" s="273">
        <f>+D183*E183*F183</f>
        <v>0</v>
      </c>
      <c r="H183" s="273"/>
      <c r="I183" s="273"/>
      <c r="J183" s="273"/>
      <c r="K183" s="320">
        <f>$K$158</f>
        <v>0</v>
      </c>
      <c r="L183" s="491">
        <f>+K183/C183</f>
        <v>0</v>
      </c>
      <c r="M183" s="139" t="s">
        <v>90</v>
      </c>
      <c r="N183" s="139"/>
      <c r="O183" s="144">
        <f>+K183*G183</f>
        <v>0</v>
      </c>
    </row>
    <row r="184" spans="1:15" s="153" customFormat="1" x14ac:dyDescent="0.25">
      <c r="A184" s="733" t="s">
        <v>99</v>
      </c>
      <c r="B184" s="733"/>
      <c r="C184" s="137">
        <v>6.1666699999999999</v>
      </c>
      <c r="D184" s="138">
        <v>1</v>
      </c>
      <c r="E184" s="139">
        <f>$E$38</f>
        <v>0</v>
      </c>
      <c r="F184" s="139">
        <f>Dies!$C$53</f>
        <v>77</v>
      </c>
      <c r="G184" s="273">
        <f>+D184*E184*F184</f>
        <v>0</v>
      </c>
      <c r="H184" s="273"/>
      <c r="I184" s="273"/>
      <c r="J184" s="273"/>
      <c r="K184" s="320">
        <f>$K$159</f>
        <v>0</v>
      </c>
      <c r="L184" s="491">
        <f>+K184/C184</f>
        <v>0</v>
      </c>
      <c r="M184" s="139" t="str">
        <f>+M183</f>
        <v>Tarda</v>
      </c>
      <c r="N184" s="139"/>
      <c r="O184" s="144">
        <f>+K184*G184</f>
        <v>0</v>
      </c>
    </row>
    <row r="185" spans="1:15" s="153" customFormat="1" x14ac:dyDescent="0.25">
      <c r="A185" s="762" t="s">
        <v>196</v>
      </c>
      <c r="B185" s="762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</row>
    <row r="186" spans="1:15" s="153" customFormat="1" x14ac:dyDescent="0.25">
      <c r="A186" s="763" t="s">
        <v>88</v>
      </c>
      <c r="B186" s="763"/>
      <c r="C186" s="345"/>
      <c r="D186" s="345"/>
      <c r="E186" s="653"/>
      <c r="F186" s="653"/>
      <c r="G186" s="653"/>
      <c r="H186" s="653"/>
      <c r="I186" s="653"/>
      <c r="J186" s="653"/>
      <c r="K186" s="653"/>
      <c r="L186" s="653"/>
      <c r="M186" s="241"/>
      <c r="N186" s="653"/>
      <c r="O186" s="653"/>
    </row>
    <row r="187" spans="1:15" s="153" customFormat="1" x14ac:dyDescent="0.25">
      <c r="A187" s="733" t="s">
        <v>64</v>
      </c>
      <c r="B187" s="733"/>
      <c r="C187" s="137">
        <v>6.1666699999999999</v>
      </c>
      <c r="D187" s="138">
        <v>1</v>
      </c>
      <c r="E187" s="139">
        <f>$E$41</f>
        <v>0</v>
      </c>
      <c r="F187" s="139">
        <f>Dies!$C$54</f>
        <v>15</v>
      </c>
      <c r="G187" s="273">
        <f>+D187*E187*F187</f>
        <v>0</v>
      </c>
      <c r="H187" s="273"/>
      <c r="I187" s="273"/>
      <c r="J187" s="273"/>
      <c r="K187" s="320">
        <f>$K$158</f>
        <v>0</v>
      </c>
      <c r="L187" s="491">
        <f>+K187/C187</f>
        <v>0</v>
      </c>
      <c r="M187" s="139" t="s">
        <v>41</v>
      </c>
      <c r="N187" s="139"/>
      <c r="O187" s="144">
        <f>+K187*G187</f>
        <v>0</v>
      </c>
    </row>
    <row r="188" spans="1:15" s="153" customFormat="1" x14ac:dyDescent="0.25">
      <c r="A188" s="733" t="s">
        <v>99</v>
      </c>
      <c r="B188" s="733"/>
      <c r="C188" s="137">
        <v>6.1666699999999999</v>
      </c>
      <c r="D188" s="138">
        <v>1</v>
      </c>
      <c r="E188" s="139">
        <f>$E$42</f>
        <v>0</v>
      </c>
      <c r="F188" s="139">
        <f>Dies!$C$54</f>
        <v>15</v>
      </c>
      <c r="G188" s="273">
        <f>+D188*E188*F188</f>
        <v>0</v>
      </c>
      <c r="H188" s="273"/>
      <c r="I188" s="273"/>
      <c r="J188" s="273"/>
      <c r="K188" s="320">
        <f>$K$159</f>
        <v>0</v>
      </c>
      <c r="L188" s="491">
        <f>+K188/C188</f>
        <v>0</v>
      </c>
      <c r="M188" s="139" t="s">
        <v>41</v>
      </c>
      <c r="N188" s="139"/>
      <c r="O188" s="144">
        <f>+K188*G188</f>
        <v>0</v>
      </c>
    </row>
    <row r="189" spans="1:15" s="153" customFormat="1" x14ac:dyDescent="0.25">
      <c r="A189" s="764" t="s">
        <v>89</v>
      </c>
      <c r="B189" s="764"/>
      <c r="C189" s="345"/>
      <c r="D189" s="345"/>
      <c r="E189" s="653"/>
      <c r="F189" s="241"/>
      <c r="G189" s="653"/>
      <c r="H189" s="653"/>
      <c r="I189" s="653"/>
      <c r="J189" s="653"/>
      <c r="K189" s="653"/>
      <c r="L189" s="653"/>
      <c r="M189" s="241"/>
      <c r="N189" s="653"/>
      <c r="O189" s="653"/>
    </row>
    <row r="190" spans="1:15" s="153" customFormat="1" x14ac:dyDescent="0.25">
      <c r="A190" s="733" t="s">
        <v>64</v>
      </c>
      <c r="B190" s="733"/>
      <c r="C190" s="137">
        <v>6.1666699999999999</v>
      </c>
      <c r="D190" s="138">
        <v>1</v>
      </c>
      <c r="E190" s="139">
        <f>$E$44</f>
        <v>0</v>
      </c>
      <c r="F190" s="139">
        <f>Dies!$C$54</f>
        <v>15</v>
      </c>
      <c r="G190" s="273">
        <f>+D190*E190*F190</f>
        <v>0</v>
      </c>
      <c r="H190" s="273"/>
      <c r="I190" s="273"/>
      <c r="J190" s="273"/>
      <c r="K190" s="320">
        <f>$K$158</f>
        <v>0</v>
      </c>
      <c r="L190" s="491">
        <f>+K190/C190</f>
        <v>0</v>
      </c>
      <c r="M190" s="139" t="s">
        <v>90</v>
      </c>
      <c r="N190" s="139"/>
      <c r="O190" s="144">
        <f>+K190*G190</f>
        <v>0</v>
      </c>
    </row>
    <row r="191" spans="1:15" s="153" customFormat="1" x14ac:dyDescent="0.25">
      <c r="A191" s="733" t="s">
        <v>99</v>
      </c>
      <c r="B191" s="733"/>
      <c r="C191" s="137">
        <v>6.1666699999999999</v>
      </c>
      <c r="D191" s="138">
        <v>1</v>
      </c>
      <c r="E191" s="139">
        <f>$E$45</f>
        <v>0</v>
      </c>
      <c r="F191" s="139">
        <f>Dies!$C$54</f>
        <v>15</v>
      </c>
      <c r="G191" s="273">
        <f>+D191*E191*F191</f>
        <v>0</v>
      </c>
      <c r="H191" s="273"/>
      <c r="I191" s="273"/>
      <c r="J191" s="273"/>
      <c r="K191" s="320">
        <f>$K$159</f>
        <v>0</v>
      </c>
      <c r="L191" s="491">
        <f>+K191/C191</f>
        <v>0</v>
      </c>
      <c r="M191" s="139" t="str">
        <f>+M190</f>
        <v>Tarda</v>
      </c>
      <c r="N191" s="139"/>
      <c r="O191" s="144">
        <f>+K191*G191</f>
        <v>0</v>
      </c>
    </row>
    <row r="192" spans="1:15" s="153" customFormat="1" x14ac:dyDescent="0.25">
      <c r="A192" s="762" t="s">
        <v>197</v>
      </c>
      <c r="B192" s="762"/>
      <c r="C192" s="342"/>
      <c r="D192" s="342"/>
      <c r="E192" s="342"/>
      <c r="F192" s="343"/>
      <c r="G192" s="342"/>
      <c r="H192" s="342"/>
      <c r="I192" s="342"/>
      <c r="J192" s="342"/>
      <c r="K192" s="342"/>
      <c r="L192" s="344"/>
      <c r="M192" s="241"/>
      <c r="N192" s="342"/>
      <c r="O192" s="342"/>
    </row>
    <row r="193" spans="1:15" s="153" customFormat="1" x14ac:dyDescent="0.25">
      <c r="A193" s="763" t="s">
        <v>88</v>
      </c>
      <c r="B193" s="763"/>
      <c r="C193" s="342"/>
      <c r="D193" s="342"/>
      <c r="E193" s="342"/>
      <c r="F193" s="343"/>
      <c r="G193" s="342"/>
      <c r="H193" s="342"/>
      <c r="I193" s="342"/>
      <c r="J193" s="342"/>
      <c r="K193" s="342"/>
      <c r="L193" s="344"/>
      <c r="M193" s="241"/>
      <c r="N193" s="342"/>
      <c r="O193" s="342"/>
    </row>
    <row r="194" spans="1:15" s="153" customFormat="1" x14ac:dyDescent="0.25">
      <c r="A194" s="733" t="s">
        <v>64</v>
      </c>
      <c r="B194" s="733"/>
      <c r="C194" s="137">
        <v>6.1666699999999999</v>
      </c>
      <c r="D194" s="138">
        <v>1</v>
      </c>
      <c r="E194" s="139">
        <f>$E$48</f>
        <v>0</v>
      </c>
      <c r="F194" s="139">
        <f>Dies!$C$55</f>
        <v>15</v>
      </c>
      <c r="G194" s="273">
        <f>+D194*E194*F194</f>
        <v>0</v>
      </c>
      <c r="H194" s="273"/>
      <c r="I194" s="273"/>
      <c r="J194" s="273"/>
      <c r="K194" s="320">
        <f>$K$158</f>
        <v>0</v>
      </c>
      <c r="L194" s="491">
        <f>+K194/C194</f>
        <v>0</v>
      </c>
      <c r="M194" s="139" t="s">
        <v>41</v>
      </c>
      <c r="N194" s="139"/>
      <c r="O194" s="144">
        <f>+K194*G194</f>
        <v>0</v>
      </c>
    </row>
    <row r="195" spans="1:15" s="153" customFormat="1" x14ac:dyDescent="0.25">
      <c r="A195" s="733" t="s">
        <v>99</v>
      </c>
      <c r="B195" s="733"/>
      <c r="C195" s="137">
        <v>6.1666699999999999</v>
      </c>
      <c r="D195" s="138">
        <v>1</v>
      </c>
      <c r="E195" s="139">
        <f>$E$49</f>
        <v>0</v>
      </c>
      <c r="F195" s="139">
        <f>Dies!$C$55</f>
        <v>15</v>
      </c>
      <c r="G195" s="273">
        <f>+D195*E195*F195</f>
        <v>0</v>
      </c>
      <c r="H195" s="273"/>
      <c r="I195" s="273"/>
      <c r="J195" s="273"/>
      <c r="K195" s="320">
        <f>$K$159</f>
        <v>0</v>
      </c>
      <c r="L195" s="491">
        <f>+K195/C195</f>
        <v>0</v>
      </c>
      <c r="M195" s="139" t="s">
        <v>41</v>
      </c>
      <c r="N195" s="139"/>
      <c r="O195" s="144">
        <f>+K195*G195</f>
        <v>0</v>
      </c>
    </row>
    <row r="196" spans="1:15" s="153" customFormat="1" x14ac:dyDescent="0.25">
      <c r="A196" s="764" t="s">
        <v>89</v>
      </c>
      <c r="B196" s="764"/>
      <c r="C196" s="342"/>
      <c r="D196" s="342"/>
      <c r="E196" s="342"/>
      <c r="F196" s="241"/>
      <c r="G196" s="342"/>
      <c r="H196" s="342"/>
      <c r="I196" s="342"/>
      <c r="J196" s="342"/>
      <c r="K196" s="342"/>
      <c r="L196" s="344"/>
      <c r="M196" s="241"/>
      <c r="N196" s="342"/>
      <c r="O196" s="342"/>
    </row>
    <row r="197" spans="1:15" s="153" customFormat="1" x14ac:dyDescent="0.25">
      <c r="A197" s="733" t="s">
        <v>64</v>
      </c>
      <c r="B197" s="733"/>
      <c r="C197" s="137">
        <v>6.1666699999999999</v>
      </c>
      <c r="D197" s="138">
        <v>1</v>
      </c>
      <c r="E197" s="139">
        <f>$E$51</f>
        <v>0</v>
      </c>
      <c r="F197" s="139">
        <f>Dies!$C$55</f>
        <v>15</v>
      </c>
      <c r="G197" s="273">
        <f>+D197*E197*F197</f>
        <v>0</v>
      </c>
      <c r="H197" s="273"/>
      <c r="I197" s="273"/>
      <c r="J197" s="273"/>
      <c r="K197" s="320">
        <f>$K$158</f>
        <v>0</v>
      </c>
      <c r="L197" s="491">
        <f>+K197/C197</f>
        <v>0</v>
      </c>
      <c r="M197" s="139" t="s">
        <v>90</v>
      </c>
      <c r="N197" s="139"/>
      <c r="O197" s="144">
        <f>+K197*G197</f>
        <v>0</v>
      </c>
    </row>
    <row r="198" spans="1:15" s="153" customFormat="1" x14ac:dyDescent="0.25">
      <c r="A198" s="733" t="s">
        <v>99</v>
      </c>
      <c r="B198" s="733"/>
      <c r="C198" s="137">
        <v>6.1666699999999999</v>
      </c>
      <c r="D198" s="138">
        <v>1</v>
      </c>
      <c r="E198" s="139">
        <f>$E$52</f>
        <v>0</v>
      </c>
      <c r="F198" s="139">
        <f>Dies!$C$55</f>
        <v>15</v>
      </c>
      <c r="G198" s="273">
        <f>+D198*E198*F198</f>
        <v>0</v>
      </c>
      <c r="H198" s="273"/>
      <c r="I198" s="273"/>
      <c r="J198" s="273"/>
      <c r="K198" s="320">
        <f>$K$159</f>
        <v>0</v>
      </c>
      <c r="L198" s="491">
        <f>+K198/C198</f>
        <v>0</v>
      </c>
      <c r="M198" s="139" t="s">
        <v>90</v>
      </c>
      <c r="N198" s="139"/>
      <c r="O198" s="144">
        <f>+K198*G198</f>
        <v>0</v>
      </c>
    </row>
    <row r="199" spans="1:15" s="153" customFormat="1" x14ac:dyDescent="0.25">
      <c r="A199" s="229" t="s">
        <v>326</v>
      </c>
      <c r="B199" s="242"/>
      <c r="C199" s="347"/>
      <c r="D199" s="347"/>
      <c r="E199" s="347"/>
      <c r="F199" s="348"/>
      <c r="G199" s="347"/>
      <c r="H199" s="347"/>
      <c r="I199" s="347"/>
      <c r="J199" s="347"/>
      <c r="K199" s="347"/>
      <c r="L199" s="349"/>
      <c r="M199" s="347"/>
      <c r="N199" s="347"/>
      <c r="O199" s="347"/>
    </row>
    <row r="200" spans="1:15" s="153" customFormat="1" x14ac:dyDescent="0.25">
      <c r="A200" s="782" t="s">
        <v>195</v>
      </c>
      <c r="B200" s="782"/>
      <c r="C200" s="342"/>
      <c r="D200" s="342"/>
      <c r="E200" s="342"/>
      <c r="F200" s="343"/>
      <c r="G200" s="342"/>
      <c r="H200" s="342"/>
      <c r="I200" s="342"/>
      <c r="J200" s="342"/>
      <c r="K200" s="342"/>
      <c r="L200" s="344"/>
      <c r="M200" s="342"/>
      <c r="N200" s="342"/>
      <c r="O200" s="342"/>
    </row>
    <row r="201" spans="1:15" s="153" customFormat="1" x14ac:dyDescent="0.25">
      <c r="A201" s="763" t="s">
        <v>88</v>
      </c>
      <c r="B201" s="763"/>
      <c r="C201" s="342"/>
      <c r="D201" s="342"/>
      <c r="E201" s="342"/>
      <c r="F201" s="343"/>
      <c r="G201" s="342"/>
      <c r="H201" s="342"/>
      <c r="I201" s="342"/>
      <c r="J201" s="342"/>
      <c r="K201" s="342"/>
      <c r="L201" s="344"/>
      <c r="M201" s="342"/>
      <c r="N201" s="342"/>
      <c r="O201" s="342"/>
    </row>
    <row r="202" spans="1:15" s="153" customFormat="1" x14ac:dyDescent="0.25">
      <c r="A202" s="733" t="s">
        <v>64</v>
      </c>
      <c r="B202" s="733"/>
      <c r="C202" s="137">
        <v>6.1666699999999999</v>
      </c>
      <c r="D202" s="138">
        <v>1</v>
      </c>
      <c r="E202" s="139">
        <f>$E$56</f>
        <v>0</v>
      </c>
      <c r="F202" s="139">
        <f>Dies!$C$58</f>
        <v>89</v>
      </c>
      <c r="G202" s="273">
        <f>+D202*E202*F202</f>
        <v>0</v>
      </c>
      <c r="H202" s="273"/>
      <c r="I202" s="273"/>
      <c r="J202" s="273"/>
      <c r="K202" s="320">
        <f>$K$158</f>
        <v>0</v>
      </c>
      <c r="L202" s="491">
        <f>+K202/C202</f>
        <v>0</v>
      </c>
      <c r="M202" s="139" t="s">
        <v>41</v>
      </c>
      <c r="N202" s="139"/>
      <c r="O202" s="144">
        <f>+K202*G202</f>
        <v>0</v>
      </c>
    </row>
    <row r="203" spans="1:15" s="153" customFormat="1" x14ac:dyDescent="0.25">
      <c r="A203" s="733" t="s">
        <v>99</v>
      </c>
      <c r="B203" s="733"/>
      <c r="C203" s="137">
        <v>6.1666699999999999</v>
      </c>
      <c r="D203" s="138">
        <v>1</v>
      </c>
      <c r="E203" s="139">
        <f>$E$57</f>
        <v>0</v>
      </c>
      <c r="F203" s="139">
        <f>Dies!$C$58</f>
        <v>89</v>
      </c>
      <c r="G203" s="273">
        <f>+D203*E203*F203</f>
        <v>0</v>
      </c>
      <c r="H203" s="273"/>
      <c r="I203" s="273"/>
      <c r="J203" s="273"/>
      <c r="K203" s="320">
        <f>$K$159</f>
        <v>0</v>
      </c>
      <c r="L203" s="491">
        <f>+K203/C203</f>
        <v>0</v>
      </c>
      <c r="M203" s="139" t="s">
        <v>41</v>
      </c>
      <c r="N203" s="139"/>
      <c r="O203" s="144">
        <f>+K203*G203</f>
        <v>0</v>
      </c>
    </row>
    <row r="204" spans="1:15" s="153" customFormat="1" x14ac:dyDescent="0.25">
      <c r="A204" s="764" t="s">
        <v>89</v>
      </c>
      <c r="B204" s="764"/>
      <c r="C204" s="342"/>
      <c r="D204" s="342"/>
      <c r="E204" s="342"/>
      <c r="F204" s="241"/>
      <c r="G204" s="342"/>
      <c r="H204" s="342"/>
      <c r="I204" s="342"/>
      <c r="J204" s="342"/>
      <c r="K204" s="342"/>
      <c r="L204" s="344"/>
      <c r="M204" s="241"/>
      <c r="N204" s="342"/>
      <c r="O204" s="342"/>
    </row>
    <row r="205" spans="1:15" s="153" customFormat="1" x14ac:dyDescent="0.25">
      <c r="A205" s="733" t="s">
        <v>64</v>
      </c>
      <c r="B205" s="733"/>
      <c r="C205" s="137">
        <v>6.1666699999999999</v>
      </c>
      <c r="D205" s="138">
        <v>1</v>
      </c>
      <c r="E205" s="139">
        <f>$E$59</f>
        <v>0</v>
      </c>
      <c r="F205" s="139">
        <f>Dies!$C$58</f>
        <v>89</v>
      </c>
      <c r="G205" s="273">
        <f>+D205*E205*F205</f>
        <v>0</v>
      </c>
      <c r="H205" s="273"/>
      <c r="I205" s="273"/>
      <c r="J205" s="273"/>
      <c r="K205" s="320">
        <f>$K$158</f>
        <v>0</v>
      </c>
      <c r="L205" s="491">
        <f>+K205/C205</f>
        <v>0</v>
      </c>
      <c r="M205" s="139" t="s">
        <v>90</v>
      </c>
      <c r="N205" s="139"/>
      <c r="O205" s="144">
        <f>+K205*G205</f>
        <v>0</v>
      </c>
    </row>
    <row r="206" spans="1:15" s="153" customFormat="1" x14ac:dyDescent="0.25">
      <c r="A206" s="733" t="s">
        <v>99</v>
      </c>
      <c r="B206" s="733"/>
      <c r="C206" s="137">
        <v>6.1666699999999999</v>
      </c>
      <c r="D206" s="138">
        <v>1</v>
      </c>
      <c r="E206" s="139">
        <f>$E$60</f>
        <v>0</v>
      </c>
      <c r="F206" s="139">
        <f>Dies!$C$58</f>
        <v>89</v>
      </c>
      <c r="G206" s="273">
        <f>+D206*E206*F206</f>
        <v>0</v>
      </c>
      <c r="H206" s="273"/>
      <c r="I206" s="273"/>
      <c r="J206" s="273"/>
      <c r="K206" s="320">
        <f>$K$159</f>
        <v>0</v>
      </c>
      <c r="L206" s="491">
        <f>+K206/C206</f>
        <v>0</v>
      </c>
      <c r="M206" s="139" t="str">
        <f>+M205</f>
        <v>Tarda</v>
      </c>
      <c r="N206" s="139"/>
      <c r="O206" s="144">
        <f>+K206*G206</f>
        <v>0</v>
      </c>
    </row>
    <row r="207" spans="1:15" s="153" customFormat="1" x14ac:dyDescent="0.25">
      <c r="A207" s="762" t="s">
        <v>196</v>
      </c>
      <c r="B207" s="762"/>
      <c r="C207" s="342"/>
      <c r="D207" s="342"/>
      <c r="E207" s="342"/>
      <c r="F207" s="241"/>
      <c r="G207" s="342"/>
      <c r="H207" s="342"/>
      <c r="I207" s="342"/>
      <c r="J207" s="342"/>
      <c r="K207" s="342"/>
      <c r="L207" s="344"/>
      <c r="M207" s="241"/>
      <c r="N207" s="342"/>
      <c r="O207" s="342"/>
    </row>
    <row r="208" spans="1:15" s="153" customFormat="1" x14ac:dyDescent="0.25">
      <c r="A208" s="763" t="s">
        <v>88</v>
      </c>
      <c r="B208" s="763"/>
      <c r="C208" s="342"/>
      <c r="D208" s="342"/>
      <c r="E208" s="342"/>
      <c r="F208" s="241"/>
      <c r="G208" s="342"/>
      <c r="H208" s="342"/>
      <c r="I208" s="342"/>
      <c r="J208" s="342"/>
      <c r="K208" s="342"/>
      <c r="L208" s="344"/>
      <c r="M208" s="241"/>
      <c r="N208" s="342"/>
      <c r="O208" s="342"/>
    </row>
    <row r="209" spans="1:15" s="153" customFormat="1" x14ac:dyDescent="0.25">
      <c r="A209" s="733" t="s">
        <v>64</v>
      </c>
      <c r="B209" s="733"/>
      <c r="C209" s="137">
        <v>6.1666699999999999</v>
      </c>
      <c r="D209" s="138">
        <v>1</v>
      </c>
      <c r="E209" s="139">
        <f>$E$63</f>
        <v>0</v>
      </c>
      <c r="F209" s="139">
        <f>Dies!$C$59</f>
        <v>17</v>
      </c>
      <c r="G209" s="273">
        <f>+D209*E209*F209</f>
        <v>0</v>
      </c>
      <c r="H209" s="273"/>
      <c r="I209" s="273"/>
      <c r="J209" s="273"/>
      <c r="K209" s="320">
        <f>$K$158</f>
        <v>0</v>
      </c>
      <c r="L209" s="491">
        <f>+K209/C209</f>
        <v>0</v>
      </c>
      <c r="M209" s="139" t="s">
        <v>41</v>
      </c>
      <c r="N209" s="139"/>
      <c r="O209" s="144">
        <f>+K209*G209</f>
        <v>0</v>
      </c>
    </row>
    <row r="210" spans="1:15" s="153" customFormat="1" x14ac:dyDescent="0.25">
      <c r="A210" s="733" t="s">
        <v>99</v>
      </c>
      <c r="B210" s="733"/>
      <c r="C210" s="137">
        <v>6.1666699999999999</v>
      </c>
      <c r="D210" s="138">
        <v>1</v>
      </c>
      <c r="E210" s="139">
        <f>$E$64</f>
        <v>0</v>
      </c>
      <c r="F210" s="139">
        <f>Dies!$C$59</f>
        <v>17</v>
      </c>
      <c r="G210" s="273">
        <f>+D210*E210*F210</f>
        <v>0</v>
      </c>
      <c r="H210" s="273"/>
      <c r="I210" s="273"/>
      <c r="J210" s="273"/>
      <c r="K210" s="320">
        <f>$K$159</f>
        <v>0</v>
      </c>
      <c r="L210" s="491">
        <f>+K210/C210</f>
        <v>0</v>
      </c>
      <c r="M210" s="139" t="s">
        <v>41</v>
      </c>
      <c r="N210" s="139"/>
      <c r="O210" s="144">
        <f>+K210*G210</f>
        <v>0</v>
      </c>
    </row>
    <row r="211" spans="1:15" s="153" customFormat="1" x14ac:dyDescent="0.25">
      <c r="A211" s="764" t="s">
        <v>89</v>
      </c>
      <c r="B211" s="764"/>
      <c r="C211" s="342"/>
      <c r="D211" s="342"/>
      <c r="E211" s="342"/>
      <c r="F211" s="241"/>
      <c r="G211" s="342"/>
      <c r="H211" s="342"/>
      <c r="I211" s="342"/>
      <c r="J211" s="342"/>
      <c r="K211" s="342"/>
      <c r="L211" s="344"/>
      <c r="M211" s="241"/>
      <c r="N211" s="342"/>
      <c r="O211" s="342"/>
    </row>
    <row r="212" spans="1:15" s="153" customFormat="1" x14ac:dyDescent="0.25">
      <c r="A212" s="733" t="s">
        <v>64</v>
      </c>
      <c r="B212" s="733"/>
      <c r="C212" s="137">
        <v>6.1666699999999999</v>
      </c>
      <c r="D212" s="138">
        <v>1</v>
      </c>
      <c r="E212" s="139">
        <f>$E$66</f>
        <v>0</v>
      </c>
      <c r="F212" s="139">
        <f>Dies!$C$59</f>
        <v>17</v>
      </c>
      <c r="G212" s="273">
        <f>+D212*E212*F212</f>
        <v>0</v>
      </c>
      <c r="H212" s="273"/>
      <c r="I212" s="273"/>
      <c r="J212" s="273"/>
      <c r="K212" s="320">
        <f>$K$158</f>
        <v>0</v>
      </c>
      <c r="L212" s="491">
        <f>+K212/C212</f>
        <v>0</v>
      </c>
      <c r="M212" s="139" t="s">
        <v>90</v>
      </c>
      <c r="N212" s="139"/>
      <c r="O212" s="144">
        <f>+K212*G212</f>
        <v>0</v>
      </c>
    </row>
    <row r="213" spans="1:15" s="153" customFormat="1" x14ac:dyDescent="0.25">
      <c r="A213" s="733" t="s">
        <v>99</v>
      </c>
      <c r="B213" s="733"/>
      <c r="C213" s="137">
        <v>6.1666699999999999</v>
      </c>
      <c r="D213" s="138">
        <v>1</v>
      </c>
      <c r="E213" s="139">
        <f>$E$67</f>
        <v>0</v>
      </c>
      <c r="F213" s="139">
        <f>Dies!$C$59</f>
        <v>17</v>
      </c>
      <c r="G213" s="273">
        <f>+D213*E213*F213</f>
        <v>0</v>
      </c>
      <c r="H213" s="273"/>
      <c r="I213" s="273"/>
      <c r="J213" s="273"/>
      <c r="K213" s="320">
        <f>$K$159</f>
        <v>0</v>
      </c>
      <c r="L213" s="491">
        <f>+K213/C213</f>
        <v>0</v>
      </c>
      <c r="M213" s="139" t="str">
        <f>+M212</f>
        <v>Tarda</v>
      </c>
      <c r="N213" s="139"/>
      <c r="O213" s="144">
        <f>+K213*G213</f>
        <v>0</v>
      </c>
    </row>
    <row r="214" spans="1:15" s="153" customFormat="1" x14ac:dyDescent="0.25">
      <c r="A214" s="762" t="s">
        <v>197</v>
      </c>
      <c r="B214" s="762"/>
      <c r="C214" s="342"/>
      <c r="D214" s="342"/>
      <c r="E214" s="342"/>
      <c r="F214" s="241"/>
      <c r="G214" s="342"/>
      <c r="H214" s="342"/>
      <c r="I214" s="342"/>
      <c r="J214" s="342"/>
      <c r="K214" s="342"/>
      <c r="L214" s="344"/>
      <c r="M214" s="241"/>
      <c r="N214" s="342"/>
      <c r="O214" s="342"/>
    </row>
    <row r="215" spans="1:15" s="153" customFormat="1" x14ac:dyDescent="0.25">
      <c r="A215" s="763" t="s">
        <v>88</v>
      </c>
      <c r="B215" s="763"/>
      <c r="C215" s="342"/>
      <c r="D215" s="342"/>
      <c r="E215" s="342"/>
      <c r="F215" s="241"/>
      <c r="G215" s="342"/>
      <c r="H215" s="342"/>
      <c r="I215" s="342"/>
      <c r="J215" s="342"/>
      <c r="K215" s="342"/>
      <c r="L215" s="344"/>
      <c r="M215" s="241"/>
      <c r="N215" s="342"/>
      <c r="O215" s="342"/>
    </row>
    <row r="216" spans="1:15" x14ac:dyDescent="0.25">
      <c r="A216" s="733" t="s">
        <v>64</v>
      </c>
      <c r="B216" s="733"/>
      <c r="C216" s="137">
        <v>6.1666699999999999</v>
      </c>
      <c r="D216" s="138">
        <v>1</v>
      </c>
      <c r="E216" s="139">
        <f>$E$70</f>
        <v>0</v>
      </c>
      <c r="F216" s="139">
        <f>Dies!$C$60</f>
        <v>17</v>
      </c>
      <c r="G216" s="273">
        <f>+D216*E216*F216</f>
        <v>0</v>
      </c>
      <c r="H216" s="273"/>
      <c r="I216" s="273"/>
      <c r="J216" s="273"/>
      <c r="K216" s="320">
        <f>$K$158</f>
        <v>0</v>
      </c>
      <c r="L216" s="491">
        <f>+K216/C216</f>
        <v>0</v>
      </c>
      <c r="M216" s="139" t="s">
        <v>41</v>
      </c>
      <c r="N216" s="139"/>
      <c r="O216" s="144">
        <f>+K216*G216</f>
        <v>0</v>
      </c>
    </row>
    <row r="217" spans="1:15" x14ac:dyDescent="0.25">
      <c r="A217" s="733" t="s">
        <v>99</v>
      </c>
      <c r="B217" s="733"/>
      <c r="C217" s="137">
        <v>6.1666699999999999</v>
      </c>
      <c r="D217" s="138">
        <v>1</v>
      </c>
      <c r="E217" s="139">
        <f>$E$71</f>
        <v>0</v>
      </c>
      <c r="F217" s="139">
        <f>Dies!$C$60</f>
        <v>17</v>
      </c>
      <c r="G217" s="273">
        <f>+D217*E217*F217</f>
        <v>0</v>
      </c>
      <c r="H217" s="273"/>
      <c r="I217" s="273"/>
      <c r="J217" s="273"/>
      <c r="K217" s="320">
        <f>$K$159</f>
        <v>0</v>
      </c>
      <c r="L217" s="491">
        <f>+K217/C217</f>
        <v>0</v>
      </c>
      <c r="M217" s="139" t="s">
        <v>41</v>
      </c>
      <c r="N217" s="139"/>
      <c r="O217" s="144">
        <f>+K217*G217</f>
        <v>0</v>
      </c>
    </row>
    <row r="218" spans="1:15" s="153" customFormat="1" x14ac:dyDescent="0.25">
      <c r="A218" s="764" t="s">
        <v>89</v>
      </c>
      <c r="B218" s="764"/>
      <c r="C218" s="342"/>
      <c r="D218" s="342"/>
      <c r="E218" s="342"/>
      <c r="F218" s="241"/>
      <c r="G218" s="342"/>
      <c r="H218" s="342"/>
      <c r="I218" s="342"/>
      <c r="J218" s="342"/>
      <c r="K218" s="342"/>
      <c r="L218" s="344"/>
      <c r="M218" s="241"/>
      <c r="N218" s="342"/>
      <c r="O218" s="342"/>
    </row>
    <row r="219" spans="1:15" x14ac:dyDescent="0.25">
      <c r="A219" s="733" t="s">
        <v>64</v>
      </c>
      <c r="B219" s="733"/>
      <c r="C219" s="137">
        <v>6.1666699999999999</v>
      </c>
      <c r="D219" s="138">
        <v>1</v>
      </c>
      <c r="E219" s="139">
        <f>$E$73</f>
        <v>0</v>
      </c>
      <c r="F219" s="139">
        <f>Dies!$C$60</f>
        <v>17</v>
      </c>
      <c r="G219" s="273">
        <f>+D219*E219*F219</f>
        <v>0</v>
      </c>
      <c r="H219" s="273"/>
      <c r="I219" s="273"/>
      <c r="J219" s="273"/>
      <c r="K219" s="320">
        <f>$K$158</f>
        <v>0</v>
      </c>
      <c r="L219" s="491">
        <f>+K219/C219</f>
        <v>0</v>
      </c>
      <c r="M219" s="139" t="s">
        <v>90</v>
      </c>
      <c r="N219" s="139"/>
      <c r="O219" s="144">
        <f>+K219*G219</f>
        <v>0</v>
      </c>
    </row>
    <row r="220" spans="1:15" x14ac:dyDescent="0.25">
      <c r="A220" s="771" t="s">
        <v>99</v>
      </c>
      <c r="B220" s="771"/>
      <c r="C220" s="274">
        <v>6.1666699999999999</v>
      </c>
      <c r="D220" s="275">
        <v>1</v>
      </c>
      <c r="E220" s="641">
        <f>$E$74</f>
        <v>0</v>
      </c>
      <c r="F220" s="641">
        <f>Dies!$C$60</f>
        <v>17</v>
      </c>
      <c r="G220" s="276">
        <f>+D220*E220*F220</f>
        <v>0</v>
      </c>
      <c r="H220" s="276"/>
      <c r="I220" s="276"/>
      <c r="J220" s="276"/>
      <c r="K220" s="362">
        <f>$K$159</f>
        <v>0</v>
      </c>
      <c r="L220" s="642">
        <f>+K220/C220</f>
        <v>0</v>
      </c>
      <c r="M220" s="139" t="s">
        <v>90</v>
      </c>
      <c r="N220" s="641"/>
      <c r="O220" s="643">
        <f>+K220*G220</f>
        <v>0</v>
      </c>
    </row>
    <row r="221" spans="1:15" x14ac:dyDescent="0.25">
      <c r="A221" s="321"/>
      <c r="B221" s="322"/>
      <c r="C221" s="322"/>
      <c r="D221" s="322"/>
      <c r="E221" s="350" t="s">
        <v>47</v>
      </c>
      <c r="F221" s="322"/>
      <c r="G221" s="322"/>
      <c r="H221" s="322"/>
      <c r="I221" s="322"/>
      <c r="J221" s="322"/>
      <c r="K221" s="322"/>
      <c r="L221" s="322"/>
      <c r="M221" s="322"/>
      <c r="N221" s="322"/>
      <c r="O221" s="325">
        <f>SUM(O158:O220)</f>
        <v>0</v>
      </c>
    </row>
    <row r="222" spans="1:15" s="153" customFormat="1" ht="26.25" x14ac:dyDescent="0.4">
      <c r="A222" s="259" t="s">
        <v>272</v>
      </c>
      <c r="B222" s="260"/>
      <c r="C222" s="260"/>
      <c r="D222" s="261"/>
      <c r="E222" s="261"/>
      <c r="F222" s="261"/>
      <c r="G222" s="261"/>
      <c r="H222" s="261"/>
      <c r="I222" s="261"/>
      <c r="J222" s="261"/>
      <c r="K222" s="262"/>
      <c r="L222" s="262"/>
      <c r="M222" s="262"/>
      <c r="N222" s="262"/>
      <c r="O222" s="277"/>
    </row>
    <row r="223" spans="1:15" s="281" customFormat="1" x14ac:dyDescent="0.25">
      <c r="A223" s="779" t="s">
        <v>20</v>
      </c>
      <c r="B223" s="768"/>
      <c r="C223" s="768" t="s">
        <v>27</v>
      </c>
      <c r="D223" s="768" t="s">
        <v>28</v>
      </c>
      <c r="E223" s="768" t="s">
        <v>21</v>
      </c>
      <c r="F223" s="768" t="s">
        <v>23</v>
      </c>
      <c r="G223" s="768" t="s">
        <v>22</v>
      </c>
      <c r="H223" s="280"/>
      <c r="I223" s="280"/>
      <c r="J223" s="280"/>
      <c r="K223" s="768" t="s">
        <v>79</v>
      </c>
      <c r="L223" s="280"/>
      <c r="M223" s="768"/>
      <c r="N223" s="768" t="s">
        <v>80</v>
      </c>
      <c r="O223" s="766" t="s">
        <v>32</v>
      </c>
    </row>
    <row r="224" spans="1:15" s="281" customFormat="1" x14ac:dyDescent="0.25">
      <c r="A224" s="775"/>
      <c r="B224" s="769"/>
      <c r="C224" s="769" t="s">
        <v>44</v>
      </c>
      <c r="D224" s="769" t="s">
        <v>5</v>
      </c>
      <c r="E224" s="769" t="s">
        <v>24</v>
      </c>
      <c r="F224" s="769" t="s">
        <v>81</v>
      </c>
      <c r="G224" s="769" t="s">
        <v>82</v>
      </c>
      <c r="H224" s="282"/>
      <c r="I224" s="282"/>
      <c r="J224" s="282"/>
      <c r="K224" s="769" t="s">
        <v>28</v>
      </c>
      <c r="L224" s="282"/>
      <c r="M224" s="769"/>
      <c r="N224" s="769" t="s">
        <v>83</v>
      </c>
      <c r="O224" s="767" t="s">
        <v>40</v>
      </c>
    </row>
    <row r="225" spans="1:15" x14ac:dyDescent="0.25">
      <c r="A225" s="733" t="s">
        <v>308</v>
      </c>
      <c r="B225" s="733"/>
      <c r="C225" s="137">
        <v>6.1666699999999999</v>
      </c>
      <c r="D225" s="138">
        <v>1</v>
      </c>
      <c r="E225" s="139">
        <v>1</v>
      </c>
      <c r="F225" s="283">
        <f>Inversions!H6</f>
        <v>73670.5</v>
      </c>
      <c r="G225" s="273">
        <v>8</v>
      </c>
      <c r="H225" s="273"/>
      <c r="I225" s="273"/>
      <c r="J225" s="273"/>
      <c r="K225" s="284">
        <f>Paràmetres!$C$4</f>
        <v>0</v>
      </c>
      <c r="L225" s="284"/>
      <c r="M225" s="139"/>
      <c r="N225" s="140">
        <f>-12*PMT(K225/12,G225*12,F225)</f>
        <v>9208.8125</v>
      </c>
      <c r="O225" s="144">
        <f>E225*N225</f>
        <v>9208.8125</v>
      </c>
    </row>
    <row r="226" spans="1:15" x14ac:dyDescent="0.25">
      <c r="A226" s="733" t="s">
        <v>307</v>
      </c>
      <c r="B226" s="733"/>
      <c r="C226" s="137">
        <v>6.1666699999999999</v>
      </c>
      <c r="D226" s="138">
        <v>1</v>
      </c>
      <c r="E226" s="139">
        <v>1</v>
      </c>
      <c r="F226" s="283">
        <f>Inversions!H7</f>
        <v>73670.5</v>
      </c>
      <c r="G226" s="273">
        <v>8</v>
      </c>
      <c r="H226" s="273"/>
      <c r="I226" s="273"/>
      <c r="J226" s="273"/>
      <c r="K226" s="284">
        <f>Paràmetres!$C$4</f>
        <v>0</v>
      </c>
      <c r="L226" s="284"/>
      <c r="M226" s="139"/>
      <c r="N226" s="140">
        <f>-12*PMT(K226/12,G226*12,F226)</f>
        <v>9208.8125</v>
      </c>
      <c r="O226" s="144">
        <f t="shared" ref="O226:O227" si="26">E226*N226</f>
        <v>9208.8125</v>
      </c>
    </row>
    <row r="227" spans="1:15" x14ac:dyDescent="0.25">
      <c r="A227" s="733" t="s">
        <v>310</v>
      </c>
      <c r="B227" s="733"/>
      <c r="C227" s="137">
        <v>6.1666699999999999</v>
      </c>
      <c r="D227" s="138">
        <v>1</v>
      </c>
      <c r="E227" s="139">
        <v>1</v>
      </c>
      <c r="F227" s="283">
        <f>Inversions!H8</f>
        <v>130258.49</v>
      </c>
      <c r="G227" s="273">
        <v>8</v>
      </c>
      <c r="H227" s="273"/>
      <c r="I227" s="273"/>
      <c r="J227" s="273"/>
      <c r="K227" s="284">
        <f>Paràmetres!$C$4</f>
        <v>0</v>
      </c>
      <c r="L227" s="284"/>
      <c r="M227" s="139"/>
      <c r="N227" s="140">
        <f>-12*PMT(K227/12,G227*12,F227)</f>
        <v>16282.311249999999</v>
      </c>
      <c r="O227" s="144">
        <f t="shared" si="26"/>
        <v>16282.311249999999</v>
      </c>
    </row>
    <row r="228" spans="1:15" x14ac:dyDescent="0.25">
      <c r="A228" s="733" t="s">
        <v>309</v>
      </c>
      <c r="B228" s="733"/>
      <c r="C228" s="137">
        <v>6.1666699999999999</v>
      </c>
      <c r="D228" s="138">
        <v>1</v>
      </c>
      <c r="E228" s="139">
        <v>2</v>
      </c>
      <c r="F228" s="283">
        <f>Inversions!H9</f>
        <v>0</v>
      </c>
      <c r="G228" s="273">
        <v>8</v>
      </c>
      <c r="H228" s="273"/>
      <c r="I228" s="273"/>
      <c r="J228" s="273"/>
      <c r="K228" s="284">
        <f>Paràmetres!$C$4</f>
        <v>0</v>
      </c>
      <c r="L228" s="284"/>
      <c r="M228" s="139"/>
      <c r="N228" s="140">
        <f>-12*PMT(K228/12,G228*12,F228)</f>
        <v>0</v>
      </c>
      <c r="O228" s="144">
        <f>E228*N228</f>
        <v>0</v>
      </c>
    </row>
    <row r="229" spans="1:15" s="281" customFormat="1" x14ac:dyDescent="0.25">
      <c r="A229" s="321"/>
      <c r="B229" s="322"/>
      <c r="C229" s="322"/>
      <c r="D229" s="322"/>
      <c r="E229" s="350"/>
      <c r="F229" s="350" t="s">
        <v>84</v>
      </c>
      <c r="G229" s="322"/>
      <c r="H229" s="322"/>
      <c r="I229" s="322"/>
      <c r="J229" s="322"/>
      <c r="K229" s="322"/>
      <c r="L229" s="322"/>
      <c r="M229" s="322"/>
      <c r="N229" s="322"/>
      <c r="O229" s="325">
        <f>SUM(O225:O228)</f>
        <v>34699.936249999999</v>
      </c>
    </row>
    <row r="230" spans="1:15" s="5" customFormat="1" ht="26.25" x14ac:dyDescent="0.4">
      <c r="A230" s="285" t="s">
        <v>213</v>
      </c>
      <c r="B230" s="286"/>
      <c r="C230" s="286"/>
      <c r="D230" s="287"/>
      <c r="E230" s="287"/>
      <c r="F230" s="287"/>
      <c r="G230" s="287"/>
      <c r="H230" s="287"/>
      <c r="I230" s="287"/>
      <c r="J230" s="287"/>
      <c r="K230" s="288"/>
      <c r="L230" s="288"/>
      <c r="M230" s="288"/>
      <c r="N230" s="288"/>
      <c r="O230" s="289"/>
    </row>
    <row r="231" spans="1:15" s="281" customFormat="1" x14ac:dyDescent="0.25">
      <c r="A231" s="758" t="s">
        <v>20</v>
      </c>
      <c r="B231" s="759"/>
      <c r="C231" s="290" t="s">
        <v>27</v>
      </c>
      <c r="D231" s="290" t="s">
        <v>28</v>
      </c>
      <c r="E231" s="290" t="s">
        <v>21</v>
      </c>
      <c r="F231" s="290"/>
      <c r="G231" s="290"/>
      <c r="H231" s="290"/>
      <c r="I231" s="290"/>
      <c r="J231" s="290"/>
      <c r="K231" s="290" t="s">
        <v>100</v>
      </c>
      <c r="L231" s="290"/>
      <c r="M231" s="290"/>
      <c r="N231" s="290"/>
      <c r="O231" s="291" t="s">
        <v>32</v>
      </c>
    </row>
    <row r="232" spans="1:15" s="281" customFormat="1" x14ac:dyDescent="0.25">
      <c r="A232" s="760"/>
      <c r="B232" s="761"/>
      <c r="C232" s="292" t="s">
        <v>44</v>
      </c>
      <c r="D232" s="292" t="s">
        <v>5</v>
      </c>
      <c r="E232" s="292" t="s">
        <v>24</v>
      </c>
      <c r="F232" s="293"/>
      <c r="G232" s="292"/>
      <c r="H232" s="292"/>
      <c r="I232" s="292"/>
      <c r="J232" s="292"/>
      <c r="K232" s="292" t="s">
        <v>101</v>
      </c>
      <c r="L232" s="292"/>
      <c r="M232" s="292"/>
      <c r="N232" s="292"/>
      <c r="O232" s="294" t="s">
        <v>40</v>
      </c>
    </row>
    <row r="233" spans="1:15" s="281" customFormat="1" x14ac:dyDescent="0.25">
      <c r="A233" s="733" t="s">
        <v>308</v>
      </c>
      <c r="B233" s="733"/>
      <c r="C233" s="137">
        <v>6.1666699999999999</v>
      </c>
      <c r="D233" s="138">
        <v>1</v>
      </c>
      <c r="E233" s="139">
        <v>1</v>
      </c>
      <c r="F233" s="353"/>
      <c r="G233" s="353"/>
      <c r="H233" s="353"/>
      <c r="I233" s="353"/>
      <c r="J233" s="353"/>
      <c r="K233" s="358">
        <f>'Seguro+combustible+reparacions'!E5*D233</f>
        <v>0</v>
      </c>
      <c r="O233" s="253">
        <f t="shared" ref="O233:O235" si="27">E233*K233</f>
        <v>0</v>
      </c>
    </row>
    <row r="234" spans="1:15" s="281" customFormat="1" x14ac:dyDescent="0.25">
      <c r="A234" s="733" t="s">
        <v>307</v>
      </c>
      <c r="B234" s="733"/>
      <c r="C234" s="137">
        <v>6.1666699999999999</v>
      </c>
      <c r="D234" s="138">
        <v>1</v>
      </c>
      <c r="E234" s="139">
        <v>1</v>
      </c>
      <c r="F234" s="302"/>
      <c r="G234" s="303"/>
      <c r="H234" s="303"/>
      <c r="I234" s="303"/>
      <c r="J234" s="303"/>
      <c r="K234" s="358">
        <f>'Seguro+combustible+reparacions'!E5*D234</f>
        <v>0</v>
      </c>
      <c r="L234" s="354"/>
      <c r="M234" s="355"/>
      <c r="N234" s="356"/>
      <c r="O234" s="253">
        <f t="shared" si="27"/>
        <v>0</v>
      </c>
    </row>
    <row r="235" spans="1:15" s="281" customFormat="1" x14ac:dyDescent="0.25">
      <c r="A235" s="733" t="s">
        <v>310</v>
      </c>
      <c r="B235" s="733"/>
      <c r="C235" s="137">
        <v>6.1666699999999999</v>
      </c>
      <c r="D235" s="138">
        <v>1</v>
      </c>
      <c r="E235" s="139">
        <v>1</v>
      </c>
      <c r="F235" s="302"/>
      <c r="G235" s="303"/>
      <c r="H235" s="303"/>
      <c r="I235" s="303"/>
      <c r="J235" s="303"/>
      <c r="K235" s="358">
        <f>'Seguro+combustible+reparacions'!E5*D235</f>
        <v>0</v>
      </c>
      <c r="L235" s="354"/>
      <c r="M235" s="355"/>
      <c r="N235" s="356"/>
      <c r="O235" s="253">
        <f t="shared" si="27"/>
        <v>0</v>
      </c>
    </row>
    <row r="236" spans="1:15" s="281" customFormat="1" x14ac:dyDescent="0.25">
      <c r="A236" s="733" t="s">
        <v>309</v>
      </c>
      <c r="B236" s="733"/>
      <c r="C236" s="274">
        <v>6.1666699999999999</v>
      </c>
      <c r="D236" s="275">
        <v>1</v>
      </c>
      <c r="E236" s="357">
        <v>2</v>
      </c>
      <c r="F236" s="302"/>
      <c r="G236" s="303"/>
      <c r="H236" s="303"/>
      <c r="I236" s="303"/>
      <c r="J236" s="303"/>
      <c r="K236" s="358">
        <f>'Seguro+combustible+reparacions'!E5*D236</f>
        <v>0</v>
      </c>
      <c r="L236" s="358"/>
      <c r="M236" s="359"/>
      <c r="N236" s="360"/>
      <c r="O236" s="253">
        <f>E236*K236</f>
        <v>0</v>
      </c>
    </row>
    <row r="237" spans="1:15" s="281" customFormat="1" x14ac:dyDescent="0.25">
      <c r="A237" s="780"/>
      <c r="B237" s="781"/>
      <c r="C237" s="255"/>
      <c r="D237" s="255"/>
      <c r="E237" s="256"/>
      <c r="F237" s="256" t="s">
        <v>85</v>
      </c>
      <c r="G237" s="255"/>
      <c r="H237" s="255"/>
      <c r="I237" s="255"/>
      <c r="J237" s="255"/>
      <c r="K237" s="255"/>
      <c r="L237" s="255"/>
      <c r="M237" s="255"/>
      <c r="N237" s="255"/>
      <c r="O237" s="257">
        <f>SUM(O233:O236)</f>
        <v>0</v>
      </c>
    </row>
    <row r="238" spans="1:15" s="281" customFormat="1" ht="26.25" x14ac:dyDescent="0.4">
      <c r="A238" s="285" t="s">
        <v>420</v>
      </c>
      <c r="B238" s="286"/>
      <c r="C238" s="286"/>
      <c r="D238" s="287"/>
      <c r="E238" s="287"/>
      <c r="F238" s="287"/>
      <c r="G238" s="287"/>
      <c r="H238" s="287"/>
      <c r="I238" s="287"/>
      <c r="J238" s="287"/>
      <c r="K238" s="288"/>
      <c r="L238" s="288"/>
      <c r="M238" s="288"/>
      <c r="N238" s="288"/>
      <c r="O238" s="289"/>
    </row>
    <row r="239" spans="1:15" s="281" customFormat="1" x14ac:dyDescent="0.25">
      <c r="A239" s="758" t="s">
        <v>225</v>
      </c>
      <c r="B239" s="759"/>
      <c r="C239" s="290"/>
      <c r="D239" s="290" t="s">
        <v>28</v>
      </c>
      <c r="E239" s="290"/>
      <c r="F239" s="290"/>
      <c r="G239" s="290"/>
      <c r="H239" s="290"/>
      <c r="I239" s="290"/>
      <c r="J239" s="290"/>
      <c r="K239" s="290" t="s">
        <v>100</v>
      </c>
      <c r="L239" s="290"/>
      <c r="M239" s="290"/>
      <c r="N239" s="290"/>
      <c r="O239" s="291" t="s">
        <v>32</v>
      </c>
    </row>
    <row r="240" spans="1:15" s="281" customFormat="1" x14ac:dyDescent="0.25">
      <c r="A240" s="760"/>
      <c r="B240" s="761"/>
      <c r="C240" s="292"/>
      <c r="D240" s="292" t="s">
        <v>5</v>
      </c>
      <c r="E240" s="290" t="s">
        <v>21</v>
      </c>
      <c r="F240" s="293"/>
      <c r="G240" s="292"/>
      <c r="H240" s="292"/>
      <c r="I240" s="292"/>
      <c r="J240" s="292"/>
      <c r="K240" s="292" t="s">
        <v>238</v>
      </c>
      <c r="L240" s="292"/>
      <c r="M240" s="292"/>
      <c r="N240" s="292"/>
      <c r="O240" s="294" t="s">
        <v>40</v>
      </c>
    </row>
    <row r="241" spans="1:15" s="281" customFormat="1" x14ac:dyDescent="0.25">
      <c r="A241" s="733" t="s">
        <v>245</v>
      </c>
      <c r="B241" s="733"/>
      <c r="C241" s="137"/>
      <c r="D241" s="138">
        <v>1</v>
      </c>
      <c r="E241" s="650">
        <f>I75</f>
        <v>0</v>
      </c>
      <c r="F241" s="373"/>
      <c r="G241" s="372"/>
      <c r="H241" s="372"/>
      <c r="I241" s="372"/>
      <c r="J241" s="372"/>
      <c r="K241" s="650">
        <f>Consumibles!E46</f>
        <v>0</v>
      </c>
      <c r="L241" s="304"/>
      <c r="M241" s="372"/>
      <c r="N241" s="373"/>
      <c r="O241" s="144">
        <f>E241*K241</f>
        <v>0</v>
      </c>
    </row>
    <row r="242" spans="1:15" s="281" customFormat="1" x14ac:dyDescent="0.25">
      <c r="A242" s="733" t="s">
        <v>226</v>
      </c>
      <c r="B242" s="733"/>
      <c r="C242" s="137"/>
      <c r="D242" s="138">
        <v>1</v>
      </c>
      <c r="E242" s="372">
        <v>1900</v>
      </c>
      <c r="F242" s="373"/>
      <c r="G242" s="372"/>
      <c r="H242" s="372"/>
      <c r="I242" s="372"/>
      <c r="J242" s="372"/>
      <c r="K242" s="650">
        <f>Consumibles!E21</f>
        <v>0</v>
      </c>
      <c r="L242" s="304"/>
      <c r="M242" s="372"/>
      <c r="N242" s="373"/>
      <c r="O242" s="144">
        <f>E242*K242</f>
        <v>0</v>
      </c>
    </row>
    <row r="243" spans="1:15" s="281" customFormat="1" x14ac:dyDescent="0.25">
      <c r="A243" s="733" t="s">
        <v>237</v>
      </c>
      <c r="B243" s="733"/>
      <c r="C243" s="137"/>
      <c r="D243" s="138">
        <v>1</v>
      </c>
      <c r="E243" s="372">
        <v>150</v>
      </c>
      <c r="F243" s="373"/>
      <c r="G243" s="372"/>
      <c r="H243" s="372"/>
      <c r="I243" s="372"/>
      <c r="J243" s="372"/>
      <c r="K243" s="650">
        <f>Consumibles!E22</f>
        <v>0</v>
      </c>
      <c r="L243" s="304"/>
      <c r="M243" s="372"/>
      <c r="N243" s="373"/>
      <c r="O243" s="144">
        <f t="shared" ref="O243:O249" si="28">E243*K243</f>
        <v>0</v>
      </c>
    </row>
    <row r="244" spans="1:15" s="281" customFormat="1" x14ac:dyDescent="0.25">
      <c r="A244" s="733" t="s">
        <v>234</v>
      </c>
      <c r="B244" s="733"/>
      <c r="C244" s="137"/>
      <c r="D244" s="138">
        <v>1</v>
      </c>
      <c r="E244" s="372">
        <v>50</v>
      </c>
      <c r="F244" s="373"/>
      <c r="G244" s="372"/>
      <c r="H244" s="372"/>
      <c r="I244" s="372"/>
      <c r="J244" s="372"/>
      <c r="K244" s="650">
        <f>Consumibles!E23</f>
        <v>0</v>
      </c>
      <c r="L244" s="304"/>
      <c r="M244" s="372"/>
      <c r="N244" s="373"/>
      <c r="O244" s="144">
        <f t="shared" si="28"/>
        <v>0</v>
      </c>
    </row>
    <row r="245" spans="1:15" s="281" customFormat="1" x14ac:dyDescent="0.25">
      <c r="A245" s="733" t="s">
        <v>235</v>
      </c>
      <c r="B245" s="733"/>
      <c r="C245" s="137"/>
      <c r="D245" s="138">
        <v>1</v>
      </c>
      <c r="E245" s="372">
        <v>0</v>
      </c>
      <c r="F245" s="373"/>
      <c r="G245" s="372"/>
      <c r="H245" s="372"/>
      <c r="I245" s="372"/>
      <c r="J245" s="372"/>
      <c r="K245" s="650">
        <f>Consumibles!E24</f>
        <v>0</v>
      </c>
      <c r="L245" s="304"/>
      <c r="M245" s="372"/>
      <c r="N245" s="373"/>
      <c r="O245" s="144">
        <f t="shared" si="28"/>
        <v>0</v>
      </c>
    </row>
    <row r="246" spans="1:15" s="281" customFormat="1" x14ac:dyDescent="0.25">
      <c r="A246" s="733" t="s">
        <v>236</v>
      </c>
      <c r="B246" s="733"/>
      <c r="C246" s="137"/>
      <c r="D246" s="138">
        <v>1</v>
      </c>
      <c r="E246" s="372">
        <v>20</v>
      </c>
      <c r="F246" s="373"/>
      <c r="G246" s="372"/>
      <c r="H246" s="372"/>
      <c r="I246" s="372"/>
      <c r="J246" s="372"/>
      <c r="K246" s="650">
        <f>Consumibles!E25</f>
        <v>0</v>
      </c>
      <c r="L246" s="304"/>
      <c r="M246" s="372"/>
      <c r="N246" s="373"/>
      <c r="O246" s="144">
        <f t="shared" si="28"/>
        <v>0</v>
      </c>
    </row>
    <row r="247" spans="1:15" s="281" customFormat="1" x14ac:dyDescent="0.25">
      <c r="A247" s="733" t="s">
        <v>306</v>
      </c>
      <c r="B247" s="733"/>
      <c r="C247" s="137"/>
      <c r="D247" s="138">
        <v>1</v>
      </c>
      <c r="E247" s="372">
        <v>2</v>
      </c>
      <c r="F247" s="373"/>
      <c r="G247" s="372"/>
      <c r="H247" s="372"/>
      <c r="I247" s="372"/>
      <c r="J247" s="372"/>
      <c r="K247" s="650">
        <f>Consumibles!E5</f>
        <v>0</v>
      </c>
      <c r="L247" s="304"/>
      <c r="M247" s="372"/>
      <c r="N247" s="373"/>
      <c r="O247" s="144">
        <f t="shared" si="28"/>
        <v>0</v>
      </c>
    </row>
    <row r="248" spans="1:15" s="281" customFormat="1" x14ac:dyDescent="0.25">
      <c r="A248" s="635" t="s">
        <v>416</v>
      </c>
      <c r="B248" s="635"/>
      <c r="C248" s="137"/>
      <c r="D248" s="138">
        <v>1</v>
      </c>
      <c r="E248" s="372">
        <v>2</v>
      </c>
      <c r="F248" s="373"/>
      <c r="G248" s="372"/>
      <c r="H248" s="372"/>
      <c r="I248" s="372"/>
      <c r="J248" s="372"/>
      <c r="K248" s="650">
        <f>Consumibles!E4</f>
        <v>0</v>
      </c>
      <c r="L248" s="304"/>
      <c r="M248" s="372"/>
      <c r="N248" s="373"/>
      <c r="O248" s="144">
        <f t="shared" si="28"/>
        <v>0</v>
      </c>
    </row>
    <row r="249" spans="1:15" s="281" customFormat="1" x14ac:dyDescent="0.25">
      <c r="A249" s="635" t="s">
        <v>229</v>
      </c>
      <c r="B249" s="635"/>
      <c r="C249" s="137"/>
      <c r="D249" s="138">
        <v>1</v>
      </c>
      <c r="E249" s="372">
        <v>2</v>
      </c>
      <c r="F249" s="373"/>
      <c r="G249" s="372"/>
      <c r="H249" s="372"/>
      <c r="I249" s="372"/>
      <c r="J249" s="372"/>
      <c r="K249" s="650">
        <f>Consumibles!E6</f>
        <v>0</v>
      </c>
      <c r="L249" s="304"/>
      <c r="M249" s="372"/>
      <c r="N249" s="373"/>
      <c r="O249" s="144">
        <f t="shared" si="28"/>
        <v>0</v>
      </c>
    </row>
    <row r="250" spans="1:15" s="281" customFormat="1" x14ac:dyDescent="0.25">
      <c r="A250" s="254"/>
      <c r="B250" s="255"/>
      <c r="C250" s="255"/>
      <c r="D250" s="255"/>
      <c r="E250" s="256"/>
      <c r="F250" s="256" t="s">
        <v>224</v>
      </c>
      <c r="G250" s="255"/>
      <c r="H250" s="255"/>
      <c r="I250" s="255"/>
      <c r="J250" s="255"/>
      <c r="K250" s="255"/>
      <c r="L250" s="255"/>
      <c r="M250" s="255"/>
      <c r="N250" s="255"/>
      <c r="O250" s="257">
        <f>SUM(O241:O249)</f>
        <v>0</v>
      </c>
    </row>
    <row r="251" spans="1:15" x14ac:dyDescent="0.25">
      <c r="A251" s="218"/>
      <c r="B251" s="218"/>
      <c r="C251" s="218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</row>
    <row r="252" spans="1:15" x14ac:dyDescent="0.25">
      <c r="A252" s="218"/>
      <c r="B252" s="218"/>
      <c r="C252" s="218"/>
      <c r="D252" s="218"/>
      <c r="E252" s="218"/>
      <c r="F252" s="307" t="s">
        <v>271</v>
      </c>
      <c r="G252" s="308"/>
      <c r="H252" s="308"/>
      <c r="I252" s="308"/>
      <c r="J252" s="308"/>
      <c r="K252" s="308"/>
      <c r="L252" s="308"/>
      <c r="M252" s="316"/>
      <c r="N252" s="316"/>
      <c r="O252" s="317">
        <f>O75+O151+O221+O237+O250</f>
        <v>0</v>
      </c>
    </row>
    <row r="253" spans="1:15" x14ac:dyDescent="0.25">
      <c r="A253" s="218"/>
      <c r="B253" s="218"/>
      <c r="C253" s="218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310"/>
    </row>
    <row r="254" spans="1:15" x14ac:dyDescent="0.25">
      <c r="A254" s="218"/>
      <c r="B254" s="218"/>
      <c r="C254" s="218"/>
      <c r="D254" s="218"/>
      <c r="E254" s="218"/>
      <c r="F254" s="311" t="s">
        <v>3</v>
      </c>
      <c r="G254" s="312"/>
      <c r="H254" s="312"/>
      <c r="I254" s="312"/>
      <c r="J254" s="312"/>
      <c r="K254" s="312"/>
      <c r="L254" s="312"/>
      <c r="M254" s="652">
        <f>Paràmetres!C6</f>
        <v>0</v>
      </c>
      <c r="N254" s="312"/>
      <c r="O254" s="313">
        <f>+O252*M254</f>
        <v>0</v>
      </c>
    </row>
    <row r="255" spans="1:15" x14ac:dyDescent="0.25">
      <c r="A255" s="218"/>
      <c r="B255" s="218"/>
      <c r="C255" s="218"/>
      <c r="D255" s="218"/>
      <c r="E255" s="218"/>
      <c r="F255" s="312"/>
      <c r="G255" s="312"/>
      <c r="H255" s="312"/>
      <c r="I255" s="312"/>
      <c r="J255" s="312"/>
      <c r="K255" s="312"/>
      <c r="L255" s="312"/>
      <c r="M255" s="652"/>
      <c r="N255" s="312"/>
      <c r="O255" s="313"/>
    </row>
    <row r="256" spans="1:15" x14ac:dyDescent="0.25">
      <c r="A256" s="218"/>
      <c r="B256" s="218"/>
      <c r="C256" s="218"/>
      <c r="D256" s="218"/>
      <c r="E256" s="218"/>
      <c r="F256" s="311" t="s">
        <v>2</v>
      </c>
      <c r="G256" s="312"/>
      <c r="H256" s="312"/>
      <c r="I256" s="312"/>
      <c r="J256" s="312"/>
      <c r="K256" s="312"/>
      <c r="L256" s="312"/>
      <c r="M256" s="652">
        <f>Paràmetres!C5</f>
        <v>0</v>
      </c>
      <c r="N256" s="312"/>
      <c r="O256" s="313">
        <f>+O252*M256</f>
        <v>0</v>
      </c>
    </row>
    <row r="257" spans="1:15" x14ac:dyDescent="0.25">
      <c r="A257" s="218"/>
      <c r="B257" s="218"/>
      <c r="C257" s="218"/>
      <c r="D257" s="218"/>
      <c r="E257" s="218"/>
      <c r="F257" s="312"/>
      <c r="G257" s="312"/>
      <c r="H257" s="312"/>
      <c r="I257" s="312"/>
      <c r="J257" s="312"/>
      <c r="K257" s="312"/>
      <c r="L257" s="312"/>
      <c r="M257" s="314"/>
      <c r="N257" s="312"/>
      <c r="O257" s="313"/>
    </row>
    <row r="258" spans="1:15" x14ac:dyDescent="0.25">
      <c r="A258" s="218"/>
      <c r="B258" s="218"/>
      <c r="C258" s="218"/>
      <c r="D258" s="218"/>
      <c r="E258" s="218"/>
      <c r="F258" s="311" t="s">
        <v>48</v>
      </c>
      <c r="G258" s="312"/>
      <c r="H258" s="312"/>
      <c r="I258" s="312"/>
      <c r="J258" s="312"/>
      <c r="K258" s="312"/>
      <c r="L258" s="312"/>
      <c r="M258" s="314"/>
      <c r="N258" s="312"/>
      <c r="O258" s="313">
        <f>+O252*M258</f>
        <v>0</v>
      </c>
    </row>
    <row r="259" spans="1:15" x14ac:dyDescent="0.25">
      <c r="A259" s="218"/>
      <c r="B259" s="218"/>
      <c r="C259" s="218"/>
      <c r="D259" s="218"/>
      <c r="E259" s="218"/>
      <c r="F259" s="312"/>
      <c r="G259" s="312"/>
      <c r="H259" s="312"/>
      <c r="I259" s="312"/>
      <c r="J259" s="312"/>
      <c r="K259" s="312"/>
      <c r="L259" s="312"/>
      <c r="M259" s="314"/>
      <c r="N259" s="312"/>
      <c r="O259" s="313"/>
    </row>
    <row r="260" spans="1:15" x14ac:dyDescent="0.25">
      <c r="A260" s="218"/>
      <c r="B260" s="218"/>
      <c r="C260" s="218"/>
      <c r="D260" s="218"/>
      <c r="E260" s="218"/>
      <c r="F260" s="311" t="s">
        <v>76</v>
      </c>
      <c r="G260" s="312"/>
      <c r="H260" s="312"/>
      <c r="I260" s="312"/>
      <c r="J260" s="312"/>
      <c r="K260" s="312"/>
      <c r="L260" s="312"/>
      <c r="M260" s="314"/>
      <c r="N260" s="312"/>
      <c r="O260" s="313">
        <f>+O252*M260</f>
        <v>0</v>
      </c>
    </row>
    <row r="261" spans="1:15" x14ac:dyDescent="0.25">
      <c r="A261" s="218"/>
      <c r="B261" s="218"/>
      <c r="C261" s="218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310"/>
    </row>
    <row r="262" spans="1:15" x14ac:dyDescent="0.25">
      <c r="A262" s="218"/>
      <c r="B262" s="218"/>
      <c r="C262" s="218"/>
      <c r="D262" s="218"/>
      <c r="E262" s="218"/>
      <c r="F262" s="315" t="s">
        <v>270</v>
      </c>
      <c r="G262" s="316"/>
      <c r="H262" s="316"/>
      <c r="I262" s="316"/>
      <c r="J262" s="316"/>
      <c r="K262" s="316"/>
      <c r="L262" s="316"/>
      <c r="M262" s="316"/>
      <c r="N262" s="316"/>
      <c r="O262" s="317">
        <f>SUM(O252:O260)+O229</f>
        <v>34699.936249999999</v>
      </c>
    </row>
    <row r="263" spans="1:15" x14ac:dyDescent="0.25">
      <c r="A263" s="218"/>
      <c r="B263" s="218"/>
      <c r="C263" s="218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310"/>
    </row>
    <row r="264" spans="1:15" x14ac:dyDescent="0.25">
      <c r="A264" s="218"/>
      <c r="B264" s="218"/>
      <c r="C264" s="218"/>
      <c r="D264" s="218"/>
      <c r="E264" s="218"/>
      <c r="F264" s="311" t="s">
        <v>4</v>
      </c>
      <c r="G264" s="312"/>
      <c r="H264" s="312"/>
      <c r="I264" s="312"/>
      <c r="J264" s="312"/>
      <c r="K264" s="312"/>
      <c r="L264" s="312"/>
      <c r="M264" s="314">
        <v>0.1</v>
      </c>
      <c r="N264" s="312"/>
      <c r="O264" s="313">
        <f>+O262*M264</f>
        <v>3469.9936250000001</v>
      </c>
    </row>
    <row r="265" spans="1:15" x14ac:dyDescent="0.25">
      <c r="A265" s="218"/>
      <c r="B265" s="218"/>
      <c r="C265" s="218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310"/>
    </row>
    <row r="266" spans="1:15" x14ac:dyDescent="0.25">
      <c r="A266" s="218"/>
      <c r="B266" s="218"/>
      <c r="C266" s="218"/>
      <c r="D266" s="218"/>
      <c r="E266" s="218"/>
      <c r="F266" s="315" t="s">
        <v>49</v>
      </c>
      <c r="G266" s="316"/>
      <c r="H266" s="316"/>
      <c r="I266" s="316"/>
      <c r="J266" s="316"/>
      <c r="K266" s="316"/>
      <c r="L266" s="316"/>
      <c r="M266" s="316"/>
      <c r="N266" s="316"/>
      <c r="O266" s="317">
        <f>+O262+O264</f>
        <v>38169.929875000002</v>
      </c>
    </row>
    <row r="267" spans="1:15" x14ac:dyDescent="0.25">
      <c r="A267" s="218"/>
      <c r="B267" s="218"/>
      <c r="C267" s="218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</row>
    <row r="268" spans="1:15" x14ac:dyDescent="0.25">
      <c r="A268" s="218"/>
      <c r="B268" s="218"/>
      <c r="C268" s="218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8"/>
    </row>
    <row r="269" spans="1:15" x14ac:dyDescent="0.25">
      <c r="A269" s="218"/>
      <c r="B269" s="218"/>
      <c r="C269" s="218"/>
      <c r="D269" s="218"/>
      <c r="E269" s="218"/>
      <c r="F269" s="315" t="s">
        <v>50</v>
      </c>
      <c r="G269" s="316"/>
      <c r="H269" s="316"/>
      <c r="I269" s="316"/>
      <c r="J269" s="316"/>
      <c r="K269" s="316"/>
      <c r="L269" s="316"/>
      <c r="M269" s="316"/>
      <c r="N269" s="316"/>
      <c r="O269" s="317" t="s">
        <v>51</v>
      </c>
    </row>
    <row r="270" spans="1:15" x14ac:dyDescent="0.25">
      <c r="A270" s="218"/>
      <c r="B270" s="218"/>
      <c r="C270" s="218"/>
      <c r="D270" s="218"/>
      <c r="E270" s="218"/>
      <c r="F270" s="218"/>
      <c r="G270" s="218"/>
      <c r="H270" s="218"/>
      <c r="I270" s="218"/>
      <c r="J270" s="218"/>
      <c r="K270" s="218"/>
      <c r="L270" s="218"/>
      <c r="M270" s="218"/>
      <c r="N270" s="218"/>
      <c r="O270" s="218"/>
    </row>
    <row r="271" spans="1:15" x14ac:dyDescent="0.25">
      <c r="A271" s="218"/>
      <c r="B271" s="218"/>
      <c r="C271" s="218"/>
      <c r="D271" s="218"/>
      <c r="E271" s="218"/>
      <c r="F271" s="218" t="s">
        <v>52</v>
      </c>
      <c r="G271" s="218"/>
      <c r="H271" s="218"/>
      <c r="I271" s="218"/>
      <c r="J271" s="218"/>
      <c r="K271" s="218"/>
      <c r="L271" s="218"/>
      <c r="M271" s="218"/>
      <c r="N271" s="218"/>
      <c r="O271" s="313">
        <f>+O75*(1+M254+M256)*(1+M264)</f>
        <v>0</v>
      </c>
    </row>
    <row r="272" spans="1:15" x14ac:dyDescent="0.25">
      <c r="A272" s="218"/>
      <c r="B272" s="218"/>
      <c r="C272" s="218"/>
      <c r="D272" s="218"/>
      <c r="E272" s="218"/>
      <c r="F272" s="218" t="s">
        <v>53</v>
      </c>
      <c r="G272" s="218"/>
      <c r="H272" s="218"/>
      <c r="I272" s="218"/>
      <c r="J272" s="218"/>
      <c r="K272" s="218"/>
      <c r="L272" s="218"/>
      <c r="M272" s="218"/>
      <c r="N272" s="218"/>
      <c r="O272" s="313">
        <f>+(O151+O221)*(1+M254+M256)*(1+M264)</f>
        <v>0</v>
      </c>
    </row>
    <row r="273" spans="1:15" x14ac:dyDescent="0.25">
      <c r="A273" s="218"/>
      <c r="B273" s="218"/>
      <c r="C273" s="218"/>
      <c r="D273" s="218"/>
      <c r="E273" s="218"/>
      <c r="F273" s="218" t="s">
        <v>54</v>
      </c>
      <c r="G273" s="218"/>
      <c r="H273" s="218"/>
      <c r="I273" s="218"/>
      <c r="J273" s="218"/>
      <c r="K273" s="218"/>
      <c r="L273" s="218"/>
      <c r="M273" s="218"/>
      <c r="N273" s="218"/>
      <c r="O273" s="313"/>
    </row>
    <row r="274" spans="1:15" x14ac:dyDescent="0.25">
      <c r="A274" s="218"/>
      <c r="B274" s="218"/>
      <c r="C274" s="218"/>
      <c r="D274" s="218"/>
      <c r="E274" s="218"/>
      <c r="F274" s="311" t="s">
        <v>55</v>
      </c>
      <c r="G274" s="312"/>
      <c r="H274" s="312"/>
      <c r="I274" s="312"/>
      <c r="J274" s="312"/>
      <c r="K274" s="312"/>
      <c r="L274" s="312"/>
      <c r="M274" s="312"/>
      <c r="N274" s="312"/>
      <c r="O274" s="313">
        <f>G75</f>
        <v>0</v>
      </c>
    </row>
    <row r="275" spans="1:15" x14ac:dyDescent="0.25">
      <c r="A275" s="218"/>
      <c r="B275" s="218"/>
      <c r="C275" s="218"/>
      <c r="D275" s="218"/>
      <c r="E275" s="218"/>
      <c r="F275" s="311" t="s">
        <v>56</v>
      </c>
      <c r="G275" s="312"/>
      <c r="H275" s="312"/>
      <c r="I275" s="312"/>
      <c r="J275" s="312"/>
      <c r="K275" s="312"/>
      <c r="L275" s="312"/>
      <c r="M275" s="312"/>
      <c r="N275" s="312"/>
      <c r="O275" s="313">
        <f>+O274*6.16667</f>
        <v>0</v>
      </c>
    </row>
    <row r="276" spans="1:15" x14ac:dyDescent="0.25">
      <c r="A276" s="218"/>
      <c r="B276" s="218"/>
      <c r="C276" s="218"/>
      <c r="D276" s="218"/>
      <c r="E276" s="218"/>
      <c r="F276" s="218" t="s">
        <v>57</v>
      </c>
      <c r="G276" s="218"/>
      <c r="H276" s="218"/>
      <c r="I276" s="218"/>
      <c r="J276" s="218"/>
      <c r="K276" s="218"/>
      <c r="L276" s="218"/>
      <c r="M276" s="218"/>
      <c r="N276" s="218"/>
      <c r="O276" s="313" t="e">
        <f>+O266/O274</f>
        <v>#DIV/0!</v>
      </c>
    </row>
    <row r="277" spans="1:15" x14ac:dyDescent="0.25">
      <c r="A277" s="218"/>
      <c r="B277" s="218"/>
      <c r="C277" s="218"/>
      <c r="D277" s="218"/>
      <c r="E277" s="218"/>
      <c r="F277" s="218" t="s">
        <v>58</v>
      </c>
      <c r="G277" s="218"/>
      <c r="H277" s="218"/>
      <c r="I277" s="218"/>
      <c r="J277" s="218"/>
      <c r="K277" s="218"/>
      <c r="L277" s="218"/>
      <c r="M277" s="218"/>
      <c r="N277" s="218"/>
      <c r="O277" s="313" t="e">
        <f>+O266/O275</f>
        <v>#DIV/0!</v>
      </c>
    </row>
    <row r="278" spans="1:15" x14ac:dyDescent="0.25">
      <c r="O278" s="318"/>
    </row>
  </sheetData>
  <sheetProtection algorithmName="SHA-512" hashValue="fpG8tqbt+wMk29hQajcpS3DYvP5ifKI+tYlbcOL4Da7043ggEr4/XTtge6lylVbwOFqOn5MJa9y3Jq1FN6eRKA==" saltValue="4TfrNabm2pVq+lnQOsbZ1Q==" spinCount="100000" sheet="1" objects="1" scenarios="1" selectLockedCells="1"/>
  <mergeCells count="221">
    <mergeCell ref="A247:B247"/>
    <mergeCell ref="A226:B226"/>
    <mergeCell ref="A227:B227"/>
    <mergeCell ref="A234:B234"/>
    <mergeCell ref="A235:B235"/>
    <mergeCell ref="A5:O5"/>
    <mergeCell ref="A12:B12"/>
    <mergeCell ref="A13:B13"/>
    <mergeCell ref="A14:B14"/>
    <mergeCell ref="A15:B15"/>
    <mergeCell ref="A16:B16"/>
    <mergeCell ref="A17:B17"/>
    <mergeCell ref="A18:B18"/>
    <mergeCell ref="A19:B19"/>
    <mergeCell ref="A10:B10"/>
    <mergeCell ref="O223:O224"/>
    <mergeCell ref="D223:D224"/>
    <mergeCell ref="E223:E224"/>
    <mergeCell ref="F223:F224"/>
    <mergeCell ref="G223:G224"/>
    <mergeCell ref="K223:K224"/>
    <mergeCell ref="C223:C224"/>
    <mergeCell ref="M223:M224"/>
    <mergeCell ref="N223:N224"/>
    <mergeCell ref="A26:B26"/>
    <mergeCell ref="A27:B27"/>
    <mergeCell ref="A28:B28"/>
    <mergeCell ref="A29:B29"/>
    <mergeCell ref="A23:B23"/>
    <mergeCell ref="A24:B24"/>
    <mergeCell ref="A25:B25"/>
    <mergeCell ref="A11:B11"/>
    <mergeCell ref="A20:B20"/>
    <mergeCell ref="A21:B21"/>
    <mergeCell ref="A22:B22"/>
    <mergeCell ref="A37:B37"/>
    <mergeCell ref="A38:B38"/>
    <mergeCell ref="A39:B39"/>
    <mergeCell ref="A40:B40"/>
    <mergeCell ref="A41:B41"/>
    <mergeCell ref="A30:B30"/>
    <mergeCell ref="A32:B32"/>
    <mergeCell ref="A33:B33"/>
    <mergeCell ref="A34:B34"/>
    <mergeCell ref="A36:B36"/>
    <mergeCell ref="A47:B47"/>
    <mergeCell ref="A54:B54"/>
    <mergeCell ref="A55:B55"/>
    <mergeCell ref="A56:B56"/>
    <mergeCell ref="A57:B57"/>
    <mergeCell ref="A42:B42"/>
    <mergeCell ref="A43:B43"/>
    <mergeCell ref="A44:B44"/>
    <mergeCell ref="A45:B45"/>
    <mergeCell ref="A46:B46"/>
    <mergeCell ref="A74:B74"/>
    <mergeCell ref="A7:B8"/>
    <mergeCell ref="A69:B69"/>
    <mergeCell ref="A70:B70"/>
    <mergeCell ref="A71:B71"/>
    <mergeCell ref="A72:B72"/>
    <mergeCell ref="A73:B73"/>
    <mergeCell ref="A68:B68"/>
    <mergeCell ref="A35:B35"/>
    <mergeCell ref="A48:B48"/>
    <mergeCell ref="A49:B49"/>
    <mergeCell ref="A50:B50"/>
    <mergeCell ref="A51:B51"/>
    <mergeCell ref="A52:B5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104:B104"/>
    <mergeCell ref="A105:B105"/>
    <mergeCell ref="A106:B106"/>
    <mergeCell ref="A108:B108"/>
    <mergeCell ref="A109:B109"/>
    <mergeCell ref="A99:B99"/>
    <mergeCell ref="A100:B100"/>
    <mergeCell ref="A101:B101"/>
    <mergeCell ref="A102:B102"/>
    <mergeCell ref="A103:B103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25:B125"/>
    <mergeCell ref="A126:B126"/>
    <mergeCell ref="A127:B127"/>
    <mergeCell ref="A128:B128"/>
    <mergeCell ref="A130:B130"/>
    <mergeCell ref="A120:B120"/>
    <mergeCell ref="A121:B121"/>
    <mergeCell ref="A122:B122"/>
    <mergeCell ref="A123:B123"/>
    <mergeCell ref="A124:B124"/>
    <mergeCell ref="A184:B184"/>
    <mergeCell ref="A185:B185"/>
    <mergeCell ref="A193:B193"/>
    <mergeCell ref="A194:B194"/>
    <mergeCell ref="A195:B195"/>
    <mergeCell ref="A186:B186"/>
    <mergeCell ref="A187:B187"/>
    <mergeCell ref="A146:B146"/>
    <mergeCell ref="A147:B147"/>
    <mergeCell ref="A148:B148"/>
    <mergeCell ref="A149:B149"/>
    <mergeCell ref="A150:B150"/>
    <mergeCell ref="A167:B167"/>
    <mergeCell ref="A164:B164"/>
    <mergeCell ref="A165:B165"/>
    <mergeCell ref="A166:B166"/>
    <mergeCell ref="A86:B86"/>
    <mergeCell ref="A87:B87"/>
    <mergeCell ref="A88:B88"/>
    <mergeCell ref="A198:B198"/>
    <mergeCell ref="A200:B200"/>
    <mergeCell ref="A201:B201"/>
    <mergeCell ref="A191:B191"/>
    <mergeCell ref="A192:B192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8:B178"/>
    <mergeCell ref="A179:B179"/>
    <mergeCell ref="A180:B180"/>
    <mergeCell ref="A181:B181"/>
    <mergeCell ref="A182:B182"/>
    <mergeCell ref="A183:B183"/>
    <mergeCell ref="A153:B154"/>
    <mergeCell ref="A83:B84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41:B141"/>
    <mergeCell ref="A142:B142"/>
    <mergeCell ref="A143:B143"/>
    <mergeCell ref="A144:B144"/>
    <mergeCell ref="A145:B145"/>
    <mergeCell ref="A136:B136"/>
    <mergeCell ref="A137:B137"/>
    <mergeCell ref="A138:B138"/>
    <mergeCell ref="A139:B139"/>
    <mergeCell ref="A140:B140"/>
    <mergeCell ref="A131:B131"/>
    <mergeCell ref="A132:B132"/>
    <mergeCell ref="A133:B133"/>
    <mergeCell ref="A134:B134"/>
    <mergeCell ref="A135:B135"/>
    <mergeCell ref="A196:B196"/>
    <mergeCell ref="A197:B197"/>
    <mergeCell ref="A188:B188"/>
    <mergeCell ref="A189:B189"/>
    <mergeCell ref="A190:B190"/>
    <mergeCell ref="A212:B212"/>
    <mergeCell ref="A213:B213"/>
    <mergeCell ref="A214:B214"/>
    <mergeCell ref="A215:B215"/>
    <mergeCell ref="A207:B207"/>
    <mergeCell ref="A208:B208"/>
    <mergeCell ref="A209:B209"/>
    <mergeCell ref="A210:B210"/>
    <mergeCell ref="A211:B211"/>
    <mergeCell ref="A239:B240"/>
    <mergeCell ref="A241:B241"/>
    <mergeCell ref="A242:B242"/>
    <mergeCell ref="A243:B243"/>
    <mergeCell ref="A244:B244"/>
    <mergeCell ref="A245:B245"/>
    <mergeCell ref="A246:B246"/>
    <mergeCell ref="A228:B228"/>
    <mergeCell ref="A202:B202"/>
    <mergeCell ref="A203:B203"/>
    <mergeCell ref="A204:B204"/>
    <mergeCell ref="A205:B205"/>
    <mergeCell ref="A206:B206"/>
    <mergeCell ref="A216:B216"/>
    <mergeCell ref="A223:B224"/>
    <mergeCell ref="A231:B232"/>
    <mergeCell ref="A217:B217"/>
    <mergeCell ref="A218:B218"/>
    <mergeCell ref="A219:B219"/>
    <mergeCell ref="A220:B220"/>
    <mergeCell ref="A233:B233"/>
    <mergeCell ref="A236:B236"/>
    <mergeCell ref="A237:B237"/>
    <mergeCell ref="A225:B2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9" fitToHeight="2" orientation="portrait" r:id="rId1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22</vt:i4>
      </vt:variant>
      <vt:variant>
        <vt:lpstr>Intervals amb nom</vt:lpstr>
      </vt:variant>
      <vt:variant>
        <vt:i4>2</vt:i4>
      </vt:variant>
    </vt:vector>
  </HeadingPairs>
  <TitlesOfParts>
    <vt:vector size="24" baseType="lpstr">
      <vt:lpstr>Criteris Automàtics</vt:lpstr>
      <vt:lpstr>Paràmetres</vt:lpstr>
      <vt:lpstr>Personal</vt:lpstr>
      <vt:lpstr>Seguro+combustible+reparacions</vt:lpstr>
      <vt:lpstr>Inversions</vt:lpstr>
      <vt:lpstr>Consumibles</vt:lpstr>
      <vt:lpstr>COST TOTAL</vt:lpstr>
      <vt:lpstr>EM</vt:lpstr>
      <vt:lpstr>EMX</vt:lpstr>
      <vt:lpstr>EMC</vt:lpstr>
      <vt:lpstr>B_HERB</vt:lpstr>
      <vt:lpstr>B_CAIXA</vt:lpstr>
      <vt:lpstr>B_MERC</vt:lpstr>
      <vt:lpstr>B_PAPER</vt:lpstr>
      <vt:lpstr>B_ACT</vt:lpstr>
      <vt:lpstr>Aigua_goupil</vt:lpstr>
      <vt:lpstr>Aigua_calent</vt:lpstr>
      <vt:lpstr>Aiguabat</vt:lpstr>
      <vt:lpstr>Baldeja</vt:lpstr>
      <vt:lpstr>Comuns</vt:lpstr>
      <vt:lpstr>Actes</vt:lpstr>
      <vt:lpstr>Dies</vt:lpstr>
      <vt:lpstr>'COST TOTAL'!Àrea_d'impressió</vt:lpstr>
      <vt:lpstr>EM!Àrea_d'impressió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Oliete</dc:creator>
  <cp:lastModifiedBy>Vaqués Puig, Elisabet</cp:lastModifiedBy>
  <cp:lastPrinted>2024-11-11T11:35:17Z</cp:lastPrinted>
  <dcterms:created xsi:type="dcterms:W3CDTF">2015-03-23T12:13:04Z</dcterms:created>
  <dcterms:modified xsi:type="dcterms:W3CDTF">2025-03-11T12:48:11Z</dcterms:modified>
</cp:coreProperties>
</file>