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ICITACIO SERVEI AIGUA\"/>
    </mc:Choice>
  </mc:AlternateContent>
  <xr:revisionPtr revIDLastSave="0" documentId="8_{EDFAAE91-19C8-4ADC-9D5C-9818B9C8B6C2}" xr6:coauthVersionLast="47" xr6:coauthVersionMax="47" xr10:uidLastSave="{00000000-0000-0000-0000-000000000000}"/>
  <bookViews>
    <workbookView xWindow="28680" yWindow="-120" windowWidth="29040" windowHeight="15840" xr2:uid="{D2BC1E0F-1742-4494-AD62-B441888897D1}"/>
  </bookViews>
  <sheets>
    <sheet name="Compte de resultats i inver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E66" i="1"/>
  <c r="E133" i="1" l="1"/>
  <c r="U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U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U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E96" i="1"/>
  <c r="D96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S80" i="1"/>
  <c r="H80" i="1"/>
  <c r="G80" i="1"/>
  <c r="F80" i="1"/>
  <c r="E80" i="1"/>
  <c r="D80" i="1"/>
  <c r="D67" i="1"/>
  <c r="E67" i="1" s="1"/>
  <c r="E68" i="1" s="1"/>
  <c r="E69" i="1" s="1"/>
  <c r="E72" i="1" s="1"/>
  <c r="F66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S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68" i="1" l="1"/>
  <c r="D69" i="1" s="1"/>
  <c r="F67" i="1"/>
  <c r="G66" i="1"/>
  <c r="H66" i="1" s="1"/>
  <c r="F96" i="1"/>
  <c r="E97" i="1"/>
  <c r="E98" i="1" s="1"/>
  <c r="G96" i="1"/>
  <c r="F68" i="1"/>
  <c r="F69" i="1" s="1"/>
  <c r="E75" i="1"/>
  <c r="E74" i="1"/>
  <c r="D97" i="1" l="1"/>
  <c r="D98" i="1" s="1"/>
  <c r="D72" i="1"/>
  <c r="G67" i="1"/>
  <c r="G68" i="1" s="1"/>
  <c r="G69" i="1" s="1"/>
  <c r="G97" i="1" s="1"/>
  <c r="G98" i="1" s="1"/>
  <c r="H96" i="1"/>
  <c r="I66" i="1"/>
  <c r="E86" i="1"/>
  <c r="F72" i="1"/>
  <c r="F97" i="1"/>
  <c r="H67" i="1"/>
  <c r="G72" i="1" l="1"/>
  <c r="D75" i="1"/>
  <c r="D74" i="1"/>
  <c r="G74" i="1"/>
  <c r="G75" i="1"/>
  <c r="F75" i="1"/>
  <c r="F74" i="1"/>
  <c r="H68" i="1"/>
  <c r="H69" i="1" s="1"/>
  <c r="I67" i="1"/>
  <c r="I96" i="1"/>
  <c r="J66" i="1"/>
  <c r="F98" i="1"/>
  <c r="D86" i="1" l="1"/>
  <c r="D59" i="1"/>
  <c r="E76" i="1"/>
  <c r="F76" i="1"/>
  <c r="F86" i="1"/>
  <c r="I68" i="1"/>
  <c r="I69" i="1" s="1"/>
  <c r="J67" i="1"/>
  <c r="H97" i="1"/>
  <c r="H72" i="1"/>
  <c r="K66" i="1"/>
  <c r="J96" i="1"/>
  <c r="G76" i="1"/>
  <c r="G86" i="1"/>
  <c r="D61" i="1" l="1"/>
  <c r="E59" i="1"/>
  <c r="E61" i="1" s="1"/>
  <c r="I72" i="1"/>
  <c r="I97" i="1"/>
  <c r="I98" i="1" s="1"/>
  <c r="H75" i="1"/>
  <c r="H74" i="1"/>
  <c r="H98" i="1"/>
  <c r="L66" i="1"/>
  <c r="K96" i="1"/>
  <c r="J68" i="1"/>
  <c r="J69" i="1" s="1"/>
  <c r="K67" i="1"/>
  <c r="E118" i="1"/>
  <c r="E119" i="1" s="1"/>
  <c r="E120" i="1" s="1"/>
  <c r="E90" i="1"/>
  <c r="E92" i="1" s="1"/>
  <c r="D118" i="1" l="1"/>
  <c r="D119" i="1" s="1"/>
  <c r="D120" i="1" s="1"/>
  <c r="D121" i="1" s="1"/>
  <c r="E121" i="1" s="1"/>
  <c r="D90" i="1"/>
  <c r="D92" i="1" s="1"/>
  <c r="D100" i="1" s="1"/>
  <c r="D102" i="1" s="1"/>
  <c r="D104" i="1" s="1"/>
  <c r="F59" i="1"/>
  <c r="L67" i="1"/>
  <c r="K68" i="1"/>
  <c r="K69" i="1" s="1"/>
  <c r="L96" i="1"/>
  <c r="M66" i="1"/>
  <c r="H86" i="1"/>
  <c r="H76" i="1"/>
  <c r="J72" i="1"/>
  <c r="J97" i="1"/>
  <c r="E100" i="1"/>
  <c r="I75" i="1"/>
  <c r="I74" i="1"/>
  <c r="F61" i="1" l="1"/>
  <c r="G59" i="1"/>
  <c r="D115" i="1"/>
  <c r="D106" i="1"/>
  <c r="J75" i="1"/>
  <c r="J74" i="1"/>
  <c r="M96" i="1"/>
  <c r="N66" i="1"/>
  <c r="I76" i="1"/>
  <c r="I86" i="1"/>
  <c r="K97" i="1"/>
  <c r="K98" i="1" s="1"/>
  <c r="K72" i="1"/>
  <c r="E102" i="1"/>
  <c r="E104" i="1" s="1"/>
  <c r="J98" i="1"/>
  <c r="L68" i="1"/>
  <c r="L69" i="1" s="1"/>
  <c r="M67" i="1"/>
  <c r="G61" i="1" l="1"/>
  <c r="H59" i="1"/>
  <c r="H61" i="1" s="1"/>
  <c r="H90" i="1" s="1"/>
  <c r="H92" i="1" s="1"/>
  <c r="H100" i="1" s="1"/>
  <c r="F90" i="1"/>
  <c r="F92" i="1" s="1"/>
  <c r="F100" i="1" s="1"/>
  <c r="F102" i="1" s="1"/>
  <c r="F104" i="1" s="1"/>
  <c r="F118" i="1"/>
  <c r="F119" i="1" s="1"/>
  <c r="F120" i="1" s="1"/>
  <c r="F121" i="1" s="1"/>
  <c r="K75" i="1"/>
  <c r="K74" i="1"/>
  <c r="J76" i="1"/>
  <c r="J86" i="1"/>
  <c r="N96" i="1"/>
  <c r="O66" i="1"/>
  <c r="L97" i="1"/>
  <c r="L98" i="1" s="1"/>
  <c r="L72" i="1"/>
  <c r="M68" i="1"/>
  <c r="M69" i="1" s="1"/>
  <c r="N67" i="1"/>
  <c r="E115" i="1"/>
  <c r="E106" i="1"/>
  <c r="H118" i="1"/>
  <c r="H119" i="1" s="1"/>
  <c r="H120" i="1" s="1"/>
  <c r="F115" i="1" l="1"/>
  <c r="F106" i="1"/>
  <c r="G90" i="1"/>
  <c r="G92" i="1" s="1"/>
  <c r="G100" i="1" s="1"/>
  <c r="G102" i="1" s="1"/>
  <c r="G104" i="1" s="1"/>
  <c r="G118" i="1"/>
  <c r="G119" i="1" s="1"/>
  <c r="G120" i="1" s="1"/>
  <c r="G121" i="1" s="1"/>
  <c r="H121" i="1" s="1"/>
  <c r="I59" i="1"/>
  <c r="P66" i="1"/>
  <c r="O96" i="1"/>
  <c r="K76" i="1"/>
  <c r="K86" i="1"/>
  <c r="H102" i="1"/>
  <c r="H104" i="1" s="1"/>
  <c r="M72" i="1"/>
  <c r="M97" i="1"/>
  <c r="M98" i="1" s="1"/>
  <c r="L75" i="1"/>
  <c r="L74" i="1"/>
  <c r="O67" i="1"/>
  <c r="N68" i="1"/>
  <c r="N69" i="1" s="1"/>
  <c r="I61" i="1" l="1"/>
  <c r="J59" i="1"/>
  <c r="G115" i="1"/>
  <c r="G106" i="1"/>
  <c r="N72" i="1"/>
  <c r="N97" i="1"/>
  <c r="N98" i="1" s="1"/>
  <c r="P67" i="1"/>
  <c r="O68" i="1"/>
  <c r="O69" i="1" s="1"/>
  <c r="L86" i="1"/>
  <c r="L76" i="1"/>
  <c r="M75" i="1"/>
  <c r="M74" i="1"/>
  <c r="H106" i="1"/>
  <c r="H115" i="1"/>
  <c r="P96" i="1"/>
  <c r="Q66" i="1"/>
  <c r="K59" i="1" l="1"/>
  <c r="K61" i="1" s="1"/>
  <c r="K118" i="1" s="1"/>
  <c r="K119" i="1" s="1"/>
  <c r="K120" i="1" s="1"/>
  <c r="J61" i="1"/>
  <c r="I118" i="1"/>
  <c r="I119" i="1" s="1"/>
  <c r="I120" i="1" s="1"/>
  <c r="I121" i="1" s="1"/>
  <c r="I90" i="1"/>
  <c r="I92" i="1" s="1"/>
  <c r="I100" i="1" s="1"/>
  <c r="I102" i="1" s="1"/>
  <c r="I104" i="1" s="1"/>
  <c r="P68" i="1"/>
  <c r="P69" i="1" s="1"/>
  <c r="Q67" i="1"/>
  <c r="K90" i="1"/>
  <c r="K92" i="1" s="1"/>
  <c r="K100" i="1" s="1"/>
  <c r="Q96" i="1"/>
  <c r="R66" i="1"/>
  <c r="N75" i="1"/>
  <c r="N74" i="1"/>
  <c r="M76" i="1"/>
  <c r="M86" i="1"/>
  <c r="O97" i="1"/>
  <c r="O98" i="1" s="1"/>
  <c r="O72" i="1"/>
  <c r="J118" i="1" l="1"/>
  <c r="J119" i="1" s="1"/>
  <c r="J120" i="1" s="1"/>
  <c r="J121" i="1" s="1"/>
  <c r="K121" i="1" s="1"/>
  <c r="J90" i="1"/>
  <c r="J92" i="1" s="1"/>
  <c r="J100" i="1" s="1"/>
  <c r="J102" i="1" s="1"/>
  <c r="J104" i="1" s="1"/>
  <c r="I115" i="1"/>
  <c r="I106" i="1"/>
  <c r="L59" i="1"/>
  <c r="L61" i="1" s="1"/>
  <c r="L90" i="1" s="1"/>
  <c r="L92" i="1" s="1"/>
  <c r="L100" i="1" s="1"/>
  <c r="L102" i="1" s="1"/>
  <c r="L104" i="1" s="1"/>
  <c r="K102" i="1"/>
  <c r="K104" i="1" s="1"/>
  <c r="R96" i="1"/>
  <c r="S66" i="1"/>
  <c r="P97" i="1"/>
  <c r="P98" i="1" s="1"/>
  <c r="P72" i="1"/>
  <c r="O74" i="1"/>
  <c r="O75" i="1"/>
  <c r="N76" i="1"/>
  <c r="N86" i="1"/>
  <c r="L118" i="1"/>
  <c r="L119" i="1" s="1"/>
  <c r="L120" i="1" s="1"/>
  <c r="Q68" i="1"/>
  <c r="Q69" i="1" s="1"/>
  <c r="R67" i="1"/>
  <c r="R68" i="1" s="1"/>
  <c r="R69" i="1" s="1"/>
  <c r="J106" i="1" l="1"/>
  <c r="J115" i="1"/>
  <c r="L121" i="1"/>
  <c r="M59" i="1"/>
  <c r="M61" i="1" s="1"/>
  <c r="O76" i="1"/>
  <c r="O86" i="1"/>
  <c r="R72" i="1"/>
  <c r="R97" i="1"/>
  <c r="R98" i="1" s="1"/>
  <c r="S69" i="1"/>
  <c r="U96" i="1"/>
  <c r="Q72" i="1"/>
  <c r="Q97" i="1"/>
  <c r="Q98" i="1" s="1"/>
  <c r="P75" i="1"/>
  <c r="P74" i="1"/>
  <c r="L106" i="1"/>
  <c r="L115" i="1"/>
  <c r="M118" i="1"/>
  <c r="M119" i="1" s="1"/>
  <c r="M120" i="1" s="1"/>
  <c r="M121" i="1" s="1"/>
  <c r="M90" i="1"/>
  <c r="M92" i="1" s="1"/>
  <c r="M100" i="1" s="1"/>
  <c r="M102" i="1" s="1"/>
  <c r="M104" i="1" s="1"/>
  <c r="K106" i="1"/>
  <c r="K115" i="1"/>
  <c r="N59" i="1" l="1"/>
  <c r="N61" i="1" s="1"/>
  <c r="N90" i="1" s="1"/>
  <c r="N92" i="1" s="1"/>
  <c r="N100" i="1" s="1"/>
  <c r="N102" i="1" s="1"/>
  <c r="N104" i="1" s="1"/>
  <c r="Q75" i="1"/>
  <c r="Q74" i="1"/>
  <c r="U97" i="1"/>
  <c r="M115" i="1"/>
  <c r="M106" i="1"/>
  <c r="P86" i="1"/>
  <c r="P76" i="1"/>
  <c r="U98" i="1"/>
  <c r="R75" i="1"/>
  <c r="S75" i="1" s="1"/>
  <c r="R74" i="1"/>
  <c r="S72" i="1"/>
  <c r="N118" i="1"/>
  <c r="N119" i="1" s="1"/>
  <c r="N120" i="1" s="1"/>
  <c r="N121" i="1" s="1"/>
  <c r="O59" i="1" l="1"/>
  <c r="R76" i="1"/>
  <c r="R86" i="1"/>
  <c r="S74" i="1"/>
  <c r="Q76" i="1"/>
  <c r="Q86" i="1"/>
  <c r="N115" i="1"/>
  <c r="N106" i="1"/>
  <c r="O61" i="1" l="1"/>
  <c r="P59" i="1"/>
  <c r="P61" i="1" s="1"/>
  <c r="P90" i="1" s="1"/>
  <c r="P92" i="1" s="1"/>
  <c r="P100" i="1" s="1"/>
  <c r="P102" i="1" s="1"/>
  <c r="P104" i="1" s="1"/>
  <c r="S86" i="1"/>
  <c r="S76" i="1"/>
  <c r="S77" i="1" s="1"/>
  <c r="P118" i="1" l="1"/>
  <c r="P119" i="1" s="1"/>
  <c r="P120" i="1" s="1"/>
  <c r="O118" i="1"/>
  <c r="O119" i="1" s="1"/>
  <c r="O120" i="1" s="1"/>
  <c r="O121" i="1" s="1"/>
  <c r="O90" i="1"/>
  <c r="O92" i="1" s="1"/>
  <c r="O100" i="1" s="1"/>
  <c r="O102" i="1" s="1"/>
  <c r="O104" i="1" s="1"/>
  <c r="Q59" i="1"/>
  <c r="P106" i="1"/>
  <c r="P115" i="1"/>
  <c r="O115" i="1" l="1"/>
  <c r="O106" i="1"/>
  <c r="P121" i="1"/>
  <c r="Q61" i="1"/>
  <c r="R59" i="1"/>
  <c r="R61" i="1" s="1"/>
  <c r="S61" i="1" l="1"/>
  <c r="Q90" i="1"/>
  <c r="Q92" i="1" s="1"/>
  <c r="Q118" i="1"/>
  <c r="Q119" i="1" s="1"/>
  <c r="Q120" i="1" s="1"/>
  <c r="Q121" i="1" s="1"/>
  <c r="R90" i="1"/>
  <c r="R92" i="1" s="1"/>
  <c r="R100" i="1" s="1"/>
  <c r="R102" i="1" s="1"/>
  <c r="R104" i="1" s="1"/>
  <c r="R118" i="1"/>
  <c r="R119" i="1" s="1"/>
  <c r="R120" i="1" s="1"/>
  <c r="Q100" i="1" l="1"/>
  <c r="S92" i="1"/>
  <c r="R121" i="1"/>
  <c r="R115" i="1"/>
  <c r="R106" i="1"/>
  <c r="Q102" i="1" l="1"/>
  <c r="Q104" i="1" s="1"/>
  <c r="U100" i="1"/>
  <c r="U102" i="1" s="1"/>
  <c r="Q115" i="1" l="1"/>
  <c r="D126" i="1" s="1"/>
  <c r="Q106" i="1"/>
  <c r="U108" i="1" s="1"/>
  <c r="C126" i="1"/>
  <c r="U104" i="1"/>
  <c r="E126" i="1" l="1"/>
  <c r="U113" i="1"/>
</calcChain>
</file>

<file path=xl/sharedStrings.xml><?xml version="1.0" encoding="utf-8"?>
<sst xmlns="http://schemas.openxmlformats.org/spreadsheetml/2006/main" count="122" uniqueCount="117">
  <si>
    <t>Ingressos</t>
  </si>
  <si>
    <t>Despeses</t>
  </si>
  <si>
    <t>Personal</t>
  </si>
  <si>
    <t>Energia elèctrica</t>
  </si>
  <si>
    <t>Compra d'aigua</t>
  </si>
  <si>
    <t>Tractament</t>
  </si>
  <si>
    <t>Transports</t>
  </si>
  <si>
    <t>Total despeses d'explotació</t>
  </si>
  <si>
    <t xml:space="preserve">Total despeses </t>
  </si>
  <si>
    <t>Resultat de l'exercici</t>
  </si>
  <si>
    <t>Total retribució concessionari</t>
  </si>
  <si>
    <t>Any base</t>
  </si>
  <si>
    <t>CRITERIS</t>
  </si>
  <si>
    <t>Increment cost personal</t>
  </si>
  <si>
    <t>Increment preu compra aigua</t>
  </si>
  <si>
    <t>Increment energia elèctrica</t>
  </si>
  <si>
    <t>Increment resta de costos</t>
  </si>
  <si>
    <t xml:space="preserve">Retribució de la inversió </t>
  </si>
  <si>
    <t>Cost financer del net revertible</t>
  </si>
  <si>
    <t>Inversions anuals (€)</t>
  </si>
  <si>
    <t>Inversió acumulada (€)</t>
  </si>
  <si>
    <t>Amortització anual (€)</t>
  </si>
  <si>
    <t>Amortització acumulada (€)</t>
  </si>
  <si>
    <t>Net revertible (€)</t>
  </si>
  <si>
    <t>m3 subministrats</t>
  </si>
  <si>
    <t>Rendiment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</si>
  <si>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facturats</t>
    </r>
  </si>
  <si>
    <t>Increment volum venda aigua per abonat</t>
  </si>
  <si>
    <t>TOTAL INGRESSOS</t>
  </si>
  <si>
    <t>DESPESES D'EXPLOTACIÓ</t>
  </si>
  <si>
    <t>Retribució inversió</t>
  </si>
  <si>
    <t>RESULTAT DE L'EXERCICI</t>
  </si>
  <si>
    <t>CASH-FLOW OPERATIU</t>
  </si>
  <si>
    <t>CASH-FLOW NET</t>
  </si>
  <si>
    <t>CASH-FLOW NET ACTUALITZAT</t>
  </si>
  <si>
    <t>VALOR ACTUALITZAT NET (VAN)</t>
  </si>
  <si>
    <t xml:space="preserve">Taxa de descompte aplicada </t>
  </si>
  <si>
    <t>Inversió anual</t>
  </si>
  <si>
    <t>Inversió anual actualitzada</t>
  </si>
  <si>
    <t>VAN INVERSIONS</t>
  </si>
  <si>
    <t>TIR</t>
  </si>
  <si>
    <t>Per calcular la TIR, es cerquen les entrades i sortides de capital anuals: En el nostre cas es calculen per diferència entre l'inversió anual menys el cash flow net:</t>
  </si>
  <si>
    <t>Ingressos tarifaris</t>
  </si>
  <si>
    <t>Ingressos no tarifaris</t>
  </si>
  <si>
    <t>Increment anual tarifa mitjana</t>
  </si>
  <si>
    <t>Retribució teòrica del concessionari</t>
  </si>
  <si>
    <t>TOTAL DESPESES (sense retr.concessionari)</t>
  </si>
  <si>
    <t>Amortització inversió</t>
  </si>
  <si>
    <t>Total amortiz.</t>
  </si>
  <si>
    <t>Cost finanancer</t>
  </si>
  <si>
    <t>Total</t>
  </si>
  <si>
    <t>Suma resultats</t>
  </si>
  <si>
    <t>Suma retrib.</t>
  </si>
  <si>
    <t xml:space="preserve"> </t>
  </si>
  <si>
    <t>Cash-Flow net</t>
  </si>
  <si>
    <t>Total inversions</t>
  </si>
  <si>
    <t>Retribució concessionari</t>
  </si>
  <si>
    <t>Excés retrib</t>
  </si>
  <si>
    <t>Materials de conservació i treballs de tercers</t>
  </si>
  <si>
    <t>Costos indirectes Ajuntament</t>
  </si>
  <si>
    <t>m3 facturats</t>
  </si>
  <si>
    <t>Despeses Financeres</t>
  </si>
  <si>
    <t>Despeses constitució i licitació</t>
  </si>
  <si>
    <t>Despeses administratives</t>
  </si>
  <si>
    <t>m3 registrats (facturats+municipals)</t>
  </si>
  <si>
    <t>Retribució del concessionari</t>
  </si>
  <si>
    <t>Deute (impagats)</t>
  </si>
  <si>
    <t>Fons reposició i amortització (Ajuntament)</t>
  </si>
  <si>
    <t>Aval garantia definitiva</t>
  </si>
  <si>
    <t>Fons reposició i amortització</t>
  </si>
  <si>
    <t>Import de Transmissions Patrimonials</t>
  </si>
  <si>
    <t xml:space="preserve">Tarifa mitjana servei aigua </t>
  </si>
  <si>
    <t>Resultat + Retribució</t>
  </si>
  <si>
    <t>EL RESULTAT GLOBAL DE LA SUMA DELS EXERCICIS HA DE SER POSITIU</t>
  </si>
  <si>
    <r>
      <t xml:space="preserve">Quota inversió </t>
    </r>
    <r>
      <rPr>
        <sz val="11"/>
        <color theme="1"/>
        <rFont val="Calibri"/>
        <family val="2"/>
      </rPr>
      <t>€</t>
    </r>
    <r>
      <rPr>
        <sz val="8.8000000000000007"/>
        <color theme="1"/>
        <rFont val="Calibri"/>
        <family val="2"/>
      </rPr>
      <t>/ m3</t>
    </r>
  </si>
  <si>
    <t>Quota inversió €/abonat mes</t>
  </si>
  <si>
    <t>Número d'abonats</t>
  </si>
  <si>
    <t>INVERSIONS</t>
  </si>
  <si>
    <t>Ingressos inversions</t>
  </si>
  <si>
    <t>Ingressos de quota</t>
  </si>
  <si>
    <t>Increment anual quota inversió</t>
  </si>
  <si>
    <t>Inversions a càrrec del concessionari</t>
  </si>
  <si>
    <t>Amortització a càrrec del concessionari</t>
  </si>
  <si>
    <t xml:space="preserve">Ingressos </t>
  </si>
  <si>
    <t>-</t>
  </si>
  <si>
    <t>Increment ingrés no tarifaris</t>
  </si>
  <si>
    <t>Increment població i abonats</t>
  </si>
  <si>
    <t>Inversió - Cash Flow Net</t>
  </si>
  <si>
    <t>VAN</t>
  </si>
  <si>
    <t xml:space="preserve">ROI </t>
  </si>
  <si>
    <t>Impostos i taxes</t>
  </si>
  <si>
    <t>Quota total (Servei + Inversió)</t>
  </si>
  <si>
    <t>Amb les millores, el rendiment augmenta un 5%, fins el 81%</t>
  </si>
  <si>
    <t>Tarifa Mitjana d'Explotació</t>
  </si>
  <si>
    <t>Tarifa Mitjana d'Inversió</t>
  </si>
  <si>
    <t>Ingressos aigua</t>
  </si>
  <si>
    <t>Flux de caixa lliure descomptat</t>
  </si>
  <si>
    <t>Flux de caixa lliure descomptat acumulat</t>
  </si>
  <si>
    <t>EBITDA</t>
  </si>
  <si>
    <t>Flux de caixa lliure 2</t>
  </si>
  <si>
    <t>Periode de recuperació de la inversió</t>
  </si>
  <si>
    <t>Tarifa Mitjana Global</t>
  </si>
  <si>
    <t>Taxa de  descompte: s'aplica una  taxa de descompte equivalents al rendiment mitjà en el mercat secundari del deute de l'Estat a 10 anys en el últims 6 mesos incrementat en un diferencial de 200 punts básics.</t>
  </si>
  <si>
    <t>Aquest valor a maig 2023 (període novembre 2022 a abril 2023) és 3,28% + 200 punts = 5,28%</t>
  </si>
  <si>
    <t>Cànon incial</t>
  </si>
  <si>
    <t>Inversió total</t>
  </si>
  <si>
    <t>Increment volum compra aigua. Valor increment facturació aigua anual</t>
  </si>
  <si>
    <t xml:space="preserve">Retribució sobre despeses d'explotació </t>
  </si>
  <si>
    <t>Retribució del concessionari. Annex II_B</t>
  </si>
  <si>
    <t>Servei municipal d'aigua de BORDILS - CONCESSIÓ</t>
  </si>
  <si>
    <t>Durada 15 anys</t>
  </si>
  <si>
    <r>
      <t>Cànon Ajuntament (0,03</t>
    </r>
    <r>
      <rPr>
        <sz val="11"/>
        <color theme="1"/>
        <rFont val="Calibri"/>
        <family val="2"/>
      </rPr>
      <t xml:space="preserve">€ </t>
    </r>
    <r>
      <rPr>
        <sz val="8.8000000000000007"/>
        <color theme="1"/>
        <rFont val="Calibri"/>
        <family val="2"/>
      </rPr>
      <t>/ m3)</t>
    </r>
  </si>
  <si>
    <t>Impagats (1,5%)</t>
  </si>
  <si>
    <t>Seguiment i control (0,50%)</t>
  </si>
  <si>
    <t>Inversions a realitzar en els 15 anys de concessió</t>
  </si>
  <si>
    <t>Amortitzacions en el període restant de la concessió, a partir de 2025</t>
  </si>
  <si>
    <t>% Retribucio total s. despeses explotacio aigua, ( Annex II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</si>
</sst>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3" formatCode="_-* #,##0.00_-;\-* #,##0.00_-;_-* &quot;-&quot;??_-;_-@_-"/>
    <numFmt numFmtId="164" formatCode="0.000"/>
    <numFmt numFmtId="165" formatCode="0.0000"/>
    <numFmt numFmtId="166" formatCode="#,##0.00000"/>
    <numFmt numFmtId="167" formatCode="0.0000%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Helvetica"/>
      <family val="2"/>
    </font>
    <font>
      <sz val="10"/>
      <name val="Helvetica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sz val="10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4" tint="0.39997558519241921"/>
      </left>
      <right style="thin">
        <color theme="4" tint="0.39994506668294322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17" fillId="0" borderId="0"/>
    <xf numFmtId="0" fontId="24" fillId="0" borderId="21" applyNumberFormat="0" applyFill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0" fillId="0" borderId="3" xfId="0" applyBorder="1"/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3" fontId="0" fillId="0" borderId="5" xfId="0" applyNumberFormat="1" applyBorder="1"/>
    <xf numFmtId="3" fontId="2" fillId="4" borderId="18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3" fontId="0" fillId="0" borderId="0" xfId="0" applyNumberFormat="1" applyAlignment="1">
      <alignment vertical="center"/>
    </xf>
    <xf numFmtId="3" fontId="2" fillId="5" borderId="8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6" xfId="0" applyNumberFormat="1" applyBorder="1" applyAlignment="1">
      <alignment vertical="center"/>
    </xf>
    <xf numFmtId="0" fontId="13" fillId="8" borderId="0" xfId="0" applyFont="1" applyFill="1"/>
    <xf numFmtId="3" fontId="2" fillId="8" borderId="0" xfId="0" applyNumberFormat="1" applyFont="1" applyFill="1"/>
    <xf numFmtId="0" fontId="13" fillId="0" borderId="0" xfId="0" applyFont="1"/>
    <xf numFmtId="0" fontId="14" fillId="8" borderId="10" xfId="0" applyFont="1" applyFill="1" applyBorder="1"/>
    <xf numFmtId="0" fontId="15" fillId="8" borderId="4" xfId="0" applyFont="1" applyFill="1" applyBorder="1"/>
    <xf numFmtId="3" fontId="16" fillId="8" borderId="9" xfId="0" applyNumberFormat="1" applyFont="1" applyFill="1" applyBorder="1"/>
    <xf numFmtId="0" fontId="0" fillId="7" borderId="13" xfId="0" applyFill="1" applyBorder="1" applyAlignment="1">
      <alignment vertical="center"/>
    </xf>
    <xf numFmtId="0" fontId="0" fillId="7" borderId="14" xfId="0" applyFill="1" applyBorder="1"/>
    <xf numFmtId="0" fontId="0" fillId="7" borderId="16" xfId="0" applyFill="1" applyBorder="1" applyAlignment="1">
      <alignment vertical="center"/>
    </xf>
    <xf numFmtId="0" fontId="0" fillId="7" borderId="11" xfId="0" applyFill="1" applyBorder="1"/>
    <xf numFmtId="0" fontId="0" fillId="0" borderId="19" xfId="0" applyBorder="1"/>
    <xf numFmtId="3" fontId="0" fillId="0" borderId="19" xfId="0" applyNumberFormat="1" applyBorder="1"/>
    <xf numFmtId="0" fontId="13" fillId="8" borderId="10" xfId="0" applyFont="1" applyFill="1" applyBorder="1"/>
    <xf numFmtId="3" fontId="9" fillId="8" borderId="4" xfId="0" applyNumberFormat="1" applyFont="1" applyFill="1" applyBorder="1" applyAlignment="1">
      <alignment horizontal="right"/>
    </xf>
    <xf numFmtId="3" fontId="8" fillId="0" borderId="6" xfId="0" applyNumberFormat="1" applyFont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3" fontId="21" fillId="0" borderId="0" xfId="0" applyNumberFormat="1" applyFont="1"/>
    <xf numFmtId="3" fontId="2" fillId="0" borderId="19" xfId="0" applyNumberFormat="1" applyFont="1" applyBorder="1"/>
    <xf numFmtId="3" fontId="21" fillId="0" borderId="19" xfId="0" applyNumberFormat="1" applyFont="1" applyBorder="1"/>
    <xf numFmtId="0" fontId="23" fillId="0" borderId="0" xfId="0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3" fontId="8" fillId="0" borderId="0" xfId="0" applyNumberFormat="1" applyFont="1" applyAlignment="1">
      <alignment vertical="center"/>
    </xf>
    <xf numFmtId="3" fontId="0" fillId="9" borderId="0" xfId="0" applyNumberFormat="1" applyFill="1"/>
    <xf numFmtId="3" fontId="8" fillId="9" borderId="0" xfId="0" applyNumberFormat="1" applyFont="1" applyFill="1"/>
    <xf numFmtId="0" fontId="20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8" fillId="9" borderId="0" xfId="0" applyFont="1" applyFill="1" applyAlignment="1">
      <alignment vertical="center" wrapText="1"/>
    </xf>
    <xf numFmtId="3" fontId="0" fillId="0" borderId="22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0" fontId="0" fillId="6" borderId="22" xfId="0" applyFill="1" applyBorder="1"/>
    <xf numFmtId="165" fontId="0" fillId="3" borderId="22" xfId="0" applyNumberFormat="1" applyFill="1" applyBorder="1"/>
    <xf numFmtId="0" fontId="0" fillId="3" borderId="22" xfId="0" applyFill="1" applyBorder="1"/>
    <xf numFmtId="0" fontId="0" fillId="0" borderId="0" xfId="0" applyAlignment="1">
      <alignment vertical="center" wrapText="1"/>
    </xf>
    <xf numFmtId="0" fontId="2" fillId="0" borderId="23" xfId="0" applyFont="1" applyBorder="1"/>
    <xf numFmtId="0" fontId="2" fillId="0" borderId="31" xfId="0" applyFont="1" applyBorder="1"/>
    <xf numFmtId="0" fontId="2" fillId="0" borderId="10" xfId="0" applyFont="1" applyBorder="1"/>
    <xf numFmtId="3" fontId="2" fillId="3" borderId="4" xfId="0" applyNumberFormat="1" applyFont="1" applyFill="1" applyBorder="1"/>
    <xf numFmtId="3" fontId="0" fillId="10" borderId="5" xfId="0" applyNumberFormat="1" applyFill="1" applyBorder="1"/>
    <xf numFmtId="3" fontId="0" fillId="10" borderId="0" xfId="0" applyNumberFormat="1" applyFill="1"/>
    <xf numFmtId="3" fontId="2" fillId="10" borderId="4" xfId="0" applyNumberFormat="1" applyFont="1" applyFill="1" applyBorder="1"/>
    <xf numFmtId="3" fontId="2" fillId="10" borderId="32" xfId="0" applyNumberFormat="1" applyFont="1" applyFill="1" applyBorder="1"/>
    <xf numFmtId="3" fontId="8" fillId="10" borderId="5" xfId="0" applyNumberFormat="1" applyFont="1" applyFill="1" applyBorder="1"/>
    <xf numFmtId="3" fontId="0" fillId="10" borderId="24" xfId="0" applyNumberFormat="1" applyFill="1" applyBorder="1"/>
    <xf numFmtId="3" fontId="0" fillId="10" borderId="22" xfId="0" applyNumberFormat="1" applyFill="1" applyBorder="1"/>
    <xf numFmtId="3" fontId="0" fillId="10" borderId="29" xfId="0" applyNumberFormat="1" applyFill="1" applyBorder="1"/>
    <xf numFmtId="3" fontId="0" fillId="10" borderId="30" xfId="0" applyNumberFormat="1" applyFill="1" applyBorder="1"/>
    <xf numFmtId="3" fontId="9" fillId="10" borderId="4" xfId="0" applyNumberFormat="1" applyFont="1" applyFill="1" applyBorder="1"/>
    <xf numFmtId="165" fontId="0" fillId="10" borderId="22" xfId="0" applyNumberFormat="1" applyFill="1" applyBorder="1"/>
    <xf numFmtId="3" fontId="2" fillId="10" borderId="23" xfId="0" applyNumberFormat="1" applyFont="1" applyFill="1" applyBorder="1"/>
    <xf numFmtId="3" fontId="2" fillId="10" borderId="23" xfId="0" applyNumberFormat="1" applyFont="1" applyFill="1" applyBorder="1" applyAlignment="1">
      <alignment vertical="center" wrapText="1"/>
    </xf>
    <xf numFmtId="3" fontId="0" fillId="10" borderId="19" xfId="0" applyNumberFormat="1" applyFill="1" applyBorder="1"/>
    <xf numFmtId="3" fontId="2" fillId="10" borderId="19" xfId="0" applyNumberFormat="1" applyFont="1" applyFill="1" applyBorder="1"/>
    <xf numFmtId="165" fontId="0" fillId="10" borderId="19" xfId="0" applyNumberFormat="1" applyFill="1" applyBorder="1" applyAlignment="1">
      <alignment horizontal="right"/>
    </xf>
    <xf numFmtId="10" fontId="0" fillId="0" borderId="0" xfId="0" applyNumberFormat="1"/>
    <xf numFmtId="10" fontId="0" fillId="0" borderId="0" xfId="19" applyNumberFormat="1" applyFont="1"/>
    <xf numFmtId="3" fontId="9" fillId="10" borderId="23" xfId="0" applyNumberFormat="1" applyFont="1" applyFill="1" applyBorder="1"/>
    <xf numFmtId="0" fontId="2" fillId="0" borderId="9" xfId="0" applyFont="1" applyBorder="1"/>
    <xf numFmtId="10" fontId="0" fillId="0" borderId="0" xfId="19" applyNumberFormat="1" applyFont="1" applyBorder="1"/>
    <xf numFmtId="0" fontId="0" fillId="12" borderId="0" xfId="0" applyFill="1"/>
    <xf numFmtId="165" fontId="0" fillId="12" borderId="0" xfId="0" applyNumberFormat="1" applyFill="1"/>
    <xf numFmtId="0" fontId="0" fillId="0" borderId="22" xfId="0" applyBorder="1"/>
    <xf numFmtId="164" fontId="0" fillId="10" borderId="22" xfId="0" applyNumberFormat="1" applyFill="1" applyBorder="1"/>
    <xf numFmtId="0" fontId="2" fillId="8" borderId="4" xfId="0" applyFont="1" applyFill="1" applyBorder="1"/>
    <xf numFmtId="0" fontId="8" fillId="0" borderId="2" xfId="0" applyFont="1" applyBorder="1"/>
    <xf numFmtId="3" fontId="2" fillId="10" borderId="10" xfId="0" applyNumberFormat="1" applyFont="1" applyFill="1" applyBorder="1"/>
    <xf numFmtId="10" fontId="8" fillId="0" borderId="15" xfId="0" applyNumberFormat="1" applyFont="1" applyBorder="1"/>
    <xf numFmtId="10" fontId="0" fillId="0" borderId="33" xfId="0" applyNumberFormat="1" applyBorder="1"/>
    <xf numFmtId="0" fontId="2" fillId="8" borderId="34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0" fillId="8" borderId="0" xfId="0" applyFill="1"/>
    <xf numFmtId="0" fontId="2" fillId="8" borderId="20" xfId="0" applyFont="1" applyFill="1" applyBorder="1" applyAlignment="1">
      <alignment horizontal="left"/>
    </xf>
    <xf numFmtId="0" fontId="0" fillId="8" borderId="18" xfId="0" applyFill="1" applyBorder="1"/>
    <xf numFmtId="3" fontId="0" fillId="8" borderId="18" xfId="0" applyNumberFormat="1" applyFill="1" applyBorder="1"/>
    <xf numFmtId="0" fontId="0" fillId="8" borderId="9" xfId="0" applyFill="1" applyBorder="1"/>
    <xf numFmtId="0" fontId="2" fillId="4" borderId="19" xfId="0" applyFont="1" applyFill="1" applyBorder="1" applyAlignment="1">
      <alignment vertical="center"/>
    </xf>
    <xf numFmtId="0" fontId="0" fillId="13" borderId="19" xfId="0" applyFill="1" applyBorder="1"/>
    <xf numFmtId="3" fontId="2" fillId="4" borderId="19" xfId="0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vertical="center"/>
    </xf>
    <xf numFmtId="0" fontId="0" fillId="8" borderId="39" xfId="0" applyFill="1" applyBorder="1"/>
    <xf numFmtId="0" fontId="2" fillId="5" borderId="40" xfId="0" applyFont="1" applyFill="1" applyBorder="1" applyAlignment="1">
      <alignment vertical="center"/>
    </xf>
    <xf numFmtId="0" fontId="0" fillId="8" borderId="12" xfId="0" applyFill="1" applyBorder="1"/>
    <xf numFmtId="3" fontId="2" fillId="5" borderId="12" xfId="0" applyNumberFormat="1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0" fillId="0" borderId="39" xfId="0" applyBorder="1"/>
    <xf numFmtId="3" fontId="0" fillId="0" borderId="39" xfId="0" applyNumberFormat="1" applyBorder="1" applyAlignment="1">
      <alignment vertical="center"/>
    </xf>
    <xf numFmtId="0" fontId="13" fillId="8" borderId="39" xfId="0" applyFont="1" applyFill="1" applyBorder="1"/>
    <xf numFmtId="3" fontId="9" fillId="0" borderId="0" xfId="0" applyNumberFormat="1" applyFont="1" applyAlignment="1">
      <alignment horizontal="right"/>
    </xf>
    <xf numFmtId="0" fontId="28" fillId="0" borderId="0" xfId="0" applyFont="1" applyAlignment="1">
      <alignment horizontal="center"/>
    </xf>
    <xf numFmtId="3" fontId="8" fillId="3" borderId="0" xfId="0" applyNumberFormat="1" applyFont="1" applyFill="1"/>
    <xf numFmtId="0" fontId="12" fillId="0" borderId="35" xfId="0" applyFont="1" applyBorder="1"/>
    <xf numFmtId="3" fontId="2" fillId="0" borderId="0" xfId="0" applyNumberFormat="1" applyFont="1" applyAlignment="1">
      <alignment vertical="center"/>
    </xf>
    <xf numFmtId="0" fontId="2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0" fontId="2" fillId="0" borderId="0" xfId="0" applyNumberFormat="1" applyFont="1"/>
    <xf numFmtId="165" fontId="0" fillId="10" borderId="4" xfId="0" applyNumberFormat="1" applyFill="1" applyBorder="1"/>
    <xf numFmtId="6" fontId="9" fillId="14" borderId="36" xfId="0" applyNumberFormat="1" applyFont="1" applyFill="1" applyBorder="1" applyAlignment="1">
      <alignment horizontal="center"/>
    </xf>
    <xf numFmtId="10" fontId="2" fillId="14" borderId="37" xfId="0" applyNumberFormat="1" applyFont="1" applyFill="1" applyBorder="1" applyAlignment="1">
      <alignment horizontal="center"/>
    </xf>
    <xf numFmtId="2" fontId="2" fillId="14" borderId="36" xfId="0" applyNumberFormat="1" applyFont="1" applyFill="1" applyBorder="1" applyAlignment="1">
      <alignment horizontal="center"/>
    </xf>
    <xf numFmtId="167" fontId="0" fillId="7" borderId="15" xfId="19" applyNumberFormat="1" applyFont="1" applyFill="1" applyBorder="1"/>
    <xf numFmtId="0" fontId="0" fillId="9" borderId="1" xfId="0" applyFill="1" applyBorder="1"/>
    <xf numFmtId="10" fontId="0" fillId="9" borderId="17" xfId="0" applyNumberFormat="1" applyFill="1" applyBorder="1"/>
    <xf numFmtId="165" fontId="0" fillId="10" borderId="18" xfId="0" applyNumberFormat="1" applyFill="1" applyBorder="1" applyAlignment="1">
      <alignment horizontal="right"/>
    </xf>
    <xf numFmtId="0" fontId="0" fillId="0" borderId="41" xfId="0" applyBorder="1" applyAlignment="1">
      <alignment wrapText="1"/>
    </xf>
    <xf numFmtId="0" fontId="0" fillId="0" borderId="19" xfId="0" applyBorder="1" applyAlignment="1">
      <alignment horizontal="center" wrapText="1"/>
    </xf>
    <xf numFmtId="1" fontId="0" fillId="10" borderId="5" xfId="0" applyNumberFormat="1" applyFill="1" applyBorder="1"/>
    <xf numFmtId="3" fontId="0" fillId="10" borderId="27" xfId="0" applyNumberFormat="1" applyFill="1" applyBorder="1"/>
    <xf numFmtId="3" fontId="2" fillId="10" borderId="5" xfId="0" applyNumberFormat="1" applyFont="1" applyFill="1" applyBorder="1"/>
    <xf numFmtId="3" fontId="0" fillId="3" borderId="5" xfId="0" applyNumberFormat="1" applyFill="1" applyBorder="1"/>
    <xf numFmtId="0" fontId="0" fillId="6" borderId="5" xfId="0" applyFill="1" applyBorder="1"/>
    <xf numFmtId="2" fontId="0" fillId="3" borderId="5" xfId="0" applyNumberFormat="1" applyFill="1" applyBorder="1"/>
    <xf numFmtId="2" fontId="0" fillId="0" borderId="5" xfId="0" applyNumberFormat="1" applyBorder="1"/>
    <xf numFmtId="165" fontId="0" fillId="3" borderId="5" xfId="0" applyNumberFormat="1" applyFill="1" applyBorder="1"/>
    <xf numFmtId="165" fontId="0" fillId="10" borderId="5" xfId="0" applyNumberFormat="1" applyFill="1" applyBorder="1"/>
    <xf numFmtId="0" fontId="0" fillId="0" borderId="5" xfId="0" applyBorder="1"/>
    <xf numFmtId="0" fontId="0" fillId="3" borderId="5" xfId="0" applyFill="1" applyBorder="1"/>
    <xf numFmtId="10" fontId="0" fillId="9" borderId="5" xfId="0" applyNumberFormat="1" applyFill="1" applyBorder="1"/>
    <xf numFmtId="3" fontId="24" fillId="6" borderId="5" xfId="18" applyNumberFormat="1" applyFill="1" applyBorder="1"/>
    <xf numFmtId="3" fontId="30" fillId="0" borderId="5" xfId="0" applyNumberFormat="1" applyFont="1" applyBorder="1"/>
    <xf numFmtId="3" fontId="5" fillId="0" borderId="5" xfId="0" applyNumberFormat="1" applyFont="1" applyBorder="1"/>
    <xf numFmtId="3" fontId="0" fillId="0" borderId="30" xfId="0" applyNumberFormat="1" applyBorder="1"/>
    <xf numFmtId="166" fontId="0" fillId="0" borderId="30" xfId="0" applyNumberFormat="1" applyBorder="1"/>
    <xf numFmtId="165" fontId="0" fillId="7" borderId="10" xfId="0" applyNumberFormat="1" applyFill="1" applyBorder="1"/>
    <xf numFmtId="0" fontId="0" fillId="0" borderId="23" xfId="0" applyBorder="1" applyAlignment="1">
      <alignment horizontal="center"/>
    </xf>
    <xf numFmtId="10" fontId="0" fillId="10" borderId="22" xfId="0" applyNumberFormat="1" applyFill="1" applyBorder="1" applyAlignment="1">
      <alignment horizontal="center"/>
    </xf>
    <xf numFmtId="10" fontId="0" fillId="10" borderId="22" xfId="0" applyNumberFormat="1" applyFill="1" applyBorder="1"/>
    <xf numFmtId="3" fontId="0" fillId="9" borderId="22" xfId="0" applyNumberFormat="1" applyFill="1" applyBorder="1"/>
    <xf numFmtId="10" fontId="0" fillId="0" borderId="3" xfId="0" applyNumberFormat="1" applyBorder="1"/>
    <xf numFmtId="0" fontId="2" fillId="7" borderId="17" xfId="19" applyNumberFormat="1" applyFont="1" applyFill="1" applyBorder="1"/>
    <xf numFmtId="0" fontId="8" fillId="0" borderId="0" xfId="0" applyFont="1" applyAlignment="1">
      <alignment vertical="center"/>
    </xf>
    <xf numFmtId="0" fontId="2" fillId="0" borderId="19" xfId="0" applyFont="1" applyBorder="1"/>
    <xf numFmtId="0" fontId="21" fillId="0" borderId="19" xfId="0" applyFont="1" applyBorder="1"/>
    <xf numFmtId="3" fontId="9" fillId="8" borderId="39" xfId="0" applyNumberFormat="1" applyFont="1" applyFill="1" applyBorder="1" applyAlignment="1">
      <alignment horizontal="right"/>
    </xf>
    <xf numFmtId="0" fontId="0" fillId="0" borderId="29" xfId="0" applyBorder="1"/>
    <xf numFmtId="3" fontId="0" fillId="0" borderId="22" xfId="20" applyNumberFormat="1" applyFont="1" applyBorder="1"/>
    <xf numFmtId="10" fontId="0" fillId="6" borderId="5" xfId="0" applyNumberFormat="1" applyFill="1" applyBorder="1"/>
    <xf numFmtId="10" fontId="0" fillId="6" borderId="3" xfId="0" applyNumberFormat="1" applyFill="1" applyBorder="1" applyAlignment="1">
      <alignment vertical="center" wrapText="1"/>
    </xf>
    <xf numFmtId="0" fontId="0" fillId="0" borderId="0" xfId="0" applyAlignment="1">
      <alignment wrapText="1"/>
    </xf>
    <xf numFmtId="2" fontId="0" fillId="2" borderId="0" xfId="0" applyNumberFormat="1" applyFill="1"/>
    <xf numFmtId="3" fontId="0" fillId="6" borderId="0" xfId="0" applyNumberFormat="1" applyFill="1"/>
    <xf numFmtId="3" fontId="0" fillId="6" borderId="28" xfId="0" applyNumberFormat="1" applyFill="1" applyBorder="1"/>
    <xf numFmtId="10" fontId="0" fillId="9" borderId="0" xfId="19" applyNumberFormat="1" applyFont="1" applyFill="1"/>
    <xf numFmtId="0" fontId="0" fillId="6" borderId="3" xfId="0" applyFill="1" applyBorder="1" applyAlignment="1">
      <alignment horizontal="left" vertic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</cellXfs>
  <cellStyles count="21">
    <cellStyle name="Celda vinculada" xfId="18" builtinId="24"/>
    <cellStyle name="Millares" xfId="20" builtinId="3"/>
    <cellStyle name="Normal" xfId="0" builtinId="0"/>
    <cellStyle name="Normal 10" xfId="4" xr:uid="{C34F25EE-9C6D-40D2-ACDA-205CC304F83B}"/>
    <cellStyle name="Normal 10 2" xfId="5" xr:uid="{5AF98275-5DEC-4817-BE3F-ACD4BBC4DB00}"/>
    <cellStyle name="Normal 11" xfId="6" xr:uid="{059E5DE3-4670-4C5E-A036-C83424EE8D47}"/>
    <cellStyle name="Normal 12" xfId="17" xr:uid="{B2EC3E67-316B-49C3-8BB4-BB616240CC4C}"/>
    <cellStyle name="Normal 2" xfId="1" xr:uid="{083A3F48-8D03-4381-8AD9-A6C812C6E084}"/>
    <cellStyle name="Normal 2 2" xfId="2" xr:uid="{6516C351-1018-41BB-A10A-6CAE2C41EC54}"/>
    <cellStyle name="Normal 3" xfId="7" xr:uid="{A279752D-1E76-4883-B190-C3974D41A2F3}"/>
    <cellStyle name="Normal 4" xfId="8" xr:uid="{9BE8C1C6-FE22-4593-AEAE-2C9BCD2A50D2}"/>
    <cellStyle name="Normal 4 2" xfId="9" xr:uid="{83F52EC9-DB2E-4F1D-96C0-844176A2A835}"/>
    <cellStyle name="Normal 5" xfId="10" xr:uid="{FC4B6CC3-8214-4B97-BB72-D2E4113325DA}"/>
    <cellStyle name="Normal 6" xfId="11" xr:uid="{89658DDB-B6E8-41B0-B6D2-B0D09D529149}"/>
    <cellStyle name="Normal 7" xfId="12" xr:uid="{298B9570-0BB5-4D69-8C1D-6FA43224174A}"/>
    <cellStyle name="Normal 8" xfId="13" xr:uid="{CE70999B-8A9A-48B0-BAC0-1EC34AA93FDE}"/>
    <cellStyle name="Normal 9" xfId="14" xr:uid="{24D064B1-6977-4E6E-AF6D-91980FFA45FB}"/>
    <cellStyle name="Porcentaje" xfId="19" builtinId="5"/>
    <cellStyle name="Porcentaje 2" xfId="3" xr:uid="{38E01D92-0794-43FA-96E8-92F6DBDF540A}"/>
    <cellStyle name="Porcentaje 3" xfId="15" xr:uid="{0177B834-75FC-4CC4-81E9-A9C1B9A936D7}"/>
    <cellStyle name="Porcentaje 6" xfId="16" xr:uid="{BA348D8D-583F-4778-8BCF-5B2342254CF6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669A-CF2A-4E38-9A13-102C45BBF2CA}">
  <sheetPr>
    <tabColor rgb="FF00B050"/>
    <pageSetUpPr fitToPage="1"/>
  </sheetPr>
  <dimension ref="A2:U161"/>
  <sheetViews>
    <sheetView tabSelected="1" topLeftCell="A34" zoomScale="90" zoomScaleNormal="90" workbookViewId="0">
      <selection activeCell="G69" sqref="G69"/>
    </sheetView>
  </sheetViews>
  <sheetFormatPr baseColWidth="10" defaultColWidth="11.42578125" defaultRowHeight="15" x14ac:dyDescent="0.25"/>
  <cols>
    <col min="1" max="1" width="3.5703125" customWidth="1"/>
    <col min="2" max="2" width="52.140625" customWidth="1"/>
    <col min="3" max="3" width="12.85546875" customWidth="1"/>
    <col min="4" max="4" width="11.42578125" customWidth="1"/>
    <col min="5" max="18" width="10.5703125" customWidth="1"/>
    <col min="19" max="19" width="12.28515625" customWidth="1"/>
    <col min="20" max="20" width="37.28515625" customWidth="1"/>
    <col min="21" max="21" width="13" customWidth="1"/>
  </cols>
  <sheetData>
    <row r="2" spans="2:21" ht="21" x14ac:dyDescent="0.35">
      <c r="B2" s="4" t="s">
        <v>109</v>
      </c>
      <c r="C2" s="5"/>
      <c r="G2" s="34" t="s">
        <v>110</v>
      </c>
      <c r="H2" s="35"/>
      <c r="S2" t="s">
        <v>53</v>
      </c>
    </row>
    <row r="3" spans="2:21" x14ac:dyDescent="0.25">
      <c r="D3" s="117">
        <v>15</v>
      </c>
      <c r="E3" s="117">
        <f>+D3-1</f>
        <v>14</v>
      </c>
      <c r="F3" s="117">
        <f t="shared" ref="F3:R3" si="0">+E3-1</f>
        <v>13</v>
      </c>
      <c r="G3" s="117">
        <f t="shared" si="0"/>
        <v>12</v>
      </c>
      <c r="H3" s="117">
        <f t="shared" si="0"/>
        <v>11</v>
      </c>
      <c r="I3" s="117">
        <f t="shared" si="0"/>
        <v>10</v>
      </c>
      <c r="J3" s="117">
        <f t="shared" si="0"/>
        <v>9</v>
      </c>
      <c r="K3" s="117">
        <f t="shared" si="0"/>
        <v>8</v>
      </c>
      <c r="L3" s="117">
        <f t="shared" si="0"/>
        <v>7</v>
      </c>
      <c r="M3" s="117">
        <f t="shared" si="0"/>
        <v>6</v>
      </c>
      <c r="N3" s="117">
        <f t="shared" si="0"/>
        <v>5</v>
      </c>
      <c r="O3" s="117">
        <f t="shared" si="0"/>
        <v>4</v>
      </c>
      <c r="P3" s="117">
        <f t="shared" si="0"/>
        <v>3</v>
      </c>
      <c r="Q3" s="117">
        <f t="shared" si="0"/>
        <v>2</v>
      </c>
      <c r="R3" s="117">
        <f t="shared" si="0"/>
        <v>1</v>
      </c>
    </row>
    <row r="4" spans="2:21" x14ac:dyDescent="0.25">
      <c r="C4" s="7" t="s">
        <v>11</v>
      </c>
      <c r="D4" s="113">
        <v>1</v>
      </c>
      <c r="E4" s="113">
        <f>D4+1</f>
        <v>2</v>
      </c>
      <c r="F4" s="113">
        <f t="shared" ref="F4:R4" si="1">E4+1</f>
        <v>3</v>
      </c>
      <c r="G4" s="113">
        <f t="shared" si="1"/>
        <v>4</v>
      </c>
      <c r="H4" s="113">
        <f t="shared" si="1"/>
        <v>5</v>
      </c>
      <c r="I4" s="113">
        <f t="shared" si="1"/>
        <v>6</v>
      </c>
      <c r="J4" s="113">
        <f t="shared" si="1"/>
        <v>7</v>
      </c>
      <c r="K4" s="113">
        <f t="shared" si="1"/>
        <v>8</v>
      </c>
      <c r="L4" s="113">
        <f t="shared" si="1"/>
        <v>9</v>
      </c>
      <c r="M4" s="113">
        <f t="shared" si="1"/>
        <v>10</v>
      </c>
      <c r="N4" s="113">
        <f t="shared" si="1"/>
        <v>11</v>
      </c>
      <c r="O4" s="113">
        <f t="shared" si="1"/>
        <v>12</v>
      </c>
      <c r="P4" s="113">
        <f t="shared" si="1"/>
        <v>13</v>
      </c>
      <c r="Q4" s="113">
        <f t="shared" si="1"/>
        <v>14</v>
      </c>
      <c r="R4" s="113">
        <f t="shared" si="1"/>
        <v>15</v>
      </c>
    </row>
    <row r="5" spans="2:21" x14ac:dyDescent="0.25">
      <c r="C5" s="7">
        <v>2024</v>
      </c>
      <c r="D5" s="6">
        <v>2025</v>
      </c>
      <c r="E5" s="6">
        <f>+D5+1</f>
        <v>2026</v>
      </c>
      <c r="F5" s="6">
        <f t="shared" ref="F5:R5" si="2">+E5+1</f>
        <v>2027</v>
      </c>
      <c r="G5" s="6">
        <f t="shared" si="2"/>
        <v>2028</v>
      </c>
      <c r="H5" s="6">
        <f t="shared" si="2"/>
        <v>2029</v>
      </c>
      <c r="I5" s="6">
        <f t="shared" si="2"/>
        <v>2030</v>
      </c>
      <c r="J5" s="6">
        <f t="shared" si="2"/>
        <v>2031</v>
      </c>
      <c r="K5" s="6">
        <f t="shared" si="2"/>
        <v>2032</v>
      </c>
      <c r="L5" s="6">
        <f t="shared" si="2"/>
        <v>2033</v>
      </c>
      <c r="M5" s="6">
        <f t="shared" si="2"/>
        <v>2034</v>
      </c>
      <c r="N5" s="6">
        <f t="shared" si="2"/>
        <v>2035</v>
      </c>
      <c r="O5" s="6">
        <f t="shared" si="2"/>
        <v>2036</v>
      </c>
      <c r="P5" s="6">
        <f t="shared" si="2"/>
        <v>2037</v>
      </c>
      <c r="Q5" s="6">
        <f t="shared" si="2"/>
        <v>2038</v>
      </c>
      <c r="R5" s="6">
        <f t="shared" si="2"/>
        <v>2039</v>
      </c>
      <c r="T5" s="1" t="s">
        <v>12</v>
      </c>
    </row>
    <row r="6" spans="2:21" x14ac:dyDescent="0.25">
      <c r="C6" s="8"/>
      <c r="T6" s="89" t="s">
        <v>27</v>
      </c>
      <c r="U6" s="91">
        <v>0</v>
      </c>
    </row>
    <row r="7" spans="2:21" ht="15" customHeight="1" x14ac:dyDescent="0.25">
      <c r="B7" t="s">
        <v>26</v>
      </c>
      <c r="C7" s="9">
        <v>82850</v>
      </c>
      <c r="D7" s="63">
        <f t="shared" ref="D7:R7" si="3">+C7*(1+$U$7)*(1+$U$6)</f>
        <v>83264.249999999985</v>
      </c>
      <c r="E7" s="63">
        <f t="shared" si="3"/>
        <v>83680.571249999979</v>
      </c>
      <c r="F7" s="63">
        <f t="shared" si="3"/>
        <v>84098.974106249967</v>
      </c>
      <c r="G7" s="63">
        <f t="shared" si="3"/>
        <v>84519.468976781209</v>
      </c>
      <c r="H7" s="63">
        <f t="shared" si="3"/>
        <v>84942.066321665101</v>
      </c>
      <c r="I7" s="63">
        <f t="shared" si="3"/>
        <v>85366.776653273424</v>
      </c>
      <c r="J7" s="63">
        <f t="shared" si="3"/>
        <v>85793.610536539782</v>
      </c>
      <c r="K7" s="63">
        <f t="shared" si="3"/>
        <v>86222.578589222467</v>
      </c>
      <c r="L7" s="63">
        <f t="shared" si="3"/>
        <v>86653.691482168564</v>
      </c>
      <c r="M7" s="63">
        <f t="shared" si="3"/>
        <v>87086.959939579392</v>
      </c>
      <c r="N7" s="63">
        <f t="shared" si="3"/>
        <v>87522.394739277282</v>
      </c>
      <c r="O7" s="63">
        <f t="shared" si="3"/>
        <v>87960.006712973656</v>
      </c>
      <c r="P7" s="63">
        <f t="shared" si="3"/>
        <v>88399.80674653851</v>
      </c>
      <c r="Q7" s="63">
        <f t="shared" si="3"/>
        <v>88841.805780271199</v>
      </c>
      <c r="R7" s="63">
        <f t="shared" si="3"/>
        <v>89286.014809172542</v>
      </c>
      <c r="T7" s="3" t="s">
        <v>86</v>
      </c>
      <c r="U7" s="92">
        <v>5.0000000000000001E-3</v>
      </c>
    </row>
    <row r="8" spans="2:21" x14ac:dyDescent="0.25">
      <c r="B8" t="s">
        <v>76</v>
      </c>
      <c r="C8" s="8">
        <v>690</v>
      </c>
      <c r="D8" s="133">
        <f t="shared" ref="D8:R8" si="4">+C8*(1+$U$7)</f>
        <v>693.44999999999993</v>
      </c>
      <c r="E8" s="133">
        <f t="shared" si="4"/>
        <v>696.91724999999985</v>
      </c>
      <c r="F8" s="133">
        <f t="shared" si="4"/>
        <v>700.40183624999975</v>
      </c>
      <c r="G8" s="133">
        <f t="shared" si="4"/>
        <v>703.90384543124969</v>
      </c>
      <c r="H8" s="133">
        <f t="shared" si="4"/>
        <v>707.42336465840583</v>
      </c>
      <c r="I8" s="133">
        <f t="shared" si="4"/>
        <v>710.9604814816978</v>
      </c>
      <c r="J8" s="133">
        <f t="shared" si="4"/>
        <v>714.51528388910617</v>
      </c>
      <c r="K8" s="133">
        <f t="shared" si="4"/>
        <v>718.08786030855163</v>
      </c>
      <c r="L8" s="133">
        <f t="shared" si="4"/>
        <v>721.67829961009431</v>
      </c>
      <c r="M8" s="133">
        <f t="shared" si="4"/>
        <v>725.28669110814474</v>
      </c>
      <c r="N8" s="133">
        <f t="shared" si="4"/>
        <v>728.91312456368541</v>
      </c>
      <c r="O8" s="133">
        <f t="shared" si="4"/>
        <v>732.55769018650381</v>
      </c>
      <c r="P8" s="133">
        <f t="shared" si="4"/>
        <v>736.22047863743626</v>
      </c>
      <c r="Q8" s="133">
        <f t="shared" si="4"/>
        <v>739.90158103062333</v>
      </c>
      <c r="R8" s="133">
        <f t="shared" si="4"/>
        <v>743.60108893577637</v>
      </c>
      <c r="T8" s="3" t="s">
        <v>13</v>
      </c>
      <c r="U8" s="155">
        <v>0.02</v>
      </c>
    </row>
    <row r="9" spans="2:21" x14ac:dyDescent="0.25">
      <c r="B9" s="1" t="s">
        <v>95</v>
      </c>
      <c r="C9" s="9"/>
      <c r="T9" s="3" t="s">
        <v>14</v>
      </c>
      <c r="U9" s="155">
        <v>0.02</v>
      </c>
    </row>
    <row r="10" spans="2:21" ht="15" customHeight="1" x14ac:dyDescent="0.25">
      <c r="B10" t="s">
        <v>42</v>
      </c>
      <c r="C10" s="9">
        <v>103815</v>
      </c>
      <c r="D10" s="63">
        <f t="shared" ref="D10:R10" si="5">+D51*D7</f>
        <v>111019.43519447999</v>
      </c>
      <c r="E10" s="63">
        <f t="shared" si="5"/>
        <v>125945.33213976664</v>
      </c>
      <c r="F10" s="63">
        <f t="shared" si="5"/>
        <v>145637.26265581558</v>
      </c>
      <c r="G10" s="63">
        <f t="shared" si="5"/>
        <v>155147.37590724032</v>
      </c>
      <c r="H10" s="63">
        <f t="shared" si="5"/>
        <v>165278.4995539831</v>
      </c>
      <c r="I10" s="63">
        <f t="shared" si="5"/>
        <v>176071.18557485822</v>
      </c>
      <c r="J10" s="63">
        <f t="shared" si="5"/>
        <v>187568.63399289642</v>
      </c>
      <c r="K10" s="63">
        <f t="shared" si="5"/>
        <v>198874.33340681824</v>
      </c>
      <c r="L10" s="63">
        <f t="shared" si="5"/>
        <v>210861.48385291416</v>
      </c>
      <c r="M10" s="63">
        <f t="shared" si="5"/>
        <v>223571.15979214854</v>
      </c>
      <c r="N10" s="63">
        <f t="shared" si="5"/>
        <v>237046.91144862023</v>
      </c>
      <c r="O10" s="63">
        <f t="shared" si="5"/>
        <v>251334.91403618577</v>
      </c>
      <c r="P10" s="63">
        <f t="shared" si="5"/>
        <v>266484.12597971683</v>
      </c>
      <c r="Q10" s="63">
        <f t="shared" si="5"/>
        <v>282546.45667314419</v>
      </c>
      <c r="R10" s="63">
        <f t="shared" si="5"/>
        <v>299576.94434911793</v>
      </c>
      <c r="T10" s="3" t="s">
        <v>85</v>
      </c>
      <c r="U10" s="155">
        <v>0.02</v>
      </c>
    </row>
    <row r="11" spans="2:21" ht="15" customHeight="1" x14ac:dyDescent="0.25">
      <c r="B11" t="s">
        <v>43</v>
      </c>
      <c r="C11" s="9">
        <v>5630</v>
      </c>
      <c r="D11" s="68">
        <f t="shared" ref="D11:R11" si="6">+C11*(1+$U$10)</f>
        <v>5742.6</v>
      </c>
      <c r="E11" s="68">
        <f t="shared" si="6"/>
        <v>5857.4520000000002</v>
      </c>
      <c r="F11" s="68">
        <f t="shared" si="6"/>
        <v>5974.6010400000005</v>
      </c>
      <c r="G11" s="68">
        <f t="shared" si="6"/>
        <v>6094.0930608000008</v>
      </c>
      <c r="H11" s="68">
        <f t="shared" si="6"/>
        <v>6215.9749220160011</v>
      </c>
      <c r="I11" s="68">
        <f t="shared" si="6"/>
        <v>6340.2944204563209</v>
      </c>
      <c r="J11" s="68">
        <f t="shared" si="6"/>
        <v>6467.1003088654479</v>
      </c>
      <c r="K11" s="68">
        <f t="shared" si="6"/>
        <v>6596.4423150427574</v>
      </c>
      <c r="L11" s="68">
        <f t="shared" si="6"/>
        <v>6728.3711613436126</v>
      </c>
      <c r="M11" s="68">
        <f t="shared" si="6"/>
        <v>6862.9385845704846</v>
      </c>
      <c r="N11" s="68">
        <f t="shared" si="6"/>
        <v>7000.1973562618941</v>
      </c>
      <c r="O11" s="68">
        <f t="shared" si="6"/>
        <v>7140.2013033871317</v>
      </c>
      <c r="P11" s="68">
        <f t="shared" si="6"/>
        <v>7283.0053294548743</v>
      </c>
      <c r="Q11" s="68">
        <f t="shared" si="6"/>
        <v>7428.6654360439716</v>
      </c>
      <c r="R11" s="68">
        <f t="shared" si="6"/>
        <v>7577.2387447648507</v>
      </c>
      <c r="T11" s="170" t="s">
        <v>106</v>
      </c>
      <c r="U11" s="164">
        <v>-2E-3</v>
      </c>
    </row>
    <row r="12" spans="2:21" x14ac:dyDescent="0.25">
      <c r="C12" s="9"/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T12" s="170"/>
      <c r="U12" s="164">
        <v>5.0000000000000001E-3</v>
      </c>
    </row>
    <row r="13" spans="2:21" ht="15.75" thickBot="1" x14ac:dyDescent="0.3">
      <c r="B13" s="1"/>
      <c r="C13" s="167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T13" s="3" t="s">
        <v>15</v>
      </c>
      <c r="U13" s="155">
        <v>2.1999999999999999E-2</v>
      </c>
    </row>
    <row r="14" spans="2:21" ht="15.75" thickBot="1" x14ac:dyDescent="0.3">
      <c r="B14" s="60" t="s">
        <v>0</v>
      </c>
      <c r="C14" s="65">
        <f>SUM(C10:C13)</f>
        <v>109445</v>
      </c>
      <c r="D14" s="66">
        <f>SUM(D10:D13)</f>
        <v>116762.03519447999</v>
      </c>
      <c r="E14" s="66">
        <f>SUM(E10:E13)</f>
        <v>131802.78413976665</v>
      </c>
      <c r="F14" s="66">
        <f t="shared" ref="F14:M14" si="7">SUM(F10:F13)</f>
        <v>151611.86369581558</v>
      </c>
      <c r="G14" s="66">
        <f>SUM(G10:G13)</f>
        <v>161241.46896804031</v>
      </c>
      <c r="H14" s="66">
        <f t="shared" si="7"/>
        <v>171494.4744759991</v>
      </c>
      <c r="I14" s="66">
        <f>SUM(I10:I13)</f>
        <v>182411.47999531453</v>
      </c>
      <c r="J14" s="66">
        <f t="shared" si="7"/>
        <v>194035.73430176187</v>
      </c>
      <c r="K14" s="66">
        <f t="shared" si="7"/>
        <v>205470.77572186099</v>
      </c>
      <c r="L14" s="66">
        <f>SUM(L10:L13)</f>
        <v>217589.85501425777</v>
      </c>
      <c r="M14" s="66">
        <f t="shared" si="7"/>
        <v>230434.09837671902</v>
      </c>
      <c r="N14" s="66">
        <f>SUM(N10:N13)</f>
        <v>244047.10880488213</v>
      </c>
      <c r="O14" s="66">
        <f>SUM(O10:O13)</f>
        <v>258475.11533957289</v>
      </c>
      <c r="P14" s="66">
        <f>SUM(P10:P13)</f>
        <v>273767.13130917173</v>
      </c>
      <c r="Q14" s="66">
        <f>SUM(Q10:Q13)</f>
        <v>289975.12210918817</v>
      </c>
      <c r="R14" s="66">
        <f>SUM(R10:R13)</f>
        <v>307154.18309388275</v>
      </c>
      <c r="S14" s="90">
        <f>SUM(D14:R14)</f>
        <v>3136273.2305407133</v>
      </c>
      <c r="T14" s="3" t="s">
        <v>16</v>
      </c>
      <c r="U14" s="92">
        <v>0.02</v>
      </c>
    </row>
    <row r="15" spans="2:21" ht="15" customHeight="1" x14ac:dyDescent="0.25">
      <c r="C15" s="9"/>
      <c r="T15" s="128" t="s">
        <v>17</v>
      </c>
      <c r="U15" s="129">
        <v>0.03</v>
      </c>
    </row>
    <row r="16" spans="2:21" ht="15" customHeight="1" x14ac:dyDescent="0.25">
      <c r="B16" s="1" t="s">
        <v>1</v>
      </c>
      <c r="C16" s="9"/>
      <c r="T16" s="171" t="s">
        <v>115</v>
      </c>
      <c r="U16" s="172"/>
    </row>
    <row r="17" spans="1:21" ht="15" customHeight="1" x14ac:dyDescent="0.25">
      <c r="B17" t="s">
        <v>2</v>
      </c>
      <c r="C17" s="46">
        <v>28854</v>
      </c>
      <c r="D17" s="63">
        <f t="shared" ref="D17:R17" si="8">+C17*(1+$U$8)</f>
        <v>29431.08</v>
      </c>
      <c r="E17" s="63">
        <f t="shared" si="8"/>
        <v>30019.701600000004</v>
      </c>
      <c r="F17" s="63">
        <f t="shared" si="8"/>
        <v>30620.095632000004</v>
      </c>
      <c r="G17" s="63">
        <f t="shared" si="8"/>
        <v>31232.497544640006</v>
      </c>
      <c r="H17" s="63">
        <f t="shared" si="8"/>
        <v>31857.147495532805</v>
      </c>
      <c r="I17" s="63">
        <f t="shared" si="8"/>
        <v>32494.290445443461</v>
      </c>
      <c r="J17" s="63">
        <f t="shared" si="8"/>
        <v>33144.176254352329</v>
      </c>
      <c r="K17" s="63">
        <f t="shared" si="8"/>
        <v>33807.059779439376</v>
      </c>
      <c r="L17" s="63">
        <f t="shared" si="8"/>
        <v>34483.200975028165</v>
      </c>
      <c r="M17" s="63">
        <f t="shared" si="8"/>
        <v>35172.864994528732</v>
      </c>
      <c r="N17" s="63">
        <f t="shared" si="8"/>
        <v>35876.322294419311</v>
      </c>
      <c r="O17" s="63">
        <f t="shared" si="8"/>
        <v>36593.848740307702</v>
      </c>
      <c r="P17" s="63">
        <f t="shared" si="8"/>
        <v>37325.725715113855</v>
      </c>
      <c r="Q17" s="63">
        <f t="shared" si="8"/>
        <v>38072.240229416129</v>
      </c>
      <c r="R17" s="63">
        <f t="shared" si="8"/>
        <v>38833.685034004455</v>
      </c>
      <c r="T17" s="173"/>
      <c r="U17" s="174"/>
    </row>
    <row r="18" spans="1:21" ht="15" customHeight="1" x14ac:dyDescent="0.25">
      <c r="B18" t="s">
        <v>3</v>
      </c>
      <c r="C18" s="46">
        <v>4613</v>
      </c>
      <c r="D18" s="63">
        <f t="shared" ref="D18:R18" si="9">+C18*(1+$U$13)*(1+$U$11)*(1+$U$6)*(1+$U$7)</f>
        <v>4728.5823131399993</v>
      </c>
      <c r="E18" s="63">
        <f t="shared" si="9"/>
        <v>4847.0606312899263</v>
      </c>
      <c r="F18" s="63">
        <f t="shared" si="9"/>
        <v>4968.5075161141876</v>
      </c>
      <c r="G18" s="63">
        <f t="shared" si="9"/>
        <v>5092.9973473662903</v>
      </c>
      <c r="H18" s="63">
        <f t="shared" si="9"/>
        <v>5220.6063684424835</v>
      </c>
      <c r="I18" s="63">
        <f t="shared" si="9"/>
        <v>5351.4127330767769</v>
      </c>
      <c r="J18" s="63">
        <f t="shared" si="9"/>
        <v>5485.4965532059468</v>
      </c>
      <c r="K18" s="63">
        <f t="shared" si="9"/>
        <v>5622.9399480338325</v>
      </c>
      <c r="L18" s="63">
        <f t="shared" si="9"/>
        <v>5763.827094324979</v>
      </c>
      <c r="M18" s="63">
        <f t="shared" si="9"/>
        <v>5908.2442779584244</v>
      </c>
      <c r="N18" s="63">
        <f t="shared" si="9"/>
        <v>6056.2799467732093</v>
      </c>
      <c r="O18" s="63">
        <f t="shared" si="9"/>
        <v>6208.0247647379701</v>
      </c>
      <c r="P18" s="63">
        <f t="shared" si="9"/>
        <v>6363.5716674777959</v>
      </c>
      <c r="Q18" s="63">
        <f t="shared" si="9"/>
        <v>6523.0159191923522</v>
      </c>
      <c r="R18" s="63">
        <f t="shared" si="9"/>
        <v>6686.4551710001333</v>
      </c>
      <c r="T18" s="175" t="s">
        <v>92</v>
      </c>
      <c r="U18" s="176"/>
    </row>
    <row r="19" spans="1:21" x14ac:dyDescent="0.25">
      <c r="B19" t="s">
        <v>4</v>
      </c>
      <c r="C19" s="46">
        <v>39685</v>
      </c>
      <c r="D19" s="63">
        <f>+C19*(1+$U$9)*(1+$U$11)*(1+$U$6)</f>
        <v>40397.742599999998</v>
      </c>
      <c r="E19" s="63">
        <f t="shared" ref="E19:R19" si="10">+D19*(1+$U$9)*(1+$U$11)*(1+$U$6)*(1+$U$7)</f>
        <v>41328.902487381478</v>
      </c>
      <c r="F19" s="63">
        <f t="shared" si="10"/>
        <v>42281.52542393512</v>
      </c>
      <c r="G19" s="63">
        <f t="shared" si="10"/>
        <v>43256.106128651736</v>
      </c>
      <c r="H19" s="63">
        <f t="shared" si="10"/>
        <v>44253.15072369593</v>
      </c>
      <c r="I19" s="63">
        <f t="shared" si="10"/>
        <v>45273.17699724697</v>
      </c>
      <c r="J19" s="63">
        <f t="shared" si="10"/>
        <v>46316.714672398106</v>
      </c>
      <c r="K19" s="63">
        <f t="shared" si="10"/>
        <v>47384.305682253944</v>
      </c>
      <c r="L19" s="63">
        <f t="shared" si="10"/>
        <v>48476.504451368761</v>
      </c>
      <c r="M19" s="63">
        <f t="shared" si="10"/>
        <v>49593.878183671921</v>
      </c>
      <c r="N19" s="63">
        <f t="shared" si="10"/>
        <v>50737.007157029919</v>
      </c>
      <c r="O19" s="63">
        <f t="shared" si="10"/>
        <v>51906.48502459802</v>
      </c>
      <c r="P19" s="63">
        <f t="shared" si="10"/>
        <v>53102.919123117994</v>
      </c>
      <c r="Q19" s="63">
        <f t="shared" si="10"/>
        <v>54326.930788322032</v>
      </c>
      <c r="R19" s="63">
        <f t="shared" si="10"/>
        <v>55579.155677606694</v>
      </c>
      <c r="T19" s="177"/>
      <c r="U19" s="178"/>
    </row>
    <row r="20" spans="1:21" ht="15" customHeight="1" x14ac:dyDescent="0.25">
      <c r="B20" t="s">
        <v>58</v>
      </c>
      <c r="C20" s="46">
        <v>23701</v>
      </c>
      <c r="D20" s="63">
        <f t="shared" ref="D20:R20" si="11">+C20*(1+$U$14)</f>
        <v>24175.02</v>
      </c>
      <c r="E20" s="63">
        <f t="shared" si="11"/>
        <v>24658.520400000001</v>
      </c>
      <c r="F20" s="63">
        <f t="shared" si="11"/>
        <v>25151.690808000003</v>
      </c>
      <c r="G20" s="63">
        <f t="shared" si="11"/>
        <v>25654.724624160004</v>
      </c>
      <c r="H20" s="63">
        <f t="shared" si="11"/>
        <v>26167.819116643204</v>
      </c>
      <c r="I20" s="63">
        <f t="shared" si="11"/>
        <v>26691.17549897607</v>
      </c>
      <c r="J20" s="63">
        <f t="shared" si="11"/>
        <v>27224.99900895559</v>
      </c>
      <c r="K20" s="63">
        <f t="shared" si="11"/>
        <v>27769.498989134703</v>
      </c>
      <c r="L20" s="63">
        <f t="shared" si="11"/>
        <v>28324.888968917399</v>
      </c>
      <c r="M20" s="63">
        <f t="shared" si="11"/>
        <v>28891.386748295747</v>
      </c>
      <c r="N20" s="63">
        <f t="shared" si="11"/>
        <v>29469.214483261661</v>
      </c>
      <c r="O20" s="63">
        <f t="shared" si="11"/>
        <v>30058.598772926896</v>
      </c>
      <c r="P20" s="63">
        <f t="shared" si="11"/>
        <v>30659.770748385436</v>
      </c>
      <c r="Q20" s="63">
        <f t="shared" si="11"/>
        <v>31272.966163353143</v>
      </c>
      <c r="R20" s="63">
        <f t="shared" si="11"/>
        <v>31898.425486620206</v>
      </c>
      <c r="T20" s="50" t="s">
        <v>108</v>
      </c>
      <c r="U20" s="169">
        <v>0.10150000000000001</v>
      </c>
    </row>
    <row r="21" spans="1:21" ht="14.45" customHeight="1" x14ac:dyDescent="0.25">
      <c r="B21" t="s">
        <v>5</v>
      </c>
      <c r="C21" s="46">
        <v>7210</v>
      </c>
      <c r="D21" s="63">
        <f t="shared" ref="D21:R21" si="12">+C21*(1+$U$14)</f>
        <v>7354.2</v>
      </c>
      <c r="E21" s="63">
        <f t="shared" si="12"/>
        <v>7501.2839999999997</v>
      </c>
      <c r="F21" s="63">
        <f t="shared" si="12"/>
        <v>7651.3096799999994</v>
      </c>
      <c r="G21" s="63">
        <f t="shared" si="12"/>
        <v>7804.3358735999991</v>
      </c>
      <c r="H21" s="63">
        <f t="shared" si="12"/>
        <v>7960.4225910719988</v>
      </c>
      <c r="I21" s="63">
        <f t="shared" si="12"/>
        <v>8119.6310428934385</v>
      </c>
      <c r="J21" s="63">
        <f t="shared" si="12"/>
        <v>8282.023663751308</v>
      </c>
      <c r="K21" s="63">
        <f t="shared" si="12"/>
        <v>8447.6641370263351</v>
      </c>
      <c r="L21" s="63">
        <f t="shared" si="12"/>
        <v>8616.6174197668624</v>
      </c>
      <c r="M21" s="63">
        <f t="shared" si="12"/>
        <v>8788.9497681621997</v>
      </c>
      <c r="N21" s="63">
        <f t="shared" si="12"/>
        <v>8964.7287635254434</v>
      </c>
      <c r="O21" s="63">
        <f t="shared" si="12"/>
        <v>9144.0233387959524</v>
      </c>
      <c r="P21" s="63">
        <f t="shared" si="12"/>
        <v>9326.903805571872</v>
      </c>
      <c r="Q21" s="63">
        <f t="shared" si="12"/>
        <v>9513.4418816833095</v>
      </c>
      <c r="R21" s="63">
        <f t="shared" si="12"/>
        <v>9703.7107193169759</v>
      </c>
    </row>
    <row r="22" spans="1:21" ht="15" customHeight="1" x14ac:dyDescent="0.25">
      <c r="A22" s="42"/>
      <c r="B22" t="s">
        <v>6</v>
      </c>
      <c r="C22" s="46">
        <v>4687</v>
      </c>
      <c r="D22" s="63">
        <f t="shared" ref="D22:R22" si="13">+C22*(1+$U$14)</f>
        <v>4780.74</v>
      </c>
      <c r="E22" s="63">
        <f t="shared" si="13"/>
        <v>4876.3548000000001</v>
      </c>
      <c r="F22" s="63">
        <f t="shared" si="13"/>
        <v>4973.8818959999999</v>
      </c>
      <c r="G22" s="63">
        <f t="shared" si="13"/>
        <v>5073.3595339200001</v>
      </c>
      <c r="H22" s="63">
        <f t="shared" si="13"/>
        <v>5174.8267245983998</v>
      </c>
      <c r="I22" s="63">
        <f t="shared" si="13"/>
        <v>5278.3232590903681</v>
      </c>
      <c r="J22" s="63">
        <f t="shared" si="13"/>
        <v>5383.889724272176</v>
      </c>
      <c r="K22" s="63">
        <f t="shared" si="13"/>
        <v>5491.5675187576198</v>
      </c>
      <c r="L22" s="63">
        <f t="shared" si="13"/>
        <v>5601.3988691327722</v>
      </c>
      <c r="M22" s="63">
        <f t="shared" si="13"/>
        <v>5713.4268465154282</v>
      </c>
      <c r="N22" s="63">
        <f t="shared" si="13"/>
        <v>5827.6953834457372</v>
      </c>
      <c r="O22" s="63">
        <f t="shared" si="13"/>
        <v>5944.2492911146519</v>
      </c>
      <c r="P22" s="63">
        <f t="shared" si="13"/>
        <v>6063.1342769369448</v>
      </c>
      <c r="Q22" s="63">
        <f t="shared" si="13"/>
        <v>6184.3969624756837</v>
      </c>
      <c r="R22" s="63">
        <f t="shared" si="13"/>
        <v>6308.0849017251976</v>
      </c>
      <c r="T22" s="58"/>
    </row>
    <row r="23" spans="1:21" ht="15" customHeight="1" x14ac:dyDescent="0.25">
      <c r="A23" s="42"/>
      <c r="B23" t="s">
        <v>90</v>
      </c>
      <c r="C23" s="47">
        <v>3435</v>
      </c>
      <c r="D23" s="67">
        <f t="shared" ref="D23:R23" si="14">+C23*(1+$U$14)</f>
        <v>3503.7000000000003</v>
      </c>
      <c r="E23" s="67">
        <f t="shared" si="14"/>
        <v>3573.7740000000003</v>
      </c>
      <c r="F23" s="67">
        <f t="shared" si="14"/>
        <v>3645.2494800000004</v>
      </c>
      <c r="G23" s="67">
        <f t="shared" si="14"/>
        <v>3718.1544696000005</v>
      </c>
      <c r="H23" s="67">
        <f t="shared" si="14"/>
        <v>3792.5175589920004</v>
      </c>
      <c r="I23" s="67">
        <f t="shared" si="14"/>
        <v>3868.3679101718403</v>
      </c>
      <c r="J23" s="67">
        <f t="shared" si="14"/>
        <v>3945.735268375277</v>
      </c>
      <c r="K23" s="67">
        <f t="shared" si="14"/>
        <v>4024.6499737427825</v>
      </c>
      <c r="L23" s="67">
        <f t="shared" si="14"/>
        <v>4105.1429732176384</v>
      </c>
      <c r="M23" s="67">
        <f t="shared" si="14"/>
        <v>4187.2458326819915</v>
      </c>
      <c r="N23" s="67">
        <f t="shared" si="14"/>
        <v>4270.9907493356313</v>
      </c>
      <c r="O23" s="67">
        <f t="shared" si="14"/>
        <v>4356.4105643223438</v>
      </c>
      <c r="P23" s="67">
        <f t="shared" si="14"/>
        <v>4443.5387756087912</v>
      </c>
      <c r="Q23" s="67">
        <f t="shared" si="14"/>
        <v>4532.4095511209671</v>
      </c>
      <c r="R23" s="67">
        <f t="shared" si="14"/>
        <v>4623.0577421433863</v>
      </c>
      <c r="T23" s="179" t="s">
        <v>73</v>
      </c>
      <c r="U23" s="179"/>
    </row>
    <row r="24" spans="1:21" ht="15.75" x14ac:dyDescent="0.25">
      <c r="A24" s="42"/>
      <c r="B24" t="s">
        <v>111</v>
      </c>
      <c r="C24" s="114">
        <v>2485</v>
      </c>
      <c r="D24" s="67">
        <f>+D7*0.03</f>
        <v>2497.9274999999993</v>
      </c>
      <c r="E24" s="67">
        <f t="shared" ref="E24:R24" si="15">+E7*0.03</f>
        <v>2510.4171374999992</v>
      </c>
      <c r="F24" s="67">
        <f t="shared" si="15"/>
        <v>2522.9692231874988</v>
      </c>
      <c r="G24" s="67">
        <f t="shared" si="15"/>
        <v>2535.5840693034361</v>
      </c>
      <c r="H24" s="67">
        <f t="shared" si="15"/>
        <v>2548.2619896499527</v>
      </c>
      <c r="I24" s="67">
        <f t="shared" si="15"/>
        <v>2561.0032995982028</v>
      </c>
      <c r="J24" s="67">
        <f t="shared" si="15"/>
        <v>2573.8083160961933</v>
      </c>
      <c r="K24" s="67">
        <f t="shared" si="15"/>
        <v>2586.6773576766741</v>
      </c>
      <c r="L24" s="67">
        <f t="shared" si="15"/>
        <v>2599.610744465057</v>
      </c>
      <c r="M24" s="67">
        <f t="shared" si="15"/>
        <v>2612.6087981873816</v>
      </c>
      <c r="N24" s="67">
        <f t="shared" si="15"/>
        <v>2625.6718421783185</v>
      </c>
      <c r="O24" s="67">
        <f t="shared" si="15"/>
        <v>2638.8002013892096</v>
      </c>
      <c r="P24" s="67">
        <f t="shared" si="15"/>
        <v>2651.9942023961553</v>
      </c>
      <c r="Q24" s="67">
        <f t="shared" si="15"/>
        <v>2665.254173408136</v>
      </c>
      <c r="R24" s="67">
        <f t="shared" si="15"/>
        <v>2678.580444275176</v>
      </c>
      <c r="T24" s="179"/>
      <c r="U24" s="179"/>
    </row>
    <row r="25" spans="1:21" ht="15.75" x14ac:dyDescent="0.25">
      <c r="A25" s="43"/>
      <c r="B25" t="s">
        <v>62</v>
      </c>
      <c r="C25" s="9"/>
      <c r="D25" s="63">
        <v>10000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T25" s="179"/>
      <c r="U25" s="179"/>
    </row>
    <row r="26" spans="1:21" ht="15.6" customHeight="1" x14ac:dyDescent="0.25">
      <c r="A26" s="40"/>
      <c r="B26" t="s">
        <v>68</v>
      </c>
      <c r="C26" s="9"/>
      <c r="D26" s="63">
        <f t="shared" ref="D26:R26" si="16">+$S$14*0.05*0.0075</f>
        <v>1176.1024614527676</v>
      </c>
      <c r="E26" s="63">
        <f t="shared" si="16"/>
        <v>1176.1024614527676</v>
      </c>
      <c r="F26" s="63">
        <f t="shared" si="16"/>
        <v>1176.1024614527676</v>
      </c>
      <c r="G26" s="63">
        <f t="shared" si="16"/>
        <v>1176.1024614527676</v>
      </c>
      <c r="H26" s="63">
        <f t="shared" si="16"/>
        <v>1176.1024614527676</v>
      </c>
      <c r="I26" s="63">
        <f t="shared" si="16"/>
        <v>1176.1024614527676</v>
      </c>
      <c r="J26" s="63">
        <f t="shared" si="16"/>
        <v>1176.1024614527676</v>
      </c>
      <c r="K26" s="63">
        <f t="shared" si="16"/>
        <v>1176.1024614527676</v>
      </c>
      <c r="L26" s="63">
        <f t="shared" si="16"/>
        <v>1176.1024614527676</v>
      </c>
      <c r="M26" s="63">
        <f t="shared" si="16"/>
        <v>1176.1024614527676</v>
      </c>
      <c r="N26" s="63">
        <f t="shared" si="16"/>
        <v>1176.1024614527676</v>
      </c>
      <c r="O26" s="63">
        <f t="shared" si="16"/>
        <v>1176.1024614527676</v>
      </c>
      <c r="P26" s="63">
        <f t="shared" si="16"/>
        <v>1176.1024614527676</v>
      </c>
      <c r="Q26" s="63">
        <f t="shared" si="16"/>
        <v>1176.1024614527676</v>
      </c>
      <c r="R26" s="63">
        <f t="shared" si="16"/>
        <v>1176.1024614527676</v>
      </c>
    </row>
    <row r="27" spans="1:21" ht="15.75" x14ac:dyDescent="0.25">
      <c r="A27" s="40"/>
      <c r="B27" t="s">
        <v>63</v>
      </c>
      <c r="C27" s="46">
        <v>14336</v>
      </c>
      <c r="D27" s="63">
        <f>C27*(1+$U$14)</f>
        <v>14622.720000000001</v>
      </c>
      <c r="E27" s="63">
        <f t="shared" ref="E27:R27" si="17">+D27*(1+$U$14)</f>
        <v>14915.174400000002</v>
      </c>
      <c r="F27" s="63">
        <f t="shared" si="17"/>
        <v>15213.477888000001</v>
      </c>
      <c r="G27" s="63">
        <f t="shared" si="17"/>
        <v>15517.747445760002</v>
      </c>
      <c r="H27" s="63">
        <f t="shared" si="17"/>
        <v>15828.102394675203</v>
      </c>
      <c r="I27" s="63">
        <f t="shared" si="17"/>
        <v>16144.664442568708</v>
      </c>
      <c r="J27" s="63">
        <f t="shared" si="17"/>
        <v>16467.557731420082</v>
      </c>
      <c r="K27" s="63">
        <f t="shared" si="17"/>
        <v>16796.908886048484</v>
      </c>
      <c r="L27" s="63">
        <f t="shared" si="17"/>
        <v>17132.847063769455</v>
      </c>
      <c r="M27" s="63">
        <f t="shared" si="17"/>
        <v>17475.504005044844</v>
      </c>
      <c r="N27" s="63">
        <f t="shared" si="17"/>
        <v>17825.01408514574</v>
      </c>
      <c r="O27" s="63">
        <f t="shared" si="17"/>
        <v>18181.514366848656</v>
      </c>
      <c r="P27" s="63">
        <f t="shared" si="17"/>
        <v>18545.144654185631</v>
      </c>
      <c r="Q27" s="63">
        <f t="shared" si="17"/>
        <v>18916.047547269343</v>
      </c>
      <c r="R27" s="63">
        <f t="shared" si="17"/>
        <v>19294.368498214732</v>
      </c>
    </row>
    <row r="28" spans="1:21" ht="16.5" thickBot="1" x14ac:dyDescent="0.3">
      <c r="A28" s="40"/>
    </row>
    <row r="29" spans="1:21" ht="16.5" thickBot="1" x14ac:dyDescent="0.3">
      <c r="A29" s="40"/>
      <c r="B29" s="61" t="s">
        <v>7</v>
      </c>
      <c r="C29" s="65">
        <f t="shared" ref="C29:R29" si="18">SUM(C17:C27)</f>
        <v>129006</v>
      </c>
      <c r="D29" s="66">
        <f>SUM(D17:D27)</f>
        <v>142667.81487459276</v>
      </c>
      <c r="E29" s="66">
        <f t="shared" si="18"/>
        <v>135407.29191762418</v>
      </c>
      <c r="F29" s="66">
        <f t="shared" si="18"/>
        <v>138204.81000868959</v>
      </c>
      <c r="G29" s="66">
        <f t="shared" si="18"/>
        <v>141061.60949845426</v>
      </c>
      <c r="H29" s="66">
        <f t="shared" si="18"/>
        <v>143978.95742475474</v>
      </c>
      <c r="I29" s="66">
        <f t="shared" si="18"/>
        <v>146958.1480905186</v>
      </c>
      <c r="J29" s="66">
        <f t="shared" si="18"/>
        <v>150000.50365427978</v>
      </c>
      <c r="K29" s="66">
        <f t="shared" si="18"/>
        <v>153107.37473356651</v>
      </c>
      <c r="L29" s="66">
        <f t="shared" si="18"/>
        <v>156280.14102144388</v>
      </c>
      <c r="M29" s="66">
        <f t="shared" si="18"/>
        <v>159520.21191649945</v>
      </c>
      <c r="N29" s="66">
        <f t="shared" si="18"/>
        <v>162829.02716656774</v>
      </c>
      <c r="O29" s="66">
        <f t="shared" si="18"/>
        <v>166208.05752649417</v>
      </c>
      <c r="P29" s="66">
        <f t="shared" si="18"/>
        <v>169658.80543024724</v>
      </c>
      <c r="Q29" s="66">
        <f t="shared" si="18"/>
        <v>173182.80567769389</v>
      </c>
      <c r="R29" s="66">
        <f t="shared" si="18"/>
        <v>176781.6261363597</v>
      </c>
    </row>
    <row r="30" spans="1:21" ht="15.75" x14ac:dyDescent="0.25">
      <c r="A30" s="40"/>
      <c r="B30" t="s">
        <v>65</v>
      </c>
      <c r="C30" s="71">
        <f>$U$20*SUM(C17:C27)</f>
        <v>13094.109</v>
      </c>
      <c r="D30" s="71">
        <f>$U$20*SUM(D17:D27)</f>
        <v>14480.783209771167</v>
      </c>
      <c r="E30" s="71">
        <f t="shared" ref="E30:R30" si="19">$U$20*SUM(E17:E27)</f>
        <v>13743.840129638857</v>
      </c>
      <c r="F30" s="71">
        <f t="shared" si="19"/>
        <v>14027.788215881994</v>
      </c>
      <c r="G30" s="71">
        <f t="shared" si="19"/>
        <v>14317.753364093109</v>
      </c>
      <c r="H30" s="71">
        <f t="shared" si="19"/>
        <v>14613.864178612608</v>
      </c>
      <c r="I30" s="71">
        <f t="shared" si="19"/>
        <v>14916.25203118764</v>
      </c>
      <c r="J30" s="71">
        <f t="shared" si="19"/>
        <v>15225.051120909398</v>
      </c>
      <c r="K30" s="71">
        <f t="shared" si="19"/>
        <v>15540.398535457001</v>
      </c>
      <c r="L30" s="71">
        <f t="shared" si="19"/>
        <v>15862.434313676555</v>
      </c>
      <c r="M30" s="71">
        <f t="shared" si="19"/>
        <v>16191.301509524696</v>
      </c>
      <c r="N30" s="71">
        <f t="shared" si="19"/>
        <v>16527.146257406628</v>
      </c>
      <c r="O30" s="71">
        <f t="shared" si="19"/>
        <v>16870.117838939161</v>
      </c>
      <c r="P30" s="71">
        <f t="shared" si="19"/>
        <v>17220.368751170095</v>
      </c>
      <c r="Q30" s="71">
        <f t="shared" si="19"/>
        <v>17578.054776285931</v>
      </c>
      <c r="R30" s="71">
        <f t="shared" si="19"/>
        <v>17943.33505284051</v>
      </c>
    </row>
    <row r="31" spans="1:21" ht="15.75" x14ac:dyDescent="0.25">
      <c r="A31" s="41"/>
      <c r="B31" t="s">
        <v>59</v>
      </c>
      <c r="C31" s="9">
        <v>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21" ht="15.75" x14ac:dyDescent="0.25">
      <c r="A32" s="40"/>
      <c r="B32" t="s">
        <v>112</v>
      </c>
      <c r="C32" s="9">
        <v>1642</v>
      </c>
      <c r="D32" s="134">
        <f>D14*0.015</f>
        <v>1751.4305279171997</v>
      </c>
      <c r="E32" s="134">
        <f t="shared" ref="E32:R32" si="20">E14*0.015</f>
        <v>1977.0417620964997</v>
      </c>
      <c r="F32" s="134">
        <f t="shared" si="20"/>
        <v>2274.1779554372338</v>
      </c>
      <c r="G32" s="134">
        <f t="shared" si="20"/>
        <v>2418.6220345206048</v>
      </c>
      <c r="H32" s="134">
        <f t="shared" si="20"/>
        <v>2572.4171171399862</v>
      </c>
      <c r="I32" s="134">
        <f t="shared" si="20"/>
        <v>2736.1721999297179</v>
      </c>
      <c r="J32" s="134">
        <f t="shared" si="20"/>
        <v>2910.5360145264281</v>
      </c>
      <c r="K32" s="134">
        <f t="shared" si="20"/>
        <v>3082.0616358279149</v>
      </c>
      <c r="L32" s="134">
        <f t="shared" si="20"/>
        <v>3263.8478252138666</v>
      </c>
      <c r="M32" s="134">
        <f t="shared" si="20"/>
        <v>3456.5114756507851</v>
      </c>
      <c r="N32" s="134">
        <f t="shared" si="20"/>
        <v>3660.706632073232</v>
      </c>
      <c r="O32" s="134">
        <f t="shared" si="20"/>
        <v>3877.1267300935933</v>
      </c>
      <c r="P32" s="134">
        <f t="shared" si="20"/>
        <v>4106.5069696375758</v>
      </c>
      <c r="Q32" s="134">
        <f t="shared" si="20"/>
        <v>4349.6268316378228</v>
      </c>
      <c r="R32" s="134">
        <f t="shared" si="20"/>
        <v>4607.3127464082409</v>
      </c>
    </row>
    <row r="33" spans="2:20" x14ac:dyDescent="0.25">
      <c r="B33" t="s">
        <v>70</v>
      </c>
      <c r="C33" s="9"/>
      <c r="D33" s="69">
        <f>+$S$33/15</f>
        <v>1045.4244101802378</v>
      </c>
      <c r="E33" s="69">
        <f t="shared" ref="E33:R33" si="21">+$S$33/15</f>
        <v>1045.4244101802378</v>
      </c>
      <c r="F33" s="69">
        <f t="shared" si="21"/>
        <v>1045.4244101802378</v>
      </c>
      <c r="G33" s="69">
        <f t="shared" si="21"/>
        <v>1045.4244101802378</v>
      </c>
      <c r="H33" s="69">
        <f t="shared" si="21"/>
        <v>1045.4244101802378</v>
      </c>
      <c r="I33" s="69">
        <f t="shared" si="21"/>
        <v>1045.4244101802378</v>
      </c>
      <c r="J33" s="69">
        <f t="shared" si="21"/>
        <v>1045.4244101802378</v>
      </c>
      <c r="K33" s="69">
        <f t="shared" si="21"/>
        <v>1045.4244101802378</v>
      </c>
      <c r="L33" s="69">
        <f t="shared" si="21"/>
        <v>1045.4244101802378</v>
      </c>
      <c r="M33" s="69">
        <f t="shared" si="21"/>
        <v>1045.4244101802378</v>
      </c>
      <c r="N33" s="69">
        <f t="shared" si="21"/>
        <v>1045.4244101802378</v>
      </c>
      <c r="O33" s="69">
        <f t="shared" si="21"/>
        <v>1045.4244101802378</v>
      </c>
      <c r="P33" s="69">
        <f t="shared" si="21"/>
        <v>1045.4244101802378</v>
      </c>
      <c r="Q33" s="69">
        <f t="shared" si="21"/>
        <v>1045.4244101802378</v>
      </c>
      <c r="R33" s="69">
        <f t="shared" si="21"/>
        <v>1045.4244101802378</v>
      </c>
      <c r="S33" s="64">
        <f>0.005*S14</f>
        <v>15681.366152703567</v>
      </c>
    </row>
    <row r="34" spans="2:20" x14ac:dyDescent="0.25">
      <c r="B34" t="s">
        <v>61</v>
      </c>
      <c r="C34" s="9">
        <v>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2:20" x14ac:dyDescent="0.25">
      <c r="B35" t="s">
        <v>113</v>
      </c>
      <c r="C35" s="9">
        <f>C29*0.5%</f>
        <v>645.03</v>
      </c>
      <c r="D35" s="64">
        <f t="shared" ref="D35:R35" si="22">D29*0.5%</f>
        <v>713.33907437296386</v>
      </c>
      <c r="E35" s="64">
        <f t="shared" si="22"/>
        <v>677.03645958812092</v>
      </c>
      <c r="F35" s="64">
        <f t="shared" si="22"/>
        <v>691.02405004344791</v>
      </c>
      <c r="G35" s="64">
        <f t="shared" si="22"/>
        <v>705.30804749227127</v>
      </c>
      <c r="H35" s="64">
        <f t="shared" si="22"/>
        <v>719.89478712377377</v>
      </c>
      <c r="I35" s="64">
        <f t="shared" si="22"/>
        <v>734.79074045259301</v>
      </c>
      <c r="J35" s="64">
        <f t="shared" si="22"/>
        <v>750.00251827139891</v>
      </c>
      <c r="K35" s="64">
        <f t="shared" si="22"/>
        <v>765.53687366783254</v>
      </c>
      <c r="L35" s="64">
        <f t="shared" si="22"/>
        <v>781.40070510721944</v>
      </c>
      <c r="M35" s="64">
        <f t="shared" si="22"/>
        <v>797.60105958249733</v>
      </c>
      <c r="N35" s="64">
        <f t="shared" si="22"/>
        <v>814.14513583283872</v>
      </c>
      <c r="O35" s="64">
        <f t="shared" si="22"/>
        <v>831.04028763247084</v>
      </c>
      <c r="P35" s="64">
        <f t="shared" si="22"/>
        <v>848.29402715123626</v>
      </c>
      <c r="Q35" s="64">
        <f t="shared" si="22"/>
        <v>865.91402838846943</v>
      </c>
      <c r="R35" s="64">
        <f t="shared" si="22"/>
        <v>883.90813068179853</v>
      </c>
    </row>
    <row r="36" spans="2:20" ht="15.75" thickBot="1" x14ac:dyDescent="0.3">
      <c r="B36" t="s">
        <v>69</v>
      </c>
      <c r="C36" s="9">
        <v>1989</v>
      </c>
      <c r="D36" s="69">
        <f t="shared" ref="D36:R36" si="23">C36*(1+$U$14)</f>
        <v>2028.78</v>
      </c>
      <c r="E36" s="69">
        <f t="shared" si="23"/>
        <v>2069.3555999999999</v>
      </c>
      <c r="F36" s="69">
        <f t="shared" si="23"/>
        <v>2110.7427119999998</v>
      </c>
      <c r="G36" s="69">
        <f t="shared" si="23"/>
        <v>2152.9575662399998</v>
      </c>
      <c r="H36" s="69">
        <f t="shared" si="23"/>
        <v>2196.0167175647998</v>
      </c>
      <c r="I36" s="69">
        <f t="shared" si="23"/>
        <v>2239.9370519160957</v>
      </c>
      <c r="J36" s="69">
        <f t="shared" si="23"/>
        <v>2284.7357929544178</v>
      </c>
      <c r="K36" s="69">
        <f t="shared" si="23"/>
        <v>2330.4305088135061</v>
      </c>
      <c r="L36" s="69">
        <f t="shared" si="23"/>
        <v>2377.0391189897764</v>
      </c>
      <c r="M36" s="69">
        <f t="shared" si="23"/>
        <v>2424.5799013695719</v>
      </c>
      <c r="N36" s="69">
        <f t="shared" si="23"/>
        <v>2473.0714993969632</v>
      </c>
      <c r="O36" s="69">
        <f t="shared" si="23"/>
        <v>2522.5329293849027</v>
      </c>
      <c r="P36" s="69">
        <f t="shared" si="23"/>
        <v>2572.9835879726006</v>
      </c>
      <c r="Q36" s="69">
        <f t="shared" si="23"/>
        <v>2624.4432597320529</v>
      </c>
      <c r="R36" s="69">
        <f t="shared" si="23"/>
        <v>2676.9321249266941</v>
      </c>
    </row>
    <row r="37" spans="2:20" ht="15.75" thickBot="1" x14ac:dyDescent="0.3">
      <c r="B37" s="61" t="s">
        <v>8</v>
      </c>
      <c r="C37" s="65">
        <f t="shared" ref="C37:R37" si="24">SUM(C29:C36)</f>
        <v>146376.139</v>
      </c>
      <c r="D37" s="65">
        <f t="shared" si="24"/>
        <v>162687.57209683434</v>
      </c>
      <c r="E37" s="65">
        <f t="shared" si="24"/>
        <v>154919.9902791279</v>
      </c>
      <c r="F37" s="65">
        <f t="shared" si="24"/>
        <v>158353.96735223255</v>
      </c>
      <c r="G37" s="65">
        <f t="shared" si="24"/>
        <v>161701.67492098047</v>
      </c>
      <c r="H37" s="65">
        <f t="shared" si="24"/>
        <v>165126.57463537616</v>
      </c>
      <c r="I37" s="65">
        <f t="shared" si="24"/>
        <v>168630.72452418489</v>
      </c>
      <c r="J37" s="65">
        <f t="shared" si="24"/>
        <v>172216.25351112167</v>
      </c>
      <c r="K37" s="65">
        <f t="shared" si="24"/>
        <v>175871.22669751299</v>
      </c>
      <c r="L37" s="65">
        <f t="shared" si="24"/>
        <v>179610.28739461154</v>
      </c>
      <c r="M37" s="65">
        <f t="shared" si="24"/>
        <v>183435.63027280726</v>
      </c>
      <c r="N37" s="65">
        <f t="shared" si="24"/>
        <v>187349.52110145765</v>
      </c>
      <c r="O37" s="65">
        <f t="shared" si="24"/>
        <v>191354.29972272454</v>
      </c>
      <c r="P37" s="65">
        <f t="shared" si="24"/>
        <v>195452.383176359</v>
      </c>
      <c r="Q37" s="65">
        <f t="shared" si="24"/>
        <v>199646.26898391839</v>
      </c>
      <c r="R37" s="65">
        <f t="shared" si="24"/>
        <v>203938.53860139719</v>
      </c>
      <c r="S37" s="75">
        <f>SUM(D37:R37)</f>
        <v>2660294.9132706462</v>
      </c>
    </row>
    <row r="38" spans="2:20" ht="15.75" thickBot="1" x14ac:dyDescent="0.3">
      <c r="T38" s="49"/>
    </row>
    <row r="39" spans="2:20" ht="15.75" thickBot="1" x14ac:dyDescent="0.3">
      <c r="B39" s="59" t="s">
        <v>9</v>
      </c>
      <c r="C39" s="72">
        <f t="shared" ref="C39:R39" si="25">+C14-C37</f>
        <v>-36931.138999999996</v>
      </c>
      <c r="D39" s="72">
        <f t="shared" si="25"/>
        <v>-45925.536902354346</v>
      </c>
      <c r="E39" s="72">
        <f t="shared" si="25"/>
        <v>-23117.206139361253</v>
      </c>
      <c r="F39" s="72">
        <f t="shared" si="25"/>
        <v>-6742.1036564169626</v>
      </c>
      <c r="G39" s="72">
        <f t="shared" si="25"/>
        <v>-460.20595294015948</v>
      </c>
      <c r="H39" s="72">
        <f t="shared" si="25"/>
        <v>6367.8998406229366</v>
      </c>
      <c r="I39" s="72">
        <f t="shared" si="25"/>
        <v>13780.75547112964</v>
      </c>
      <c r="J39" s="72">
        <f t="shared" si="25"/>
        <v>21819.480790640198</v>
      </c>
      <c r="K39" s="72">
        <f t="shared" si="25"/>
        <v>29599.549024348002</v>
      </c>
      <c r="L39" s="72">
        <f t="shared" si="25"/>
        <v>37979.56761964623</v>
      </c>
      <c r="M39" s="72">
        <f t="shared" si="25"/>
        <v>46998.468103911757</v>
      </c>
      <c r="N39" s="72">
        <f t="shared" si="25"/>
        <v>56697.587703424477</v>
      </c>
      <c r="O39" s="72">
        <f t="shared" si="25"/>
        <v>67120.815616848355</v>
      </c>
      <c r="P39" s="72">
        <f t="shared" si="25"/>
        <v>78314.748132812732</v>
      </c>
      <c r="Q39" s="72">
        <f t="shared" si="25"/>
        <v>90328.853125269787</v>
      </c>
      <c r="R39" s="72">
        <f t="shared" si="25"/>
        <v>103215.64449248556</v>
      </c>
      <c r="S39" s="81">
        <f>SUM(D39:R39)</f>
        <v>475978.31727006694</v>
      </c>
      <c r="T39" s="49"/>
    </row>
    <row r="41" spans="2:20" x14ac:dyDescent="0.25">
      <c r="B41" s="1" t="s">
        <v>56</v>
      </c>
      <c r="C41" s="17"/>
      <c r="S41" s="58"/>
      <c r="T41" s="49"/>
    </row>
    <row r="42" spans="2:20" ht="30" x14ac:dyDescent="0.25">
      <c r="B42" s="165" t="s">
        <v>116</v>
      </c>
      <c r="C42" s="166">
        <v>10.15</v>
      </c>
      <c r="S42" s="58"/>
      <c r="T42" s="49"/>
    </row>
    <row r="43" spans="2:20" x14ac:dyDescent="0.25">
      <c r="B43" t="s">
        <v>107</v>
      </c>
      <c r="C43" s="63">
        <f t="shared" ref="C43:R43" si="26">SUM(C17:C27)*$U$20</f>
        <v>13094.109</v>
      </c>
      <c r="D43" s="63">
        <f t="shared" si="26"/>
        <v>14480.783209771167</v>
      </c>
      <c r="E43" s="63">
        <f t="shared" si="26"/>
        <v>13743.840129638857</v>
      </c>
      <c r="F43" s="63">
        <f t="shared" si="26"/>
        <v>14027.788215881994</v>
      </c>
      <c r="G43" s="63">
        <f t="shared" si="26"/>
        <v>14317.753364093109</v>
      </c>
      <c r="H43" s="63">
        <f t="shared" si="26"/>
        <v>14613.864178612608</v>
      </c>
      <c r="I43" s="63">
        <f t="shared" si="26"/>
        <v>14916.25203118764</v>
      </c>
      <c r="J43" s="63">
        <f t="shared" si="26"/>
        <v>15225.051120909398</v>
      </c>
      <c r="K43" s="63">
        <f t="shared" si="26"/>
        <v>15540.398535457001</v>
      </c>
      <c r="L43" s="63">
        <f t="shared" si="26"/>
        <v>15862.434313676555</v>
      </c>
      <c r="M43" s="63">
        <f t="shared" si="26"/>
        <v>16191.301509524696</v>
      </c>
      <c r="N43" s="63">
        <f t="shared" si="26"/>
        <v>16527.146257406628</v>
      </c>
      <c r="O43" s="63">
        <f t="shared" si="26"/>
        <v>16870.117838939161</v>
      </c>
      <c r="P43" s="63">
        <f t="shared" si="26"/>
        <v>17220.368751170095</v>
      </c>
      <c r="Q43" s="63">
        <f t="shared" si="26"/>
        <v>17578.054776285931</v>
      </c>
      <c r="R43" s="63">
        <f t="shared" si="26"/>
        <v>17943.33505284051</v>
      </c>
      <c r="S43" s="58"/>
      <c r="T43" s="49"/>
    </row>
    <row r="44" spans="2:20" x14ac:dyDescent="0.25">
      <c r="B44" s="1" t="s">
        <v>10</v>
      </c>
      <c r="C44" s="135">
        <f t="shared" ref="C44:M44" si="27">SUM(C43:C43)</f>
        <v>13094.109</v>
      </c>
      <c r="D44" s="135">
        <f t="shared" si="27"/>
        <v>14480.783209771167</v>
      </c>
      <c r="E44" s="135">
        <f t="shared" si="27"/>
        <v>13743.840129638857</v>
      </c>
      <c r="F44" s="135">
        <f t="shared" si="27"/>
        <v>14027.788215881994</v>
      </c>
      <c r="G44" s="135">
        <f t="shared" si="27"/>
        <v>14317.753364093109</v>
      </c>
      <c r="H44" s="135">
        <f t="shared" si="27"/>
        <v>14613.864178612608</v>
      </c>
      <c r="I44" s="135">
        <f t="shared" si="27"/>
        <v>14916.25203118764</v>
      </c>
      <c r="J44" s="135">
        <f t="shared" si="27"/>
        <v>15225.051120909398</v>
      </c>
      <c r="K44" s="135">
        <f t="shared" si="27"/>
        <v>15540.398535457001</v>
      </c>
      <c r="L44" s="135">
        <f t="shared" si="27"/>
        <v>15862.434313676555</v>
      </c>
      <c r="M44" s="135">
        <f t="shared" si="27"/>
        <v>16191.301509524696</v>
      </c>
      <c r="N44" s="135">
        <f>SUM(N43:N43)</f>
        <v>16527.146257406628</v>
      </c>
      <c r="O44" s="135">
        <f>SUM(O43:O43)</f>
        <v>16870.117838939161</v>
      </c>
      <c r="P44" s="135">
        <f>SUM(P43:P43)</f>
        <v>17220.368751170095</v>
      </c>
      <c r="Q44" s="135">
        <f>SUM(Q43:Q43)</f>
        <v>17578.054776285931</v>
      </c>
      <c r="R44" s="135">
        <f>SUM(R43:R43)</f>
        <v>17943.33505284051</v>
      </c>
      <c r="T44" s="49"/>
    </row>
    <row r="45" spans="2:20" x14ac:dyDescent="0.25">
      <c r="B45" t="s">
        <v>72</v>
      </c>
      <c r="C45" s="8"/>
      <c r="D45" s="63">
        <f t="shared" ref="D45:R45" si="28">+D39+D43</f>
        <v>-31444.753692583181</v>
      </c>
      <c r="E45" s="63">
        <f t="shared" si="28"/>
        <v>-9373.3660097223965</v>
      </c>
      <c r="F45" s="63">
        <f t="shared" si="28"/>
        <v>7285.6845594650313</v>
      </c>
      <c r="G45" s="63">
        <f t="shared" si="28"/>
        <v>13857.547411152949</v>
      </c>
      <c r="H45" s="63">
        <f t="shared" si="28"/>
        <v>20981.764019235547</v>
      </c>
      <c r="I45" s="63">
        <f t="shared" si="28"/>
        <v>28697.007502317279</v>
      </c>
      <c r="J45" s="63">
        <f t="shared" si="28"/>
        <v>37044.531911549595</v>
      </c>
      <c r="K45" s="63">
        <f t="shared" si="28"/>
        <v>45139.947559805005</v>
      </c>
      <c r="L45" s="63">
        <f t="shared" si="28"/>
        <v>53842.001933322783</v>
      </c>
      <c r="M45" s="63">
        <f t="shared" si="28"/>
        <v>63189.769613436452</v>
      </c>
      <c r="N45" s="63">
        <f t="shared" si="28"/>
        <v>73224.733960831101</v>
      </c>
      <c r="O45" s="63">
        <f t="shared" si="28"/>
        <v>83990.933455787512</v>
      </c>
      <c r="P45" s="63">
        <f t="shared" si="28"/>
        <v>95535.116883982831</v>
      </c>
      <c r="Q45" s="63">
        <f t="shared" si="28"/>
        <v>107906.90790155572</v>
      </c>
      <c r="R45" s="63">
        <f t="shared" si="28"/>
        <v>121158.97954532607</v>
      </c>
      <c r="S45" s="76">
        <f>SUM(D45:R45)</f>
        <v>711036.8065554623</v>
      </c>
      <c r="T45" s="49"/>
    </row>
    <row r="46" spans="2:20" x14ac:dyDescent="0.25">
      <c r="T46" s="48"/>
    </row>
    <row r="47" spans="2:20" x14ac:dyDescent="0.25">
      <c r="B47" s="10" t="s">
        <v>64</v>
      </c>
      <c r="C47" s="136">
        <v>97409</v>
      </c>
      <c r="D47" s="63">
        <f t="shared" ref="D47:R47" si="29">C47*(1+$U$7)*(1+$U$6)</f>
        <v>97896.044999999984</v>
      </c>
      <c r="E47" s="63">
        <f t="shared" si="29"/>
        <v>98385.525224999976</v>
      </c>
      <c r="F47" s="63">
        <f t="shared" si="29"/>
        <v>98877.452851124966</v>
      </c>
      <c r="G47" s="63">
        <f t="shared" si="29"/>
        <v>99371.840115380575</v>
      </c>
      <c r="H47" s="63">
        <f t="shared" si="29"/>
        <v>99868.699315957463</v>
      </c>
      <c r="I47" s="63">
        <f t="shared" si="29"/>
        <v>100368.04281253724</v>
      </c>
      <c r="J47" s="63">
        <f t="shared" si="29"/>
        <v>100869.88302659991</v>
      </c>
      <c r="K47" s="63">
        <f t="shared" si="29"/>
        <v>101374.23244173291</v>
      </c>
      <c r="L47" s="63">
        <f t="shared" si="29"/>
        <v>101881.10360394156</v>
      </c>
      <c r="M47" s="63">
        <f t="shared" si="29"/>
        <v>102390.50912196127</v>
      </c>
      <c r="N47" s="63">
        <f t="shared" si="29"/>
        <v>102902.46166757106</v>
      </c>
      <c r="O47" s="63">
        <f t="shared" si="29"/>
        <v>103416.9739759089</v>
      </c>
      <c r="P47" s="63">
        <f t="shared" si="29"/>
        <v>103934.05884578843</v>
      </c>
      <c r="Q47" s="63">
        <f t="shared" si="29"/>
        <v>104453.72914001736</v>
      </c>
      <c r="R47" s="63">
        <f t="shared" si="29"/>
        <v>104975.99778571744</v>
      </c>
      <c r="S47" s="17"/>
      <c r="T47" s="48"/>
    </row>
    <row r="48" spans="2:20" ht="15" customHeight="1" x14ac:dyDescent="0.25">
      <c r="B48" s="137" t="s">
        <v>60</v>
      </c>
      <c r="C48" s="136">
        <f>C7</f>
        <v>82850</v>
      </c>
      <c r="D48" s="63">
        <f t="shared" ref="D48:R48" si="30">+D7</f>
        <v>83264.249999999985</v>
      </c>
      <c r="E48" s="63">
        <f t="shared" si="30"/>
        <v>83680.571249999979</v>
      </c>
      <c r="F48" s="63">
        <f t="shared" si="30"/>
        <v>84098.974106249967</v>
      </c>
      <c r="G48" s="63">
        <f t="shared" si="30"/>
        <v>84519.468976781209</v>
      </c>
      <c r="H48" s="63">
        <f t="shared" si="30"/>
        <v>84942.066321665101</v>
      </c>
      <c r="I48" s="63">
        <f t="shared" si="30"/>
        <v>85366.776653273424</v>
      </c>
      <c r="J48" s="63">
        <f t="shared" si="30"/>
        <v>85793.610536539782</v>
      </c>
      <c r="K48" s="63">
        <f t="shared" si="30"/>
        <v>86222.578589222467</v>
      </c>
      <c r="L48" s="63">
        <f t="shared" si="30"/>
        <v>86653.691482168564</v>
      </c>
      <c r="M48" s="63">
        <f t="shared" si="30"/>
        <v>87086.959939579392</v>
      </c>
      <c r="N48" s="63">
        <f t="shared" si="30"/>
        <v>87522.394739277282</v>
      </c>
      <c r="O48" s="63">
        <f t="shared" si="30"/>
        <v>87960.006712973656</v>
      </c>
      <c r="P48" s="63">
        <f t="shared" si="30"/>
        <v>88399.80674653851</v>
      </c>
      <c r="Q48" s="63">
        <f t="shared" si="30"/>
        <v>88841.805780271199</v>
      </c>
      <c r="R48" s="63">
        <f t="shared" si="30"/>
        <v>89286.014809172542</v>
      </c>
      <c r="T48" s="48"/>
    </row>
    <row r="49" spans="2:21" x14ac:dyDescent="0.25">
      <c r="B49" s="137" t="s">
        <v>24</v>
      </c>
      <c r="C49" s="136">
        <v>128105</v>
      </c>
      <c r="D49" s="63">
        <f>D47/D50</f>
        <v>128424.46384039898</v>
      </c>
      <c r="E49" s="63">
        <f t="shared" ref="E49:R49" si="31">E47/E50</f>
        <v>128744.72434872914</v>
      </c>
      <c r="F49" s="63">
        <f t="shared" si="31"/>
        <v>129065.78351169355</v>
      </c>
      <c r="G49" s="63">
        <f t="shared" si="31"/>
        <v>129387.64332094962</v>
      </c>
      <c r="H49" s="63">
        <f t="shared" si="31"/>
        <v>129710.30577312155</v>
      </c>
      <c r="I49" s="63">
        <f t="shared" si="31"/>
        <v>130033.77286981262</v>
      </c>
      <c r="J49" s="63">
        <f t="shared" si="31"/>
        <v>130358.04661761763</v>
      </c>
      <c r="K49" s="63">
        <f t="shared" si="31"/>
        <v>130683.12902813539</v>
      </c>
      <c r="L49" s="63">
        <f t="shared" si="31"/>
        <v>131009.02211798111</v>
      </c>
      <c r="M49" s="63">
        <f t="shared" si="31"/>
        <v>131335.72790879902</v>
      </c>
      <c r="N49" s="63">
        <f t="shared" si="31"/>
        <v>131663.24842727481</v>
      </c>
      <c r="O49" s="63">
        <f t="shared" si="31"/>
        <v>131991.58570514832</v>
      </c>
      <c r="P49" s="63">
        <f t="shared" si="31"/>
        <v>132320.74177922599</v>
      </c>
      <c r="Q49" s="63">
        <f t="shared" si="31"/>
        <v>132650.71869139362</v>
      </c>
      <c r="R49" s="63">
        <f t="shared" si="31"/>
        <v>132981.51848862902</v>
      </c>
      <c r="T49" s="48"/>
    </row>
    <row r="50" spans="2:21" x14ac:dyDescent="0.25">
      <c r="B50" s="137" t="s">
        <v>25</v>
      </c>
      <c r="C50" s="138">
        <f>+C47/C49</f>
        <v>0.76038405995082159</v>
      </c>
      <c r="D50" s="139">
        <f>C50*1.0025</f>
        <v>0.76228502010069865</v>
      </c>
      <c r="E50" s="139">
        <f t="shared" ref="E50:R50" si="32">D50*1.0025</f>
        <v>0.76419073265095039</v>
      </c>
      <c r="F50" s="139">
        <f t="shared" si="32"/>
        <v>0.76610120948257776</v>
      </c>
      <c r="G50" s="139">
        <f t="shared" si="32"/>
        <v>0.76801646250628419</v>
      </c>
      <c r="H50" s="139">
        <f t="shared" si="32"/>
        <v>0.76993650366254984</v>
      </c>
      <c r="I50" s="139">
        <f t="shared" si="32"/>
        <v>0.77186134492170622</v>
      </c>
      <c r="J50" s="139">
        <f t="shared" si="32"/>
        <v>0.77379099828401043</v>
      </c>
      <c r="K50" s="139">
        <f t="shared" si="32"/>
        <v>0.7757254757797204</v>
      </c>
      <c r="L50" s="139">
        <f t="shared" si="32"/>
        <v>0.77766478946916962</v>
      </c>
      <c r="M50" s="139">
        <f t="shared" si="32"/>
        <v>0.77960895144284248</v>
      </c>
      <c r="N50" s="139">
        <f t="shared" si="32"/>
        <v>0.78155797382144954</v>
      </c>
      <c r="O50" s="139">
        <f t="shared" si="32"/>
        <v>0.78351186875600309</v>
      </c>
      <c r="P50" s="139">
        <f t="shared" si="32"/>
        <v>0.78547064842789305</v>
      </c>
      <c r="Q50" s="139">
        <f t="shared" si="32"/>
        <v>0.78743432504896271</v>
      </c>
      <c r="R50" s="139">
        <f t="shared" si="32"/>
        <v>0.78940291086158509</v>
      </c>
    </row>
    <row r="51" spans="2:21" x14ac:dyDescent="0.25">
      <c r="B51" s="137" t="s">
        <v>71</v>
      </c>
      <c r="C51" s="140">
        <v>1.1812</v>
      </c>
      <c r="D51" s="141">
        <f>C51*(1+D52)</f>
        <v>1.3333385600000001</v>
      </c>
      <c r="E51" s="141">
        <f>D51*(1+E52)</f>
        <v>1.505072566528</v>
      </c>
      <c r="F51" s="141">
        <f t="shared" ref="F51:R51" si="33">E51*(1+F52)</f>
        <v>1.731736495047117</v>
      </c>
      <c r="G51" s="141">
        <f t="shared" si="33"/>
        <v>1.8356406847499442</v>
      </c>
      <c r="H51" s="141">
        <f t="shared" si="33"/>
        <v>1.9457791258349411</v>
      </c>
      <c r="I51" s="141">
        <f t="shared" si="33"/>
        <v>2.0625258733850376</v>
      </c>
      <c r="J51" s="141">
        <f t="shared" si="33"/>
        <v>2.1862774257881399</v>
      </c>
      <c r="K51" s="141">
        <f t="shared" si="33"/>
        <v>2.3065226842064877</v>
      </c>
      <c r="L51" s="141">
        <f t="shared" si="33"/>
        <v>2.4333814318378444</v>
      </c>
      <c r="M51" s="141">
        <f t="shared" si="33"/>
        <v>2.5672174105889258</v>
      </c>
      <c r="N51" s="141">
        <f t="shared" si="33"/>
        <v>2.7084143681713164</v>
      </c>
      <c r="O51" s="141">
        <f t="shared" si="33"/>
        <v>2.8573771584207388</v>
      </c>
      <c r="P51" s="141">
        <f t="shared" si="33"/>
        <v>3.0145329021338791</v>
      </c>
      <c r="Q51" s="141">
        <f t="shared" si="33"/>
        <v>3.1803322117512423</v>
      </c>
      <c r="R51" s="141">
        <f t="shared" si="33"/>
        <v>3.3552504833975605</v>
      </c>
      <c r="S51" s="78">
        <f>AVERAGE(D51:R51)</f>
        <v>2.3348932921227448</v>
      </c>
      <c r="T51" s="132" t="s">
        <v>93</v>
      </c>
    </row>
    <row r="52" spans="2:21" x14ac:dyDescent="0.25">
      <c r="B52" s="142" t="s">
        <v>44</v>
      </c>
      <c r="C52" s="143"/>
      <c r="D52" s="144">
        <v>0.1288</v>
      </c>
      <c r="E52" s="144">
        <v>0.1288</v>
      </c>
      <c r="F52" s="144">
        <v>0.15060000000000001</v>
      </c>
      <c r="G52" s="163">
        <v>0.06</v>
      </c>
      <c r="H52" s="163">
        <v>0.06</v>
      </c>
      <c r="I52" s="163">
        <v>0.06</v>
      </c>
      <c r="J52" s="163">
        <v>0.06</v>
      </c>
      <c r="K52" s="163">
        <v>5.5E-2</v>
      </c>
      <c r="L52" s="163">
        <v>5.5E-2</v>
      </c>
      <c r="M52" s="163">
        <v>5.5E-2</v>
      </c>
      <c r="N52" s="163">
        <v>5.5E-2</v>
      </c>
      <c r="O52" s="163">
        <v>5.5E-2</v>
      </c>
      <c r="P52" s="163">
        <v>5.5E-2</v>
      </c>
      <c r="Q52" s="163">
        <v>5.5E-2</v>
      </c>
      <c r="R52" s="163">
        <v>5.5E-2</v>
      </c>
      <c r="S52" s="79">
        <f>SUM(D52:R52)</f>
        <v>1.0882000000000003</v>
      </c>
    </row>
    <row r="53" spans="2:21" s="17" customFormat="1" ht="15" customHeight="1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 s="83"/>
      <c r="T53"/>
      <c r="U53"/>
    </row>
    <row r="54" spans="2:21" ht="7.5" customHeight="1" x14ac:dyDescent="0.25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4"/>
      <c r="T54" s="17"/>
      <c r="U54" s="17"/>
    </row>
    <row r="55" spans="2:21" ht="15" customHeight="1" x14ac:dyDescent="0.25">
      <c r="B55" s="1" t="s">
        <v>77</v>
      </c>
      <c r="C55" s="8"/>
    </row>
    <row r="56" spans="2:21" ht="17.25" x14ac:dyDescent="0.25">
      <c r="B56" t="s">
        <v>26</v>
      </c>
      <c r="C56" s="9">
        <v>82850</v>
      </c>
      <c r="D56" s="69">
        <f t="shared" ref="D56:R56" si="34">+C56*(1+$U$7)*(1+$U$6)</f>
        <v>83264.249999999985</v>
      </c>
      <c r="E56" s="69">
        <f t="shared" si="34"/>
        <v>83680.571249999979</v>
      </c>
      <c r="F56" s="69">
        <f t="shared" si="34"/>
        <v>84098.974106249967</v>
      </c>
      <c r="G56" s="69">
        <f t="shared" si="34"/>
        <v>84519.468976781209</v>
      </c>
      <c r="H56" s="69">
        <f t="shared" si="34"/>
        <v>84942.066321665101</v>
      </c>
      <c r="I56" s="69">
        <f t="shared" si="34"/>
        <v>85366.776653273424</v>
      </c>
      <c r="J56" s="69">
        <f t="shared" si="34"/>
        <v>85793.610536539782</v>
      </c>
      <c r="K56" s="69">
        <f t="shared" si="34"/>
        <v>86222.578589222467</v>
      </c>
      <c r="L56" s="69">
        <f t="shared" si="34"/>
        <v>86653.691482168564</v>
      </c>
      <c r="M56" s="69">
        <f t="shared" si="34"/>
        <v>87086.959939579392</v>
      </c>
      <c r="N56" s="69">
        <f t="shared" si="34"/>
        <v>87522.394739277282</v>
      </c>
      <c r="O56" s="69">
        <f t="shared" si="34"/>
        <v>87960.006712973656</v>
      </c>
      <c r="P56" s="69">
        <f t="shared" si="34"/>
        <v>88399.80674653851</v>
      </c>
      <c r="Q56" s="69">
        <f t="shared" si="34"/>
        <v>88841.805780271199</v>
      </c>
      <c r="R56" s="69">
        <f t="shared" si="34"/>
        <v>89286.014809172542</v>
      </c>
    </row>
    <row r="57" spans="2:21" x14ac:dyDescent="0.25">
      <c r="B57" t="s">
        <v>76</v>
      </c>
      <c r="C57" s="9">
        <v>690</v>
      </c>
      <c r="D57" s="69">
        <f t="shared" ref="D57:R57" si="35">+C57*(1+$U$7)</f>
        <v>693.44999999999993</v>
      </c>
      <c r="E57" s="69">
        <f t="shared" si="35"/>
        <v>696.91724999999985</v>
      </c>
      <c r="F57" s="69">
        <f t="shared" si="35"/>
        <v>700.40183624999975</v>
      </c>
      <c r="G57" s="69">
        <f t="shared" si="35"/>
        <v>703.90384543124969</v>
      </c>
      <c r="H57" s="69">
        <f t="shared" si="35"/>
        <v>707.42336465840583</v>
      </c>
      <c r="I57" s="69">
        <f t="shared" si="35"/>
        <v>710.9604814816978</v>
      </c>
      <c r="J57" s="69">
        <f t="shared" si="35"/>
        <v>714.51528388910617</v>
      </c>
      <c r="K57" s="69">
        <f t="shared" si="35"/>
        <v>718.08786030855163</v>
      </c>
      <c r="L57" s="69">
        <f t="shared" si="35"/>
        <v>721.67829961009431</v>
      </c>
      <c r="M57" s="69">
        <f t="shared" si="35"/>
        <v>725.28669110814474</v>
      </c>
      <c r="N57" s="69">
        <f t="shared" si="35"/>
        <v>728.91312456368541</v>
      </c>
      <c r="O57" s="69">
        <f t="shared" si="35"/>
        <v>732.55769018650381</v>
      </c>
      <c r="P57" s="69">
        <f t="shared" si="35"/>
        <v>736.22047863743626</v>
      </c>
      <c r="Q57" s="69">
        <f t="shared" si="35"/>
        <v>739.90158103062333</v>
      </c>
      <c r="R57" s="69">
        <f t="shared" si="35"/>
        <v>743.60108893577637</v>
      </c>
    </row>
    <row r="58" spans="2:21" x14ac:dyDescent="0.25">
      <c r="B58" s="1" t="s">
        <v>78</v>
      </c>
      <c r="C58" s="9"/>
    </row>
    <row r="59" spans="2:21" x14ac:dyDescent="0.25">
      <c r="B59" t="s">
        <v>79</v>
      </c>
      <c r="C59" s="9"/>
      <c r="D59" s="63">
        <f>+D74*D56</f>
        <v>2840.0000000000005</v>
      </c>
      <c r="E59" s="63">
        <f t="shared" ref="E59:R59" si="36">+D59*(1+$U$7)*(1+$U$6)*(1+E76)</f>
        <v>5758.5714285714284</v>
      </c>
      <c r="F59" s="63">
        <f t="shared" si="36"/>
        <v>8772.7472527472528</v>
      </c>
      <c r="G59" s="63">
        <f t="shared" si="36"/>
        <v>11904.230769230768</v>
      </c>
      <c r="H59" s="63">
        <f t="shared" si="36"/>
        <v>15181.16883116883</v>
      </c>
      <c r="I59" s="63">
        <f t="shared" si="36"/>
        <v>14830.834165834163</v>
      </c>
      <c r="J59" s="63">
        <f t="shared" si="36"/>
        <v>14480.499500499498</v>
      </c>
      <c r="K59" s="63">
        <f t="shared" si="36"/>
        <v>14130.164835164835</v>
      </c>
      <c r="L59" s="63">
        <f t="shared" si="36"/>
        <v>13779.830169830169</v>
      </c>
      <c r="M59" s="63">
        <f t="shared" si="36"/>
        <v>13429.495504495506</v>
      </c>
      <c r="N59" s="63">
        <f t="shared" si="36"/>
        <v>13079.160839160839</v>
      </c>
      <c r="O59" s="63">
        <f t="shared" si="36"/>
        <v>12728.826173826175</v>
      </c>
      <c r="P59" s="63">
        <f t="shared" si="36"/>
        <v>12378.49150849151</v>
      </c>
      <c r="Q59" s="63">
        <f t="shared" si="36"/>
        <v>12028.156843156845</v>
      </c>
      <c r="R59" s="63">
        <f t="shared" si="36"/>
        <v>11677.82217782218</v>
      </c>
    </row>
    <row r="60" spans="2:21" ht="15.75" thickBot="1" x14ac:dyDescent="0.3">
      <c r="C60" s="9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2:21" ht="15.75" thickBot="1" x14ac:dyDescent="0.3">
      <c r="B61" s="60" t="s">
        <v>83</v>
      </c>
      <c r="C61" s="62"/>
      <c r="D61" s="66">
        <f>SUM(D59:D60)</f>
        <v>2840.0000000000005</v>
      </c>
      <c r="E61" s="66">
        <f t="shared" ref="E61:R61" si="37">SUM(E59:E60)</f>
        <v>5758.5714285714284</v>
      </c>
      <c r="F61" s="66">
        <f t="shared" si="37"/>
        <v>8772.7472527472528</v>
      </c>
      <c r="G61" s="66">
        <f t="shared" si="37"/>
        <v>11904.230769230768</v>
      </c>
      <c r="H61" s="66">
        <f t="shared" si="37"/>
        <v>15181.16883116883</v>
      </c>
      <c r="I61" s="66">
        <f t="shared" si="37"/>
        <v>14830.834165834163</v>
      </c>
      <c r="J61" s="66">
        <f t="shared" si="37"/>
        <v>14480.499500499498</v>
      </c>
      <c r="K61" s="66">
        <f t="shared" si="37"/>
        <v>14130.164835164835</v>
      </c>
      <c r="L61" s="66">
        <f t="shared" si="37"/>
        <v>13779.830169830169</v>
      </c>
      <c r="M61" s="66">
        <f t="shared" si="37"/>
        <v>13429.495504495506</v>
      </c>
      <c r="N61" s="66">
        <f t="shared" si="37"/>
        <v>13079.160839160839</v>
      </c>
      <c r="O61" s="66">
        <f t="shared" si="37"/>
        <v>12728.826173826175</v>
      </c>
      <c r="P61" s="66">
        <f t="shared" si="37"/>
        <v>12378.49150849151</v>
      </c>
      <c r="Q61" s="66">
        <f t="shared" si="37"/>
        <v>12028.156843156845</v>
      </c>
      <c r="R61" s="66">
        <f t="shared" si="37"/>
        <v>11677.82217782218</v>
      </c>
      <c r="S61" s="74">
        <f>SUM(D61:R61)</f>
        <v>177000</v>
      </c>
    </row>
    <row r="62" spans="2:21" x14ac:dyDescent="0.25">
      <c r="B62" s="1"/>
      <c r="C62" s="9"/>
      <c r="S62" s="2"/>
    </row>
    <row r="63" spans="2:21" x14ac:dyDescent="0.25">
      <c r="B63" t="s">
        <v>114</v>
      </c>
      <c r="C63" s="9">
        <v>150000</v>
      </c>
    </row>
    <row r="64" spans="2:21" x14ac:dyDescent="0.25">
      <c r="B64" t="s">
        <v>19</v>
      </c>
      <c r="C64" s="8"/>
      <c r="D64" s="10">
        <f>+D81</f>
        <v>30000</v>
      </c>
      <c r="E64" s="10">
        <f t="shared" ref="E64:R64" si="38">+E81</f>
        <v>30000</v>
      </c>
      <c r="F64" s="10">
        <f t="shared" si="38"/>
        <v>30000</v>
      </c>
      <c r="G64" s="10">
        <f t="shared" si="38"/>
        <v>30000</v>
      </c>
      <c r="H64" s="10">
        <f t="shared" si="38"/>
        <v>30000</v>
      </c>
      <c r="I64" s="10">
        <f t="shared" si="38"/>
        <v>0</v>
      </c>
      <c r="J64" s="10">
        <f t="shared" si="38"/>
        <v>0</v>
      </c>
      <c r="K64" s="10">
        <f t="shared" si="38"/>
        <v>0</v>
      </c>
      <c r="L64" s="10">
        <f t="shared" si="38"/>
        <v>0</v>
      </c>
      <c r="M64" s="10">
        <f t="shared" si="38"/>
        <v>0</v>
      </c>
      <c r="N64" s="10">
        <f t="shared" si="38"/>
        <v>0</v>
      </c>
      <c r="O64" s="10">
        <f t="shared" si="38"/>
        <v>0</v>
      </c>
      <c r="P64" s="10">
        <f t="shared" si="38"/>
        <v>0</v>
      </c>
      <c r="Q64" s="10">
        <f t="shared" si="38"/>
        <v>0</v>
      </c>
      <c r="R64" s="10">
        <f t="shared" si="38"/>
        <v>0</v>
      </c>
      <c r="S64" s="77">
        <f>SUM(D64:R64)</f>
        <v>150000</v>
      </c>
    </row>
    <row r="65" spans="2:20" x14ac:dyDescent="0.25">
      <c r="B65" t="s">
        <v>20</v>
      </c>
      <c r="C65" s="8"/>
      <c r="D65" s="10">
        <f>+D64</f>
        <v>30000</v>
      </c>
      <c r="E65" s="10">
        <f>+D65+E64</f>
        <v>60000</v>
      </c>
      <c r="F65" s="10">
        <f t="shared" ref="F65:R65" si="39">+E65+F64</f>
        <v>90000</v>
      </c>
      <c r="G65" s="10">
        <f t="shared" si="39"/>
        <v>120000</v>
      </c>
      <c r="H65" s="10">
        <f t="shared" si="39"/>
        <v>150000</v>
      </c>
      <c r="I65" s="10">
        <f t="shared" si="39"/>
        <v>150000</v>
      </c>
      <c r="J65" s="10">
        <f t="shared" si="39"/>
        <v>150000</v>
      </c>
      <c r="K65" s="10">
        <f t="shared" si="39"/>
        <v>150000</v>
      </c>
      <c r="L65" s="10">
        <f t="shared" si="39"/>
        <v>150000</v>
      </c>
      <c r="M65" s="10">
        <f t="shared" si="39"/>
        <v>150000</v>
      </c>
      <c r="N65" s="10">
        <f t="shared" si="39"/>
        <v>150000</v>
      </c>
      <c r="O65" s="10">
        <f t="shared" si="39"/>
        <v>150000</v>
      </c>
      <c r="P65" s="10">
        <f t="shared" si="39"/>
        <v>150000</v>
      </c>
      <c r="Q65" s="10">
        <f t="shared" si="39"/>
        <v>150000</v>
      </c>
      <c r="R65" s="10">
        <f t="shared" si="39"/>
        <v>150000</v>
      </c>
    </row>
    <row r="66" spans="2:20" x14ac:dyDescent="0.25">
      <c r="B66" t="s">
        <v>21</v>
      </c>
      <c r="C66" s="8"/>
      <c r="D66" s="145">
        <f>D64/D3</f>
        <v>2000</v>
      </c>
      <c r="E66" s="146">
        <f>+E64/E3+(D66)</f>
        <v>4142.8571428571431</v>
      </c>
      <c r="F66" s="146">
        <f t="shared" ref="F66:R66" si="40">+F64/F3+(E66)</f>
        <v>6450.5494505494507</v>
      </c>
      <c r="G66" s="146">
        <f t="shared" si="40"/>
        <v>8950.5494505494498</v>
      </c>
      <c r="H66" s="146">
        <f t="shared" si="40"/>
        <v>11677.822177822178</v>
      </c>
      <c r="I66" s="146">
        <f t="shared" si="40"/>
        <v>11677.822177822178</v>
      </c>
      <c r="J66" s="146">
        <f t="shared" si="40"/>
        <v>11677.822177822178</v>
      </c>
      <c r="K66" s="146">
        <f t="shared" si="40"/>
        <v>11677.822177822178</v>
      </c>
      <c r="L66" s="146">
        <f t="shared" si="40"/>
        <v>11677.822177822178</v>
      </c>
      <c r="M66" s="146">
        <f t="shared" si="40"/>
        <v>11677.822177822178</v>
      </c>
      <c r="N66" s="146">
        <f t="shared" si="40"/>
        <v>11677.822177822178</v>
      </c>
      <c r="O66" s="146">
        <f t="shared" si="40"/>
        <v>11677.822177822178</v>
      </c>
      <c r="P66" s="146">
        <f t="shared" si="40"/>
        <v>11677.822177822178</v>
      </c>
      <c r="Q66" s="146">
        <f t="shared" si="40"/>
        <v>11677.822177822178</v>
      </c>
      <c r="R66" s="146">
        <f t="shared" si="40"/>
        <v>11677.822177822178</v>
      </c>
      <c r="S66" s="77">
        <f>SUM(D66:R66)</f>
        <v>150000</v>
      </c>
    </row>
    <row r="67" spans="2:20" x14ac:dyDescent="0.25">
      <c r="B67" t="s">
        <v>22</v>
      </c>
      <c r="C67" s="8"/>
      <c r="D67" s="10">
        <f>+D66</f>
        <v>2000</v>
      </c>
      <c r="E67" s="10">
        <f>+D67+E66</f>
        <v>6142.8571428571431</v>
      </c>
      <c r="F67" s="10">
        <f t="shared" ref="F67:R67" si="41">+E67+F66</f>
        <v>12593.406593406595</v>
      </c>
      <c r="G67" s="10">
        <f t="shared" si="41"/>
        <v>21543.956043956045</v>
      </c>
      <c r="H67" s="10">
        <f t="shared" si="41"/>
        <v>33221.778221778222</v>
      </c>
      <c r="I67" s="10">
        <f t="shared" si="41"/>
        <v>44899.6003996004</v>
      </c>
      <c r="J67" s="10">
        <f t="shared" si="41"/>
        <v>56577.422577422578</v>
      </c>
      <c r="K67" s="10">
        <f t="shared" si="41"/>
        <v>68255.244755244756</v>
      </c>
      <c r="L67" s="10">
        <f t="shared" si="41"/>
        <v>79933.066933066933</v>
      </c>
      <c r="M67" s="10">
        <f t="shared" si="41"/>
        <v>91610.889110889111</v>
      </c>
      <c r="N67" s="10">
        <f t="shared" si="41"/>
        <v>103288.71128871129</v>
      </c>
      <c r="O67" s="10">
        <f t="shared" si="41"/>
        <v>114966.53346653347</v>
      </c>
      <c r="P67" s="10">
        <f t="shared" si="41"/>
        <v>126644.35564435564</v>
      </c>
      <c r="Q67" s="10">
        <f t="shared" si="41"/>
        <v>138322.17782217782</v>
      </c>
      <c r="R67" s="10">
        <f t="shared" si="41"/>
        <v>150000</v>
      </c>
      <c r="S67" s="148"/>
    </row>
    <row r="68" spans="2:20" x14ac:dyDescent="0.25">
      <c r="B68" t="s">
        <v>23</v>
      </c>
      <c r="C68" s="8"/>
      <c r="D68" s="10">
        <f>+D65-D67</f>
        <v>28000</v>
      </c>
      <c r="E68" s="10">
        <f>+E65-E67</f>
        <v>53857.142857142855</v>
      </c>
      <c r="F68" s="10">
        <f t="shared" ref="F68:R68" si="42">+F65-F67</f>
        <v>77406.593406593398</v>
      </c>
      <c r="G68" s="10">
        <f t="shared" si="42"/>
        <v>98456.043956043955</v>
      </c>
      <c r="H68" s="10">
        <f t="shared" si="42"/>
        <v>116778.22177822178</v>
      </c>
      <c r="I68" s="10">
        <f t="shared" si="42"/>
        <v>105100.3996003996</v>
      </c>
      <c r="J68" s="10">
        <f t="shared" si="42"/>
        <v>93422.577422577422</v>
      </c>
      <c r="K68" s="10">
        <f t="shared" si="42"/>
        <v>81744.755244755244</v>
      </c>
      <c r="L68" s="10">
        <f t="shared" si="42"/>
        <v>70066.933066933067</v>
      </c>
      <c r="M68" s="10">
        <f t="shared" si="42"/>
        <v>58389.110889110889</v>
      </c>
      <c r="N68" s="10">
        <f t="shared" si="42"/>
        <v>46711.288711288711</v>
      </c>
      <c r="O68" s="10">
        <f t="shared" si="42"/>
        <v>35033.466533466533</v>
      </c>
      <c r="P68" s="10">
        <f t="shared" si="42"/>
        <v>23355.644355644356</v>
      </c>
      <c r="Q68" s="10">
        <f t="shared" si="42"/>
        <v>11677.822177822178</v>
      </c>
      <c r="R68" s="10">
        <f t="shared" si="42"/>
        <v>0</v>
      </c>
      <c r="S68" s="149"/>
    </row>
    <row r="69" spans="2:20" x14ac:dyDescent="0.25">
      <c r="B69" t="s">
        <v>18</v>
      </c>
      <c r="C69" s="8"/>
      <c r="D69" s="147">
        <f t="shared" ref="D69:R69" si="43">+D68*$U$15</f>
        <v>840</v>
      </c>
      <c r="E69" s="147">
        <f t="shared" si="43"/>
        <v>1615.7142857142856</v>
      </c>
      <c r="F69" s="147">
        <f t="shared" si="43"/>
        <v>2322.197802197802</v>
      </c>
      <c r="G69" s="147">
        <f t="shared" si="43"/>
        <v>2953.6813186813188</v>
      </c>
      <c r="H69" s="147">
        <f t="shared" si="43"/>
        <v>3503.3466533466531</v>
      </c>
      <c r="I69" s="147">
        <f t="shared" si="43"/>
        <v>3153.0119880119878</v>
      </c>
      <c r="J69" s="147">
        <f t="shared" si="43"/>
        <v>2802.6773226773225</v>
      </c>
      <c r="K69" s="147">
        <f t="shared" si="43"/>
        <v>2452.3426573426573</v>
      </c>
      <c r="L69" s="147">
        <f t="shared" si="43"/>
        <v>2102.007992007992</v>
      </c>
      <c r="M69" s="147">
        <f t="shared" si="43"/>
        <v>1751.6733266733265</v>
      </c>
      <c r="N69" s="147">
        <f t="shared" si="43"/>
        <v>1401.3386613386613</v>
      </c>
      <c r="O69" s="147">
        <f t="shared" si="43"/>
        <v>1051.003996003996</v>
      </c>
      <c r="P69" s="147">
        <f t="shared" si="43"/>
        <v>700.66933066933063</v>
      </c>
      <c r="Q69" s="147">
        <f t="shared" si="43"/>
        <v>350.33466533466532</v>
      </c>
      <c r="R69" s="147">
        <f t="shared" si="43"/>
        <v>0</v>
      </c>
      <c r="S69" s="76">
        <f>SUM(D69:R69)</f>
        <v>27000.000000000004</v>
      </c>
    </row>
    <row r="70" spans="2:20" ht="15.75" customHeight="1" x14ac:dyDescent="0.25">
      <c r="C70" s="8"/>
    </row>
    <row r="71" spans="2:20" ht="15.75" customHeight="1" thickBot="1" x14ac:dyDescent="0.3"/>
    <row r="72" spans="2:20" ht="15" customHeight="1" thickBot="1" x14ac:dyDescent="0.3">
      <c r="B72" s="61" t="s">
        <v>1</v>
      </c>
      <c r="C72" s="82"/>
      <c r="D72" s="65">
        <f>+D69+D66</f>
        <v>2840</v>
      </c>
      <c r="E72" s="65">
        <f t="shared" ref="E72:R72" si="44">+E69+E66</f>
        <v>5758.5714285714284</v>
      </c>
      <c r="F72" s="65">
        <f t="shared" si="44"/>
        <v>8772.7472527472528</v>
      </c>
      <c r="G72" s="65">
        <f t="shared" si="44"/>
        <v>11904.23076923077</v>
      </c>
      <c r="H72" s="65">
        <f t="shared" si="44"/>
        <v>15181.16883116883</v>
      </c>
      <c r="I72" s="65">
        <f t="shared" si="44"/>
        <v>14830.834165834165</v>
      </c>
      <c r="J72" s="65">
        <f t="shared" si="44"/>
        <v>14480.4995004995</v>
      </c>
      <c r="K72" s="65">
        <f t="shared" si="44"/>
        <v>14130.164835164835</v>
      </c>
      <c r="L72" s="65">
        <f t="shared" si="44"/>
        <v>13779.830169830169</v>
      </c>
      <c r="M72" s="65">
        <f t="shared" si="44"/>
        <v>13429.495504495504</v>
      </c>
      <c r="N72" s="65">
        <f t="shared" si="44"/>
        <v>13079.160839160839</v>
      </c>
      <c r="O72" s="65">
        <f t="shared" si="44"/>
        <v>12728.826173826174</v>
      </c>
      <c r="P72" s="65">
        <f t="shared" si="44"/>
        <v>12378.491508491508</v>
      </c>
      <c r="Q72" s="65">
        <f t="shared" si="44"/>
        <v>12028.156843156843</v>
      </c>
      <c r="R72" s="65">
        <f t="shared" si="44"/>
        <v>11677.822177822178</v>
      </c>
      <c r="S72" s="74">
        <f>+SUM(D72:R72)</f>
        <v>177000</v>
      </c>
    </row>
    <row r="73" spans="2:20" ht="15" customHeight="1" x14ac:dyDescent="0.25"/>
    <row r="74" spans="2:20" ht="15" customHeight="1" x14ac:dyDescent="0.25">
      <c r="B74" s="55" t="s">
        <v>74</v>
      </c>
      <c r="C74" s="56"/>
      <c r="D74" s="73">
        <f t="shared" ref="D74:R74" si="45">+D72/D56</f>
        <v>3.4108275760605551E-2</v>
      </c>
      <c r="E74" s="73">
        <f t="shared" si="45"/>
        <v>6.8816110389201365E-2</v>
      </c>
      <c r="F74" s="73">
        <f t="shared" si="45"/>
        <v>0.10431455729369343</v>
      </c>
      <c r="G74" s="73">
        <f t="shared" si="45"/>
        <v>0.14084601942424702</v>
      </c>
      <c r="H74" s="73">
        <f t="shared" si="45"/>
        <v>0.17872379950918102</v>
      </c>
      <c r="I74" s="73">
        <f t="shared" si="45"/>
        <v>0.17373075038397237</v>
      </c>
      <c r="J74" s="73">
        <f t="shared" si="45"/>
        <v>0.16878295959268677</v>
      </c>
      <c r="K74" s="73">
        <f t="shared" si="45"/>
        <v>0.16388010039090919</v>
      </c>
      <c r="L74" s="73">
        <f t="shared" si="45"/>
        <v>0.15902184816518472</v>
      </c>
      <c r="M74" s="73">
        <f t="shared" si="45"/>
        <v>0.15420788041990258</v>
      </c>
      <c r="N74" s="73">
        <f t="shared" si="45"/>
        <v>0.14943787676425774</v>
      </c>
      <c r="O74" s="73">
        <f t="shared" si="45"/>
        <v>0.14471151889929013</v>
      </c>
      <c r="P74" s="73">
        <f t="shared" si="45"/>
        <v>0.14002849060500028</v>
      </c>
      <c r="Q74" s="73">
        <f t="shared" si="45"/>
        <v>0.13538847772754181</v>
      </c>
      <c r="R74" s="73">
        <f t="shared" si="45"/>
        <v>0.13079116816648972</v>
      </c>
      <c r="S74" s="130">
        <f>AVERAGE(D74:R74)</f>
        <v>0.13645265556614425</v>
      </c>
      <c r="T74" s="132" t="s">
        <v>94</v>
      </c>
    </row>
    <row r="75" spans="2:20" x14ac:dyDescent="0.25">
      <c r="B75" s="55" t="s">
        <v>75</v>
      </c>
      <c r="C75" s="57"/>
      <c r="D75" s="87">
        <f t="shared" ref="D75:R75" si="46">D72/(D57*12)</f>
        <v>0.34128872545485134</v>
      </c>
      <c r="E75" s="87">
        <f t="shared" si="46"/>
        <v>0.68857666011417062</v>
      </c>
      <c r="F75" s="87">
        <f t="shared" si="46"/>
        <v>1.0437754917611715</v>
      </c>
      <c r="G75" s="87">
        <f t="shared" si="46"/>
        <v>1.4093107136834377</v>
      </c>
      <c r="H75" s="87">
        <f t="shared" si="46"/>
        <v>1.788317245088846</v>
      </c>
      <c r="I75" s="87">
        <f t="shared" si="46"/>
        <v>1.7383566025739261</v>
      </c>
      <c r="J75" s="87">
        <f t="shared" si="46"/>
        <v>1.6888488166973552</v>
      </c>
      <c r="K75" s="87">
        <f t="shared" si="46"/>
        <v>1.6397906180418871</v>
      </c>
      <c r="L75" s="87">
        <f t="shared" si="46"/>
        <v>1.5911787585127477</v>
      </c>
      <c r="M75" s="87">
        <f t="shared" si="46"/>
        <v>1.5430100112063918</v>
      </c>
      <c r="N75" s="87">
        <f t="shared" si="46"/>
        <v>1.4952811702800424</v>
      </c>
      <c r="O75" s="87">
        <f t="shared" si="46"/>
        <v>1.4479890508220028</v>
      </c>
      <c r="P75" s="87">
        <f t="shared" si="46"/>
        <v>1.4011304887227378</v>
      </c>
      <c r="Q75" s="87">
        <f t="shared" si="46"/>
        <v>1.3547023405467193</v>
      </c>
      <c r="R75" s="87">
        <f t="shared" si="46"/>
        <v>1.3087014834050326</v>
      </c>
      <c r="S75" s="130">
        <f>AVERAGE(D75:R75)</f>
        <v>1.3653505451274213</v>
      </c>
      <c r="T75" s="131"/>
    </row>
    <row r="76" spans="2:20" x14ac:dyDescent="0.25">
      <c r="B76" s="86" t="s">
        <v>80</v>
      </c>
      <c r="C76" s="57"/>
      <c r="D76" s="152" t="s">
        <v>84</v>
      </c>
      <c r="E76" s="153">
        <f t="shared" ref="E76:R76" si="47">E74/D74-1</f>
        <v>1.0175781054486119</v>
      </c>
      <c r="F76" s="153">
        <f t="shared" si="47"/>
        <v>0.51584500640510611</v>
      </c>
      <c r="G76" s="153">
        <f t="shared" si="47"/>
        <v>0.35020483313465745</v>
      </c>
      <c r="H76" s="153">
        <f t="shared" si="47"/>
        <v>0.26893042657344179</v>
      </c>
      <c r="I76" s="153">
        <f t="shared" si="47"/>
        <v>-2.7937236892460748E-2</v>
      </c>
      <c r="J76" s="153">
        <f t="shared" si="47"/>
        <v>-2.8479648999098939E-2</v>
      </c>
      <c r="K76" s="153">
        <f t="shared" si="47"/>
        <v>-2.904830685283244E-2</v>
      </c>
      <c r="L76" s="153">
        <f t="shared" si="47"/>
        <v>-2.9645162616668608E-2</v>
      </c>
      <c r="M76" s="153">
        <f t="shared" si="47"/>
        <v>-3.0272366978665755E-2</v>
      </c>
      <c r="N76" s="153">
        <f t="shared" si="47"/>
        <v>-3.093229504650663E-2</v>
      </c>
      <c r="O76" s="153">
        <f t="shared" si="47"/>
        <v>-3.1627576403695623E-2</v>
      </c>
      <c r="P76" s="153">
        <f t="shared" si="47"/>
        <v>-3.2361130129170523E-2</v>
      </c>
      <c r="Q76" s="153">
        <f t="shared" si="47"/>
        <v>-3.313620576363463E-2</v>
      </c>
      <c r="R76" s="153">
        <f t="shared" si="47"/>
        <v>-3.3956431435057555E-2</v>
      </c>
      <c r="S76" s="79">
        <f>SUM(D76:R76)</f>
        <v>1.8451620104440258</v>
      </c>
    </row>
    <row r="77" spans="2:20" x14ac:dyDescent="0.25">
      <c r="S77" s="80">
        <f>S76/15</f>
        <v>0.12301080069626839</v>
      </c>
    </row>
    <row r="78" spans="2:20" x14ac:dyDescent="0.25">
      <c r="B78" s="161" t="s">
        <v>55</v>
      </c>
      <c r="C78" s="70">
        <v>150000</v>
      </c>
    </row>
    <row r="79" spans="2:20" x14ac:dyDescent="0.25">
      <c r="B79" s="86" t="s">
        <v>104</v>
      </c>
      <c r="C79" s="86"/>
      <c r="D79" s="162">
        <v>0</v>
      </c>
    </row>
    <row r="80" spans="2:20" ht="15" customHeight="1" x14ac:dyDescent="0.25">
      <c r="B80" s="86" t="s">
        <v>81</v>
      </c>
      <c r="C80" s="86"/>
      <c r="D80" s="154">
        <f>+$C$78/5</f>
        <v>30000</v>
      </c>
      <c r="E80" s="154">
        <f>+$C$78/5</f>
        <v>30000</v>
      </c>
      <c r="F80" s="154">
        <f>+$C$78/5</f>
        <v>30000</v>
      </c>
      <c r="G80" s="154">
        <f>+$C$78/5</f>
        <v>30000</v>
      </c>
      <c r="H80" s="154">
        <f>+$C$78/5</f>
        <v>30000</v>
      </c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7">
        <f>+SUM(D80:R80)</f>
        <v>150000</v>
      </c>
    </row>
    <row r="81" spans="2:21" ht="15" customHeight="1" x14ac:dyDescent="0.25">
      <c r="B81" s="86" t="s">
        <v>105</v>
      </c>
      <c r="C81" s="86"/>
      <c r="D81" s="69">
        <f>+D79+D80</f>
        <v>30000</v>
      </c>
      <c r="E81" s="69">
        <f t="shared" ref="E81:R81" si="48">+E79+E80</f>
        <v>30000</v>
      </c>
      <c r="F81" s="69">
        <f t="shared" si="48"/>
        <v>30000</v>
      </c>
      <c r="G81" s="69">
        <f t="shared" si="48"/>
        <v>30000</v>
      </c>
      <c r="H81" s="69">
        <f t="shared" si="48"/>
        <v>30000</v>
      </c>
      <c r="I81" s="69">
        <f t="shared" si="48"/>
        <v>0</v>
      </c>
      <c r="J81" s="69">
        <f t="shared" si="48"/>
        <v>0</v>
      </c>
      <c r="K81" s="69">
        <f t="shared" si="48"/>
        <v>0</v>
      </c>
      <c r="L81" s="69">
        <f t="shared" si="48"/>
        <v>0</v>
      </c>
      <c r="M81" s="69">
        <f t="shared" si="48"/>
        <v>0</v>
      </c>
      <c r="N81" s="69">
        <f t="shared" si="48"/>
        <v>0</v>
      </c>
      <c r="O81" s="69">
        <f t="shared" si="48"/>
        <v>0</v>
      </c>
      <c r="P81" s="69">
        <f t="shared" si="48"/>
        <v>0</v>
      </c>
      <c r="Q81" s="69">
        <f t="shared" si="48"/>
        <v>0</v>
      </c>
      <c r="R81" s="69">
        <f t="shared" si="48"/>
        <v>0</v>
      </c>
      <c r="S81" s="51">
        <f>+SUM(D81:R81)</f>
        <v>150000</v>
      </c>
    </row>
    <row r="82" spans="2:21" x14ac:dyDescent="0.25">
      <c r="B82" s="86" t="s">
        <v>82</v>
      </c>
      <c r="C82" s="86"/>
      <c r="D82" s="69">
        <f>+D81/15</f>
        <v>2000</v>
      </c>
      <c r="E82" s="69">
        <f t="shared" ref="E82:R82" si="49">+D82+(E81/E3)</f>
        <v>4142.8571428571431</v>
      </c>
      <c r="F82" s="69">
        <f t="shared" si="49"/>
        <v>6450.5494505494507</v>
      </c>
      <c r="G82" s="69">
        <f t="shared" si="49"/>
        <v>8950.5494505494498</v>
      </c>
      <c r="H82" s="69">
        <f t="shared" si="49"/>
        <v>11677.822177822178</v>
      </c>
      <c r="I82" s="69">
        <f t="shared" si="49"/>
        <v>11677.822177822178</v>
      </c>
      <c r="J82" s="69">
        <f t="shared" si="49"/>
        <v>11677.822177822178</v>
      </c>
      <c r="K82" s="69">
        <f t="shared" si="49"/>
        <v>11677.822177822178</v>
      </c>
      <c r="L82" s="69">
        <f t="shared" si="49"/>
        <v>11677.822177822178</v>
      </c>
      <c r="M82" s="69">
        <f t="shared" si="49"/>
        <v>11677.822177822178</v>
      </c>
      <c r="N82" s="69">
        <f t="shared" si="49"/>
        <v>11677.822177822178</v>
      </c>
      <c r="O82" s="69">
        <f t="shared" si="49"/>
        <v>11677.822177822178</v>
      </c>
      <c r="P82" s="69">
        <f t="shared" si="49"/>
        <v>11677.822177822178</v>
      </c>
      <c r="Q82" s="69">
        <f t="shared" si="49"/>
        <v>11677.822177822178</v>
      </c>
      <c r="R82" s="69">
        <f t="shared" si="49"/>
        <v>11677.822177822178</v>
      </c>
      <c r="S82" s="51">
        <f>+SUM(D82:R82)</f>
        <v>150000</v>
      </c>
    </row>
    <row r="84" spans="2:21" ht="6.75" customHeight="1" x14ac:dyDescent="0.25"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</row>
    <row r="85" spans="2:21" ht="15" customHeight="1" thickBot="1" x14ac:dyDescent="0.3"/>
    <row r="86" spans="2:21" ht="15.75" thickBot="1" x14ac:dyDescent="0.3">
      <c r="B86" s="29" t="s">
        <v>91</v>
      </c>
      <c r="C86" s="29"/>
      <c r="D86" s="123">
        <f t="shared" ref="D86:R86" si="50">+D74+D51</f>
        <v>1.3674468357606056</v>
      </c>
      <c r="E86" s="123">
        <f t="shared" si="50"/>
        <v>1.5738886769172014</v>
      </c>
      <c r="F86" s="123">
        <f t="shared" si="50"/>
        <v>1.8360510523408105</v>
      </c>
      <c r="G86" s="123">
        <f t="shared" si="50"/>
        <v>1.9764867041741914</v>
      </c>
      <c r="H86" s="123">
        <f t="shared" si="50"/>
        <v>2.1245029253441219</v>
      </c>
      <c r="I86" s="123">
        <f t="shared" si="50"/>
        <v>2.2362566237690098</v>
      </c>
      <c r="J86" s="123">
        <f t="shared" si="50"/>
        <v>2.3550603853808267</v>
      </c>
      <c r="K86" s="123">
        <f t="shared" si="50"/>
        <v>2.4704027845973968</v>
      </c>
      <c r="L86" s="123">
        <f t="shared" si="50"/>
        <v>2.5924032800030292</v>
      </c>
      <c r="M86" s="123">
        <f t="shared" si="50"/>
        <v>2.7214252910088286</v>
      </c>
      <c r="N86" s="123">
        <f t="shared" si="50"/>
        <v>2.8578522449355743</v>
      </c>
      <c r="O86" s="123">
        <f t="shared" si="50"/>
        <v>3.002088677320029</v>
      </c>
      <c r="P86" s="123">
        <f t="shared" si="50"/>
        <v>3.1545613927388794</v>
      </c>
      <c r="Q86" s="123">
        <f t="shared" si="50"/>
        <v>3.3157206894787841</v>
      </c>
      <c r="R86" s="123">
        <f t="shared" si="50"/>
        <v>3.48604165156405</v>
      </c>
      <c r="S86" s="150">
        <f>+AVERAGE(D86:R86)</f>
        <v>2.4713459476888895</v>
      </c>
      <c r="T86" s="151" t="s">
        <v>101</v>
      </c>
    </row>
    <row r="88" spans="2:21" ht="6.75" customHeight="1" x14ac:dyDescent="0.25"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</row>
    <row r="90" spans="2:21" x14ac:dyDescent="0.25">
      <c r="B90" s="14" t="s">
        <v>0</v>
      </c>
      <c r="C90" s="14"/>
      <c r="D90" s="17">
        <f t="shared" ref="D90:R90" si="51">+D61+D14</f>
        <v>119602.03519447999</v>
      </c>
      <c r="E90" s="17">
        <f t="shared" si="51"/>
        <v>137561.35556833807</v>
      </c>
      <c r="F90" s="17">
        <f t="shared" si="51"/>
        <v>160384.61094856283</v>
      </c>
      <c r="G90" s="17">
        <f t="shared" si="51"/>
        <v>173145.69973727109</v>
      </c>
      <c r="H90" s="17">
        <f t="shared" si="51"/>
        <v>186675.64330716792</v>
      </c>
      <c r="I90" s="17">
        <f t="shared" si="51"/>
        <v>197242.31416114868</v>
      </c>
      <c r="J90" s="17">
        <f t="shared" si="51"/>
        <v>208516.23380226135</v>
      </c>
      <c r="K90" s="17">
        <f t="shared" si="51"/>
        <v>219600.94055702584</v>
      </c>
      <c r="L90" s="17">
        <f t="shared" si="51"/>
        <v>231369.68518408795</v>
      </c>
      <c r="M90" s="17">
        <f t="shared" si="51"/>
        <v>243863.59388121453</v>
      </c>
      <c r="N90" s="17">
        <f t="shared" si="51"/>
        <v>257126.26964404297</v>
      </c>
      <c r="O90" s="17">
        <f t="shared" si="51"/>
        <v>271203.94151339907</v>
      </c>
      <c r="P90" s="17">
        <f t="shared" si="51"/>
        <v>286145.62281766324</v>
      </c>
      <c r="Q90" s="17">
        <f t="shared" si="51"/>
        <v>302003.27895234502</v>
      </c>
      <c r="R90" s="17">
        <f t="shared" si="51"/>
        <v>318832.00527170493</v>
      </c>
      <c r="S90" s="17"/>
    </row>
    <row r="91" spans="2:21" x14ac:dyDescent="0.25">
      <c r="B91" s="14" t="s">
        <v>66</v>
      </c>
      <c r="C91" s="14"/>
      <c r="D91" s="17">
        <f t="shared" ref="D91:R91" si="52">+D32</f>
        <v>1751.4305279171997</v>
      </c>
      <c r="E91" s="17">
        <f t="shared" si="52"/>
        <v>1977.0417620964997</v>
      </c>
      <c r="F91" s="17">
        <f t="shared" si="52"/>
        <v>2274.1779554372338</v>
      </c>
      <c r="G91" s="17">
        <f t="shared" si="52"/>
        <v>2418.6220345206048</v>
      </c>
      <c r="H91" s="17">
        <f t="shared" si="52"/>
        <v>2572.4171171399862</v>
      </c>
      <c r="I91" s="17">
        <f t="shared" si="52"/>
        <v>2736.1721999297179</v>
      </c>
      <c r="J91" s="17">
        <f t="shared" si="52"/>
        <v>2910.5360145264281</v>
      </c>
      <c r="K91" s="17">
        <f t="shared" si="52"/>
        <v>3082.0616358279149</v>
      </c>
      <c r="L91" s="17">
        <f t="shared" si="52"/>
        <v>3263.8478252138666</v>
      </c>
      <c r="M91" s="17">
        <f t="shared" si="52"/>
        <v>3456.5114756507851</v>
      </c>
      <c r="N91" s="17">
        <f t="shared" si="52"/>
        <v>3660.706632073232</v>
      </c>
      <c r="O91" s="17">
        <f t="shared" si="52"/>
        <v>3877.1267300935933</v>
      </c>
      <c r="P91" s="17">
        <f t="shared" si="52"/>
        <v>4106.5069696375758</v>
      </c>
      <c r="Q91" s="17">
        <f t="shared" si="52"/>
        <v>4349.6268316378228</v>
      </c>
      <c r="R91" s="17">
        <f t="shared" si="52"/>
        <v>4607.3127464082409</v>
      </c>
      <c r="S91" s="17"/>
    </row>
    <row r="92" spans="2:21" x14ac:dyDescent="0.25">
      <c r="B92" s="100" t="s">
        <v>28</v>
      </c>
      <c r="C92" s="101"/>
      <c r="D92" s="102">
        <f>SUM(D90:D91)</f>
        <v>121353.46572239719</v>
      </c>
      <c r="E92" s="102">
        <f t="shared" ref="E92:R92" si="53">SUM(E90:E91)</f>
        <v>139538.39733043456</v>
      </c>
      <c r="F92" s="102">
        <f t="shared" si="53"/>
        <v>162658.78890400007</v>
      </c>
      <c r="G92" s="102">
        <f t="shared" si="53"/>
        <v>175564.3217717917</v>
      </c>
      <c r="H92" s="102">
        <f t="shared" si="53"/>
        <v>189248.06042430791</v>
      </c>
      <c r="I92" s="102">
        <f t="shared" si="53"/>
        <v>199978.48636107839</v>
      </c>
      <c r="J92" s="102">
        <f t="shared" si="53"/>
        <v>211426.7698167878</v>
      </c>
      <c r="K92" s="102">
        <f t="shared" si="53"/>
        <v>222683.00219285375</v>
      </c>
      <c r="L92" s="102">
        <f t="shared" si="53"/>
        <v>234633.53300930181</v>
      </c>
      <c r="M92" s="102">
        <f t="shared" si="53"/>
        <v>247320.10535686533</v>
      </c>
      <c r="N92" s="102">
        <f t="shared" si="53"/>
        <v>260786.97627611621</v>
      </c>
      <c r="O92" s="102">
        <f t="shared" si="53"/>
        <v>275081.06824349269</v>
      </c>
      <c r="P92" s="102">
        <f t="shared" si="53"/>
        <v>290252.12978730083</v>
      </c>
      <c r="Q92" s="102">
        <f t="shared" si="53"/>
        <v>306352.90578398283</v>
      </c>
      <c r="R92" s="102">
        <f t="shared" si="53"/>
        <v>323439.31801811315</v>
      </c>
      <c r="S92" s="116">
        <f>+SUM(D92:R92)</f>
        <v>3360317.3289988241</v>
      </c>
    </row>
    <row r="93" spans="2:21" x14ac:dyDescent="0.25">
      <c r="B93" s="13"/>
    </row>
    <row r="94" spans="2:21" x14ac:dyDescent="0.25">
      <c r="B94" s="103" t="s">
        <v>29</v>
      </c>
      <c r="C94" s="101"/>
      <c r="D94" s="11">
        <f>+D29</f>
        <v>142667.81487459276</v>
      </c>
      <c r="E94" s="11">
        <f t="shared" ref="E94:R94" si="54">E29</f>
        <v>135407.29191762418</v>
      </c>
      <c r="F94" s="11">
        <f t="shared" si="54"/>
        <v>138204.81000868959</v>
      </c>
      <c r="G94" s="11">
        <f t="shared" si="54"/>
        <v>141061.60949845426</v>
      </c>
      <c r="H94" s="11">
        <f t="shared" si="54"/>
        <v>143978.95742475474</v>
      </c>
      <c r="I94" s="11">
        <f t="shared" si="54"/>
        <v>146958.1480905186</v>
      </c>
      <c r="J94" s="11">
        <f t="shared" si="54"/>
        <v>150000.50365427978</v>
      </c>
      <c r="K94" s="11">
        <f t="shared" si="54"/>
        <v>153107.37473356651</v>
      </c>
      <c r="L94" s="11">
        <f t="shared" si="54"/>
        <v>156280.14102144388</v>
      </c>
      <c r="M94" s="11">
        <f t="shared" si="54"/>
        <v>159520.21191649945</v>
      </c>
      <c r="N94" s="11">
        <f t="shared" si="54"/>
        <v>162829.02716656774</v>
      </c>
      <c r="O94" s="11">
        <f t="shared" si="54"/>
        <v>166208.05752649417</v>
      </c>
      <c r="P94" s="11">
        <f t="shared" si="54"/>
        <v>169658.80543024724</v>
      </c>
      <c r="Q94" s="11">
        <f t="shared" si="54"/>
        <v>173182.80567769389</v>
      </c>
      <c r="R94" s="11">
        <f t="shared" si="54"/>
        <v>176781.6261363597</v>
      </c>
      <c r="S94" s="116"/>
    </row>
    <row r="95" spans="2:21" x14ac:dyDescent="0.25">
      <c r="B95" s="14" t="s">
        <v>67</v>
      </c>
      <c r="C95" s="14"/>
      <c r="D95" s="45">
        <f t="shared" ref="D95:R95" si="55">+D36</f>
        <v>2028.78</v>
      </c>
      <c r="E95" s="45">
        <f t="shared" si="55"/>
        <v>2069.3555999999999</v>
      </c>
      <c r="F95" s="45">
        <f t="shared" si="55"/>
        <v>2110.7427119999998</v>
      </c>
      <c r="G95" s="45">
        <f t="shared" si="55"/>
        <v>2152.9575662399998</v>
      </c>
      <c r="H95" s="45">
        <f t="shared" si="55"/>
        <v>2196.0167175647998</v>
      </c>
      <c r="I95" s="45">
        <f t="shared" si="55"/>
        <v>2239.9370519160957</v>
      </c>
      <c r="J95" s="45">
        <f t="shared" si="55"/>
        <v>2284.7357929544178</v>
      </c>
      <c r="K95" s="45">
        <f t="shared" si="55"/>
        <v>2330.4305088135061</v>
      </c>
      <c r="L95" s="45">
        <f t="shared" si="55"/>
        <v>2377.0391189897764</v>
      </c>
      <c r="M95" s="45">
        <f t="shared" si="55"/>
        <v>2424.5799013695719</v>
      </c>
      <c r="N95" s="45">
        <f t="shared" si="55"/>
        <v>2473.0714993969632</v>
      </c>
      <c r="O95" s="45">
        <f t="shared" si="55"/>
        <v>2522.5329293849027</v>
      </c>
      <c r="P95" s="45">
        <f t="shared" si="55"/>
        <v>2572.9835879726006</v>
      </c>
      <c r="Q95" s="45">
        <f t="shared" si="55"/>
        <v>2624.4432597320529</v>
      </c>
      <c r="R95" s="45">
        <f t="shared" si="55"/>
        <v>2676.9321249266941</v>
      </c>
      <c r="S95" s="45"/>
    </row>
    <row r="96" spans="2:21" x14ac:dyDescent="0.25">
      <c r="B96" s="14" t="s">
        <v>47</v>
      </c>
      <c r="C96" s="14"/>
      <c r="D96" s="18">
        <f t="shared" ref="D96:R96" si="56">+D66</f>
        <v>2000</v>
      </c>
      <c r="E96" s="18">
        <f t="shared" si="56"/>
        <v>4142.8571428571431</v>
      </c>
      <c r="F96" s="18">
        <f t="shared" si="56"/>
        <v>6450.5494505494507</v>
      </c>
      <c r="G96" s="18">
        <f t="shared" si="56"/>
        <v>8950.5494505494498</v>
      </c>
      <c r="H96" s="18">
        <f t="shared" si="56"/>
        <v>11677.822177822178</v>
      </c>
      <c r="I96" s="18">
        <f t="shared" si="56"/>
        <v>11677.822177822178</v>
      </c>
      <c r="J96" s="18">
        <f t="shared" si="56"/>
        <v>11677.822177822178</v>
      </c>
      <c r="K96" s="18">
        <f t="shared" si="56"/>
        <v>11677.822177822178</v>
      </c>
      <c r="L96" s="18">
        <f t="shared" si="56"/>
        <v>11677.822177822178</v>
      </c>
      <c r="M96" s="18">
        <f t="shared" si="56"/>
        <v>11677.822177822178</v>
      </c>
      <c r="N96" s="18">
        <f t="shared" si="56"/>
        <v>11677.822177822178</v>
      </c>
      <c r="O96" s="18">
        <f t="shared" si="56"/>
        <v>11677.822177822178</v>
      </c>
      <c r="P96" s="18">
        <f t="shared" si="56"/>
        <v>11677.822177822178</v>
      </c>
      <c r="Q96" s="18">
        <f t="shared" si="56"/>
        <v>11677.822177822178</v>
      </c>
      <c r="R96" s="18">
        <f t="shared" si="56"/>
        <v>11677.822177822178</v>
      </c>
      <c r="S96" s="15"/>
      <c r="T96" s="29" t="s">
        <v>48</v>
      </c>
      <c r="U96" s="30">
        <f>SUM(D96:R96)</f>
        <v>150000</v>
      </c>
    </row>
    <row r="97" spans="2:21" x14ac:dyDescent="0.25">
      <c r="B97" s="14" t="s">
        <v>30</v>
      </c>
      <c r="C97" s="14"/>
      <c r="D97" s="33">
        <f t="shared" ref="D97:R97" si="57">+D69</f>
        <v>840</v>
      </c>
      <c r="E97" s="33">
        <f t="shared" si="57"/>
        <v>1615.7142857142856</v>
      </c>
      <c r="F97" s="33">
        <f t="shared" si="57"/>
        <v>2322.197802197802</v>
      </c>
      <c r="G97" s="33">
        <f t="shared" si="57"/>
        <v>2953.6813186813188</v>
      </c>
      <c r="H97" s="33">
        <f t="shared" si="57"/>
        <v>3503.3466533466531</v>
      </c>
      <c r="I97" s="33">
        <f t="shared" si="57"/>
        <v>3153.0119880119878</v>
      </c>
      <c r="J97" s="33">
        <f t="shared" si="57"/>
        <v>2802.6773226773225</v>
      </c>
      <c r="K97" s="33">
        <f t="shared" si="57"/>
        <v>2452.3426573426573</v>
      </c>
      <c r="L97" s="33">
        <f t="shared" si="57"/>
        <v>2102.007992007992</v>
      </c>
      <c r="M97" s="33">
        <f t="shared" si="57"/>
        <v>1751.6733266733265</v>
      </c>
      <c r="N97" s="33">
        <f t="shared" si="57"/>
        <v>1401.3386613386613</v>
      </c>
      <c r="O97" s="33">
        <f t="shared" si="57"/>
        <v>1051.003996003996</v>
      </c>
      <c r="P97" s="33">
        <f t="shared" si="57"/>
        <v>700.66933066933063</v>
      </c>
      <c r="Q97" s="33">
        <f t="shared" si="57"/>
        <v>350.33466533466532</v>
      </c>
      <c r="R97" s="33">
        <f t="shared" si="57"/>
        <v>0</v>
      </c>
      <c r="S97" s="45"/>
      <c r="T97" s="29" t="s">
        <v>49</v>
      </c>
      <c r="U97" s="30">
        <f>SUM(D97:R97)</f>
        <v>27000.000000000004</v>
      </c>
    </row>
    <row r="98" spans="2:21" x14ac:dyDescent="0.25">
      <c r="B98" s="103" t="s">
        <v>46</v>
      </c>
      <c r="C98" s="101"/>
      <c r="D98" s="11">
        <f>D94+D96+D97+D95</f>
        <v>147536.59487459276</v>
      </c>
      <c r="E98" s="11">
        <f t="shared" ref="E98:Q98" si="58">E94+E96+E97+E95</f>
        <v>143235.21894619561</v>
      </c>
      <c r="F98" s="11">
        <f>F94+F96+F97+F95</f>
        <v>149088.29997343683</v>
      </c>
      <c r="G98" s="11">
        <f t="shared" si="58"/>
        <v>155118.797833925</v>
      </c>
      <c r="H98" s="11">
        <f t="shared" si="58"/>
        <v>161356.14297348837</v>
      </c>
      <c r="I98" s="11">
        <f>I94+I96+I97+I95</f>
        <v>164028.91930826884</v>
      </c>
      <c r="J98" s="11">
        <f t="shared" si="58"/>
        <v>166765.73894773371</v>
      </c>
      <c r="K98" s="11">
        <f>K94+K96+K97+K95</f>
        <v>169567.97007754486</v>
      </c>
      <c r="L98" s="11">
        <f t="shared" si="58"/>
        <v>172437.01031026384</v>
      </c>
      <c r="M98" s="11">
        <f>M94+M96+M97+M95</f>
        <v>175374.28732236454</v>
      </c>
      <c r="N98" s="11">
        <f t="shared" si="58"/>
        <v>178381.25950512555</v>
      </c>
      <c r="O98" s="11">
        <f t="shared" si="58"/>
        <v>181459.41662970526</v>
      </c>
      <c r="P98" s="11">
        <f t="shared" si="58"/>
        <v>184610.28052671134</v>
      </c>
      <c r="Q98" s="11">
        <f t="shared" si="58"/>
        <v>187835.40578058278</v>
      </c>
      <c r="R98" s="11">
        <f>R94+R96+R97+R95</f>
        <v>191136.38043910859</v>
      </c>
      <c r="S98" s="116"/>
      <c r="T98" s="158" t="s">
        <v>50</v>
      </c>
      <c r="U98" s="38">
        <f>SUM(U96:U97)</f>
        <v>177000</v>
      </c>
    </row>
    <row r="99" spans="2:21" ht="15.75" thickBot="1" x14ac:dyDescent="0.3">
      <c r="B99" s="108"/>
      <c r="C99" s="109"/>
      <c r="D99" s="110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2:21" ht="16.5" thickTop="1" thickBot="1" x14ac:dyDescent="0.3">
      <c r="B100" s="105" t="s">
        <v>31</v>
      </c>
      <c r="C100" s="106"/>
      <c r="D100" s="107">
        <f>+D92-D98</f>
        <v>-26183.129152195572</v>
      </c>
      <c r="E100" s="16">
        <f t="shared" ref="E100:R100" si="59">+E92-E98</f>
        <v>-3696.8216157610586</v>
      </c>
      <c r="F100" s="16">
        <f t="shared" si="59"/>
        <v>13570.488930563239</v>
      </c>
      <c r="G100" s="16">
        <f t="shared" si="59"/>
        <v>20445.523937866703</v>
      </c>
      <c r="H100" s="16">
        <f t="shared" si="59"/>
        <v>27891.917450819543</v>
      </c>
      <c r="I100" s="16">
        <f t="shared" si="59"/>
        <v>35949.567052809551</v>
      </c>
      <c r="J100" s="16">
        <f t="shared" si="59"/>
        <v>44661.030869054084</v>
      </c>
      <c r="K100" s="16">
        <f t="shared" si="59"/>
        <v>53115.032115308888</v>
      </c>
      <c r="L100" s="16">
        <f t="shared" si="59"/>
        <v>62196.522699037974</v>
      </c>
      <c r="M100" s="16">
        <f t="shared" si="59"/>
        <v>71945.818034500786</v>
      </c>
      <c r="N100" s="16">
        <f t="shared" si="59"/>
        <v>82405.716770990664</v>
      </c>
      <c r="O100" s="16">
        <f t="shared" si="59"/>
        <v>93621.651613787428</v>
      </c>
      <c r="P100" s="16">
        <f t="shared" si="59"/>
        <v>105641.84926058949</v>
      </c>
      <c r="Q100" s="16">
        <f t="shared" si="59"/>
        <v>118517.50000340005</v>
      </c>
      <c r="R100" s="16">
        <f t="shared" si="59"/>
        <v>132302.93757900456</v>
      </c>
      <c r="S100" s="116"/>
      <c r="T100" s="29" t="s">
        <v>51</v>
      </c>
      <c r="U100" s="30">
        <f>SUM(D100:R100)</f>
        <v>832385.60554977623</v>
      </c>
    </row>
    <row r="101" spans="2:21" ht="15.75" thickTop="1" x14ac:dyDescent="0.25">
      <c r="B101" s="36" t="s">
        <v>45</v>
      </c>
      <c r="D101" s="37">
        <f t="shared" ref="D101:R101" si="60">+D43</f>
        <v>14480.783209771167</v>
      </c>
      <c r="E101" s="37">
        <f t="shared" si="60"/>
        <v>13743.840129638857</v>
      </c>
      <c r="F101" s="37">
        <f t="shared" si="60"/>
        <v>14027.788215881994</v>
      </c>
      <c r="G101" s="37">
        <f t="shared" si="60"/>
        <v>14317.753364093109</v>
      </c>
      <c r="H101" s="37">
        <f t="shared" si="60"/>
        <v>14613.864178612608</v>
      </c>
      <c r="I101" s="37">
        <f t="shared" si="60"/>
        <v>14916.25203118764</v>
      </c>
      <c r="J101" s="37">
        <f t="shared" si="60"/>
        <v>15225.051120909398</v>
      </c>
      <c r="K101" s="37">
        <f t="shared" si="60"/>
        <v>15540.398535457001</v>
      </c>
      <c r="L101" s="37">
        <f t="shared" si="60"/>
        <v>15862.434313676555</v>
      </c>
      <c r="M101" s="37">
        <f t="shared" si="60"/>
        <v>16191.301509524696</v>
      </c>
      <c r="N101" s="37">
        <f t="shared" si="60"/>
        <v>16527.146257406628</v>
      </c>
      <c r="O101" s="37">
        <f t="shared" si="60"/>
        <v>16870.117838939161</v>
      </c>
      <c r="P101" s="37">
        <f t="shared" si="60"/>
        <v>17220.368751170095</v>
      </c>
      <c r="Q101" s="37">
        <f t="shared" si="60"/>
        <v>17578.054776285931</v>
      </c>
      <c r="R101" s="37">
        <f t="shared" si="60"/>
        <v>17943.33505284051</v>
      </c>
      <c r="S101" s="37"/>
      <c r="T101" s="159" t="s">
        <v>52</v>
      </c>
      <c r="U101" s="39">
        <f>SUM(D101:R101)</f>
        <v>235058.48928539531</v>
      </c>
    </row>
    <row r="102" spans="2:21" x14ac:dyDescent="0.25">
      <c r="B102" s="19" t="s">
        <v>32</v>
      </c>
      <c r="C102" s="95"/>
      <c r="D102" s="20">
        <f>D100+D96</f>
        <v>-24183.129152195572</v>
      </c>
      <c r="E102" s="20">
        <f t="shared" ref="E102:R102" si="61">E100+E96</f>
        <v>446.03552709608448</v>
      </c>
      <c r="F102" s="20">
        <f t="shared" si="61"/>
        <v>20021.038381112689</v>
      </c>
      <c r="G102" s="20">
        <f t="shared" si="61"/>
        <v>29396.073388416153</v>
      </c>
      <c r="H102" s="20">
        <f t="shared" si="61"/>
        <v>39569.739628641721</v>
      </c>
      <c r="I102" s="20">
        <f t="shared" si="61"/>
        <v>47627.389230631728</v>
      </c>
      <c r="J102" s="20">
        <f t="shared" si="61"/>
        <v>56338.853046876262</v>
      </c>
      <c r="K102" s="20">
        <f t="shared" si="61"/>
        <v>64792.854293131066</v>
      </c>
      <c r="L102" s="20">
        <f t="shared" si="61"/>
        <v>73874.344876860152</v>
      </c>
      <c r="M102" s="20">
        <f t="shared" si="61"/>
        <v>83623.640212322964</v>
      </c>
      <c r="N102" s="20">
        <f t="shared" si="61"/>
        <v>94083.538948812842</v>
      </c>
      <c r="O102" s="20">
        <f t="shared" si="61"/>
        <v>105299.47379160961</v>
      </c>
      <c r="P102" s="20">
        <f t="shared" si="61"/>
        <v>117319.67143841166</v>
      </c>
      <c r="Q102" s="20">
        <f t="shared" si="61"/>
        <v>130195.32218122223</v>
      </c>
      <c r="R102" s="20">
        <f t="shared" si="61"/>
        <v>143980.75975682674</v>
      </c>
      <c r="S102" s="2"/>
      <c r="T102" s="29" t="s">
        <v>57</v>
      </c>
      <c r="U102" s="30">
        <f>+U100-U101</f>
        <v>597327.11626438098</v>
      </c>
    </row>
    <row r="103" spans="2:21" x14ac:dyDescent="0.25">
      <c r="B103" s="21"/>
      <c r="T103" t="s">
        <v>53</v>
      </c>
    </row>
    <row r="104" spans="2:21" x14ac:dyDescent="0.25">
      <c r="B104" s="19" t="s">
        <v>33</v>
      </c>
      <c r="C104" s="95"/>
      <c r="D104" s="20">
        <f>D102+D97</f>
        <v>-23343.129152195572</v>
      </c>
      <c r="E104" s="20">
        <f t="shared" ref="E104:R104" si="62">E102+E97</f>
        <v>2061.7498128103698</v>
      </c>
      <c r="F104" s="20">
        <f t="shared" si="62"/>
        <v>22343.236183310491</v>
      </c>
      <c r="G104" s="20">
        <f t="shared" si="62"/>
        <v>32349.754707097472</v>
      </c>
      <c r="H104" s="20">
        <f t="shared" si="62"/>
        <v>43073.086281988377</v>
      </c>
      <c r="I104" s="20">
        <f t="shared" si="62"/>
        <v>50780.401218643718</v>
      </c>
      <c r="J104" s="20">
        <f t="shared" si="62"/>
        <v>59141.530369553584</v>
      </c>
      <c r="K104" s="20">
        <f t="shared" si="62"/>
        <v>67245.196950473721</v>
      </c>
      <c r="L104" s="20">
        <f t="shared" si="62"/>
        <v>75976.35286886814</v>
      </c>
      <c r="M104" s="20">
        <f t="shared" si="62"/>
        <v>85375.313538996284</v>
      </c>
      <c r="N104" s="20">
        <f t="shared" si="62"/>
        <v>95484.87761015151</v>
      </c>
      <c r="O104" s="20">
        <f t="shared" si="62"/>
        <v>106350.47778761361</v>
      </c>
      <c r="P104" s="20">
        <f t="shared" si="62"/>
        <v>118020.340769081</v>
      </c>
      <c r="Q104" s="20">
        <f t="shared" si="62"/>
        <v>130545.6568465569</v>
      </c>
      <c r="R104" s="20">
        <f t="shared" si="62"/>
        <v>143980.75975682674</v>
      </c>
      <c r="S104" s="2"/>
      <c r="T104" s="1" t="s">
        <v>54</v>
      </c>
      <c r="U104" s="2">
        <f>SUM(D104:R104)</f>
        <v>1009385.6055497765</v>
      </c>
    </row>
    <row r="105" spans="2:21" x14ac:dyDescent="0.25">
      <c r="B105" s="21"/>
    </row>
    <row r="106" spans="2:21" ht="15.75" thickBot="1" x14ac:dyDescent="0.3">
      <c r="B106" s="111" t="s">
        <v>34</v>
      </c>
      <c r="C106" s="104"/>
      <c r="D106" s="160">
        <f t="shared" ref="D106:R106" si="63">D104/POWER($E$133,D4)</f>
        <v>-22172.425106568742</v>
      </c>
      <c r="E106" s="160">
        <f t="shared" si="63"/>
        <v>1860.133915588942</v>
      </c>
      <c r="F106" s="160">
        <f t="shared" si="63"/>
        <v>19147.339928905825</v>
      </c>
      <c r="G106" s="160">
        <f t="shared" si="63"/>
        <v>26332.220728570974</v>
      </c>
      <c r="H106" s="160">
        <f t="shared" si="63"/>
        <v>33302.482571438486</v>
      </c>
      <c r="I106" s="160">
        <f t="shared" si="63"/>
        <v>37292.446066929959</v>
      </c>
      <c r="J106" s="160">
        <f t="shared" si="63"/>
        <v>41254.509170510159</v>
      </c>
      <c r="K106" s="160">
        <f t="shared" si="63"/>
        <v>44554.775503272111</v>
      </c>
      <c r="L106" s="160">
        <f t="shared" si="63"/>
        <v>47815.153644483689</v>
      </c>
      <c r="M106" s="160">
        <f t="shared" si="63"/>
        <v>51035.638075787174</v>
      </c>
      <c r="N106" s="160">
        <f t="shared" si="63"/>
        <v>54216.310116637454</v>
      </c>
      <c r="O106" s="160">
        <f t="shared" si="63"/>
        <v>57357.330463138976</v>
      </c>
      <c r="P106" s="160">
        <f t="shared" si="63"/>
        <v>60458.932225478951</v>
      </c>
      <c r="Q106" s="160">
        <f t="shared" si="63"/>
        <v>63521.414433700636</v>
      </c>
      <c r="R106" s="160">
        <f t="shared" si="63"/>
        <v>66545.135983312299</v>
      </c>
      <c r="S106" s="112"/>
    </row>
    <row r="107" spans="2:21" ht="16.5" thickTop="1" thickBot="1" x14ac:dyDescent="0.3">
      <c r="B107" s="21"/>
    </row>
    <row r="108" spans="2:21" ht="16.5" thickBot="1" x14ac:dyDescent="0.3">
      <c r="B108" s="22" t="s">
        <v>35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4">
        <f>SUM(D106:R106)</f>
        <v>582521.39772118686</v>
      </c>
    </row>
    <row r="109" spans="2:21" x14ac:dyDescent="0.25">
      <c r="B109" s="21"/>
    </row>
    <row r="110" spans="2:21" x14ac:dyDescent="0.25">
      <c r="B110" s="21" t="s">
        <v>37</v>
      </c>
      <c r="D110" s="10">
        <f t="shared" ref="D110:R110" si="64">+D64</f>
        <v>30000</v>
      </c>
      <c r="E110" s="10">
        <f t="shared" si="64"/>
        <v>30000</v>
      </c>
      <c r="F110" s="10">
        <f t="shared" si="64"/>
        <v>30000</v>
      </c>
      <c r="G110" s="10">
        <f t="shared" si="64"/>
        <v>30000</v>
      </c>
      <c r="H110" s="10">
        <f t="shared" si="64"/>
        <v>30000</v>
      </c>
      <c r="I110" s="10">
        <f t="shared" si="64"/>
        <v>0</v>
      </c>
      <c r="J110" s="10">
        <f t="shared" si="64"/>
        <v>0</v>
      </c>
      <c r="K110" s="10">
        <f t="shared" si="64"/>
        <v>0</v>
      </c>
      <c r="L110" s="10">
        <f t="shared" si="64"/>
        <v>0</v>
      </c>
      <c r="M110" s="10">
        <f t="shared" si="64"/>
        <v>0</v>
      </c>
      <c r="N110" s="10">
        <f t="shared" si="64"/>
        <v>0</v>
      </c>
      <c r="O110" s="10">
        <f t="shared" si="64"/>
        <v>0</v>
      </c>
      <c r="P110" s="10">
        <f t="shared" si="64"/>
        <v>0</v>
      </c>
      <c r="Q110" s="10">
        <f t="shared" si="64"/>
        <v>0</v>
      </c>
      <c r="R110" s="10">
        <f t="shared" si="64"/>
        <v>0</v>
      </c>
      <c r="S110" s="17"/>
      <c r="U110" s="2">
        <f>SUM(D110:R110)</f>
        <v>150000</v>
      </c>
    </row>
    <row r="111" spans="2:21" ht="15.75" thickBot="1" x14ac:dyDescent="0.3"/>
    <row r="112" spans="2:21" ht="16.5" thickBot="1" x14ac:dyDescent="0.3">
      <c r="B112" s="31" t="s">
        <v>38</v>
      </c>
      <c r="C112" s="99"/>
      <c r="D112" s="32">
        <f t="shared" ref="D112:S112" si="65">D110/POWER($E$133,D4)</f>
        <v>28495.440729483285</v>
      </c>
      <c r="E112" s="32">
        <f t="shared" si="65"/>
        <v>27066.338078916491</v>
      </c>
      <c r="F112" s="32">
        <f t="shared" si="65"/>
        <v>25708.907749730712</v>
      </c>
      <c r="G112" s="32">
        <f t="shared" si="65"/>
        <v>24419.555233406827</v>
      </c>
      <c r="H112" s="32">
        <f t="shared" si="65"/>
        <v>23194.866293129588</v>
      </c>
      <c r="I112" s="32">
        <f t="shared" si="65"/>
        <v>0</v>
      </c>
      <c r="J112" s="32">
        <f t="shared" si="65"/>
        <v>0</v>
      </c>
      <c r="K112" s="32">
        <f t="shared" si="65"/>
        <v>0</v>
      </c>
      <c r="L112" s="32">
        <f t="shared" si="65"/>
        <v>0</v>
      </c>
      <c r="M112" s="32">
        <f t="shared" si="65"/>
        <v>0</v>
      </c>
      <c r="N112" s="32">
        <f t="shared" si="65"/>
        <v>0</v>
      </c>
      <c r="O112" s="32">
        <f t="shared" si="65"/>
        <v>0</v>
      </c>
      <c r="P112" s="32">
        <f t="shared" si="65"/>
        <v>0</v>
      </c>
      <c r="Q112" s="32">
        <f t="shared" si="65"/>
        <v>0</v>
      </c>
      <c r="R112" s="32">
        <f t="shared" si="65"/>
        <v>0</v>
      </c>
      <c r="S112" s="32">
        <f t="shared" si="65"/>
        <v>0</v>
      </c>
      <c r="T112" s="88" t="s">
        <v>39</v>
      </c>
      <c r="U112" s="24">
        <f>SUM(D112:R112)</f>
        <v>128885.10808466691</v>
      </c>
    </row>
    <row r="113" spans="2:21" x14ac:dyDescent="0.25">
      <c r="B113" s="21"/>
      <c r="C113" s="112"/>
      <c r="D113" s="112"/>
      <c r="E113" s="112"/>
      <c r="F113" s="112"/>
      <c r="G113" s="112"/>
      <c r="H113" s="112"/>
      <c r="I113" s="112"/>
      <c r="J113" s="112"/>
      <c r="K113" s="112"/>
      <c r="M113" s="115"/>
      <c r="N113" s="115"/>
      <c r="O113" s="115"/>
      <c r="P113" s="115"/>
      <c r="Q113" s="115"/>
      <c r="R113" s="115"/>
      <c r="S113" s="118"/>
      <c r="U113" s="2">
        <f>+U108-U112</f>
        <v>453636.28963651997</v>
      </c>
    </row>
    <row r="114" spans="2:21" x14ac:dyDescent="0.25">
      <c r="B114" s="21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</row>
    <row r="115" spans="2:21" x14ac:dyDescent="0.25">
      <c r="B115" s="96" t="s">
        <v>87</v>
      </c>
      <c r="C115" s="97"/>
      <c r="D115" s="98">
        <f>+D110-D104</f>
        <v>53343.129152195572</v>
      </c>
      <c r="E115" s="98">
        <f t="shared" ref="E115:R115" si="66">+E110-E104</f>
        <v>27938.250187189631</v>
      </c>
      <c r="F115" s="98">
        <f t="shared" si="66"/>
        <v>7656.7638166895085</v>
      </c>
      <c r="G115" s="98">
        <f t="shared" si="66"/>
        <v>-2349.7547070974724</v>
      </c>
      <c r="H115" s="98">
        <f t="shared" si="66"/>
        <v>-13073.086281988377</v>
      </c>
      <c r="I115" s="98">
        <f t="shared" si="66"/>
        <v>-50780.401218643718</v>
      </c>
      <c r="J115" s="98">
        <f t="shared" si="66"/>
        <v>-59141.530369553584</v>
      </c>
      <c r="K115" s="98">
        <f t="shared" si="66"/>
        <v>-67245.196950473721</v>
      </c>
      <c r="L115" s="98">
        <f t="shared" si="66"/>
        <v>-75976.35286886814</v>
      </c>
      <c r="M115" s="98">
        <f t="shared" si="66"/>
        <v>-85375.313538996284</v>
      </c>
      <c r="N115" s="98">
        <f t="shared" si="66"/>
        <v>-95484.87761015151</v>
      </c>
      <c r="O115" s="98">
        <f t="shared" si="66"/>
        <v>-106350.47778761361</v>
      </c>
      <c r="P115" s="98">
        <f t="shared" si="66"/>
        <v>-118020.340769081</v>
      </c>
      <c r="Q115" s="98">
        <f t="shared" si="66"/>
        <v>-130545.6568465569</v>
      </c>
      <c r="R115" s="98">
        <f t="shared" si="66"/>
        <v>-143980.75975682674</v>
      </c>
    </row>
    <row r="116" spans="2:21" x14ac:dyDescent="0.25"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2:21" x14ac:dyDescent="0.25"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2:21" x14ac:dyDescent="0.25">
      <c r="B118" t="s">
        <v>98</v>
      </c>
      <c r="D118" s="17">
        <f t="shared" ref="D118:R118" si="67">D14-D29+D61-D30</f>
        <v>-37546.562889883935</v>
      </c>
      <c r="E118" s="17">
        <f t="shared" si="67"/>
        <v>-11589.776478924963</v>
      </c>
      <c r="F118" s="17">
        <f t="shared" si="67"/>
        <v>8152.0127239912563</v>
      </c>
      <c r="G118" s="17">
        <f t="shared" si="67"/>
        <v>17766.336874723711</v>
      </c>
      <c r="H118" s="17">
        <f t="shared" si="67"/>
        <v>28082.821703800582</v>
      </c>
      <c r="I118" s="17">
        <f t="shared" si="67"/>
        <v>35367.914039442447</v>
      </c>
      <c r="J118" s="17">
        <f t="shared" si="67"/>
        <v>43290.679027072198</v>
      </c>
      <c r="K118" s="17">
        <f t="shared" si="67"/>
        <v>50953.167288002311</v>
      </c>
      <c r="L118" s="17">
        <f t="shared" si="67"/>
        <v>59227.109848967506</v>
      </c>
      <c r="M118" s="17">
        <f t="shared" si="67"/>
        <v>68152.080455190386</v>
      </c>
      <c r="N118" s="17">
        <f t="shared" si="67"/>
        <v>77770.096220068604</v>
      </c>
      <c r="O118" s="17">
        <f t="shared" si="67"/>
        <v>88125.76614796574</v>
      </c>
      <c r="P118" s="17">
        <f t="shared" si="67"/>
        <v>99266.448636245899</v>
      </c>
      <c r="Q118" s="17">
        <f t="shared" si="67"/>
        <v>111242.41849836519</v>
      </c>
      <c r="R118" s="17">
        <f t="shared" si="67"/>
        <v>124107.04408250471</v>
      </c>
    </row>
    <row r="119" spans="2:21" x14ac:dyDescent="0.25">
      <c r="B119" t="s">
        <v>99</v>
      </c>
      <c r="D119" s="17">
        <f>+D118-D110</f>
        <v>-67546.562889883935</v>
      </c>
      <c r="E119" s="17">
        <f t="shared" ref="E119:R119" si="68">+E118-E110</f>
        <v>-41589.776478924963</v>
      </c>
      <c r="F119" s="17">
        <f t="shared" si="68"/>
        <v>-21847.987276008746</v>
      </c>
      <c r="G119" s="17">
        <f t="shared" si="68"/>
        <v>-12233.663125276289</v>
      </c>
      <c r="H119" s="17">
        <f t="shared" si="68"/>
        <v>-1917.1782961994177</v>
      </c>
      <c r="I119" s="17">
        <f t="shared" si="68"/>
        <v>35367.914039442447</v>
      </c>
      <c r="J119" s="17">
        <f t="shared" si="68"/>
        <v>43290.679027072198</v>
      </c>
      <c r="K119" s="17">
        <f t="shared" si="68"/>
        <v>50953.167288002311</v>
      </c>
      <c r="L119" s="17">
        <f t="shared" si="68"/>
        <v>59227.109848967506</v>
      </c>
      <c r="M119" s="17">
        <f t="shared" si="68"/>
        <v>68152.080455190386</v>
      </c>
      <c r="N119" s="17">
        <f t="shared" si="68"/>
        <v>77770.096220068604</v>
      </c>
      <c r="O119" s="17">
        <f t="shared" si="68"/>
        <v>88125.76614796574</v>
      </c>
      <c r="P119" s="17">
        <f t="shared" si="68"/>
        <v>99266.448636245899</v>
      </c>
      <c r="Q119" s="17">
        <f t="shared" si="68"/>
        <v>111242.41849836519</v>
      </c>
      <c r="R119" s="17">
        <f t="shared" si="68"/>
        <v>124107.04408250471</v>
      </c>
    </row>
    <row r="120" spans="2:21" x14ac:dyDescent="0.25">
      <c r="B120" t="s">
        <v>96</v>
      </c>
      <c r="D120" s="17">
        <f t="shared" ref="D120:R120" si="69">+D119/($E$133^D4)</f>
        <v>-64158.96931030009</v>
      </c>
      <c r="E120" s="17">
        <f t="shared" si="69"/>
        <v>-37522.765026838402</v>
      </c>
      <c r="F120" s="17">
        <f t="shared" si="69"/>
        <v>-18722.929646539975</v>
      </c>
      <c r="G120" s="17">
        <f t="shared" si="69"/>
        <v>-9958.020413152557</v>
      </c>
      <c r="H120" s="17">
        <f t="shared" si="69"/>
        <v>-1482.289808014516</v>
      </c>
      <c r="I120" s="17">
        <f t="shared" si="69"/>
        <v>25973.722049511405</v>
      </c>
      <c r="J120" s="17">
        <f t="shared" si="69"/>
        <v>30197.658122140379</v>
      </c>
      <c r="K120" s="17">
        <f t="shared" si="69"/>
        <v>33760.135037891632</v>
      </c>
      <c r="L120" s="17">
        <f t="shared" si="69"/>
        <v>37274.1418930035</v>
      </c>
      <c r="M120" s="17">
        <f t="shared" si="69"/>
        <v>40739.937202506662</v>
      </c>
      <c r="N120" s="17">
        <f t="shared" si="69"/>
        <v>44157.857872351764</v>
      </c>
      <c r="O120" s="17">
        <f t="shared" si="69"/>
        <v>47528.312015302305</v>
      </c>
      <c r="P120" s="17">
        <f t="shared" si="69"/>
        <v>50851.772255982709</v>
      </c>
      <c r="Q120" s="17">
        <f t="shared" si="69"/>
        <v>54128.769495162203</v>
      </c>
      <c r="R120" s="17">
        <f t="shared" si="69"/>
        <v>57359.887105093767</v>
      </c>
    </row>
    <row r="121" spans="2:21" x14ac:dyDescent="0.25">
      <c r="B121" t="s">
        <v>97</v>
      </c>
      <c r="D121" s="17">
        <f>+D120</f>
        <v>-64158.96931030009</v>
      </c>
      <c r="E121" s="17">
        <f>+E120+D121</f>
        <v>-101681.73433713849</v>
      </c>
      <c r="F121" s="17">
        <f t="shared" ref="F121:R121" si="70">+F120+E121</f>
        <v>-120404.66398367847</v>
      </c>
      <c r="G121" s="17">
        <f t="shared" si="70"/>
        <v>-130362.68439683103</v>
      </c>
      <c r="H121" s="17">
        <f t="shared" si="70"/>
        <v>-131844.97420484555</v>
      </c>
      <c r="I121" s="17">
        <f t="shared" si="70"/>
        <v>-105871.25215533415</v>
      </c>
      <c r="J121" s="17">
        <f t="shared" si="70"/>
        <v>-75673.594033193775</v>
      </c>
      <c r="K121" s="17">
        <f>+K120+J121</f>
        <v>-41913.458995302142</v>
      </c>
      <c r="L121" s="17">
        <f t="shared" si="70"/>
        <v>-4639.3171022986426</v>
      </c>
      <c r="M121" s="17">
        <f t="shared" si="70"/>
        <v>36100.62010020802</v>
      </c>
      <c r="N121" s="17">
        <f>+N120+M121</f>
        <v>80258.477972559776</v>
      </c>
      <c r="O121" s="17">
        <f t="shared" si="70"/>
        <v>127786.78998786208</v>
      </c>
      <c r="P121" s="17">
        <f t="shared" si="70"/>
        <v>178638.56224384479</v>
      </c>
      <c r="Q121" s="17">
        <f t="shared" si="70"/>
        <v>232767.331739007</v>
      </c>
      <c r="R121" s="17">
        <f t="shared" si="70"/>
        <v>290127.21884410077</v>
      </c>
    </row>
    <row r="122" spans="2:21" x14ac:dyDescent="0.25">
      <c r="B122" t="s">
        <v>100</v>
      </c>
    </row>
    <row r="124" spans="2:21" ht="15.75" thickBot="1" x14ac:dyDescent="0.3"/>
    <row r="125" spans="2:21" x14ac:dyDescent="0.25">
      <c r="C125" s="93" t="s">
        <v>88</v>
      </c>
      <c r="D125" s="94" t="s">
        <v>40</v>
      </c>
      <c r="E125" s="93" t="s">
        <v>89</v>
      </c>
    </row>
    <row r="126" spans="2:21" ht="15.75" thickBot="1" x14ac:dyDescent="0.3">
      <c r="C126" s="124">
        <f>NPV(E132,D104:R104)-U112</f>
        <v>453636.28963652009</v>
      </c>
      <c r="D126" s="125">
        <f>+IRR(D115:R115)</f>
        <v>0.31287028961503038</v>
      </c>
      <c r="E126" s="126">
        <f>+U108/U112</f>
        <v>4.5196951484768766</v>
      </c>
    </row>
    <row r="128" spans="2:21" x14ac:dyDescent="0.25">
      <c r="B128" s="12" t="s">
        <v>102</v>
      </c>
    </row>
    <row r="129" spans="2:11" x14ac:dyDescent="0.25">
      <c r="B129" s="12"/>
    </row>
    <row r="130" spans="2:11" x14ac:dyDescent="0.25">
      <c r="B130" s="157" t="s">
        <v>103</v>
      </c>
    </row>
    <row r="132" spans="2:11" x14ac:dyDescent="0.25">
      <c r="B132" s="25" t="s">
        <v>36</v>
      </c>
      <c r="C132" s="26"/>
      <c r="D132" s="26"/>
      <c r="E132" s="127">
        <v>5.28E-2</v>
      </c>
      <c r="G132" s="80"/>
    </row>
    <row r="133" spans="2:11" x14ac:dyDescent="0.25">
      <c r="B133" s="27"/>
      <c r="C133" s="28"/>
      <c r="D133" s="28"/>
      <c r="E133" s="156">
        <f>E132+1</f>
        <v>1.0528</v>
      </c>
    </row>
    <row r="135" spans="2:11" x14ac:dyDescent="0.25">
      <c r="B135" t="s">
        <v>41</v>
      </c>
    </row>
    <row r="142" spans="2:11" x14ac:dyDescent="0.25">
      <c r="C142" s="44"/>
      <c r="D142" s="17"/>
      <c r="E142" s="17"/>
      <c r="F142" s="17"/>
    </row>
    <row r="143" spans="2:11" x14ac:dyDescent="0.25">
      <c r="C143" s="44"/>
      <c r="D143" s="17"/>
      <c r="E143" s="17"/>
      <c r="F143" s="17"/>
    </row>
    <row r="144" spans="2:11" x14ac:dyDescent="0.25">
      <c r="C144" s="44"/>
      <c r="D144" s="17"/>
      <c r="E144" s="17"/>
      <c r="F144" s="17"/>
      <c r="I144" s="44"/>
      <c r="J144" s="44"/>
      <c r="K144" s="17"/>
    </row>
    <row r="145" spans="3:11" x14ac:dyDescent="0.25">
      <c r="C145" s="44"/>
      <c r="D145" s="17"/>
      <c r="E145" s="17"/>
      <c r="F145" s="17"/>
      <c r="I145" s="44"/>
      <c r="J145" s="44"/>
      <c r="K145" s="17"/>
    </row>
    <row r="146" spans="3:11" x14ac:dyDescent="0.25">
      <c r="C146" s="44"/>
      <c r="D146" s="17"/>
      <c r="E146" s="17"/>
      <c r="F146" s="17"/>
      <c r="I146" s="119"/>
      <c r="J146" s="119"/>
      <c r="K146" s="120"/>
    </row>
    <row r="147" spans="3:11" x14ac:dyDescent="0.25">
      <c r="C147" s="44"/>
      <c r="D147" s="17"/>
      <c r="E147" s="17"/>
      <c r="F147" s="17"/>
    </row>
    <row r="148" spans="3:11" x14ac:dyDescent="0.25">
      <c r="C148" s="44"/>
      <c r="D148" s="17"/>
      <c r="E148" s="17"/>
      <c r="F148" s="17"/>
    </row>
    <row r="149" spans="3:11" x14ac:dyDescent="0.25">
      <c r="C149" s="44"/>
      <c r="D149" s="17"/>
      <c r="E149" s="17"/>
      <c r="F149" s="17"/>
    </row>
    <row r="150" spans="3:11" x14ac:dyDescent="0.25">
      <c r="C150" s="44"/>
      <c r="D150" s="17"/>
      <c r="E150" s="17"/>
      <c r="F150" s="17"/>
    </row>
    <row r="151" spans="3:11" x14ac:dyDescent="0.25">
      <c r="C151" s="44"/>
      <c r="D151" s="17"/>
      <c r="E151" s="17"/>
      <c r="F151" s="17"/>
    </row>
    <row r="152" spans="3:11" x14ac:dyDescent="0.25">
      <c r="C152" s="44"/>
      <c r="D152" s="17"/>
      <c r="E152" s="17"/>
      <c r="F152" s="17"/>
    </row>
    <row r="153" spans="3:11" x14ac:dyDescent="0.25">
      <c r="C153" s="44"/>
      <c r="D153" s="17"/>
      <c r="E153" s="17"/>
      <c r="F153" s="17"/>
    </row>
    <row r="154" spans="3:11" x14ac:dyDescent="0.25">
      <c r="C154" s="44"/>
      <c r="D154" s="17"/>
      <c r="E154" s="17"/>
      <c r="F154" s="17"/>
    </row>
    <row r="155" spans="3:11" x14ac:dyDescent="0.25">
      <c r="C155" s="44"/>
      <c r="D155" s="17"/>
      <c r="E155" s="17"/>
      <c r="F155" s="17"/>
    </row>
    <row r="156" spans="3:11" x14ac:dyDescent="0.25">
      <c r="C156" s="44"/>
      <c r="D156" s="17"/>
      <c r="E156" s="17"/>
      <c r="F156" s="17"/>
    </row>
    <row r="157" spans="3:11" x14ac:dyDescent="0.25">
      <c r="C157" s="44"/>
      <c r="D157" s="17"/>
      <c r="E157" s="17"/>
      <c r="F157" s="17"/>
    </row>
    <row r="158" spans="3:11" x14ac:dyDescent="0.25">
      <c r="C158" s="44"/>
      <c r="D158" s="17"/>
      <c r="E158" s="17"/>
      <c r="F158" s="17"/>
    </row>
    <row r="159" spans="3:11" x14ac:dyDescent="0.25">
      <c r="C159" s="44"/>
      <c r="D159" s="17"/>
      <c r="E159" s="17"/>
      <c r="F159" s="17"/>
    </row>
    <row r="160" spans="3:11" x14ac:dyDescent="0.25">
      <c r="C160" s="44"/>
      <c r="D160" s="17"/>
      <c r="E160" s="17"/>
      <c r="F160" s="17"/>
    </row>
    <row r="161" spans="4:6" x14ac:dyDescent="0.25">
      <c r="D161" s="17"/>
      <c r="E161" s="121"/>
      <c r="F161" s="122"/>
    </row>
  </sheetData>
  <mergeCells count="4">
    <mergeCell ref="T11:T12"/>
    <mergeCell ref="T16:U17"/>
    <mergeCell ref="T18:U19"/>
    <mergeCell ref="T23:U25"/>
  </mergeCells>
  <conditionalFormatting sqref="D116:R12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6" fitToHeight="0" orientation="landscape" r:id="rId1"/>
  <ignoredErrors>
    <ignoredError sqref="D66:E66 F66:R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Compte de resultats i inversion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Comas</dc:creator>
  <cp:lastModifiedBy>adm3</cp:lastModifiedBy>
  <cp:lastPrinted>2025-02-25T09:00:24Z</cp:lastPrinted>
  <dcterms:created xsi:type="dcterms:W3CDTF">2019-01-12T11:43:22Z</dcterms:created>
  <dcterms:modified xsi:type="dcterms:W3CDTF">2025-02-25T13:18:22Z</dcterms:modified>
</cp:coreProperties>
</file>