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JUNTAMENT\Serveis\Contractacio\Contractació\1. Expedients\1.1 Expedients SERVEIS\24002se Manteniment aparells elevadors\3. Documents de treball\"/>
    </mc:Choice>
  </mc:AlternateContent>
  <bookViews>
    <workbookView xWindow="0" yWindow="0" windowWidth="21600" windowHeight="9435"/>
  </bookViews>
  <sheets>
    <sheet name="Reducció p.u.revisions periòdiq" sheetId="1" r:id="rId1"/>
    <sheet name="Estudi econ.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G12" i="5" l="1"/>
  <c r="E13" i="5"/>
  <c r="D13" i="5"/>
  <c r="C5" i="5"/>
  <c r="G5" i="5" s="1"/>
  <c r="K4" i="1"/>
  <c r="F4" i="5"/>
  <c r="F6" i="5" s="1"/>
  <c r="F14" i="5"/>
  <c r="D4" i="5"/>
  <c r="C4" i="5"/>
  <c r="K5" i="1"/>
  <c r="K7" i="1"/>
  <c r="E4" i="5"/>
  <c r="G4" i="5" l="1"/>
  <c r="G6" i="5" s="1"/>
  <c r="K6" i="1"/>
  <c r="F7" i="5"/>
  <c r="F8" i="5" s="1"/>
  <c r="F15" i="5"/>
  <c r="F16" i="5" s="1"/>
  <c r="F18" i="5" l="1"/>
  <c r="F19" i="5" l="1"/>
  <c r="F20" i="5" s="1"/>
  <c r="T23" i="1" l="1"/>
  <c r="P16" i="1"/>
  <c r="T16" i="1" s="1"/>
  <c r="R12" i="1"/>
  <c r="N18" i="1"/>
  <c r="T18" i="1" s="1"/>
  <c r="T22" i="1"/>
  <c r="T21" i="1"/>
  <c r="T20" i="1"/>
  <c r="T19" i="1"/>
  <c r="T17" i="1"/>
  <c r="T15" i="1"/>
  <c r="T14" i="1"/>
  <c r="T13" i="1"/>
  <c r="T12" i="1"/>
  <c r="I22" i="1"/>
  <c r="I21" i="1"/>
  <c r="T7" i="1"/>
  <c r="T6" i="1"/>
  <c r="T5" i="1"/>
  <c r="T4" i="1"/>
  <c r="R7" i="1"/>
  <c r="R5" i="1"/>
  <c r="R6" i="1"/>
  <c r="R4" i="1"/>
  <c r="N7" i="1"/>
  <c r="N6" i="1"/>
  <c r="N5" i="1"/>
  <c r="V7" i="1" l="1"/>
  <c r="V6" i="1"/>
  <c r="V5" i="1"/>
  <c r="V4" i="1"/>
  <c r="V8" i="1"/>
  <c r="I13" i="1" l="1"/>
  <c r="I14" i="1"/>
  <c r="I15" i="1"/>
  <c r="I16" i="1"/>
  <c r="I17" i="1"/>
  <c r="I18" i="1"/>
  <c r="I19" i="1"/>
  <c r="I20" i="1"/>
  <c r="I12" i="1"/>
  <c r="I23" i="1" l="1"/>
  <c r="C6" i="5"/>
  <c r="D14" i="5"/>
  <c r="D15" i="5" s="1"/>
  <c r="D16" i="5" s="1"/>
  <c r="C13" i="5"/>
  <c r="E14" i="5"/>
  <c r="E15" i="5" s="1"/>
  <c r="E16" i="5" s="1"/>
  <c r="C14" i="5" l="1"/>
  <c r="C15" i="5" s="1"/>
  <c r="C16" i="5" s="1"/>
  <c r="G13" i="5"/>
  <c r="G14" i="5" s="1"/>
  <c r="G15" i="5" s="1"/>
  <c r="G16" i="5" s="1"/>
  <c r="C7" i="5"/>
  <c r="C8" i="5" s="1"/>
  <c r="E6" i="5"/>
  <c r="E7" i="5" s="1"/>
  <c r="E8" i="5" s="1"/>
  <c r="E18" i="5" s="1"/>
  <c r="E19" i="5" s="1"/>
  <c r="E20" i="5" s="1"/>
  <c r="C18" i="5" l="1"/>
  <c r="C19" i="5" s="1"/>
  <c r="C20" i="5" s="1"/>
  <c r="K8" i="1"/>
  <c r="D6" i="5"/>
  <c r="D7" i="5" s="1"/>
  <c r="D8" i="5" s="1"/>
  <c r="D18" i="5" s="1"/>
  <c r="D19" i="5" s="1"/>
  <c r="D20" i="5" s="1"/>
  <c r="G7" i="5"/>
  <c r="G8" i="5" l="1"/>
  <c r="G18" i="5" s="1"/>
  <c r="G19" i="5" s="1"/>
  <c r="G20" i="5" s="1"/>
</calcChain>
</file>

<file path=xl/sharedStrings.xml><?xml version="1.0" encoding="utf-8"?>
<sst xmlns="http://schemas.openxmlformats.org/spreadsheetml/2006/main" count="106" uniqueCount="55">
  <si>
    <r>
      <t> </t>
    </r>
    <r>
      <rPr>
        <b/>
        <sz val="10"/>
        <color rgb="FF000000"/>
        <rFont val="Times New Roman"/>
        <family val="1"/>
      </rPr>
      <t>TOTAL IVA EXCLÒS</t>
    </r>
  </si>
  <si>
    <t>PREUS UNITARIS MANTENIMENT I INSPECCIONS PERIÒDIQUES ANUALS *</t>
  </si>
  <si>
    <t>Preu ut. Anual IVA exclòs (inclou 19% DG + BI) 2025</t>
  </si>
  <si>
    <t>Ut. Total 2025</t>
  </si>
  <si>
    <t>Preu ut. Anual IVA exclòs (inclou 19% DG + BI) 2026</t>
  </si>
  <si>
    <t>Ut. Total 2026</t>
  </si>
  <si>
    <t>Preu ut. Anual IVA exclòs (inclou 19% DG + BI) 2027</t>
  </si>
  <si>
    <t>Ut. Total 2027</t>
  </si>
  <si>
    <t>Total contracte (3 anys)</t>
  </si>
  <si>
    <t>MANTENIMENT: Escales mecàniques (cada 3 mesos)</t>
  </si>
  <si>
    <t>MANTENIMENT: Salva escales inclinat (1 vegada al mes)</t>
  </si>
  <si>
    <t>MANTENIMENT: Gòndola (cada 6 mesos)</t>
  </si>
  <si>
    <t>PREUS UNITARIS MILLORES TÈCNIQUES</t>
  </si>
  <si>
    <t>Preu ut. IVA exclòs (inclou 19% DG + BI) 2025</t>
  </si>
  <si>
    <t>Preu ut. IVA exclòs (inclou 19% DG + BI) 2026</t>
  </si>
  <si>
    <t>Preu ut. IVA exclòs (inclou 19% DG + BI) 2027</t>
  </si>
  <si>
    <t xml:space="preserve">Desmuntatge per a substitució de lluminària interior empotrada, per lluminària decorativa empotrable tipo downlight amb leds. </t>
  </si>
  <si>
    <t>Reparació revestiment vertical interior cabina ascensor edifici Institucional (Ajuntament).</t>
  </si>
  <si>
    <t>Substitució d'ascensor existent hidràulic i suministre i instal·lació d'un nou ascensor elèctric a CC Joana Barcala.</t>
  </si>
  <si>
    <t>Substitució d'ascensor existent hidràulic i suministre i instal·lació d'un nou ascensor elèctric a Taller Alborada.</t>
  </si>
  <si>
    <t>Substitució d'ascensor existent hidràulic i suministre i instal·lació d'un nou ascensor elèctric a CC Can Pantiquet.</t>
  </si>
  <si>
    <t>Substitució d'ascensor existent hidràulic i suministre i instal·lació d'un nou ascensor elèctric al Museu Abelló.</t>
  </si>
  <si>
    <t>Millores gòndola edif Adm (Ajunt): 3uts protecció ambiental eje reductora, 1ut depositorio manguera de maniobra, 1ut de recobriment complert protecció cistella façana.I finalment pintat general de la maquinaria (oxidacions generalitzades).</t>
  </si>
  <si>
    <t>Normativa i correctiu gòndola edif Adm (Ajunt): 2uts punts d'ancoratge arnès, 1ut diferencial 30mA inst. Maquinaria, 1ut protecció anti-rozaduras gatera, 1ut sistema mecànic de final de carril antidescarrilament, 1 ut fletxa selector multifunció i 1ut plataforma de treball gòndola.</t>
  </si>
  <si>
    <t>Part fixa</t>
  </si>
  <si>
    <t>Costos directes</t>
  </si>
  <si>
    <t>Euros / any</t>
  </si>
  <si>
    <t>Euros</t>
  </si>
  <si>
    <t>contracte</t>
  </si>
  <si>
    <t>a) manteniment preventiu</t>
  </si>
  <si>
    <t>Total costos directes</t>
  </si>
  <si>
    <t>Total costos indirectes (DG + BI)</t>
  </si>
  <si>
    <t>Total costos directes + indirectes</t>
  </si>
  <si>
    <t>Part variable</t>
  </si>
  <si>
    <t>b) millores tècniques (inversions)</t>
  </si>
  <si>
    <t>Pressupost brut total</t>
  </si>
  <si>
    <t>IVA 21%</t>
  </si>
  <si>
    <t>Pressupost Base Licitació</t>
  </si>
  <si>
    <t>a) correctiu no previst**</t>
  </si>
  <si>
    <t>b) millores tècniques (inversions)*</t>
  </si>
  <si>
    <t>1. Reducció preus unitaris manteniment preventiu i inspeccions periòdiques (OFERTA)</t>
  </si>
  <si>
    <t>1. Reducció preus unitaris manteniment preventiu i inspeccions periòdiques (PRESSUPOST BASE LICITACIÓ)</t>
  </si>
  <si>
    <t>2. Reducció preus unitaris de millores tècniques (inversions) OFERTA</t>
  </si>
  <si>
    <t>2. Reducció preus unitaris de millores tècniques (inversions) PRESSUPOST BASE LICITACIÓ</t>
  </si>
  <si>
    <t>MANTENIMENT: Ascensors (cada 4 semanas)</t>
  </si>
  <si>
    <t>Preu ut. Anual IVA exclòs (inclou 19% DG + BI) 2028</t>
  </si>
  <si>
    <t>Ut. Total 2028</t>
  </si>
  <si>
    <t xml:space="preserve">Instal·lació de dispositiu de protecció a cada porta d'accionament automàtic que cobreixi l'apertura des de 25mm fins a 1.600mm sobre la pisadera de cabina  </t>
  </si>
  <si>
    <t>Substitució maniobra i elements principals mecànics ascensor edifici Casa Museu Abelló</t>
  </si>
  <si>
    <r>
      <t>Substitució maniobra ascensor edifici administratiu Ajuntament</t>
    </r>
    <r>
      <rPr>
        <sz val="8"/>
        <rFont val="Times New Roman"/>
        <family val="1"/>
      </rPr>
      <t> </t>
    </r>
  </si>
  <si>
    <t>Euros / any (abril-desembre)</t>
  </si>
  <si>
    <t>Euros / any (gener-març)</t>
  </si>
  <si>
    <t xml:space="preserve">* La part fixa de les inversions previstes l'any 2025, està formada per "Millores Gòndola", "Normativa i correctiu Gòndola", </t>
  </si>
  <si>
    <t>Substitutció ascensor Ajuntament, "Substitució Ascensor CC Joana Barcala" i "Millora ascensor Casa Museu Abelló".</t>
  </si>
  <si>
    <t>** El correctiu no previst de la part variable s'estima amb un import a tant alçat.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</si>
</sst>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53">
    <xf numFmtId="0" fontId="0" fillId="0" borderId="0" xfId="0"/>
    <xf numFmtId="44" fontId="5" fillId="0" borderId="1" xfId="1" applyFont="1" applyBorder="1" applyAlignment="1" applyProtection="1">
      <alignment horizontal="center" vertical="center"/>
      <protection locked="0"/>
    </xf>
    <xf numFmtId="0" fontId="0" fillId="4" borderId="0" xfId="0" applyFill="1" applyProtection="1"/>
    <xf numFmtId="0" fontId="2" fillId="4" borderId="0" xfId="0" applyFont="1" applyFill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" fontId="5" fillId="5" borderId="1" xfId="0" applyNumberFormat="1" applyFont="1" applyFill="1" applyBorder="1" applyAlignment="1" applyProtection="1">
      <alignment horizontal="center" vertical="center"/>
    </xf>
    <xf numFmtId="44" fontId="4" fillId="4" borderId="1" xfId="1" applyNumberFormat="1" applyFont="1" applyFill="1" applyBorder="1" applyAlignment="1" applyProtection="1">
      <alignment horizontal="right" vertical="center"/>
    </xf>
    <xf numFmtId="44" fontId="0" fillId="4" borderId="0" xfId="0" applyNumberFormat="1" applyFill="1" applyProtection="1"/>
    <xf numFmtId="44" fontId="9" fillId="0" borderId="1" xfId="0" applyNumberFormat="1" applyFont="1" applyBorder="1" applyAlignment="1" applyProtection="1">
      <alignment horizontal="right" vertical="center"/>
    </xf>
    <xf numFmtId="0" fontId="5" fillId="5" borderId="1" xfId="0" applyFont="1" applyFill="1" applyBorder="1" applyAlignment="1" applyProtection="1">
      <alignment horizontal="center" vertical="center"/>
    </xf>
    <xf numFmtId="44" fontId="5" fillId="0" borderId="1" xfId="1" applyNumberFormat="1" applyFont="1" applyBorder="1" applyAlignment="1" applyProtection="1">
      <alignment horizontal="right" vertical="center"/>
    </xf>
    <xf numFmtId="0" fontId="0" fillId="4" borderId="0" xfId="0" applyNumberFormat="1" applyFill="1" applyProtection="1"/>
    <xf numFmtId="44" fontId="6" fillId="0" borderId="1" xfId="0" applyNumberFormat="1" applyFont="1" applyBorder="1" applyAlignment="1" applyProtection="1">
      <alignment horizontal="right" vertical="center"/>
    </xf>
    <xf numFmtId="44" fontId="5" fillId="0" borderId="1" xfId="1" applyNumberFormat="1" applyFont="1" applyFill="1" applyBorder="1" applyAlignment="1" applyProtection="1">
      <alignment horizontal="center" vertical="center"/>
      <protection locked="0"/>
    </xf>
    <xf numFmtId="44" fontId="5" fillId="0" borderId="1" xfId="1" applyFont="1" applyFill="1" applyBorder="1" applyAlignment="1" applyProtection="1">
      <alignment horizontal="center" vertical="center"/>
      <protection locked="0"/>
    </xf>
    <xf numFmtId="44" fontId="5" fillId="0" borderId="1" xfId="1" applyNumberFormat="1" applyFont="1" applyBorder="1" applyAlignment="1" applyProtection="1">
      <alignment horizontal="center" vertical="center"/>
      <protection locked="0"/>
    </xf>
    <xf numFmtId="44" fontId="5" fillId="0" borderId="1" xfId="2" applyNumberFormat="1" applyFont="1" applyBorder="1" applyAlignment="1" applyProtection="1">
      <alignment horizontal="center" vertical="center"/>
      <protection locked="0"/>
    </xf>
    <xf numFmtId="44" fontId="5" fillId="0" borderId="1" xfId="2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vertical="center" wrapText="1"/>
    </xf>
    <xf numFmtId="44" fontId="5" fillId="0" borderId="1" xfId="1" applyFont="1" applyBorder="1" applyAlignment="1" applyProtection="1">
      <alignment horizontal="center" vertical="center"/>
    </xf>
    <xf numFmtId="44" fontId="5" fillId="0" borderId="1" xfId="2" applyNumberFormat="1" applyFont="1" applyBorder="1" applyAlignment="1" applyProtection="1">
      <alignment horizontal="center" vertical="center"/>
    </xf>
    <xf numFmtId="44" fontId="5" fillId="0" borderId="1" xfId="2" applyFont="1" applyBorder="1" applyAlignment="1" applyProtection="1">
      <alignment horizontal="center" vertical="center"/>
    </xf>
    <xf numFmtId="0" fontId="5" fillId="7" borderId="8" xfId="0" applyFont="1" applyFill="1" applyBorder="1" applyAlignment="1" applyProtection="1">
      <alignment vertical="center" wrapText="1"/>
    </xf>
    <xf numFmtId="44" fontId="5" fillId="0" borderId="1" xfId="1" applyNumberFormat="1" applyFont="1" applyFill="1" applyBorder="1" applyAlignment="1" applyProtection="1">
      <alignment horizontal="center" vertical="center"/>
    </xf>
    <xf numFmtId="44" fontId="5" fillId="0" borderId="1" xfId="1" applyFont="1" applyFill="1" applyBorder="1" applyAlignment="1" applyProtection="1">
      <alignment horizontal="center" vertical="center"/>
    </xf>
    <xf numFmtId="44" fontId="5" fillId="0" borderId="1" xfId="1" applyNumberFormat="1" applyFont="1" applyBorder="1" applyAlignment="1" applyProtection="1">
      <alignment horizontal="center" vertical="center"/>
    </xf>
    <xf numFmtId="0" fontId="9" fillId="6" borderId="7" xfId="0" applyFont="1" applyFill="1" applyBorder="1" applyAlignment="1" applyProtection="1">
      <alignment horizontal="center" vertical="center" wrapText="1"/>
    </xf>
    <xf numFmtId="0" fontId="9" fillId="5" borderId="6" xfId="0" applyFont="1" applyFill="1" applyBorder="1" applyAlignment="1" applyProtection="1">
      <alignment horizontal="center" vertical="center" wrapText="1"/>
    </xf>
    <xf numFmtId="0" fontId="9" fillId="6" borderId="8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vertical="center" wrapText="1"/>
    </xf>
    <xf numFmtId="164" fontId="7" fillId="4" borderId="1" xfId="1" applyNumberFormat="1" applyFont="1" applyFill="1" applyBorder="1" applyAlignment="1" applyProtection="1">
      <alignment horizontal="right" vertical="center" wrapText="1"/>
    </xf>
    <xf numFmtId="164" fontId="8" fillId="4" borderId="1" xfId="1" applyNumberFormat="1" applyFont="1" applyFill="1" applyBorder="1" applyAlignment="1" applyProtection="1">
      <alignment horizontal="right" vertical="center"/>
    </xf>
    <xf numFmtId="164" fontId="8" fillId="4" borderId="1" xfId="1" applyNumberFormat="1" applyFont="1" applyFill="1" applyBorder="1" applyAlignment="1" applyProtection="1">
      <alignment horizontal="right" vertical="center" wrapText="1"/>
    </xf>
    <xf numFmtId="0" fontId="9" fillId="6" borderId="8" xfId="0" applyFont="1" applyFill="1" applyBorder="1" applyAlignment="1" applyProtection="1">
      <alignment vertical="center" wrapText="1"/>
    </xf>
    <xf numFmtId="164" fontId="9" fillId="6" borderId="1" xfId="1" applyNumberFormat="1" applyFont="1" applyFill="1" applyBorder="1" applyAlignment="1" applyProtection="1">
      <alignment horizontal="right" vertical="center" wrapText="1"/>
    </xf>
    <xf numFmtId="0" fontId="8" fillId="4" borderId="8" xfId="0" applyFont="1" applyFill="1" applyBorder="1" applyAlignment="1" applyProtection="1">
      <alignment vertical="center"/>
    </xf>
    <xf numFmtId="0" fontId="8" fillId="4" borderId="1" xfId="0" applyFont="1" applyFill="1" applyBorder="1" applyAlignment="1" applyProtection="1">
      <alignment vertical="center"/>
    </xf>
    <xf numFmtId="0" fontId="8" fillId="4" borderId="1" xfId="0" applyFont="1" applyFill="1" applyBorder="1" applyAlignment="1" applyProtection="1">
      <alignment vertical="center" wrapText="1"/>
    </xf>
    <xf numFmtId="0" fontId="9" fillId="6" borderId="3" xfId="0" applyFont="1" applyFill="1" applyBorder="1" applyAlignment="1" applyProtection="1">
      <alignment vertical="center" wrapText="1"/>
    </xf>
    <xf numFmtId="0" fontId="7" fillId="6" borderId="8" xfId="0" applyFont="1" applyFill="1" applyBorder="1" applyAlignment="1" applyProtection="1">
      <alignment vertical="center" wrapText="1"/>
    </xf>
    <xf numFmtId="164" fontId="7" fillId="6" borderId="1" xfId="1" applyNumberFormat="1" applyFont="1" applyFill="1" applyBorder="1" applyAlignment="1" applyProtection="1">
      <alignment horizontal="right" vertical="center" wrapText="1"/>
    </xf>
    <xf numFmtId="0" fontId="9" fillId="4" borderId="8" xfId="0" applyFont="1" applyFill="1" applyBorder="1" applyAlignment="1" applyProtection="1">
      <alignment vertical="center" wrapText="1"/>
    </xf>
    <xf numFmtId="44" fontId="9" fillId="4" borderId="1" xfId="1" applyNumberFormat="1" applyFont="1" applyFill="1" applyBorder="1" applyAlignment="1" applyProtection="1">
      <alignment vertical="center" wrapText="1"/>
    </xf>
    <xf numFmtId="44" fontId="9" fillId="4" borderId="1" xfId="1" applyNumberFormat="1" applyFont="1" applyFill="1" applyBorder="1" applyAlignment="1" applyProtection="1">
      <alignment horizontal="right" vertical="center" wrapText="1"/>
    </xf>
    <xf numFmtId="164" fontId="0" fillId="4" borderId="0" xfId="0" applyNumberFormat="1" applyFill="1" applyProtection="1"/>
    <xf numFmtId="0" fontId="10" fillId="4" borderId="0" xfId="0" applyFont="1" applyFill="1" applyProtection="1"/>
  </cellXfs>
  <cellStyles count="3">
    <cellStyle name="Currency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3"/>
  <sheetViews>
    <sheetView tabSelected="1" zoomScale="115" zoomScaleNormal="115" workbookViewId="0">
      <selection activeCell="C4" sqref="C4"/>
    </sheetView>
  </sheetViews>
  <sheetFormatPr defaultRowHeight="15" x14ac:dyDescent="0.25"/>
  <cols>
    <col min="1" max="1" width="5.28515625" style="2" customWidth="1"/>
    <col min="2" max="2" width="21.85546875" style="2" customWidth="1"/>
    <col min="3" max="3" width="13.28515625" style="2" customWidth="1"/>
    <col min="4" max="4" width="9.140625" style="2" customWidth="1"/>
    <col min="5" max="5" width="13.28515625" style="2" customWidth="1"/>
    <col min="6" max="6" width="9.140625" style="2" customWidth="1"/>
    <col min="7" max="7" width="13.140625" style="2" customWidth="1"/>
    <col min="8" max="8" width="9.140625" style="2"/>
    <col min="9" max="9" width="13.140625" style="2" customWidth="1"/>
    <col min="10" max="10" width="9.140625" style="2"/>
    <col min="11" max="11" width="13.140625" style="2" customWidth="1"/>
    <col min="12" max="12" width="6.140625" style="2" customWidth="1"/>
    <col min="13" max="13" width="21.85546875" style="2" customWidth="1"/>
    <col min="14" max="14" width="13.140625" style="2" customWidth="1"/>
    <col min="15" max="15" width="9.28515625" style="2" customWidth="1"/>
    <col min="16" max="16" width="13.140625" style="2" customWidth="1"/>
    <col min="17" max="17" width="9.140625" style="2"/>
    <col min="18" max="18" width="13.140625" style="2" customWidth="1"/>
    <col min="19" max="19" width="9.140625" style="2" customWidth="1"/>
    <col min="20" max="20" width="13.28515625" style="2" customWidth="1"/>
    <col min="21" max="21" width="9.140625" style="2"/>
    <col min="22" max="22" width="13.140625" style="2" customWidth="1"/>
    <col min="23" max="16384" width="9.140625" style="2"/>
  </cols>
  <sheetData>
    <row r="2" spans="2:22" ht="15.75" thickBot="1" x14ac:dyDescent="0.3">
      <c r="B2" s="3" t="s">
        <v>40</v>
      </c>
      <c r="M2" s="3" t="s">
        <v>41</v>
      </c>
    </row>
    <row r="3" spans="2:22" ht="64.5" thickBot="1" x14ac:dyDescent="0.3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45</v>
      </c>
      <c r="J3" s="5" t="s">
        <v>46</v>
      </c>
      <c r="K3" s="6" t="s">
        <v>8</v>
      </c>
      <c r="M3" s="4" t="s">
        <v>1</v>
      </c>
      <c r="N3" s="5" t="s">
        <v>2</v>
      </c>
      <c r="O3" s="5" t="s">
        <v>3</v>
      </c>
      <c r="P3" s="5" t="s">
        <v>4</v>
      </c>
      <c r="Q3" s="5" t="s">
        <v>5</v>
      </c>
      <c r="R3" s="5" t="s">
        <v>6</v>
      </c>
      <c r="S3" s="5" t="s">
        <v>7</v>
      </c>
      <c r="T3" s="5" t="s">
        <v>45</v>
      </c>
      <c r="U3" s="5" t="s">
        <v>46</v>
      </c>
      <c r="V3" s="6" t="s">
        <v>8</v>
      </c>
    </row>
    <row r="4" spans="2:22" ht="39" thickBot="1" x14ac:dyDescent="0.3">
      <c r="B4" s="24" t="s">
        <v>44</v>
      </c>
      <c r="C4" s="1"/>
      <c r="D4" s="7">
        <v>30</v>
      </c>
      <c r="E4" s="18"/>
      <c r="F4" s="7">
        <v>31</v>
      </c>
      <c r="G4" s="19"/>
      <c r="H4" s="7">
        <v>31</v>
      </c>
      <c r="I4" s="19"/>
      <c r="J4" s="7">
        <v>31</v>
      </c>
      <c r="K4" s="8">
        <f>(C4*D4)+(E4*F4)+(G4*H4)+(I4*J4)</f>
        <v>0</v>
      </c>
      <c r="L4" s="9"/>
      <c r="M4" s="24" t="s">
        <v>44</v>
      </c>
      <c r="N4" s="25">
        <f>(1771.34/12)*9</f>
        <v>1328.5049999999999</v>
      </c>
      <c r="O4" s="7">
        <v>30</v>
      </c>
      <c r="P4" s="26">
        <v>1808.21</v>
      </c>
      <c r="Q4" s="7">
        <v>31</v>
      </c>
      <c r="R4" s="27">
        <f>(P4*1.019)*1.0008</f>
        <v>1844.0400427919997</v>
      </c>
      <c r="S4" s="7">
        <v>31</v>
      </c>
      <c r="T4" s="27">
        <f>(1844.040042792/12)*3</f>
        <v>461.01001069799997</v>
      </c>
      <c r="U4" s="7">
        <v>31</v>
      </c>
      <c r="V4" s="8">
        <f>(N4*O4)+(P4*Q4)+(R4*S4)+(T4*U4)</f>
        <v>167366.21165818998</v>
      </c>
    </row>
    <row r="5" spans="2:22" ht="39" thickBot="1" x14ac:dyDescent="0.3">
      <c r="B5" s="24" t="s">
        <v>9</v>
      </c>
      <c r="C5" s="1"/>
      <c r="D5" s="7">
        <v>2</v>
      </c>
      <c r="E5" s="1"/>
      <c r="F5" s="7">
        <v>2</v>
      </c>
      <c r="G5" s="19"/>
      <c r="H5" s="7">
        <v>2</v>
      </c>
      <c r="I5" s="1"/>
      <c r="J5" s="7">
        <v>2</v>
      </c>
      <c r="K5" s="8">
        <f t="shared" ref="K5:K7" si="0">(C5*D5)+(E5*F5)+(G5*H5)+(I5*J5)</f>
        <v>0</v>
      </c>
      <c r="L5" s="9"/>
      <c r="M5" s="24" t="s">
        <v>9</v>
      </c>
      <c r="N5" s="25">
        <f>(1968.6/4)*3</f>
        <v>1476.4499999999998</v>
      </c>
      <c r="O5" s="7">
        <v>2</v>
      </c>
      <c r="P5" s="25">
        <v>2009.58</v>
      </c>
      <c r="Q5" s="7">
        <v>2</v>
      </c>
      <c r="R5" s="27">
        <f t="shared" ref="R5:R6" si="1">(P5*1.019)*1.0008</f>
        <v>2049.4002296159997</v>
      </c>
      <c r="S5" s="7">
        <v>2</v>
      </c>
      <c r="T5" s="25">
        <f>2049.400229616/4</f>
        <v>512.35005740400004</v>
      </c>
      <c r="U5" s="7">
        <v>2</v>
      </c>
      <c r="V5" s="8">
        <f t="shared" ref="V5:V7" si="2">(N5*O5)+(P5*Q5)+(R5*S5)+(T5*U5)</f>
        <v>12095.560574039999</v>
      </c>
    </row>
    <row r="6" spans="2:22" ht="39" thickBot="1" x14ac:dyDescent="0.3">
      <c r="B6" s="24" t="s">
        <v>10</v>
      </c>
      <c r="C6" s="1"/>
      <c r="D6" s="7">
        <v>4</v>
      </c>
      <c r="E6" s="1"/>
      <c r="F6" s="7">
        <v>4</v>
      </c>
      <c r="G6" s="19"/>
      <c r="H6" s="7">
        <v>4</v>
      </c>
      <c r="I6" s="1"/>
      <c r="J6" s="7">
        <v>4</v>
      </c>
      <c r="K6" s="8">
        <f t="shared" si="0"/>
        <v>0</v>
      </c>
      <c r="M6" s="24" t="s">
        <v>10</v>
      </c>
      <c r="N6" s="25">
        <f>(738.23/12)*9</f>
        <v>553.67250000000001</v>
      </c>
      <c r="O6" s="7">
        <v>4</v>
      </c>
      <c r="P6" s="25">
        <v>753.6</v>
      </c>
      <c r="Q6" s="7">
        <v>4</v>
      </c>
      <c r="R6" s="27">
        <f t="shared" si="1"/>
        <v>768.53273471999989</v>
      </c>
      <c r="S6" s="7">
        <v>4</v>
      </c>
      <c r="T6" s="25">
        <f>(768.53273472/12)*3</f>
        <v>192.13318368</v>
      </c>
      <c r="U6" s="7">
        <v>4</v>
      </c>
      <c r="V6" s="8">
        <f t="shared" si="2"/>
        <v>9071.7536736000002</v>
      </c>
    </row>
    <row r="7" spans="2:22" ht="26.25" thickBot="1" x14ac:dyDescent="0.3">
      <c r="B7" s="24" t="s">
        <v>11</v>
      </c>
      <c r="C7" s="1"/>
      <c r="D7" s="7">
        <v>1</v>
      </c>
      <c r="E7" s="1"/>
      <c r="F7" s="7">
        <v>1</v>
      </c>
      <c r="G7" s="19"/>
      <c r="H7" s="7">
        <v>1</v>
      </c>
      <c r="I7" s="1"/>
      <c r="J7" s="7">
        <v>1</v>
      </c>
      <c r="K7" s="8">
        <f t="shared" si="0"/>
        <v>0</v>
      </c>
      <c r="M7" s="24" t="s">
        <v>11</v>
      </c>
      <c r="N7" s="25">
        <f>984.3/2</f>
        <v>492.15</v>
      </c>
      <c r="O7" s="7">
        <v>1</v>
      </c>
      <c r="P7" s="25">
        <v>1004.79</v>
      </c>
      <c r="Q7" s="7">
        <v>1</v>
      </c>
      <c r="R7" s="27">
        <f>(P7*1.019)*1.0008</f>
        <v>1024.7001148079999</v>
      </c>
      <c r="S7" s="7">
        <v>1</v>
      </c>
      <c r="T7" s="25">
        <f>1024.700114808/2</f>
        <v>512.35005740400004</v>
      </c>
      <c r="U7" s="7">
        <v>1</v>
      </c>
      <c r="V7" s="8">
        <f t="shared" si="2"/>
        <v>3033.9901722119998</v>
      </c>
    </row>
    <row r="8" spans="2:22" ht="15.75" thickBot="1" x14ac:dyDescent="0.3">
      <c r="B8" s="20" t="s">
        <v>0</v>
      </c>
      <c r="C8" s="21"/>
      <c r="D8" s="21"/>
      <c r="E8" s="21"/>
      <c r="F8" s="21"/>
      <c r="G8" s="21"/>
      <c r="H8" s="21"/>
      <c r="I8" s="21"/>
      <c r="J8" s="23"/>
      <c r="K8" s="10">
        <f>SUM(K4:K7)</f>
        <v>0</v>
      </c>
      <c r="M8" s="20" t="s">
        <v>0</v>
      </c>
      <c r="N8" s="21"/>
      <c r="O8" s="21"/>
      <c r="P8" s="21"/>
      <c r="Q8" s="21"/>
      <c r="R8" s="21"/>
      <c r="S8" s="21"/>
      <c r="T8" s="21"/>
      <c r="U8" s="23"/>
      <c r="V8" s="10">
        <f>SUM(V4:V7)</f>
        <v>191567.51607804198</v>
      </c>
    </row>
    <row r="10" spans="2:22" ht="15.75" thickBot="1" x14ac:dyDescent="0.3">
      <c r="B10" s="3" t="s">
        <v>42</v>
      </c>
      <c r="M10" s="3" t="s">
        <v>43</v>
      </c>
    </row>
    <row r="11" spans="2:22" ht="51.75" thickBot="1" x14ac:dyDescent="0.3">
      <c r="B11" s="4" t="s">
        <v>12</v>
      </c>
      <c r="C11" s="5" t="s">
        <v>13</v>
      </c>
      <c r="D11" s="5" t="s">
        <v>3</v>
      </c>
      <c r="E11" s="5" t="s">
        <v>14</v>
      </c>
      <c r="F11" s="5" t="s">
        <v>5</v>
      </c>
      <c r="G11" s="5" t="s">
        <v>15</v>
      </c>
      <c r="H11" s="5" t="s">
        <v>7</v>
      </c>
      <c r="I11" s="6" t="s">
        <v>8</v>
      </c>
      <c r="M11" s="4" t="s">
        <v>12</v>
      </c>
      <c r="N11" s="5" t="s">
        <v>13</v>
      </c>
      <c r="O11" s="5" t="s">
        <v>3</v>
      </c>
      <c r="P11" s="5" t="s">
        <v>14</v>
      </c>
      <c r="Q11" s="5" t="s">
        <v>5</v>
      </c>
      <c r="R11" s="5" t="s">
        <v>15</v>
      </c>
      <c r="S11" s="5" t="s">
        <v>7</v>
      </c>
      <c r="T11" s="6" t="s">
        <v>8</v>
      </c>
    </row>
    <row r="12" spans="2:22" ht="77.25" thickBot="1" x14ac:dyDescent="0.3">
      <c r="B12" s="28" t="s">
        <v>16</v>
      </c>
      <c r="C12" s="15"/>
      <c r="D12" s="11">
        <v>66</v>
      </c>
      <c r="E12" s="1"/>
      <c r="F12" s="11"/>
      <c r="G12" s="1"/>
      <c r="H12" s="11">
        <v>60</v>
      </c>
      <c r="I12" s="12">
        <f t="shared" ref="I12:I22" si="3">(C12*D12)+(E12*F12)+(G12*H12)</f>
        <v>0</v>
      </c>
      <c r="M12" s="28" t="s">
        <v>16</v>
      </c>
      <c r="N12" s="29">
        <v>41.45</v>
      </c>
      <c r="O12" s="11">
        <v>66</v>
      </c>
      <c r="P12" s="25"/>
      <c r="Q12" s="11"/>
      <c r="R12" s="25">
        <f>43.15126025</f>
        <v>43.15126025</v>
      </c>
      <c r="S12" s="11">
        <v>60</v>
      </c>
      <c r="T12" s="12">
        <f t="shared" ref="T12:T22" si="4">(N12*O12)+(P12*Q12)+(R12*S12)</f>
        <v>5324.7756150000005</v>
      </c>
    </row>
    <row r="13" spans="2:22" ht="64.5" thickBot="1" x14ac:dyDescent="0.3">
      <c r="B13" s="28" t="s">
        <v>17</v>
      </c>
      <c r="C13" s="16"/>
      <c r="D13" s="11">
        <v>1</v>
      </c>
      <c r="E13" s="1"/>
      <c r="F13" s="11"/>
      <c r="G13" s="1"/>
      <c r="H13" s="11"/>
      <c r="I13" s="12">
        <f t="shared" si="3"/>
        <v>0</v>
      </c>
      <c r="J13" s="13"/>
      <c r="M13" s="28" t="s">
        <v>17</v>
      </c>
      <c r="N13" s="30">
        <v>73.3</v>
      </c>
      <c r="O13" s="11">
        <v>1</v>
      </c>
      <c r="P13" s="25"/>
      <c r="Q13" s="11"/>
      <c r="R13" s="25"/>
      <c r="S13" s="11"/>
      <c r="T13" s="12">
        <f t="shared" si="4"/>
        <v>73.3</v>
      </c>
    </row>
    <row r="14" spans="2:22" ht="64.5" thickBot="1" x14ac:dyDescent="0.3">
      <c r="B14" s="24" t="s">
        <v>18</v>
      </c>
      <c r="C14" s="1"/>
      <c r="D14" s="11">
        <v>1</v>
      </c>
      <c r="E14" s="1"/>
      <c r="F14" s="11"/>
      <c r="G14" s="1"/>
      <c r="H14" s="11"/>
      <c r="I14" s="12">
        <f t="shared" si="3"/>
        <v>0</v>
      </c>
      <c r="M14" s="24" t="s">
        <v>18</v>
      </c>
      <c r="N14" s="25">
        <v>40412.400000000001</v>
      </c>
      <c r="O14" s="11">
        <v>1</v>
      </c>
      <c r="P14" s="25"/>
      <c r="Q14" s="11"/>
      <c r="R14" s="25"/>
      <c r="S14" s="11"/>
      <c r="T14" s="12">
        <f t="shared" si="4"/>
        <v>40412.400000000001</v>
      </c>
    </row>
    <row r="15" spans="2:22" ht="64.5" thickBot="1" x14ac:dyDescent="0.3">
      <c r="B15" s="24" t="s">
        <v>19</v>
      </c>
      <c r="C15" s="17"/>
      <c r="D15" s="11">
        <v>1</v>
      </c>
      <c r="E15" s="1"/>
      <c r="F15" s="11"/>
      <c r="G15" s="1"/>
      <c r="H15" s="11"/>
      <c r="I15" s="12">
        <f t="shared" si="3"/>
        <v>0</v>
      </c>
      <c r="M15" s="24" t="s">
        <v>19</v>
      </c>
      <c r="N15" s="31">
        <v>44315.183499999999</v>
      </c>
      <c r="O15" s="11">
        <v>1</v>
      </c>
      <c r="P15" s="25"/>
      <c r="Q15" s="11"/>
      <c r="R15" s="25"/>
      <c r="S15" s="11"/>
      <c r="T15" s="12">
        <f t="shared" si="4"/>
        <v>44315.183499999999</v>
      </c>
    </row>
    <row r="16" spans="2:22" ht="64.5" thickBot="1" x14ac:dyDescent="0.3">
      <c r="B16" s="24" t="s">
        <v>20</v>
      </c>
      <c r="C16" s="1"/>
      <c r="D16" s="11"/>
      <c r="E16" s="1"/>
      <c r="F16" s="11">
        <v>1</v>
      </c>
      <c r="G16" s="1"/>
      <c r="H16" s="11"/>
      <c r="I16" s="12">
        <f t="shared" si="3"/>
        <v>0</v>
      </c>
      <c r="M16" s="24" t="s">
        <v>20</v>
      </c>
      <c r="N16" s="25"/>
      <c r="O16" s="11"/>
      <c r="P16" s="25">
        <f>45640.3366</f>
        <v>45640.336600000002</v>
      </c>
      <c r="Q16" s="11">
        <v>1</v>
      </c>
      <c r="R16" s="25"/>
      <c r="S16" s="11"/>
      <c r="T16" s="12">
        <f t="shared" si="4"/>
        <v>45640.336600000002</v>
      </c>
    </row>
    <row r="17" spans="2:20" ht="64.5" thickBot="1" x14ac:dyDescent="0.3">
      <c r="B17" s="24" t="s">
        <v>21</v>
      </c>
      <c r="C17" s="1"/>
      <c r="D17" s="11"/>
      <c r="E17" s="1"/>
      <c r="F17" s="11"/>
      <c r="G17" s="1"/>
      <c r="H17" s="11">
        <v>1</v>
      </c>
      <c r="I17" s="12">
        <f t="shared" si="3"/>
        <v>0</v>
      </c>
      <c r="M17" s="24" t="s">
        <v>21</v>
      </c>
      <c r="N17" s="25"/>
      <c r="O17" s="11"/>
      <c r="P17" s="25"/>
      <c r="Q17" s="11"/>
      <c r="R17" s="25">
        <v>46954.690499999997</v>
      </c>
      <c r="S17" s="11">
        <v>1</v>
      </c>
      <c r="T17" s="12">
        <f t="shared" si="4"/>
        <v>46954.690499999997</v>
      </c>
    </row>
    <row r="18" spans="2:20" ht="39" thickBot="1" x14ac:dyDescent="0.3">
      <c r="B18" s="24" t="s">
        <v>49</v>
      </c>
      <c r="C18" s="17"/>
      <c r="D18" s="11">
        <v>1</v>
      </c>
      <c r="E18" s="1"/>
      <c r="F18" s="11"/>
      <c r="G18" s="1"/>
      <c r="H18" s="11"/>
      <c r="I18" s="12">
        <f t="shared" si="3"/>
        <v>0</v>
      </c>
      <c r="M18" s="24" t="s">
        <v>49</v>
      </c>
      <c r="N18" s="31">
        <f>34650*1.19</f>
        <v>41233.5</v>
      </c>
      <c r="O18" s="11">
        <v>1</v>
      </c>
      <c r="P18" s="25"/>
      <c r="Q18" s="11"/>
      <c r="R18" s="25"/>
      <c r="S18" s="11"/>
      <c r="T18" s="12">
        <f t="shared" si="4"/>
        <v>41233.5</v>
      </c>
    </row>
    <row r="19" spans="2:20" ht="128.25" thickBot="1" x14ac:dyDescent="0.3">
      <c r="B19" s="24" t="s">
        <v>22</v>
      </c>
      <c r="C19" s="17"/>
      <c r="D19" s="11">
        <v>1</v>
      </c>
      <c r="E19" s="1"/>
      <c r="F19" s="11"/>
      <c r="G19" s="1"/>
      <c r="H19" s="11"/>
      <c r="I19" s="12">
        <f t="shared" si="3"/>
        <v>0</v>
      </c>
      <c r="M19" s="24" t="s">
        <v>22</v>
      </c>
      <c r="N19" s="31">
        <v>5386.81</v>
      </c>
      <c r="O19" s="11">
        <v>1</v>
      </c>
      <c r="P19" s="25"/>
      <c r="Q19" s="11"/>
      <c r="R19" s="25"/>
      <c r="S19" s="11"/>
      <c r="T19" s="12">
        <f t="shared" si="4"/>
        <v>5386.81</v>
      </c>
    </row>
    <row r="20" spans="2:20" ht="166.5" thickBot="1" x14ac:dyDescent="0.3">
      <c r="B20" s="24" t="s">
        <v>23</v>
      </c>
      <c r="C20" s="17"/>
      <c r="D20" s="11">
        <v>1</v>
      </c>
      <c r="E20" s="1"/>
      <c r="F20" s="11"/>
      <c r="G20" s="1"/>
      <c r="H20" s="11"/>
      <c r="I20" s="12">
        <f t="shared" si="3"/>
        <v>0</v>
      </c>
      <c r="M20" s="24" t="s">
        <v>23</v>
      </c>
      <c r="N20" s="31">
        <v>5392.02</v>
      </c>
      <c r="O20" s="11">
        <v>1</v>
      </c>
      <c r="P20" s="25"/>
      <c r="Q20" s="11"/>
      <c r="R20" s="25"/>
      <c r="S20" s="11"/>
      <c r="T20" s="12">
        <f t="shared" si="4"/>
        <v>5392.02</v>
      </c>
    </row>
    <row r="21" spans="2:20" ht="90" thickBot="1" x14ac:dyDescent="0.3">
      <c r="B21" s="24" t="s">
        <v>47</v>
      </c>
      <c r="C21" s="17"/>
      <c r="D21" s="11"/>
      <c r="E21" s="1"/>
      <c r="F21" s="11">
        <v>29</v>
      </c>
      <c r="G21" s="1"/>
      <c r="H21" s="11"/>
      <c r="I21" s="12">
        <f t="shared" si="3"/>
        <v>0</v>
      </c>
      <c r="M21" s="24" t="s">
        <v>47</v>
      </c>
      <c r="N21" s="31"/>
      <c r="O21" s="11"/>
      <c r="P21" s="25">
        <v>1500</v>
      </c>
      <c r="Q21" s="11">
        <v>29</v>
      </c>
      <c r="R21" s="25"/>
      <c r="S21" s="11"/>
      <c r="T21" s="12">
        <f t="shared" si="4"/>
        <v>43500</v>
      </c>
    </row>
    <row r="22" spans="2:20" ht="51.75" thickBot="1" x14ac:dyDescent="0.3">
      <c r="B22" s="24" t="s">
        <v>48</v>
      </c>
      <c r="C22" s="17"/>
      <c r="D22" s="11">
        <v>1</v>
      </c>
      <c r="E22" s="1"/>
      <c r="F22" s="11"/>
      <c r="G22" s="1"/>
      <c r="H22" s="11"/>
      <c r="I22" s="12">
        <f t="shared" si="3"/>
        <v>0</v>
      </c>
      <c r="M22" s="24" t="s">
        <v>48</v>
      </c>
      <c r="N22" s="31">
        <v>9779.6299999999992</v>
      </c>
      <c r="O22" s="11">
        <v>1</v>
      </c>
      <c r="P22" s="25"/>
      <c r="Q22" s="11"/>
      <c r="R22" s="25"/>
      <c r="S22" s="11"/>
      <c r="T22" s="12">
        <f t="shared" si="4"/>
        <v>9779.6299999999992</v>
      </c>
    </row>
    <row r="23" spans="2:20" ht="15.75" thickBot="1" x14ac:dyDescent="0.3">
      <c r="B23" s="20" t="s">
        <v>0</v>
      </c>
      <c r="C23" s="21"/>
      <c r="D23" s="21"/>
      <c r="E23" s="21"/>
      <c r="F23" s="21"/>
      <c r="G23" s="21"/>
      <c r="H23" s="22"/>
      <c r="I23" s="14">
        <f>SUM(I12:I22)</f>
        <v>0</v>
      </c>
      <c r="M23" s="20" t="s">
        <v>0</v>
      </c>
      <c r="N23" s="21"/>
      <c r="O23" s="21"/>
      <c r="P23" s="21"/>
      <c r="Q23" s="21"/>
      <c r="R23" s="21"/>
      <c r="S23" s="22"/>
      <c r="T23" s="14">
        <f>SUM(T12:T22)</f>
        <v>288012.64621499996</v>
      </c>
    </row>
  </sheetData>
  <sheetProtection algorithmName="SHA-512" hashValue="aVojuY0kfh0BpF3Cslyf9PLPEAflq4iEg+oszXLTzFnAKME63b7Guxfhbg1a6O9yvlOX7dlNeJonXTq+thl4CA==" saltValue="cj4ZdcZkLFMJusxhGey0Gg==" spinCount="100000" sheet="1" objects="1" scenarios="1" selectLockedCells="1"/>
  <mergeCells count="4">
    <mergeCell ref="B23:H23"/>
    <mergeCell ref="B8:J8"/>
    <mergeCell ref="M8:U8"/>
    <mergeCell ref="M23:S23"/>
  </mergeCells>
  <pageMargins left="0.7" right="0.7" top="0.75" bottom="0.75" header="0.3" footer="0.3"/>
  <pageSetup paperSize="9" orientation="portrait" r:id="rId1"/>
  <ignoredErrors>
    <ignoredError sqref="N5:N7 R4:R7 T4:T7 N18 R12 P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zoomScale="130" zoomScaleNormal="130" workbookViewId="0">
      <selection activeCell="C14" sqref="C14"/>
    </sheetView>
  </sheetViews>
  <sheetFormatPr defaultRowHeight="15" x14ac:dyDescent="0.25"/>
  <cols>
    <col min="1" max="1" width="9.140625" style="2"/>
    <col min="2" max="2" width="26.42578125" style="2" customWidth="1"/>
    <col min="3" max="3" width="12.28515625" style="2" customWidth="1"/>
    <col min="4" max="4" width="13.85546875" style="2" customWidth="1"/>
    <col min="5" max="6" width="13.42578125" style="2" bestFit="1" customWidth="1"/>
    <col min="7" max="7" width="17.7109375" style="2" customWidth="1"/>
    <col min="8" max="8" width="12.42578125" style="2" bestFit="1" customWidth="1"/>
    <col min="9" max="16384" width="9.140625" style="2"/>
  </cols>
  <sheetData>
    <row r="1" spans="2:7" ht="15.75" thickBot="1" x14ac:dyDescent="0.3"/>
    <row r="2" spans="2:7" x14ac:dyDescent="0.25">
      <c r="B2" s="32" t="s">
        <v>24</v>
      </c>
      <c r="C2" s="33">
        <v>2025</v>
      </c>
      <c r="D2" s="33">
        <v>2026</v>
      </c>
      <c r="E2" s="33">
        <v>2027</v>
      </c>
      <c r="F2" s="33">
        <v>2028</v>
      </c>
      <c r="G2" s="33" t="s">
        <v>27</v>
      </c>
    </row>
    <row r="3" spans="2:7" ht="36.75" thickBot="1" x14ac:dyDescent="0.3">
      <c r="B3" s="34" t="s">
        <v>25</v>
      </c>
      <c r="C3" s="35" t="s">
        <v>50</v>
      </c>
      <c r="D3" s="35" t="s">
        <v>26</v>
      </c>
      <c r="E3" s="35" t="s">
        <v>26</v>
      </c>
      <c r="F3" s="35" t="s">
        <v>51</v>
      </c>
      <c r="G3" s="35" t="s">
        <v>28</v>
      </c>
    </row>
    <row r="4" spans="2:7" ht="15.75" thickBot="1" x14ac:dyDescent="0.3">
      <c r="B4" s="36" t="s">
        <v>29</v>
      </c>
      <c r="C4" s="37">
        <f>(('Reducció p.u.revisions periòdiq'!C4*'Reducció p.u.revisions periòdiq'!D4)+('Reducció p.u.revisions periòdiq'!C5*'Reducció p.u.revisions periòdiq'!D5)+('Reducció p.u.revisions periòdiq'!C6*'Reducció p.u.revisions periòdiq'!D6)+('Reducció p.u.revisions periòdiq'!C7*'Reducció p.u.revisions periòdiq'!D7))/1.19</f>
        <v>0</v>
      </c>
      <c r="D4" s="37">
        <f>(('Reducció p.u.revisions periòdiq'!E4*'Reducció p.u.revisions periòdiq'!F4)+('Reducció p.u.revisions periòdiq'!E5*'Reducció p.u.revisions periòdiq'!F5)+('Reducció p.u.revisions periòdiq'!E6*'Reducció p.u.revisions periòdiq'!F6)+('Reducció p.u.revisions periòdiq'!E7*'Reducció p.u.revisions periòdiq'!F7))/1.19</f>
        <v>0</v>
      </c>
      <c r="E4" s="37">
        <f>(('Reducció p.u.revisions periòdiq'!G4*'Reducció p.u.revisions periòdiq'!H4)+('Reducció p.u.revisions periòdiq'!G5*'Reducció p.u.revisions periòdiq'!H5)+('Reducció p.u.revisions periòdiq'!G6*'Reducció p.u.revisions periòdiq'!H6)+('Reducció p.u.revisions periòdiq'!G7*'Reducció p.u.revisions periòdiq'!H7))/1.19</f>
        <v>0</v>
      </c>
      <c r="F4" s="37">
        <f>(('Reducció p.u.revisions periòdiq'!I4*'Reducció p.u.revisions periòdiq'!J4)+('Reducció p.u.revisions periòdiq'!I5*'Reducció p.u.revisions periòdiq'!J5)+('Reducció p.u.revisions periòdiq'!I6*'Reducció p.u.revisions periòdiq'!J6)+('Reducció p.u.revisions periòdiq'!I7*'Reducció p.u.revisions periòdiq'!J7))/1.19</f>
        <v>0</v>
      </c>
      <c r="G4" s="37">
        <f>SUM(C4:F4)</f>
        <v>0</v>
      </c>
    </row>
    <row r="5" spans="2:7" ht="15.75" thickBot="1" x14ac:dyDescent="0.3">
      <c r="B5" s="36" t="s">
        <v>39</v>
      </c>
      <c r="C5" s="38">
        <f>('Reducció p.u.revisions periòdiq'!C14+'Reducció p.u.revisions periòdiq'!C18+'Reducció p.u.revisions periòdiq'!C19+'Reducció p.u.revisions periòdiq'!C20+'Reducció p.u.revisions periòdiq'!C22)/1.19</f>
        <v>0</v>
      </c>
      <c r="D5" s="38">
        <v>0</v>
      </c>
      <c r="E5" s="39">
        <v>0</v>
      </c>
      <c r="F5" s="39">
        <v>0</v>
      </c>
      <c r="G5" s="37">
        <f>SUM(C5:F5)</f>
        <v>0</v>
      </c>
    </row>
    <row r="6" spans="2:7" ht="15.75" thickBot="1" x14ac:dyDescent="0.3">
      <c r="B6" s="40" t="s">
        <v>30</v>
      </c>
      <c r="C6" s="41">
        <f>SUM(C4:C5)</f>
        <v>0</v>
      </c>
      <c r="D6" s="41">
        <f>SUM(D4:D5)</f>
        <v>0</v>
      </c>
      <c r="E6" s="41">
        <f>SUM(E4:E5)</f>
        <v>0</v>
      </c>
      <c r="F6" s="41">
        <f>SUM(F4:F5)</f>
        <v>0</v>
      </c>
      <c r="G6" s="41">
        <f>SUM(G4:G5)</f>
        <v>0</v>
      </c>
    </row>
    <row r="7" spans="2:7" ht="15.75" thickBot="1" x14ac:dyDescent="0.3">
      <c r="B7" s="40" t="s">
        <v>31</v>
      </c>
      <c r="C7" s="41">
        <f>C6*0.19</f>
        <v>0</v>
      </c>
      <c r="D7" s="41">
        <f t="shared" ref="D7:E7" si="0">D6*0.19</f>
        <v>0</v>
      </c>
      <c r="E7" s="41">
        <f t="shared" si="0"/>
        <v>0</v>
      </c>
      <c r="F7" s="41">
        <f t="shared" ref="F7" si="1">F6*0.19</f>
        <v>0</v>
      </c>
      <c r="G7" s="41">
        <f>G6*0.19</f>
        <v>0</v>
      </c>
    </row>
    <row r="8" spans="2:7" ht="15.75" thickBot="1" x14ac:dyDescent="0.3">
      <c r="B8" s="40" t="s">
        <v>32</v>
      </c>
      <c r="C8" s="41">
        <f t="shared" ref="C8:E8" si="2">C6+C7</f>
        <v>0</v>
      </c>
      <c r="D8" s="41">
        <f t="shared" si="2"/>
        <v>0</v>
      </c>
      <c r="E8" s="41">
        <f t="shared" si="2"/>
        <v>0</v>
      </c>
      <c r="F8" s="41">
        <f t="shared" ref="F8" si="3">F6+F7</f>
        <v>0</v>
      </c>
      <c r="G8" s="41">
        <f>G6+G7</f>
        <v>0</v>
      </c>
    </row>
    <row r="9" spans="2:7" ht="15.75" thickBot="1" x14ac:dyDescent="0.3">
      <c r="B9" s="42"/>
      <c r="C9" s="43"/>
      <c r="D9" s="43"/>
      <c r="E9" s="44"/>
      <c r="F9" s="44"/>
      <c r="G9" s="43"/>
    </row>
    <row r="10" spans="2:7" x14ac:dyDescent="0.25">
      <c r="B10" s="45" t="s">
        <v>33</v>
      </c>
      <c r="C10" s="33">
        <v>2025</v>
      </c>
      <c r="D10" s="33">
        <v>2026</v>
      </c>
      <c r="E10" s="33">
        <v>2027</v>
      </c>
      <c r="F10" s="33">
        <v>2028</v>
      </c>
      <c r="G10" s="33" t="s">
        <v>27</v>
      </c>
    </row>
    <row r="11" spans="2:7" ht="36.75" thickBot="1" x14ac:dyDescent="0.3">
      <c r="B11" s="40" t="s">
        <v>25</v>
      </c>
      <c r="C11" s="35" t="s">
        <v>50</v>
      </c>
      <c r="D11" s="35" t="s">
        <v>26</v>
      </c>
      <c r="E11" s="35" t="s">
        <v>26</v>
      </c>
      <c r="F11" s="35" t="s">
        <v>51</v>
      </c>
      <c r="G11" s="35" t="s">
        <v>28</v>
      </c>
    </row>
    <row r="12" spans="2:7" ht="15.75" thickBot="1" x14ac:dyDescent="0.3">
      <c r="B12" s="46" t="s">
        <v>38</v>
      </c>
      <c r="C12" s="47">
        <v>17190.419999999998</v>
      </c>
      <c r="D12" s="47">
        <v>22647.23</v>
      </c>
      <c r="E12" s="47">
        <v>22292.97</v>
      </c>
      <c r="F12" s="47">
        <v>5573.24</v>
      </c>
      <c r="G12" s="47">
        <f>SUM(C12:F12)</f>
        <v>67703.86</v>
      </c>
    </row>
    <row r="13" spans="2:7" ht="15.75" thickBot="1" x14ac:dyDescent="0.3">
      <c r="B13" s="36" t="s">
        <v>34</v>
      </c>
      <c r="C13" s="38">
        <f>(('Reducció p.u.revisions periòdiq'!C12*'Reducció p.u.revisions periòdiq'!D12)+'Reducció p.u.revisions periòdiq'!C13+'Reducció p.u.revisions periòdiq'!C15)/1.19</f>
        <v>0</v>
      </c>
      <c r="D13" s="38">
        <f>('Reducció p.u.revisions periòdiq'!E16+('Reducció p.u.revisions periòdiq'!E21*'Reducció p.u.revisions periòdiq'!F21))/1.19</f>
        <v>0</v>
      </c>
      <c r="E13" s="39">
        <f>(('Reducció p.u.revisions periòdiq'!G12*'Reducció p.u.revisions periòdiq'!H12)+'Reducció p.u.revisions periòdiq'!G17)/1.19</f>
        <v>0</v>
      </c>
      <c r="F13" s="39">
        <v>0</v>
      </c>
      <c r="G13" s="37">
        <f>SUM(C13:F13)</f>
        <v>0</v>
      </c>
    </row>
    <row r="14" spans="2:7" ht="15.75" thickBot="1" x14ac:dyDescent="0.3">
      <c r="B14" s="40" t="s">
        <v>30</v>
      </c>
      <c r="C14" s="41">
        <f t="shared" ref="C14:E14" si="4">SUM(C12:C13)</f>
        <v>17190.419999999998</v>
      </c>
      <c r="D14" s="41">
        <f t="shared" si="4"/>
        <v>22647.23</v>
      </c>
      <c r="E14" s="41">
        <f t="shared" si="4"/>
        <v>22292.97</v>
      </c>
      <c r="F14" s="41">
        <f t="shared" ref="F14" si="5">SUM(F12:F13)</f>
        <v>5573.24</v>
      </c>
      <c r="G14" s="41">
        <f>SUM(G12:G13)</f>
        <v>67703.86</v>
      </c>
    </row>
    <row r="15" spans="2:7" ht="15.75" thickBot="1" x14ac:dyDescent="0.3">
      <c r="B15" s="40" t="s">
        <v>31</v>
      </c>
      <c r="C15" s="41">
        <f t="shared" ref="C15:E15" si="6">C14*0.19</f>
        <v>3266.1797999999999</v>
      </c>
      <c r="D15" s="41">
        <f t="shared" si="6"/>
        <v>4302.9736999999996</v>
      </c>
      <c r="E15" s="41">
        <f t="shared" si="6"/>
        <v>4235.6643000000004</v>
      </c>
      <c r="F15" s="41">
        <f t="shared" ref="F15" si="7">F14*0.19</f>
        <v>1058.9156</v>
      </c>
      <c r="G15" s="41">
        <f>G14*0.19</f>
        <v>12863.733400000001</v>
      </c>
    </row>
    <row r="16" spans="2:7" ht="15.75" thickBot="1" x14ac:dyDescent="0.3">
      <c r="B16" s="40" t="s">
        <v>32</v>
      </c>
      <c r="C16" s="41">
        <f t="shared" ref="C16:E16" si="8">C14+C15</f>
        <v>20456.599799999996</v>
      </c>
      <c r="D16" s="41">
        <f t="shared" si="8"/>
        <v>26950.203699999998</v>
      </c>
      <c r="E16" s="41">
        <f t="shared" si="8"/>
        <v>26528.634300000002</v>
      </c>
      <c r="F16" s="41">
        <f t="shared" ref="F16" si="9">F14+F15</f>
        <v>6632.1556</v>
      </c>
      <c r="G16" s="41">
        <f>G14+G15</f>
        <v>80567.593399999998</v>
      </c>
    </row>
    <row r="17" spans="2:8" ht="15.75" thickBot="1" x14ac:dyDescent="0.3">
      <c r="B17" s="48"/>
      <c r="C17" s="49"/>
      <c r="D17" s="49"/>
      <c r="E17" s="50"/>
      <c r="F17" s="50"/>
      <c r="G17" s="50"/>
    </row>
    <row r="18" spans="2:8" ht="15.75" thickBot="1" x14ac:dyDescent="0.3">
      <c r="B18" s="40" t="s">
        <v>35</v>
      </c>
      <c r="C18" s="41">
        <f t="shared" ref="C18:E18" si="10">C8+C16</f>
        <v>20456.599799999996</v>
      </c>
      <c r="D18" s="41">
        <f t="shared" si="10"/>
        <v>26950.203699999998</v>
      </c>
      <c r="E18" s="41">
        <f t="shared" si="10"/>
        <v>26528.634300000002</v>
      </c>
      <c r="F18" s="41">
        <f t="shared" ref="F18" si="11">F8+F16</f>
        <v>6632.1556</v>
      </c>
      <c r="G18" s="41">
        <f>G8+G16</f>
        <v>80567.593399999998</v>
      </c>
    </row>
    <row r="19" spans="2:8" ht="15.75" thickBot="1" x14ac:dyDescent="0.3">
      <c r="B19" s="40" t="s">
        <v>36</v>
      </c>
      <c r="C19" s="41">
        <f t="shared" ref="C19:E19" si="12">C18*0.21</f>
        <v>4295.8859579999989</v>
      </c>
      <c r="D19" s="41">
        <f t="shared" si="12"/>
        <v>5659.5427769999997</v>
      </c>
      <c r="E19" s="41">
        <f t="shared" si="12"/>
        <v>5571.0132030000004</v>
      </c>
      <c r="F19" s="41">
        <f t="shared" ref="F19" si="13">F18*0.21</f>
        <v>1392.7526760000001</v>
      </c>
      <c r="G19" s="41">
        <f>G18*0.21</f>
        <v>16919.194614</v>
      </c>
      <c r="H19" s="51"/>
    </row>
    <row r="20" spans="2:8" ht="15.75" thickBot="1" x14ac:dyDescent="0.3">
      <c r="B20" s="40" t="s">
        <v>37</v>
      </c>
      <c r="C20" s="41">
        <f t="shared" ref="C20:E20" si="14">C18+C19</f>
        <v>24752.485757999995</v>
      </c>
      <c r="D20" s="41">
        <f t="shared" si="14"/>
        <v>32609.746476999997</v>
      </c>
      <c r="E20" s="41">
        <f t="shared" si="14"/>
        <v>32099.647503</v>
      </c>
      <c r="F20" s="41">
        <f t="shared" ref="F20" si="15">F18+F19</f>
        <v>8024.9082760000001</v>
      </c>
      <c r="G20" s="41">
        <f>G18+G19</f>
        <v>97486.788013999991</v>
      </c>
    </row>
    <row r="21" spans="2:8" x14ac:dyDescent="0.25">
      <c r="B21" s="52" t="s">
        <v>52</v>
      </c>
    </row>
    <row r="22" spans="2:8" x14ac:dyDescent="0.25">
      <c r="B22" s="52" t="s">
        <v>53</v>
      </c>
    </row>
    <row r="23" spans="2:8" x14ac:dyDescent="0.25">
      <c r="B23" s="52" t="s">
        <v>54</v>
      </c>
    </row>
  </sheetData>
  <sheetProtection algorithmName="SHA-512" hashValue="98Crjpa5bGasTlQ/UdZ4iizsUpSMpgqe3mFrZUFxZXGLYo6UmXrphe0Qypdd3Yd7XHvlnpPGyfeln5VzcGos0g==" saltValue="puMsAT9m8FOFutPcCg7Kmw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Reducció p.u.revisions periòdiq</vt:lpstr>
      <vt:lpstr>Estudi econ.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Carrera Font, Joan</dc:creator>
  <cp:lastModifiedBy>Carrera Font, Joan</cp:lastModifiedBy>
  <dcterms:created xsi:type="dcterms:W3CDTF">2023-06-19T08:14:27Z</dcterms:created>
  <dcterms:modified xsi:type="dcterms:W3CDTF">2025-01-07T10:02:19Z</dcterms:modified>
</cp:coreProperties>
</file>