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uari\Desktop\Nicole\"/>
    </mc:Choice>
  </mc:AlternateContent>
  <xr:revisionPtr revIDLastSave="0" documentId="8_{981582E6-FE0F-47F9-882F-FBB310011D88}" xr6:coauthVersionLast="47" xr6:coauthVersionMax="47" xr10:uidLastSave="{00000000-0000-0000-0000-000000000000}"/>
  <bookViews>
    <workbookView xWindow="-120" yWindow="-120" windowWidth="24240" windowHeight="13020" xr2:uid="{00000000-000D-0000-FFFF-FFFF00000000}"/>
  </bookViews>
  <sheets>
    <sheet name="Full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6" i="1" l="1"/>
  <c r="K186" i="1"/>
  <c r="M186" i="1" s="1"/>
  <c r="L187" i="1" s="1"/>
  <c r="L183" i="1"/>
  <c r="K183" i="1"/>
  <c r="M183" i="1" s="1"/>
  <c r="L184" i="1" s="1"/>
  <c r="L180" i="1"/>
  <c r="M180" i="1" s="1"/>
  <c r="L181" i="1" s="1"/>
  <c r="K180" i="1"/>
  <c r="M177" i="1"/>
  <c r="L177" i="1"/>
  <c r="K177" i="1"/>
  <c r="L176" i="1"/>
  <c r="K176" i="1"/>
  <c r="M176" i="1" s="1"/>
  <c r="K175" i="1"/>
  <c r="J175" i="1"/>
  <c r="J174" i="1"/>
  <c r="J173" i="1"/>
  <c r="L171" i="1"/>
  <c r="K171" i="1"/>
  <c r="M171" i="1" s="1"/>
  <c r="K170" i="1"/>
  <c r="J170" i="1"/>
  <c r="J169" i="1"/>
  <c r="L167" i="1"/>
  <c r="K167" i="1"/>
  <c r="M167" i="1" s="1"/>
  <c r="K166" i="1"/>
  <c r="J166" i="1"/>
  <c r="J165" i="1"/>
  <c r="L163" i="1"/>
  <c r="K163" i="1"/>
  <c r="M163" i="1" s="1"/>
  <c r="J162" i="1"/>
  <c r="J161" i="1"/>
  <c r="J160" i="1"/>
  <c r="J159" i="1"/>
  <c r="J158" i="1"/>
  <c r="J157" i="1"/>
  <c r="J156" i="1"/>
  <c r="J155" i="1"/>
  <c r="J154" i="1"/>
  <c r="J153" i="1"/>
  <c r="K162" i="1" s="1"/>
  <c r="K151" i="1" s="1"/>
  <c r="M151" i="1" s="1"/>
  <c r="L151" i="1"/>
  <c r="J150" i="1"/>
  <c r="J149" i="1"/>
  <c r="J148" i="1"/>
  <c r="J147" i="1"/>
  <c r="J146" i="1"/>
  <c r="J145" i="1"/>
  <c r="J144" i="1"/>
  <c r="J143" i="1"/>
  <c r="K150" i="1" s="1"/>
  <c r="K141" i="1" s="1"/>
  <c r="M141" i="1" s="1"/>
  <c r="L141" i="1"/>
  <c r="J140" i="1"/>
  <c r="J139" i="1"/>
  <c r="J138" i="1"/>
  <c r="K140" i="1" s="1"/>
  <c r="K136" i="1" s="1"/>
  <c r="M136" i="1" s="1"/>
  <c r="L136" i="1"/>
  <c r="J135" i="1"/>
  <c r="K135" i="1" s="1"/>
  <c r="K133" i="1" s="1"/>
  <c r="M133" i="1" s="1"/>
  <c r="L133" i="1"/>
  <c r="J131" i="1"/>
  <c r="J130" i="1"/>
  <c r="J129" i="1"/>
  <c r="J128" i="1"/>
  <c r="J127" i="1"/>
  <c r="J126" i="1"/>
  <c r="J125" i="1"/>
  <c r="K132" i="1" s="1"/>
  <c r="K123" i="1" s="1"/>
  <c r="M123" i="1" s="1"/>
  <c r="L123" i="1"/>
  <c r="M120" i="1"/>
  <c r="L120" i="1"/>
  <c r="K120" i="1"/>
  <c r="J119" i="1"/>
  <c r="K119" i="1" s="1"/>
  <c r="K117" i="1" s="1"/>
  <c r="M117" i="1" s="1"/>
  <c r="L117" i="1"/>
  <c r="L116" i="1"/>
  <c r="K116" i="1"/>
  <c r="M116" i="1" s="1"/>
  <c r="L115" i="1"/>
  <c r="M115" i="1" s="1"/>
  <c r="K115" i="1"/>
  <c r="J114" i="1"/>
  <c r="K114" i="1" s="1"/>
  <c r="K112" i="1" s="1"/>
  <c r="M112" i="1" s="1"/>
  <c r="L112" i="1"/>
  <c r="K111" i="1"/>
  <c r="J111" i="1"/>
  <c r="L109" i="1"/>
  <c r="K109" i="1"/>
  <c r="M109" i="1" s="1"/>
  <c r="K108" i="1"/>
  <c r="K106" i="1" s="1"/>
  <c r="M106" i="1" s="1"/>
  <c r="J108" i="1"/>
  <c r="L106" i="1"/>
  <c r="J105" i="1"/>
  <c r="K105" i="1" s="1"/>
  <c r="K103" i="1" s="1"/>
  <c r="M103" i="1" s="1"/>
  <c r="L103" i="1"/>
  <c r="J102" i="1"/>
  <c r="J101" i="1"/>
  <c r="K102" i="1" s="1"/>
  <c r="K99" i="1" s="1"/>
  <c r="M99" i="1" s="1"/>
  <c r="L99" i="1"/>
  <c r="L98" i="1"/>
  <c r="K98" i="1"/>
  <c r="M98" i="1" s="1"/>
  <c r="K97" i="1"/>
  <c r="J97" i="1"/>
  <c r="L95" i="1"/>
  <c r="K95" i="1"/>
  <c r="M95" i="1" s="1"/>
  <c r="K94" i="1"/>
  <c r="K91" i="1" s="1"/>
  <c r="M91" i="1" s="1"/>
  <c r="J94" i="1"/>
  <c r="J93" i="1"/>
  <c r="L91" i="1"/>
  <c r="K90" i="1"/>
  <c r="K87" i="1" s="1"/>
  <c r="M87" i="1" s="1"/>
  <c r="J90" i="1"/>
  <c r="J89" i="1"/>
  <c r="L87" i="1"/>
  <c r="K86" i="1"/>
  <c r="K83" i="1" s="1"/>
  <c r="M83" i="1" s="1"/>
  <c r="J86" i="1"/>
  <c r="J85" i="1"/>
  <c r="L83" i="1"/>
  <c r="L80" i="1"/>
  <c r="K80" i="1"/>
  <c r="M80" i="1" s="1"/>
  <c r="M79" i="1"/>
  <c r="L79" i="1"/>
  <c r="K79" i="1"/>
  <c r="J77" i="1"/>
  <c r="J76" i="1"/>
  <c r="J75" i="1"/>
  <c r="K78" i="1" s="1"/>
  <c r="K73" i="1" s="1"/>
  <c r="M73" i="1" s="1"/>
  <c r="L73" i="1"/>
  <c r="L72" i="1"/>
  <c r="M72" i="1" s="1"/>
  <c r="K72" i="1"/>
  <c r="J71" i="1"/>
  <c r="J70" i="1"/>
  <c r="J69" i="1"/>
  <c r="J68" i="1"/>
  <c r="K71" i="1" s="1"/>
  <c r="K66" i="1" s="1"/>
  <c r="M66" i="1" s="1"/>
  <c r="L66" i="1"/>
  <c r="J63" i="1"/>
  <c r="K63" i="1" s="1"/>
  <c r="K61" i="1" s="1"/>
  <c r="M61" i="1" s="1"/>
  <c r="L61" i="1"/>
  <c r="K60" i="1"/>
  <c r="J60" i="1"/>
  <c r="L58" i="1"/>
  <c r="K58" i="1"/>
  <c r="M58" i="1" s="1"/>
  <c r="K57" i="1"/>
  <c r="K53" i="1" s="1"/>
  <c r="M53" i="1" s="1"/>
  <c r="J57" i="1"/>
  <c r="J56" i="1"/>
  <c r="J55" i="1"/>
  <c r="L53" i="1"/>
  <c r="K52" i="1"/>
  <c r="J52" i="1"/>
  <c r="J51" i="1"/>
  <c r="L49" i="1"/>
  <c r="K49" i="1"/>
  <c r="M49" i="1" s="1"/>
  <c r="K48" i="1"/>
  <c r="J48" i="1"/>
  <c r="L46" i="1"/>
  <c r="K46" i="1"/>
  <c r="M46" i="1" s="1"/>
  <c r="J43" i="1"/>
  <c r="K43" i="1" s="1"/>
  <c r="K41" i="1" s="1"/>
  <c r="M41" i="1" s="1"/>
  <c r="L41" i="1"/>
  <c r="J40" i="1"/>
  <c r="J39" i="1"/>
  <c r="J38" i="1"/>
  <c r="J37" i="1"/>
  <c r="J36" i="1"/>
  <c r="J35" i="1"/>
  <c r="J34" i="1"/>
  <c r="J33" i="1"/>
  <c r="J32" i="1"/>
  <c r="J31" i="1"/>
  <c r="J30" i="1"/>
  <c r="J29" i="1"/>
  <c r="K40" i="1" s="1"/>
  <c r="K27" i="1" s="1"/>
  <c r="M27" i="1" s="1"/>
  <c r="L27" i="1"/>
  <c r="K26" i="1"/>
  <c r="J26" i="1"/>
  <c r="J25" i="1"/>
  <c r="J24" i="1"/>
  <c r="L22" i="1"/>
  <c r="M22" i="1" s="1"/>
  <c r="K22" i="1"/>
  <c r="J21" i="1"/>
  <c r="J20" i="1"/>
  <c r="K21" i="1" s="1"/>
  <c r="K18" i="1" s="1"/>
  <c r="M18" i="1" s="1"/>
  <c r="L18" i="1"/>
  <c r="J17" i="1"/>
  <c r="J16" i="1"/>
  <c r="K17" i="1" s="1"/>
  <c r="K14" i="1" s="1"/>
  <c r="M14" i="1" s="1"/>
  <c r="L14" i="1"/>
  <c r="J13" i="1"/>
  <c r="J12" i="1"/>
  <c r="J11" i="1"/>
  <c r="J10" i="1"/>
  <c r="J9" i="1"/>
  <c r="J8" i="1"/>
  <c r="K13" i="1" s="1"/>
  <c r="K6" i="1" s="1"/>
  <c r="M6" i="1" s="1"/>
  <c r="L6" i="1"/>
  <c r="L81" i="1" l="1"/>
  <c r="L64" i="1"/>
  <c r="L178" i="1"/>
  <c r="M181" i="1"/>
  <c r="L179" i="1"/>
  <c r="M179" i="1" s="1"/>
  <c r="M184" i="1"/>
  <c r="L182" i="1"/>
  <c r="M182" i="1" s="1"/>
  <c r="L44" i="1"/>
  <c r="M187" i="1"/>
  <c r="L185" i="1"/>
  <c r="M185" i="1" s="1"/>
  <c r="L121" i="1"/>
  <c r="L82" i="1" l="1"/>
  <c r="M82" i="1" s="1"/>
  <c r="M121" i="1"/>
  <c r="L122" i="1"/>
  <c r="M122" i="1" s="1"/>
  <c r="M178" i="1"/>
  <c r="L5" i="1"/>
  <c r="M5" i="1" s="1"/>
  <c r="M44" i="1"/>
  <c r="L188" i="1" s="1"/>
  <c r="M64" i="1"/>
  <c r="L45" i="1"/>
  <c r="M45" i="1" s="1"/>
  <c r="M81" i="1"/>
  <c r="L65" i="1"/>
  <c r="M65" i="1" s="1"/>
  <c r="M188" i="1" l="1"/>
  <c r="L4" i="1"/>
  <c r="M4" i="1" s="1"/>
</calcChain>
</file>

<file path=xl/sharedStrings.xml><?xml version="1.0" encoding="utf-8"?>
<sst xmlns="http://schemas.openxmlformats.org/spreadsheetml/2006/main" count="474" uniqueCount="474">
  <si>
    <t>Obra:</t>
  </si>
  <si>
    <t>Millores espais Escola</t>
  </si>
  <si>
    <t>Pressupost</t>
  </si>
  <si>
    <t>% C.I.</t>
  </si>
  <si>
    <t>Codi</t>
  </si>
  <si>
    <t>Tipus</t>
  </si>
  <si>
    <t>U</t>
  </si>
  <si>
    <t>Resum</t>
  </si>
  <si>
    <t>Quantitat</t>
  </si>
  <si>
    <t>Preu (€)</t>
  </si>
  <si>
    <t>Import (€)</t>
  </si>
  <si>
    <t>AMIDAMENTS LLAR INFANTS FASE 2 OCTUBRE 24</t>
  </si>
  <si>
    <t>Capítol</t>
  </si>
  <si>
    <t>Millores espais Escola</t>
  </si>
  <si>
    <t>D</t>
  </si>
  <si>
    <t>Capítol</t>
  </si>
  <si>
    <t>Desmuntatge i enderrocs</t>
  </si>
  <si>
    <t>DLP220</t>
  </si>
  <si>
    <t>Partida</t>
  </si>
  <si>
    <t>U</t>
  </si>
  <si>
    <t>Desmuntatge de fulla de porta interior.</t>
  </si>
  <si>
    <t>Uts.</t>
  </si>
  <si>
    <t>Llargada</t>
  </si>
  <si>
    <t>Amplada</t>
  </si>
  <si>
    <t>Alçada</t>
  </si>
  <si>
    <t>Parcial</t>
  </si>
  <si>
    <t>Subtotal</t>
  </si>
  <si>
    <t xml:space="preserve">Bany PB - 1 </t>
  </si>
  <si>
    <t>Bany PB - 2</t>
  </si>
  <si>
    <t>Ofice</t>
  </si>
  <si>
    <t>Menjador</t>
  </si>
  <si>
    <t>Aules P1</t>
  </si>
  <si>
    <t>Aules Pb</t>
  </si>
  <si>
    <t>DSM010</t>
  </si>
  <si>
    <t>Partida</t>
  </si>
  <si>
    <t>U</t>
  </si>
  <si>
    <t>Desmuntatge d'aparell sanitari. Vàter</t>
  </si>
  <si>
    <t>Uts.</t>
  </si>
  <si>
    <t>Llargada</t>
  </si>
  <si>
    <t>Amplada</t>
  </si>
  <si>
    <t>Alçada</t>
  </si>
  <si>
    <t>Parcial</t>
  </si>
  <si>
    <t>Subtotal</t>
  </si>
  <si>
    <t>Bany PB 1</t>
  </si>
  <si>
    <t>Bany PB 2</t>
  </si>
  <si>
    <t>DSM010b</t>
  </si>
  <si>
    <t>Partida</t>
  </si>
  <si>
    <t>U</t>
  </si>
  <si>
    <t>Desmuntatge d'aparell sanitari.Lavabo</t>
  </si>
  <si>
    <t>Uts.</t>
  </si>
  <si>
    <t>Llargada</t>
  </si>
  <si>
    <t>Amplada</t>
  </si>
  <si>
    <t>Alçada</t>
  </si>
  <si>
    <t>Parcial</t>
  </si>
  <si>
    <t>Subtotal</t>
  </si>
  <si>
    <t>Bany PB 1</t>
  </si>
  <si>
    <t>Bany PB 2</t>
  </si>
  <si>
    <t>DPT020</t>
  </si>
  <si>
    <t>Partida</t>
  </si>
  <si>
    <t>m²</t>
  </si>
  <si>
    <t>Demolició de partició interior de fàbrica revestida, formada per maó foradat doble de 7/9 cm d'espessor, amb mitjans manuals, sense afectar a l'estabilitat dels elements constructius contigus, i càrrega manual sobre camió o contenidor.</t>
  </si>
  <si>
    <t>Uts.</t>
  </si>
  <si>
    <t>Llargada</t>
  </si>
  <si>
    <t>Amplada</t>
  </si>
  <si>
    <t>Alçada</t>
  </si>
  <si>
    <t>Parcial</t>
  </si>
  <si>
    <t>Subtotal</t>
  </si>
  <si>
    <t>Divisòria bany</t>
  </si>
  <si>
    <t>DRA010</t>
  </si>
  <si>
    <t>Partida</t>
  </si>
  <si>
    <t>m²</t>
  </si>
  <si>
    <t>Demolició d'enrajolat, parament vertical i hortizontal</t>
  </si>
  <si>
    <t>Uts.</t>
  </si>
  <si>
    <t>Llargada</t>
  </si>
  <si>
    <t>Amplada</t>
  </si>
  <si>
    <t>Alçada</t>
  </si>
  <si>
    <t>Parcial</t>
  </si>
  <si>
    <t>Subtotal</t>
  </si>
  <si>
    <t>Bany PB 1-Paviment</t>
  </si>
  <si>
    <t>Bany PB 2-Paviment</t>
  </si>
  <si>
    <t>Bany PB 1-Vertical</t>
  </si>
  <si>
    <t>PB-aules</t>
  </si>
  <si>
    <t>P1-aules</t>
  </si>
  <si>
    <t>DPT021</t>
  </si>
  <si>
    <t>Partida</t>
  </si>
  <si>
    <t>m²</t>
  </si>
  <si>
    <t>Obertura de buit de pas en façana per accés a pati, ampliació forat existent amb mitjans manuals, sense afectar a l'estabilitat de la partició o dels elements constructius contigus, deixant queixals per facilitar posteriorment la trava amb la nova fàbrica, i càrrega manual sobre camió o contenidor.</t>
  </si>
  <si>
    <t>Uts.</t>
  </si>
  <si>
    <t>Llargada</t>
  </si>
  <si>
    <t>Amplada</t>
  </si>
  <si>
    <t>Alçada</t>
  </si>
  <si>
    <t>Parcial</t>
  </si>
  <si>
    <t>Subtotal</t>
  </si>
  <si>
    <t>Porta sortida pati llar infants</t>
  </si>
  <si>
    <t>D</t>
  </si>
  <si>
    <t>E</t>
  </si>
  <si>
    <t>Capítol</t>
  </si>
  <si>
    <t>Distribució i fusteries</t>
  </si>
  <si>
    <t>FFQ010</t>
  </si>
  <si>
    <t>Partida</t>
  </si>
  <si>
    <t>m²</t>
  </si>
  <si>
    <t>Full de partició interior, de fàbrica de maó ceràmic per a revestir amb formació obertura de pas.</t>
  </si>
  <si>
    <t>Uts.</t>
  </si>
  <si>
    <t>Llargada</t>
  </si>
  <si>
    <t>Amplada</t>
  </si>
  <si>
    <t>Alçada</t>
  </si>
  <si>
    <t>Parcial</t>
  </si>
  <si>
    <t>Subtotal</t>
  </si>
  <si>
    <t>Divisòria cuina  - menjador</t>
  </si>
  <si>
    <t>LPM010</t>
  </si>
  <si>
    <t>Partida</t>
  </si>
  <si>
    <t>U</t>
  </si>
  <si>
    <t>Porta interior batent de fusta amb franja central de vidre laminar 3+3</t>
  </si>
  <si>
    <t>Uts.</t>
  </si>
  <si>
    <t>Llargada</t>
  </si>
  <si>
    <t>Amplada</t>
  </si>
  <si>
    <t>Alçada</t>
  </si>
  <si>
    <t>Parcial</t>
  </si>
  <si>
    <t>Subtotal</t>
  </si>
  <si>
    <t>Accés llar infants</t>
  </si>
  <si>
    <t>Accés cicle inical</t>
  </si>
  <si>
    <t>PPM010</t>
  </si>
  <si>
    <t>Partida</t>
  </si>
  <si>
    <t>Ut</t>
  </si>
  <si>
    <t>Porta de pas cega, d'una fulla de 203x82,5x3,5 cm, de tauler de fibres acabat amb melamina de color blanc, amb ànima alveolar de paper kraft; bastiment de base de pi país de 90x35 mm; galzes de MDF, amb revestiment de melamina, color blanc de 90x20 mm; tapajunts de MDF, amb revestiment de melamina, color blanc de 70x10 mm; amb ferraments de penjar i de tanca.</t>
  </si>
  <si>
    <t>Uts.</t>
  </si>
  <si>
    <t>Llargada</t>
  </si>
  <si>
    <t>Amplada</t>
  </si>
  <si>
    <t>Alçada</t>
  </si>
  <si>
    <t>Parcial</t>
  </si>
  <si>
    <t>Subtotal</t>
  </si>
  <si>
    <t>Ofice</t>
  </si>
  <si>
    <t>Menjador</t>
  </si>
  <si>
    <t>Aules P1</t>
  </si>
  <si>
    <t>LPM021</t>
  </si>
  <si>
    <t>Partida</t>
  </si>
  <si>
    <t>U</t>
  </si>
  <si>
    <t>Porta interior corredissa, de fusta amb franja central de vidre laminar 3+3</t>
  </si>
  <si>
    <t>Uts.</t>
  </si>
  <si>
    <t>Llargada</t>
  </si>
  <si>
    <t>Amplada</t>
  </si>
  <si>
    <t>Alçada</t>
  </si>
  <si>
    <t>Parcial</t>
  </si>
  <si>
    <t>Subtotal</t>
  </si>
  <si>
    <t xml:space="preserve">Bany </t>
  </si>
  <si>
    <t>LCY010</t>
  </si>
  <si>
    <t>Partida</t>
  </si>
  <si>
    <t>U</t>
  </si>
  <si>
    <t>Fusteria exterior d'alumini "CORTIZO".</t>
  </si>
  <si>
    <t>Uts.</t>
  </si>
  <si>
    <t>Llargada</t>
  </si>
  <si>
    <t>Amplada</t>
  </si>
  <si>
    <t>Alçada</t>
  </si>
  <si>
    <t>Parcial</t>
  </si>
  <si>
    <t>Subtotal</t>
  </si>
  <si>
    <t>Accés aula a pati llar infants</t>
  </si>
  <si>
    <t>E</t>
  </si>
  <si>
    <t>Eb</t>
  </si>
  <si>
    <t>Capítol</t>
  </si>
  <si>
    <t>Instal·lacions</t>
  </si>
  <si>
    <t>SGL020bcb</t>
  </si>
  <si>
    <t>Partida</t>
  </si>
  <si>
    <t>U</t>
  </si>
  <si>
    <t>Partida alçada per redistribució instal·lació aigua i evacuació</t>
  </si>
  <si>
    <t>Uts.</t>
  </si>
  <si>
    <t>Llargada</t>
  </si>
  <si>
    <t>Amplada</t>
  </si>
  <si>
    <t>Alçada</t>
  </si>
  <si>
    <t>Parcial</t>
  </si>
  <si>
    <t>Subtotal</t>
  </si>
  <si>
    <t xml:space="preserve">Cuina </t>
  </si>
  <si>
    <t>Bany PB- 1</t>
  </si>
  <si>
    <t>Bany PB - 2</t>
  </si>
  <si>
    <t>Office</t>
  </si>
  <si>
    <t>SGL020bcc</t>
  </si>
  <si>
    <t>Partida</t>
  </si>
  <si>
    <t>U</t>
  </si>
  <si>
    <t>Partida alçada per adequació instal·lació elèctrica realizada per instal·lador. Inclou (manguera lliure halogens 4x10), canal 60x60, caixa de protecció de 18 elements, 5 magnestos 16 A 1P+M, 1 magnetos 16A 1P+M, 200 metres de fil lliure d'halogens de 1.5, 200 metres de fil lliure d'halogens de 2.5 m, 100 metres de fil lliure halogens de 4 i 100 metres de fil lliure halogen de 6. Inclou 8 aplics downlight rodo 18W i 4000K, 10 caixes empalmes per encastar, 20 caixetins, 18 bases SIMON27, 32 mts fil de terra 1x10.</t>
  </si>
  <si>
    <t>SGL020bc</t>
  </si>
  <si>
    <t>Partida</t>
  </si>
  <si>
    <t>U</t>
  </si>
  <si>
    <t>Partida alçada per redistribució instal·lació elèctrica i il·luminació</t>
  </si>
  <si>
    <t>Uts.</t>
  </si>
  <si>
    <t>Llargada</t>
  </si>
  <si>
    <t>Amplada</t>
  </si>
  <si>
    <t>Alçada</t>
  </si>
  <si>
    <t>Parcial</t>
  </si>
  <si>
    <t>Subtotal</t>
  </si>
  <si>
    <t xml:space="preserve">Cuina </t>
  </si>
  <si>
    <t>Bany PB- 1</t>
  </si>
  <si>
    <t>Bany PB - 2</t>
  </si>
  <si>
    <t>Office</t>
  </si>
  <si>
    <t>0</t>
  </si>
  <si>
    <t>SGL020c</t>
  </si>
  <si>
    <t>Partida</t>
  </si>
  <si>
    <t>U</t>
  </si>
  <si>
    <t>Partida alçada instal·lació sistema PDI</t>
  </si>
  <si>
    <t>SGL020cb</t>
  </si>
  <si>
    <t>Partida</t>
  </si>
  <si>
    <t>U</t>
  </si>
  <si>
    <t>Partida per equipament electrodomèstics cuina (forn, rentavaixelles...)</t>
  </si>
  <si>
    <t>Eb</t>
  </si>
  <si>
    <t>F</t>
  </si>
  <si>
    <t>Capítol</t>
  </si>
  <si>
    <t>Equipament</t>
  </si>
  <si>
    <t>SAI010</t>
  </si>
  <si>
    <t>Partida</t>
  </si>
  <si>
    <t>U</t>
  </si>
  <si>
    <t>Tassa de vàter de dipòsit baix de dimensions petites si s'escau, adaptat per llar infants, de porcellana sanitària, color Blanc, amb cisterna de vàter, de doble descàrrega, de 385x180x430 mm, seient i tapa de vàter, de caiguda esmorteïda.  Inclou ajudes ramp paleta i repòsició rajoles.</t>
  </si>
  <si>
    <t>Uts.</t>
  </si>
  <si>
    <t>Llargada</t>
  </si>
  <si>
    <t>Amplada</t>
  </si>
  <si>
    <t>Alçada</t>
  </si>
  <si>
    <t>Parcial</t>
  </si>
  <si>
    <t>Subtotal</t>
  </si>
  <si>
    <t>Bany PB 1</t>
  </si>
  <si>
    <t>Bany PB 2</t>
  </si>
  <si>
    <t>SAL035</t>
  </si>
  <si>
    <t>Partida</t>
  </si>
  <si>
    <t>U</t>
  </si>
  <si>
    <t>Nou muntatge de pica de lavabo col·lectiva a una cota accessible per als infants. L’aixeteria d’aquest element quedarà ubicada en una cota inaccessible per als infants, amb una aixeta amb canella barrejadora d’aigua calenta a la qual hi tindrà accés de control el personal autoritzat. Aixeteria inferior de pulsació suau per als nens.  Inclou ajudes ramp paleta i repòsició rajoles.</t>
  </si>
  <si>
    <t>Uts.</t>
  </si>
  <si>
    <t>Llargada</t>
  </si>
  <si>
    <t>Amplada</t>
  </si>
  <si>
    <t>Alçada</t>
  </si>
  <si>
    <t>Parcial</t>
  </si>
  <si>
    <t>Subtotal</t>
  </si>
  <si>
    <t>Bany PB 1</t>
  </si>
  <si>
    <t>Bany PB 2</t>
  </si>
  <si>
    <t>SGL020</t>
  </si>
  <si>
    <t>Partida</t>
  </si>
  <si>
    <t>U</t>
  </si>
  <si>
    <t>Aixeteria monocomandament per a lavabo. Col·locat a una cota superior per garantir la seguretat dels nens (cremades).  Inclou ajudes ramp paleta i repòsició rajoles.</t>
  </si>
  <si>
    <t>Uts.</t>
  </si>
  <si>
    <t>Llargada</t>
  </si>
  <si>
    <t>Amplada</t>
  </si>
  <si>
    <t>Alçada</t>
  </si>
  <si>
    <t>Parcial</t>
  </si>
  <si>
    <t>Subtotal</t>
  </si>
  <si>
    <t>Bany PB - 1</t>
  </si>
  <si>
    <t>Bany PB - 2</t>
  </si>
  <si>
    <t>SGL020bb</t>
  </si>
  <si>
    <t>Partida</t>
  </si>
  <si>
    <t>U</t>
  </si>
  <si>
    <t>Partida alçada mobiliari (canviador, llitets, màrfagues, jocs, taules, cadires...)</t>
  </si>
  <si>
    <t>Uts.</t>
  </si>
  <si>
    <t>Llargada</t>
  </si>
  <si>
    <t>Amplada</t>
  </si>
  <si>
    <t>Alçada</t>
  </si>
  <si>
    <t>Parcial</t>
  </si>
  <si>
    <t>Subtotal</t>
  </si>
  <si>
    <t>SGL020b</t>
  </si>
  <si>
    <t>Partida</t>
  </si>
  <si>
    <t>U</t>
  </si>
  <si>
    <t>Partida alçada per protecció de cantonades de radiadors, protecció d'endolls, antipinçadits a les portes, i qualsevol altre element de protecció i seguretat.</t>
  </si>
  <si>
    <t>UVA010</t>
  </si>
  <si>
    <t>Partida</t>
  </si>
  <si>
    <t>m</t>
  </si>
  <si>
    <t>Tanca de fusta.Portes integrades a tanca</t>
  </si>
  <si>
    <t>Uts.</t>
  </si>
  <si>
    <t>Llargada</t>
  </si>
  <si>
    <t>Amplada</t>
  </si>
  <si>
    <t>Alçada</t>
  </si>
  <si>
    <t>Parcial</t>
  </si>
  <si>
    <t>Subtotal</t>
  </si>
  <si>
    <t>Nova tanca pati llar infants - posterior</t>
  </si>
  <si>
    <t>LSE010</t>
  </si>
  <si>
    <t>Partida</t>
  </si>
  <si>
    <t>U</t>
  </si>
  <si>
    <t>Estor enrotllable de teixit ignífug perforat.</t>
  </si>
  <si>
    <t>Uts.</t>
  </si>
  <si>
    <t>Llargada</t>
  </si>
  <si>
    <t>Amplada</t>
  </si>
  <si>
    <t>Alçada</t>
  </si>
  <si>
    <t>Parcial</t>
  </si>
  <si>
    <t>Subtotal</t>
  </si>
  <si>
    <t>Finestres llar infants</t>
  </si>
  <si>
    <t>SCF010</t>
  </si>
  <si>
    <t>Partida</t>
  </si>
  <si>
    <t>U</t>
  </si>
  <si>
    <t>Aigüera. 2 cubetes</t>
  </si>
  <si>
    <t>Uts.</t>
  </si>
  <si>
    <t>Llargada</t>
  </si>
  <si>
    <t>Amplada</t>
  </si>
  <si>
    <t>Alçada</t>
  </si>
  <si>
    <t>Parcial</t>
  </si>
  <si>
    <t>Subtotal</t>
  </si>
  <si>
    <t>Cuina</t>
  </si>
  <si>
    <t>SCF010b</t>
  </si>
  <si>
    <t>Partida</t>
  </si>
  <si>
    <t>U</t>
  </si>
  <si>
    <t>Aigüera. 1 cubeta</t>
  </si>
  <si>
    <t>Uts.</t>
  </si>
  <si>
    <t>Llargada</t>
  </si>
  <si>
    <t>Amplada</t>
  </si>
  <si>
    <t>Alçada</t>
  </si>
  <si>
    <t>Parcial</t>
  </si>
  <si>
    <t>Subtotal</t>
  </si>
  <si>
    <t>Office</t>
  </si>
  <si>
    <t>SCE050</t>
  </si>
  <si>
    <t>Partida</t>
  </si>
  <si>
    <t>U</t>
  </si>
  <si>
    <t>Frigorífic.</t>
  </si>
  <si>
    <t>Uts.</t>
  </si>
  <si>
    <t>Llargada</t>
  </si>
  <si>
    <t>Amplada</t>
  </si>
  <si>
    <t>Alçada</t>
  </si>
  <si>
    <t>Parcial</t>
  </si>
  <si>
    <t>Subtotal</t>
  </si>
  <si>
    <t>Cuina</t>
  </si>
  <si>
    <t>SCM022b</t>
  </si>
  <si>
    <t>Partida</t>
  </si>
  <si>
    <t>U</t>
  </si>
  <si>
    <t>Mobiliari complet en cuina amb front lacat. Office. Inclou taulell</t>
  </si>
  <si>
    <t>SCM022</t>
  </si>
  <si>
    <t>Partida</t>
  </si>
  <si>
    <t>U</t>
  </si>
  <si>
    <t>Mobiliari complet en cuina amb front lacat. Cuina PB. Inclou taulell-</t>
  </si>
  <si>
    <t>SCE030</t>
  </si>
  <si>
    <t>Partida</t>
  </si>
  <si>
    <t>U</t>
  </si>
  <si>
    <t>Placa per taulell de cuina.</t>
  </si>
  <si>
    <t>Uts.</t>
  </si>
  <si>
    <t>Llargada</t>
  </si>
  <si>
    <t>Amplada</t>
  </si>
  <si>
    <t>Alçada</t>
  </si>
  <si>
    <t>Parcial</t>
  </si>
  <si>
    <t>Subtotal</t>
  </si>
  <si>
    <t>Office</t>
  </si>
  <si>
    <t>IVK015</t>
  </si>
  <si>
    <t>Partida</t>
  </si>
  <si>
    <t>U</t>
  </si>
  <si>
    <t>Campana extractora per a cuina. Inclou conducte d'extracció fins a l'exteriors i ram de paleta.</t>
  </si>
  <si>
    <t>F</t>
  </si>
  <si>
    <t>R</t>
  </si>
  <si>
    <t>Capítol</t>
  </si>
  <si>
    <t>Revestiments i acabats interiors i exteriors</t>
  </si>
  <si>
    <t>RSG020</t>
  </si>
  <si>
    <t>Partida</t>
  </si>
  <si>
    <t>m</t>
  </si>
  <si>
    <t>Entornpeu ceràmic similar a l'existent. Col·locació en capa fina. Inclou desmuntatge de sòcol existent.</t>
  </si>
  <si>
    <t>Uts.</t>
  </si>
  <si>
    <t>Llargada</t>
  </si>
  <si>
    <t>Amplada</t>
  </si>
  <si>
    <t>Alçada</t>
  </si>
  <si>
    <t>Parcial</t>
  </si>
  <si>
    <t>Subtotal</t>
  </si>
  <si>
    <t>Divisòria cuina  - menjador</t>
  </si>
  <si>
    <t>PB-aules</t>
  </si>
  <si>
    <t>PB- aules</t>
  </si>
  <si>
    <t>0</t>
  </si>
  <si>
    <t>RPG010</t>
  </si>
  <si>
    <t>Partida</t>
  </si>
  <si>
    <t>m²</t>
  </si>
  <si>
    <t>Enguixat de guix.</t>
  </si>
  <si>
    <t>Uts.</t>
  </si>
  <si>
    <t>Llargada</t>
  </si>
  <si>
    <t>Amplada</t>
  </si>
  <si>
    <t>Alçada</t>
  </si>
  <si>
    <t>Parcial</t>
  </si>
  <si>
    <t>Subtotal</t>
  </si>
  <si>
    <t>Divisòria cuina  - menjador</t>
  </si>
  <si>
    <t>RAG011</t>
  </si>
  <si>
    <t>Partida</t>
  </si>
  <si>
    <t>m²</t>
  </si>
  <si>
    <t>Alicatat amb rajola de gran format, capacitat d'absorció d'aigua E&gt;10%, grup BIII, resistència al lliscament Rd&lt;=15, classe 0, col·locat sobre una superfície suport de fàbrica, en paraments interiors, rebut amb morter de ciment M-5, sense junt (separació entre 1,5 i 3 mm); amb cantoneres de PVC.</t>
  </si>
  <si>
    <t>Uts.</t>
  </si>
  <si>
    <t>Llargada</t>
  </si>
  <si>
    <t>Amplada</t>
  </si>
  <si>
    <t>Alçada</t>
  </si>
  <si>
    <t>Parcial</t>
  </si>
  <si>
    <t>Subtotal</t>
  </si>
  <si>
    <t>Bany PB 1-Perimetre</t>
  </si>
  <si>
    <t>Bany PB 2-Perimetre</t>
  </si>
  <si>
    <t>Cuina</t>
  </si>
  <si>
    <t>RIP030</t>
  </si>
  <si>
    <t>Partida</t>
  </si>
  <si>
    <t>m²</t>
  </si>
  <si>
    <t>Pintura plàstica sobre parament interior de guix o escaiola.</t>
  </si>
  <si>
    <t>Uts.</t>
  </si>
  <si>
    <t>Llargada</t>
  </si>
  <si>
    <t>Amplada</t>
  </si>
  <si>
    <t>Alçada</t>
  </si>
  <si>
    <t>Parcial</t>
  </si>
  <si>
    <t>Subtotal</t>
  </si>
  <si>
    <t>Divisòria cuina  - menjador</t>
  </si>
  <si>
    <t>PB-aules</t>
  </si>
  <si>
    <t>PB- aules</t>
  </si>
  <si>
    <t>Elements comuns (escala, passadis, direcció...)</t>
  </si>
  <si>
    <t>RSG011</t>
  </si>
  <si>
    <t>Partida</t>
  </si>
  <si>
    <t>m²</t>
  </si>
  <si>
    <t>Enrajolat de rajoles porcel·laniques antilliscants col·locades en capa grossa.</t>
  </si>
  <si>
    <t>Uts.</t>
  </si>
  <si>
    <t>Llargada</t>
  </si>
  <si>
    <t>Amplada</t>
  </si>
  <si>
    <t>Alçada</t>
  </si>
  <si>
    <t>Parcial</t>
  </si>
  <si>
    <t>Subtotal</t>
  </si>
  <si>
    <t>Bany PB 1-Paviment</t>
  </si>
  <si>
    <t>Bany PB 2-Paviment</t>
  </si>
  <si>
    <t>PB-aules</t>
  </si>
  <si>
    <t>P1-aules</t>
  </si>
  <si>
    <t>TJR010</t>
  </si>
  <si>
    <t>Partida</t>
  </si>
  <si>
    <t>m²</t>
  </si>
  <si>
    <t>Paviment absorbidor d'impactes, de material granular. Sorral</t>
  </si>
  <si>
    <t>Uts.</t>
  </si>
  <si>
    <t>Llargada</t>
  </si>
  <si>
    <t>Amplada</t>
  </si>
  <si>
    <t>Alçada</t>
  </si>
  <si>
    <t>Parcial</t>
  </si>
  <si>
    <t>Subtotal</t>
  </si>
  <si>
    <t>Sorral existent</t>
  </si>
  <si>
    <t>Nou pati llar infants</t>
  </si>
  <si>
    <t>TJR030</t>
  </si>
  <si>
    <t>Partida</t>
  </si>
  <si>
    <t>m²</t>
  </si>
  <si>
    <t>Paviment absorbidor d'impactes, de rajoles de cautxú.</t>
  </si>
  <si>
    <t>Uts.</t>
  </si>
  <si>
    <t>Llargada</t>
  </si>
  <si>
    <t>Amplada</t>
  </si>
  <si>
    <t>Alçada</t>
  </si>
  <si>
    <t>Parcial</t>
  </si>
  <si>
    <t>Subtotal</t>
  </si>
  <si>
    <t>àrea jocs existent</t>
  </si>
  <si>
    <t>àrea jocs llar infants</t>
  </si>
  <si>
    <t>RPE005</t>
  </si>
  <si>
    <t>Partida</t>
  </si>
  <si>
    <t>m²</t>
  </si>
  <si>
    <t>Arrebossat de ciment sobre parament interior.</t>
  </si>
  <si>
    <t>Uts.</t>
  </si>
  <si>
    <t>Llargada</t>
  </si>
  <si>
    <t>Amplada</t>
  </si>
  <si>
    <t>Alçada</t>
  </si>
  <si>
    <t>Parcial</t>
  </si>
  <si>
    <t>Subtotal</t>
  </si>
  <si>
    <t>Bany PB 1-Perimetre</t>
  </si>
  <si>
    <t>Bany PB 2-Perimetre</t>
  </si>
  <si>
    <t>Cuina</t>
  </si>
  <si>
    <t>ROD020</t>
  </si>
  <si>
    <t>Partida</t>
  </si>
  <si>
    <t>m²</t>
  </si>
  <si>
    <t>Pintura acrílica a l'aigua en terres de pistes esportives mb pintura plàstica, acabat setinat, a base de resines acríliques pures emulsionades en aigua, diluïda amb un 10% a 20% d'aigua, i dues mans d'acabat amb el mateix producte sense diluir (rendiment: 0,125 l/m² cada mà).</t>
  </si>
  <si>
    <t>PYL020b</t>
  </si>
  <si>
    <t>Partida</t>
  </si>
  <si>
    <t>Ut</t>
  </si>
  <si>
    <t>Neteja final d'obra</t>
  </si>
  <si>
    <t>R</t>
  </si>
  <si>
    <t>Yb</t>
  </si>
  <si>
    <t>Capítol</t>
  </si>
  <si>
    <t>Estructura</t>
  </si>
  <si>
    <t>CCH030</t>
  </si>
  <si>
    <t>Partida</t>
  </si>
  <si>
    <t>m²</t>
  </si>
  <si>
    <t>Mur de contenció de blocs de formigó, tipus H. Inclou Desmuntatge de mur existent, estabilització de terres i contenció.</t>
  </si>
  <si>
    <t>Yb</t>
  </si>
  <si>
    <t>G</t>
  </si>
  <si>
    <t>Capítol</t>
  </si>
  <si>
    <t>Gestió de residus</t>
  </si>
  <si>
    <t>GRA010</t>
  </si>
  <si>
    <t>Partida</t>
  </si>
  <si>
    <t>U</t>
  </si>
  <si>
    <t>Transport de residus inertes amb contenidor i lliurament segons fitxa gestió residus.</t>
  </si>
  <si>
    <t>G</t>
  </si>
  <si>
    <t>Y</t>
  </si>
  <si>
    <t>Capítol</t>
  </si>
  <si>
    <t>Seguretat i salut</t>
  </si>
  <si>
    <t>YIX010</t>
  </si>
  <si>
    <t>Partida</t>
  </si>
  <si>
    <t>U</t>
  </si>
  <si>
    <t>Conjunt d'equips de protecció individual.</t>
  </si>
  <si>
    <t>Y</t>
  </si>
  <si>
    <t>AMIDAMENTS LLAR INFANTS FASE 2 OCTUBRE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</si>
</sst>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2"/>
      <color rgb="FF000000"/>
      <name val="Verdana"/>
      <family val="2"/>
    </font>
    <font>
      <b/>
      <sz val="9.9499999999999993"/>
      <color rgb="FF000000"/>
      <name val="Arial"/>
      <family val="2"/>
    </font>
    <font>
      <sz val="8"/>
      <color rgb="FF000000"/>
      <name val="Arial"/>
      <family val="2"/>
    </font>
    <font>
      <b/>
      <sz val="9"/>
      <color rgb="FF000000"/>
      <name val="Arial"/>
      <family val="2"/>
    </font>
    <font>
      <b/>
      <sz val="8"/>
      <color rgb="FF000000"/>
      <name val="Arial"/>
      <family val="2"/>
    </font>
    <font>
      <sz val="8"/>
      <color rgb="FF808080"/>
      <name val="Arial"/>
      <family val="2"/>
    </font>
    <font>
      <sz val="8"/>
      <color rgb="FF101010"/>
      <name val="Arial"/>
      <family val="2"/>
    </font>
  </fonts>
  <fills count="5">
    <fill>
      <patternFill patternType="none"/>
    </fill>
    <fill>
      <patternFill patternType="gray125"/>
    </fill>
    <fill>
      <patternFill patternType="solid">
        <fgColor rgb="FFDFFFBF"/>
      </patternFill>
    </fill>
    <fill>
      <patternFill patternType="solid">
        <fgColor rgb="FF269900"/>
      </patternFill>
    </fill>
    <fill>
      <patternFill patternType="solid">
        <fgColor rgb="FF3FB219"/>
      </patternFill>
    </fill>
  </fills>
  <borders count="6">
    <border>
      <left/>
      <right/>
      <top/>
      <bottom/>
      <diagonal/>
    </border>
    <border>
      <left/>
      <right/>
      <top/>
      <bottom style="thin">
        <color rgb="FF000000"/>
      </bottom>
      <diagonal/>
    </border>
    <border>
      <left/>
      <right/>
      <top style="thin">
        <color rgb="FF000000"/>
      </top>
      <bottom/>
      <diagonal/>
    </border>
    <border>
      <left/>
      <right/>
      <top/>
      <bottom style="thin">
        <color rgb="FF808080"/>
      </bottom>
      <diagonal/>
    </border>
    <border>
      <left/>
      <right/>
      <top style="thin">
        <color rgb="FF808080"/>
      </top>
      <bottom/>
      <diagonal/>
    </border>
    <border>
      <left/>
      <right/>
      <top style="thin">
        <color rgb="FF000000"/>
      </top>
      <bottom style="thin">
        <color rgb="FF000000"/>
      </bottom>
      <diagonal/>
    </border>
  </borders>
  <cellStyleXfs count="1">
    <xf numFmtId="0" fontId="0" fillId="0" borderId="0"/>
  </cellStyleXfs>
  <cellXfs count="48">
    <xf numFmtId="0" fontId="0" fillId="0" borderId="0" xfId="0" applyAlignment="1">
      <alignment horizontal="left" vertical="center"/>
    </xf>
    <xf numFmtId="0" fontId="1" fillId="2" borderId="0" xfId="0" applyFont="1" applyFill="1" applyAlignment="1">
      <alignment horizontal="right" vertical="top" wrapText="1"/>
    </xf>
    <xf numFmtId="0" fontId="0" fillId="2" borderId="0" xfId="0" applyFill="1" applyAlignment="1">
      <alignment horizontal="left" vertical="top" wrapText="1"/>
    </xf>
    <xf numFmtId="0" fontId="2" fillId="0" borderId="0" xfId="0" applyFont="1" applyAlignment="1">
      <alignment horizontal="right" vertical="top" wrapText="1"/>
    </xf>
    <xf numFmtId="0" fontId="2" fillId="2" borderId="0" xfId="0" applyFont="1" applyFill="1" applyAlignment="1">
      <alignment horizontal="right" vertical="top"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3" fillId="2" borderId="1" xfId="0" applyFont="1" applyFill="1" applyBorder="1" applyAlignment="1">
      <alignment horizontal="right" vertical="top" wrapText="1"/>
    </xf>
    <xf numFmtId="0" fontId="4" fillId="0" borderId="0" xfId="0" applyFont="1" applyAlignment="1">
      <alignment horizontal="left" vertical="top" wrapText="1"/>
    </xf>
    <xf numFmtId="0" fontId="4" fillId="3" borderId="2" xfId="0" applyFont="1" applyFill="1" applyBorder="1" applyAlignment="1">
      <alignment horizontal="left" vertical="top" wrapText="1"/>
    </xf>
    <xf numFmtId="0" fontId="0" fillId="3" borderId="2" xfId="0" applyFill="1" applyBorder="1" applyAlignment="1">
      <alignment horizontal="left" vertical="top" wrapText="1"/>
    </xf>
    <xf numFmtId="4" fontId="4" fillId="3" borderId="2" xfId="0" applyNumberFormat="1" applyFont="1" applyFill="1" applyBorder="1" applyAlignment="1">
      <alignment horizontal="right" vertical="top" wrapText="1"/>
    </xf>
    <xf numFmtId="0" fontId="4" fillId="4" borderId="0" xfId="0" applyFont="1" applyFill="1" applyAlignment="1">
      <alignment horizontal="left" vertical="top" wrapText="1"/>
    </xf>
    <xf numFmtId="0" fontId="0" fillId="4" borderId="0" xfId="0" applyFill="1" applyAlignment="1">
      <alignment horizontal="left" vertical="top" wrapText="1"/>
    </xf>
    <xf numFmtId="4" fontId="4" fillId="4" borderId="0" xfId="0" applyNumberFormat="1" applyFont="1" applyFill="1" applyAlignment="1">
      <alignment horizontal="right" vertical="top" wrapText="1"/>
    </xf>
    <xf numFmtId="164" fontId="2" fillId="0" borderId="0" xfId="0" applyNumberFormat="1" applyFont="1" applyAlignment="1">
      <alignment horizontal="right" vertical="top" wrapText="1"/>
    </xf>
    <xf numFmtId="4" fontId="2" fillId="0" borderId="0" xfId="0" applyNumberFormat="1" applyFont="1" applyAlignment="1">
      <alignment horizontal="right" vertical="top" wrapText="1"/>
    </xf>
    <xf numFmtId="0" fontId="0" fillId="0" borderId="0" xfId="0" applyAlignment="1">
      <alignment horizontal="center" vertical="center" wrapText="1"/>
    </xf>
    <xf numFmtId="0" fontId="5" fillId="0" borderId="3" xfId="0" applyFont="1" applyBorder="1" applyAlignment="1">
      <alignment horizontal="left" vertical="top" wrapText="1"/>
    </xf>
    <xf numFmtId="0" fontId="5" fillId="0" borderId="0" xfId="0" applyFont="1" applyAlignment="1">
      <alignment horizontal="right" vertical="top" wrapText="1"/>
    </xf>
    <xf numFmtId="0" fontId="5" fillId="0" borderId="3" xfId="0" applyFont="1" applyBorder="1" applyAlignment="1">
      <alignment horizontal="right" vertical="top" wrapText="1"/>
    </xf>
    <xf numFmtId="0" fontId="5" fillId="0" borderId="0" xfId="0" applyFont="1" applyAlignment="1">
      <alignment horizontal="left" vertical="top" wrapText="1"/>
    </xf>
    <xf numFmtId="0" fontId="2" fillId="0" borderId="4" xfId="0" applyFont="1" applyBorder="1" applyAlignment="1">
      <alignment horizontal="left" vertical="top" wrapText="1"/>
    </xf>
    <xf numFmtId="0" fontId="2" fillId="0" borderId="4" xfId="0" applyFont="1" applyBorder="1" applyAlignment="1">
      <alignment horizontal="right" vertical="top" wrapText="1"/>
    </xf>
    <xf numFmtId="164" fontId="2" fillId="0" borderId="4" xfId="0" applyNumberFormat="1" applyFont="1" applyBorder="1" applyAlignment="1">
      <alignment horizontal="right" vertical="top" wrapText="1"/>
    </xf>
    <xf numFmtId="164" fontId="5" fillId="0" borderId="0" xfId="0" applyNumberFormat="1" applyFont="1" applyAlignment="1">
      <alignment horizontal="right" vertical="top" wrapText="1"/>
    </xf>
    <xf numFmtId="164" fontId="5" fillId="0" borderId="4" xfId="0" applyNumberFormat="1" applyFont="1" applyBorder="1" applyAlignment="1">
      <alignment horizontal="right" vertical="top" wrapText="1"/>
    </xf>
    <xf numFmtId="0" fontId="0" fillId="0" borderId="4" xfId="0" applyBorder="1" applyAlignment="1">
      <alignment horizontal="center" vertical="center" wrapText="1"/>
    </xf>
    <xf numFmtId="164" fontId="6" fillId="0" borderId="0" xfId="0" applyNumberFormat="1" applyFont="1" applyAlignment="1">
      <alignment horizontal="right" vertical="top" wrapText="1"/>
    </xf>
    <xf numFmtId="164" fontId="6" fillId="0" borderId="4" xfId="0" applyNumberFormat="1" applyFont="1" applyBorder="1" applyAlignment="1">
      <alignment horizontal="right" vertical="top" wrapText="1"/>
    </xf>
    <xf numFmtId="0" fontId="0" fillId="0" borderId="1" xfId="0" applyBorder="1" applyAlignment="1">
      <alignment horizontal="center" vertical="center" wrapText="1"/>
    </xf>
    <xf numFmtId="0" fontId="4" fillId="4" borderId="1" xfId="0" applyFont="1" applyFill="1" applyBorder="1" applyAlignment="1">
      <alignment horizontal="left" vertical="top" wrapText="1"/>
    </xf>
    <xf numFmtId="0" fontId="0" fillId="4" borderId="1" xfId="0" applyFill="1" applyBorder="1" applyAlignment="1">
      <alignment horizontal="left" vertical="top" wrapText="1"/>
    </xf>
    <xf numFmtId="4" fontId="4" fillId="4" borderId="1" xfId="0" applyNumberFormat="1" applyFont="1" applyFill="1" applyBorder="1" applyAlignment="1">
      <alignment horizontal="right" vertical="top" wrapText="1"/>
    </xf>
    <xf numFmtId="0" fontId="4" fillId="4" borderId="2" xfId="0" applyFont="1" applyFill="1" applyBorder="1" applyAlignment="1">
      <alignment horizontal="left" vertical="top" wrapText="1"/>
    </xf>
    <xf numFmtId="0" fontId="0" fillId="4" borderId="2" xfId="0" applyFill="1" applyBorder="1" applyAlignment="1">
      <alignment horizontal="left" vertical="top" wrapText="1"/>
    </xf>
    <xf numFmtId="4" fontId="4" fillId="4" borderId="2" xfId="0" applyNumberFormat="1" applyFont="1" applyFill="1" applyBorder="1" applyAlignment="1">
      <alignment horizontal="right" vertical="top" wrapText="1"/>
    </xf>
    <xf numFmtId="0" fontId="0" fillId="0" borderId="5" xfId="0" applyBorder="1" applyAlignment="1">
      <alignment horizontal="center" vertical="center" wrapText="1"/>
    </xf>
    <xf numFmtId="0" fontId="4" fillId="3" borderId="5" xfId="0" applyFont="1" applyFill="1" applyBorder="1" applyAlignment="1">
      <alignment horizontal="left" vertical="top" wrapText="1"/>
    </xf>
    <xf numFmtId="0" fontId="0" fillId="3" borderId="5" xfId="0" applyFill="1" applyBorder="1" applyAlignment="1">
      <alignment horizontal="left" vertical="top" wrapText="1"/>
    </xf>
    <xf numFmtId="4" fontId="4" fillId="3" borderId="5" xfId="0" applyNumberFormat="1" applyFont="1" applyFill="1" applyBorder="1" applyAlignment="1">
      <alignment horizontal="right" vertical="top" wrapText="1"/>
    </xf>
    <xf numFmtId="0" fontId="1" fillId="2" borderId="0" xfId="0" applyFont="1" applyFill="1" applyAlignment="1">
      <alignment horizontal="left" vertical="top" wrapText="1"/>
    </xf>
    <xf numFmtId="0" fontId="4" fillId="3" borderId="2" xfId="0" applyFont="1" applyFill="1" applyBorder="1" applyAlignment="1">
      <alignment horizontal="justify" vertical="top" wrapText="1"/>
    </xf>
    <xf numFmtId="0" fontId="4" fillId="4" borderId="0" xfId="0" applyFont="1" applyFill="1" applyAlignment="1">
      <alignment horizontal="justify" vertical="top" wrapText="1"/>
    </xf>
    <xf numFmtId="0" fontId="2" fillId="0" borderId="0" xfId="0" applyFont="1" applyAlignment="1">
      <alignment horizontal="justify" vertical="top" wrapText="1"/>
    </xf>
    <xf numFmtId="0" fontId="4" fillId="4" borderId="2" xfId="0" applyFont="1" applyFill="1" applyBorder="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8"/>
  <sheetViews>
    <sheetView tabSelected="1" view="pageLayout" workbookViewId="0"/>
  </sheetViews>
  <sheetFormatPr baseColWidth="10" defaultRowHeight="15" x14ac:dyDescent="0.2"/>
  <cols>
    <col min="1" max="1" width="7.3984375" customWidth="1"/>
    <col min="2" max="2" width="6.59765625" customWidth="1"/>
    <col min="3" max="3" width="3.09765625" customWidth="1"/>
    <col min="4" max="4" width="17.69921875" customWidth="1"/>
    <col min="5" max="5" width="10.296875" customWidth="1"/>
    <col min="6" max="7" width="5.59765625" customWidth="1"/>
    <col min="8" max="8" width="5.69921875" customWidth="1"/>
    <col min="9" max="9" width="4.8984375" customWidth="1"/>
    <col min="10" max="10" width="6.19921875" customWidth="1"/>
    <col min="11" max="11" width="8.19921875" customWidth="1"/>
    <col min="12" max="12" width="8.09765625" customWidth="1"/>
    <col min="13" max="13" width="8.19921875" customWidth="1"/>
  </cols>
  <sheetData>
    <row r="1" spans="1:13" ht="17.850000000000001" customHeight="1" thickBot="1" x14ac:dyDescent="0.25">
      <c r="A1" s="1" t="s">
        <v>0</v>
      </c>
      <c r="B1" s="43" t="s">
        <v>1</v>
      </c>
      <c r="C1" s="43"/>
      <c r="D1" s="43"/>
      <c r="E1" s="43"/>
      <c r="F1" s="43"/>
      <c r="G1" s="43"/>
      <c r="H1" s="43"/>
      <c r="I1" s="43"/>
      <c r="J1" s="43"/>
      <c r="K1" s="43"/>
      <c r="L1" s="43"/>
      <c r="M1" s="43"/>
    </row>
    <row r="2" spans="1:13" ht="17.850000000000001" customHeight="1" thickBot="1" x14ac:dyDescent="0.25">
      <c r="A2" s="43" t="s">
        <v>2</v>
      </c>
      <c r="B2" s="43"/>
      <c r="C2" s="43"/>
      <c r="D2" s="2"/>
      <c r="E2" s="2"/>
      <c r="F2" s="2"/>
      <c r="G2" s="2"/>
      <c r="H2" s="2"/>
      <c r="I2" s="2"/>
      <c r="J2" s="2"/>
      <c r="K2" s="2"/>
      <c r="L2" s="4" t="s">
        <v>3</v>
      </c>
      <c r="M2" s="6">
        <v>3</v>
      </c>
    </row>
    <row r="3" spans="1:13" ht="16.7" customHeight="1" thickBot="1" x14ac:dyDescent="0.25">
      <c r="A3" s="7" t="s">
        <v>4</v>
      </c>
      <c r="B3" s="7" t="s">
        <v>5</v>
      </c>
      <c r="C3" s="7" t="s">
        <v>6</v>
      </c>
      <c r="D3" s="7" t="s">
        <v>7</v>
      </c>
      <c r="E3" s="8"/>
      <c r="F3" s="8"/>
      <c r="G3" s="8"/>
      <c r="H3" s="8"/>
      <c r="I3" s="8"/>
      <c r="J3" s="8"/>
      <c r="K3" s="9" t="s">
        <v>8</v>
      </c>
      <c r="L3" s="9" t="s">
        <v>9</v>
      </c>
      <c r="M3" s="9" t="s">
        <v>10</v>
      </c>
    </row>
    <row r="4" spans="1:13" ht="63.4" customHeight="1" thickBot="1" x14ac:dyDescent="0.25">
      <c r="A4" s="11" t="s">
        <v>11</v>
      </c>
      <c r="B4" s="11" t="s">
        <v>12</v>
      </c>
      <c r="C4" s="12"/>
      <c r="D4" s="44" t="s">
        <v>13</v>
      </c>
      <c r="E4" s="44"/>
      <c r="F4" s="44"/>
      <c r="G4" s="44"/>
      <c r="H4" s="44"/>
      <c r="I4" s="44"/>
      <c r="J4" s="44"/>
      <c r="K4" s="12"/>
      <c r="L4" s="13">
        <f>L188</f>
        <v>111221.01</v>
      </c>
      <c r="M4" s="13">
        <f>ROUND(L4,2)</f>
        <v>111221.01</v>
      </c>
    </row>
    <row r="5" spans="1:13" ht="15.4" customHeight="1" thickBot="1" x14ac:dyDescent="0.25">
      <c r="A5" s="14" t="s">
        <v>14</v>
      </c>
      <c r="B5" s="14" t="s">
        <v>15</v>
      </c>
      <c r="C5" s="15"/>
      <c r="D5" s="45" t="s">
        <v>16</v>
      </c>
      <c r="E5" s="45"/>
      <c r="F5" s="45"/>
      <c r="G5" s="45"/>
      <c r="H5" s="45"/>
      <c r="I5" s="45"/>
      <c r="J5" s="45"/>
      <c r="K5" s="15"/>
      <c r="L5" s="16">
        <f>L44</f>
        <v>5204.1500000000005</v>
      </c>
      <c r="M5" s="16">
        <f>ROUND(L5,2)</f>
        <v>5204.1499999999996</v>
      </c>
    </row>
    <row r="6" spans="1:13" ht="15.4" customHeight="1" thickBot="1" x14ac:dyDescent="0.25">
      <c r="A6" s="10" t="s">
        <v>17</v>
      </c>
      <c r="B6" s="5" t="s">
        <v>18</v>
      </c>
      <c r="C6" s="5" t="s">
        <v>19</v>
      </c>
      <c r="D6" s="46" t="s">
        <v>20</v>
      </c>
      <c r="E6" s="46"/>
      <c r="F6" s="46"/>
      <c r="G6" s="46"/>
      <c r="H6" s="46"/>
      <c r="I6" s="46"/>
      <c r="J6" s="46"/>
      <c r="K6" s="17">
        <f>SUM(K8:K13)</f>
        <v>12</v>
      </c>
      <c r="L6" s="18">
        <f>ROUND(3.77*(1+M2/100),2)</f>
        <v>3.88</v>
      </c>
      <c r="M6" s="18">
        <f>ROUND(K6*L6,2)</f>
        <v>46.56</v>
      </c>
    </row>
    <row r="7" spans="1:13" ht="15.2" customHeight="1" thickBot="1" x14ac:dyDescent="0.25">
      <c r="A7" s="19"/>
      <c r="B7" s="19"/>
      <c r="C7" s="19"/>
      <c r="D7" s="19"/>
      <c r="E7" s="20"/>
      <c r="F7" s="22" t="s">
        <v>21</v>
      </c>
      <c r="G7" s="22" t="s">
        <v>22</v>
      </c>
      <c r="H7" s="22" t="s">
        <v>23</v>
      </c>
      <c r="I7" s="22" t="s">
        <v>24</v>
      </c>
      <c r="J7" s="22" t="s">
        <v>25</v>
      </c>
      <c r="K7" s="22" t="s">
        <v>26</v>
      </c>
      <c r="L7" s="19"/>
      <c r="M7" s="19"/>
    </row>
    <row r="8" spans="1:13" ht="15.2" customHeight="1" thickBot="1" x14ac:dyDescent="0.25">
      <c r="A8" s="19"/>
      <c r="B8" s="19"/>
      <c r="C8" s="19"/>
      <c r="D8" s="23"/>
      <c r="E8" s="24" t="s">
        <v>27</v>
      </c>
      <c r="F8" s="25">
        <v>1</v>
      </c>
      <c r="G8" s="26"/>
      <c r="H8" s="26"/>
      <c r="I8" s="26"/>
      <c r="J8" s="28">
        <f t="shared" ref="J8:J13" si="0">ROUND(F8,3)</f>
        <v>1</v>
      </c>
      <c r="K8" s="29"/>
      <c r="L8" s="19"/>
      <c r="M8" s="19"/>
    </row>
    <row r="9" spans="1:13" ht="15.2" customHeight="1" thickBot="1" x14ac:dyDescent="0.25">
      <c r="A9" s="19"/>
      <c r="B9" s="19"/>
      <c r="C9" s="19"/>
      <c r="D9" s="23"/>
      <c r="E9" s="5" t="s">
        <v>28</v>
      </c>
      <c r="F9" s="3">
        <v>2</v>
      </c>
      <c r="G9" s="17"/>
      <c r="H9" s="17"/>
      <c r="I9" s="17"/>
      <c r="J9" s="27">
        <f t="shared" si="0"/>
        <v>2</v>
      </c>
      <c r="K9" s="19"/>
      <c r="L9" s="19"/>
      <c r="M9" s="19"/>
    </row>
    <row r="10" spans="1:13" ht="15.2" customHeight="1" thickBot="1" x14ac:dyDescent="0.25">
      <c r="A10" s="19"/>
      <c r="B10" s="19"/>
      <c r="C10" s="19"/>
      <c r="D10" s="23"/>
      <c r="E10" s="5" t="s">
        <v>29</v>
      </c>
      <c r="F10" s="3">
        <v>2</v>
      </c>
      <c r="G10" s="17"/>
      <c r="H10" s="17"/>
      <c r="I10" s="17"/>
      <c r="J10" s="27">
        <f t="shared" si="0"/>
        <v>2</v>
      </c>
      <c r="K10" s="19"/>
      <c r="L10" s="19"/>
      <c r="M10" s="19"/>
    </row>
    <row r="11" spans="1:13" ht="15.2" customHeight="1" thickBot="1" x14ac:dyDescent="0.25">
      <c r="A11" s="19"/>
      <c r="B11" s="19"/>
      <c r="C11" s="19"/>
      <c r="D11" s="23"/>
      <c r="E11" s="5" t="s">
        <v>30</v>
      </c>
      <c r="F11" s="3">
        <v>1</v>
      </c>
      <c r="G11" s="17"/>
      <c r="H11" s="17"/>
      <c r="I11" s="17"/>
      <c r="J11" s="27">
        <f t="shared" si="0"/>
        <v>1</v>
      </c>
      <c r="K11" s="19"/>
      <c r="L11" s="19"/>
      <c r="M11" s="19"/>
    </row>
    <row r="12" spans="1:13" ht="15.2" customHeight="1" thickBot="1" x14ac:dyDescent="0.25">
      <c r="A12" s="19"/>
      <c r="B12" s="19"/>
      <c r="C12" s="19"/>
      <c r="D12" s="23"/>
      <c r="E12" s="5" t="s">
        <v>31</v>
      </c>
      <c r="F12" s="3">
        <v>4</v>
      </c>
      <c r="G12" s="17"/>
      <c r="H12" s="17"/>
      <c r="I12" s="17"/>
      <c r="J12" s="27">
        <f t="shared" si="0"/>
        <v>4</v>
      </c>
      <c r="K12" s="19"/>
      <c r="L12" s="19"/>
      <c r="M12" s="19"/>
    </row>
    <row r="13" spans="1:13" ht="15.2" customHeight="1" thickBot="1" x14ac:dyDescent="0.25">
      <c r="A13" s="19"/>
      <c r="B13" s="19"/>
      <c r="C13" s="19"/>
      <c r="D13" s="23"/>
      <c r="E13" s="5" t="s">
        <v>32</v>
      </c>
      <c r="F13" s="3">
        <v>2</v>
      </c>
      <c r="G13" s="17"/>
      <c r="H13" s="17"/>
      <c r="I13" s="17"/>
      <c r="J13" s="27">
        <f t="shared" si="0"/>
        <v>2</v>
      </c>
      <c r="K13" s="30">
        <f>SUM(J8:J13)</f>
        <v>12</v>
      </c>
      <c r="L13" s="19"/>
      <c r="M13" s="19"/>
    </row>
    <row r="14" spans="1:13" ht="15.4" customHeight="1" thickBot="1" x14ac:dyDescent="0.25">
      <c r="A14" s="10" t="s">
        <v>33</v>
      </c>
      <c r="B14" s="5" t="s">
        <v>34</v>
      </c>
      <c r="C14" s="5" t="s">
        <v>35</v>
      </c>
      <c r="D14" s="46" t="s">
        <v>36</v>
      </c>
      <c r="E14" s="46"/>
      <c r="F14" s="46"/>
      <c r="G14" s="46"/>
      <c r="H14" s="46"/>
      <c r="I14" s="46"/>
      <c r="J14" s="46"/>
      <c r="K14" s="17">
        <f>SUM(K16:K17)</f>
        <v>2</v>
      </c>
      <c r="L14" s="18">
        <f>ROUND(27.93*(1+M2/100),2)</f>
        <v>28.77</v>
      </c>
      <c r="M14" s="18">
        <f>ROUND(K14*L14,2)</f>
        <v>57.54</v>
      </c>
    </row>
    <row r="15" spans="1:13" ht="15.2" customHeight="1" thickBot="1" x14ac:dyDescent="0.25">
      <c r="A15" s="19"/>
      <c r="B15" s="19"/>
      <c r="C15" s="19"/>
      <c r="D15" s="19"/>
      <c r="E15" s="20"/>
      <c r="F15" s="22" t="s">
        <v>37</v>
      </c>
      <c r="G15" s="22" t="s">
        <v>38</v>
      </c>
      <c r="H15" s="22" t="s">
        <v>39</v>
      </c>
      <c r="I15" s="22" t="s">
        <v>40</v>
      </c>
      <c r="J15" s="22" t="s">
        <v>41</v>
      </c>
      <c r="K15" s="22" t="s">
        <v>42</v>
      </c>
      <c r="L15" s="19"/>
      <c r="M15" s="19"/>
    </row>
    <row r="16" spans="1:13" ht="15.2" customHeight="1" thickBot="1" x14ac:dyDescent="0.25">
      <c r="A16" s="19"/>
      <c r="B16" s="19"/>
      <c r="C16" s="19"/>
      <c r="D16" s="23"/>
      <c r="E16" s="24" t="s">
        <v>43</v>
      </c>
      <c r="F16" s="25">
        <v>1</v>
      </c>
      <c r="G16" s="26"/>
      <c r="H16" s="26"/>
      <c r="I16" s="26"/>
      <c r="J16" s="28">
        <f>ROUND(F16,3)</f>
        <v>1</v>
      </c>
      <c r="K16" s="29"/>
      <c r="L16" s="19"/>
      <c r="M16" s="19"/>
    </row>
    <row r="17" spans="1:13" ht="15.2" customHeight="1" thickBot="1" x14ac:dyDescent="0.25">
      <c r="A17" s="19"/>
      <c r="B17" s="19"/>
      <c r="C17" s="19"/>
      <c r="D17" s="23"/>
      <c r="E17" s="5" t="s">
        <v>44</v>
      </c>
      <c r="F17" s="3">
        <v>1</v>
      </c>
      <c r="G17" s="17"/>
      <c r="H17" s="17"/>
      <c r="I17" s="17"/>
      <c r="J17" s="27">
        <f>ROUND(F17,3)</f>
        <v>1</v>
      </c>
      <c r="K17" s="30">
        <f>SUM(J16:J17)</f>
        <v>2</v>
      </c>
      <c r="L17" s="19"/>
      <c r="M17" s="19"/>
    </row>
    <row r="18" spans="1:13" ht="15.4" customHeight="1" thickBot="1" x14ac:dyDescent="0.25">
      <c r="A18" s="10" t="s">
        <v>45</v>
      </c>
      <c r="B18" s="5" t="s">
        <v>46</v>
      </c>
      <c r="C18" s="5" t="s">
        <v>47</v>
      </c>
      <c r="D18" s="46" t="s">
        <v>48</v>
      </c>
      <c r="E18" s="46"/>
      <c r="F18" s="46"/>
      <c r="G18" s="46"/>
      <c r="H18" s="46"/>
      <c r="I18" s="46"/>
      <c r="J18" s="46"/>
      <c r="K18" s="17">
        <f>SUM(K20:K21)</f>
        <v>2</v>
      </c>
      <c r="L18" s="18">
        <f>ROUND(16.24*(1+M2/100),2)</f>
        <v>16.73</v>
      </c>
      <c r="M18" s="18">
        <f>ROUND(K18*L18,2)</f>
        <v>33.46</v>
      </c>
    </row>
    <row r="19" spans="1:13" ht="15.2" customHeight="1" thickBot="1" x14ac:dyDescent="0.25">
      <c r="A19" s="19"/>
      <c r="B19" s="19"/>
      <c r="C19" s="19"/>
      <c r="D19" s="19"/>
      <c r="E19" s="20"/>
      <c r="F19" s="22" t="s">
        <v>49</v>
      </c>
      <c r="G19" s="22" t="s">
        <v>50</v>
      </c>
      <c r="H19" s="22" t="s">
        <v>51</v>
      </c>
      <c r="I19" s="22" t="s">
        <v>52</v>
      </c>
      <c r="J19" s="22" t="s">
        <v>53</v>
      </c>
      <c r="K19" s="22" t="s">
        <v>54</v>
      </c>
      <c r="L19" s="19"/>
      <c r="M19" s="19"/>
    </row>
    <row r="20" spans="1:13" ht="15.2" customHeight="1" thickBot="1" x14ac:dyDescent="0.25">
      <c r="A20" s="19"/>
      <c r="B20" s="19"/>
      <c r="C20" s="19"/>
      <c r="D20" s="23"/>
      <c r="E20" s="24" t="s">
        <v>55</v>
      </c>
      <c r="F20" s="25">
        <v>1</v>
      </c>
      <c r="G20" s="26"/>
      <c r="H20" s="26"/>
      <c r="I20" s="26"/>
      <c r="J20" s="28">
        <f>ROUND(F20,3)</f>
        <v>1</v>
      </c>
      <c r="K20" s="29"/>
      <c r="L20" s="19"/>
      <c r="M20" s="19"/>
    </row>
    <row r="21" spans="1:13" ht="15.2" customHeight="1" thickBot="1" x14ac:dyDescent="0.25">
      <c r="A21" s="19"/>
      <c r="B21" s="19"/>
      <c r="C21" s="19"/>
      <c r="D21" s="23"/>
      <c r="E21" s="5" t="s">
        <v>56</v>
      </c>
      <c r="F21" s="3">
        <v>1</v>
      </c>
      <c r="G21" s="17"/>
      <c r="H21" s="17"/>
      <c r="I21" s="17"/>
      <c r="J21" s="27">
        <f>ROUND(F21,3)</f>
        <v>1</v>
      </c>
      <c r="K21" s="30">
        <f>SUM(J20:J21)</f>
        <v>2</v>
      </c>
      <c r="L21" s="19"/>
      <c r="M21" s="19"/>
    </row>
    <row r="22" spans="1:13" ht="30.6" customHeight="1" thickBot="1" x14ac:dyDescent="0.25">
      <c r="A22" s="10" t="s">
        <v>57</v>
      </c>
      <c r="B22" s="5" t="s">
        <v>58</v>
      </c>
      <c r="C22" s="5" t="s">
        <v>59</v>
      </c>
      <c r="D22" s="46" t="s">
        <v>60</v>
      </c>
      <c r="E22" s="46"/>
      <c r="F22" s="46"/>
      <c r="G22" s="46"/>
      <c r="H22" s="46"/>
      <c r="I22" s="46"/>
      <c r="J22" s="46"/>
      <c r="K22" s="17">
        <f>SUM(K24:K26)</f>
        <v>18.299999999999997</v>
      </c>
      <c r="L22" s="18">
        <f>ROUND(8.22*(1+M2/100),2)</f>
        <v>8.4700000000000006</v>
      </c>
      <c r="M22" s="18">
        <f>ROUND(K22*L22,2)</f>
        <v>155</v>
      </c>
    </row>
    <row r="23" spans="1:13" ht="15.2" customHeight="1" thickBot="1" x14ac:dyDescent="0.25">
      <c r="A23" s="19"/>
      <c r="B23" s="19"/>
      <c r="C23" s="19"/>
      <c r="D23" s="19"/>
      <c r="E23" s="20"/>
      <c r="F23" s="22" t="s">
        <v>61</v>
      </c>
      <c r="G23" s="22" t="s">
        <v>62</v>
      </c>
      <c r="H23" s="22" t="s">
        <v>63</v>
      </c>
      <c r="I23" s="22" t="s">
        <v>64</v>
      </c>
      <c r="J23" s="22" t="s">
        <v>65</v>
      </c>
      <c r="K23" s="22" t="s">
        <v>66</v>
      </c>
      <c r="L23" s="19"/>
      <c r="M23" s="19"/>
    </row>
    <row r="24" spans="1:13" ht="15.2" customHeight="1" thickBot="1" x14ac:dyDescent="0.25">
      <c r="A24" s="19"/>
      <c r="B24" s="19"/>
      <c r="C24" s="19"/>
      <c r="D24" s="23"/>
      <c r="E24" s="24" t="s">
        <v>67</v>
      </c>
      <c r="F24" s="25"/>
      <c r="G24" s="26">
        <v>1.9</v>
      </c>
      <c r="H24" s="26"/>
      <c r="I24" s="26">
        <v>3</v>
      </c>
      <c r="J24" s="28">
        <f>ROUND(G24*I24,3)</f>
        <v>5.7</v>
      </c>
      <c r="K24" s="29"/>
      <c r="L24" s="19"/>
      <c r="M24" s="19"/>
    </row>
    <row r="25" spans="1:13" ht="15.2" customHeight="1" thickBot="1" x14ac:dyDescent="0.25">
      <c r="A25" s="19"/>
      <c r="B25" s="19"/>
      <c r="C25" s="19"/>
      <c r="D25" s="23"/>
      <c r="E25" s="5"/>
      <c r="F25" s="3"/>
      <c r="G25" s="17">
        <v>1</v>
      </c>
      <c r="H25" s="17"/>
      <c r="I25" s="17">
        <v>3</v>
      </c>
      <c r="J25" s="27">
        <f>ROUND(G25*I25,3)</f>
        <v>3</v>
      </c>
      <c r="K25" s="19"/>
      <c r="L25" s="19"/>
      <c r="M25" s="19"/>
    </row>
    <row r="26" spans="1:13" ht="15.2" customHeight="1" thickBot="1" x14ac:dyDescent="0.25">
      <c r="A26" s="19"/>
      <c r="B26" s="19"/>
      <c r="C26" s="19"/>
      <c r="D26" s="23"/>
      <c r="E26" s="5"/>
      <c r="F26" s="3"/>
      <c r="G26" s="17">
        <v>3.2</v>
      </c>
      <c r="H26" s="17"/>
      <c r="I26" s="17">
        <v>3</v>
      </c>
      <c r="J26" s="27">
        <f>ROUND(G26*I26,3)</f>
        <v>9.6</v>
      </c>
      <c r="K26" s="30">
        <f>SUM(J24:J26)</f>
        <v>18.299999999999997</v>
      </c>
      <c r="L26" s="19"/>
      <c r="M26" s="19"/>
    </row>
    <row r="27" spans="1:13" ht="15.4" customHeight="1" thickBot="1" x14ac:dyDescent="0.25">
      <c r="A27" s="10" t="s">
        <v>68</v>
      </c>
      <c r="B27" s="5" t="s">
        <v>69</v>
      </c>
      <c r="C27" s="5" t="s">
        <v>70</v>
      </c>
      <c r="D27" s="46" t="s">
        <v>71</v>
      </c>
      <c r="E27" s="46"/>
      <c r="F27" s="46"/>
      <c r="G27" s="46"/>
      <c r="H27" s="46"/>
      <c r="I27" s="46"/>
      <c r="J27" s="46"/>
      <c r="K27" s="17">
        <f>SUM(K29:K40)</f>
        <v>361.15999999999997</v>
      </c>
      <c r="L27" s="18">
        <f>ROUND(13.16*(1+M2/100),2)</f>
        <v>13.55</v>
      </c>
      <c r="M27" s="18">
        <f>ROUND(K27*L27,2)</f>
        <v>4893.72</v>
      </c>
    </row>
    <row r="28" spans="1:13" ht="15.2" customHeight="1" thickBot="1" x14ac:dyDescent="0.25">
      <c r="A28" s="19"/>
      <c r="B28" s="19"/>
      <c r="C28" s="19"/>
      <c r="D28" s="19"/>
      <c r="E28" s="20"/>
      <c r="F28" s="22" t="s">
        <v>72</v>
      </c>
      <c r="G28" s="22" t="s">
        <v>73</v>
      </c>
      <c r="H28" s="22" t="s">
        <v>74</v>
      </c>
      <c r="I28" s="22" t="s">
        <v>75</v>
      </c>
      <c r="J28" s="22" t="s">
        <v>76</v>
      </c>
      <c r="K28" s="22" t="s">
        <v>77</v>
      </c>
      <c r="L28" s="19"/>
      <c r="M28" s="19"/>
    </row>
    <row r="29" spans="1:13" ht="21.4" customHeight="1" thickBot="1" x14ac:dyDescent="0.25">
      <c r="A29" s="19"/>
      <c r="B29" s="19"/>
      <c r="C29" s="19"/>
      <c r="D29" s="23"/>
      <c r="E29" s="24" t="s">
        <v>78</v>
      </c>
      <c r="F29" s="25">
        <v>3.8</v>
      </c>
      <c r="G29" s="26"/>
      <c r="H29" s="26"/>
      <c r="I29" s="26"/>
      <c r="J29" s="28">
        <f>ROUND(F29,3)</f>
        <v>3.8</v>
      </c>
      <c r="K29" s="29"/>
      <c r="L29" s="19"/>
      <c r="M29" s="19"/>
    </row>
    <row r="30" spans="1:13" ht="21.4" customHeight="1" thickBot="1" x14ac:dyDescent="0.25">
      <c r="A30" s="19"/>
      <c r="B30" s="19"/>
      <c r="C30" s="19"/>
      <c r="D30" s="23"/>
      <c r="E30" s="5" t="s">
        <v>79</v>
      </c>
      <c r="F30" s="3">
        <v>3.18</v>
      </c>
      <c r="G30" s="17"/>
      <c r="H30" s="17"/>
      <c r="I30" s="17"/>
      <c r="J30" s="27">
        <f>ROUND(F30,3)</f>
        <v>3.18</v>
      </c>
      <c r="K30" s="19"/>
      <c r="L30" s="19"/>
      <c r="M30" s="19"/>
    </row>
    <row r="31" spans="1:13" ht="15.2" customHeight="1" thickBot="1" x14ac:dyDescent="0.25">
      <c r="A31" s="19"/>
      <c r="B31" s="19"/>
      <c r="C31" s="19"/>
      <c r="D31" s="23"/>
      <c r="E31" s="5" t="s">
        <v>80</v>
      </c>
      <c r="F31" s="3">
        <v>7.8</v>
      </c>
      <c r="G31" s="17"/>
      <c r="H31" s="17"/>
      <c r="I31" s="17">
        <v>3</v>
      </c>
      <c r="J31" s="27">
        <f>ROUND(F31*I31,3)</f>
        <v>23.4</v>
      </c>
      <c r="K31" s="19"/>
      <c r="L31" s="19"/>
      <c r="M31" s="19"/>
    </row>
    <row r="32" spans="1:13" ht="15.2" customHeight="1" thickBot="1" x14ac:dyDescent="0.25">
      <c r="A32" s="19"/>
      <c r="B32" s="19"/>
      <c r="C32" s="19"/>
      <c r="D32" s="23"/>
      <c r="E32" s="5"/>
      <c r="F32" s="3">
        <v>8.36</v>
      </c>
      <c r="G32" s="17"/>
      <c r="H32" s="17"/>
      <c r="I32" s="17">
        <v>3</v>
      </c>
      <c r="J32" s="27">
        <f>ROUND(F32*I32,3)</f>
        <v>25.08</v>
      </c>
      <c r="K32" s="19"/>
      <c r="L32" s="19"/>
      <c r="M32" s="19"/>
    </row>
    <row r="33" spans="1:13" ht="15.2" customHeight="1" thickBot="1" x14ac:dyDescent="0.25">
      <c r="A33" s="19"/>
      <c r="B33" s="19"/>
      <c r="C33" s="19"/>
      <c r="D33" s="23"/>
      <c r="E33" s="5" t="s">
        <v>81</v>
      </c>
      <c r="F33" s="3">
        <v>50.5</v>
      </c>
      <c r="G33" s="17"/>
      <c r="H33" s="17"/>
      <c r="I33" s="17"/>
      <c r="J33" s="27">
        <f t="shared" ref="J33:J40" si="1">ROUND(F33,3)</f>
        <v>50.5</v>
      </c>
      <c r="K33" s="19"/>
      <c r="L33" s="19"/>
      <c r="M33" s="19"/>
    </row>
    <row r="34" spans="1:13" ht="15.2" customHeight="1" thickBot="1" x14ac:dyDescent="0.25">
      <c r="A34" s="19"/>
      <c r="B34" s="19"/>
      <c r="C34" s="19"/>
      <c r="D34" s="23"/>
      <c r="E34" s="5"/>
      <c r="F34" s="3">
        <v>5.5</v>
      </c>
      <c r="G34" s="17"/>
      <c r="H34" s="17"/>
      <c r="I34" s="17"/>
      <c r="J34" s="27">
        <f t="shared" si="1"/>
        <v>5.5</v>
      </c>
      <c r="K34" s="19"/>
      <c r="L34" s="19"/>
      <c r="M34" s="19"/>
    </row>
    <row r="35" spans="1:13" ht="15.2" customHeight="1" thickBot="1" x14ac:dyDescent="0.25">
      <c r="A35" s="19"/>
      <c r="B35" s="19"/>
      <c r="C35" s="19"/>
      <c r="D35" s="23"/>
      <c r="E35" s="5"/>
      <c r="F35" s="3">
        <v>51.6</v>
      </c>
      <c r="G35" s="17"/>
      <c r="H35" s="17"/>
      <c r="I35" s="17"/>
      <c r="J35" s="27">
        <f t="shared" si="1"/>
        <v>51.6</v>
      </c>
      <c r="K35" s="19"/>
      <c r="L35" s="19"/>
      <c r="M35" s="19"/>
    </row>
    <row r="36" spans="1:13" ht="15.2" customHeight="1" thickBot="1" x14ac:dyDescent="0.25">
      <c r="A36" s="19"/>
      <c r="B36" s="19"/>
      <c r="C36" s="19"/>
      <c r="D36" s="23"/>
      <c r="E36" s="5"/>
      <c r="F36" s="3">
        <v>55</v>
      </c>
      <c r="G36" s="17"/>
      <c r="H36" s="17"/>
      <c r="I36" s="17"/>
      <c r="J36" s="27">
        <f t="shared" si="1"/>
        <v>55</v>
      </c>
      <c r="K36" s="19"/>
      <c r="L36" s="19"/>
      <c r="M36" s="19"/>
    </row>
    <row r="37" spans="1:13" ht="15.2" customHeight="1" thickBot="1" x14ac:dyDescent="0.25">
      <c r="A37" s="19"/>
      <c r="B37" s="19"/>
      <c r="C37" s="19"/>
      <c r="D37" s="23"/>
      <c r="E37" s="5" t="s">
        <v>82</v>
      </c>
      <c r="F37" s="3">
        <v>36.1</v>
      </c>
      <c r="G37" s="17"/>
      <c r="H37" s="17"/>
      <c r="I37" s="17"/>
      <c r="J37" s="27">
        <f t="shared" si="1"/>
        <v>36.1</v>
      </c>
      <c r="K37" s="19"/>
      <c r="L37" s="19"/>
      <c r="M37" s="19"/>
    </row>
    <row r="38" spans="1:13" ht="15.2" customHeight="1" thickBot="1" x14ac:dyDescent="0.25">
      <c r="A38" s="19"/>
      <c r="B38" s="19"/>
      <c r="C38" s="19"/>
      <c r="D38" s="23"/>
      <c r="E38" s="5"/>
      <c r="F38" s="3">
        <v>36.5</v>
      </c>
      <c r="G38" s="17"/>
      <c r="H38" s="17"/>
      <c r="I38" s="17"/>
      <c r="J38" s="27">
        <f t="shared" si="1"/>
        <v>36.5</v>
      </c>
      <c r="K38" s="19"/>
      <c r="L38" s="19"/>
      <c r="M38" s="19"/>
    </row>
    <row r="39" spans="1:13" ht="15.2" customHeight="1" thickBot="1" x14ac:dyDescent="0.25">
      <c r="A39" s="19"/>
      <c r="B39" s="19"/>
      <c r="C39" s="19"/>
      <c r="D39" s="23"/>
      <c r="E39" s="5"/>
      <c r="F39" s="3">
        <v>57</v>
      </c>
      <c r="G39" s="17"/>
      <c r="H39" s="17"/>
      <c r="I39" s="17"/>
      <c r="J39" s="27">
        <f t="shared" si="1"/>
        <v>57</v>
      </c>
      <c r="K39" s="19"/>
      <c r="L39" s="19"/>
      <c r="M39" s="19"/>
    </row>
    <row r="40" spans="1:13" ht="15.2" customHeight="1" thickBot="1" x14ac:dyDescent="0.25">
      <c r="A40" s="19"/>
      <c r="B40" s="19"/>
      <c r="C40" s="19"/>
      <c r="D40" s="23"/>
      <c r="E40" s="5"/>
      <c r="F40" s="3">
        <v>13.5</v>
      </c>
      <c r="G40" s="17"/>
      <c r="H40" s="17"/>
      <c r="I40" s="17"/>
      <c r="J40" s="27">
        <f t="shared" si="1"/>
        <v>13.5</v>
      </c>
      <c r="K40" s="30">
        <f>SUM(J29:J40)</f>
        <v>361.15999999999997</v>
      </c>
      <c r="L40" s="19"/>
      <c r="M40" s="19"/>
    </row>
    <row r="41" spans="1:13" ht="30.6" customHeight="1" thickBot="1" x14ac:dyDescent="0.25">
      <c r="A41" s="10" t="s">
        <v>83</v>
      </c>
      <c r="B41" s="5" t="s">
        <v>84</v>
      </c>
      <c r="C41" s="5" t="s">
        <v>85</v>
      </c>
      <c r="D41" s="46" t="s">
        <v>86</v>
      </c>
      <c r="E41" s="46"/>
      <c r="F41" s="46"/>
      <c r="G41" s="46"/>
      <c r="H41" s="46"/>
      <c r="I41" s="46"/>
      <c r="J41" s="46"/>
      <c r="K41" s="17">
        <f>SUM(K43:K43)</f>
        <v>1.8</v>
      </c>
      <c r="L41" s="18">
        <f>ROUND(9.64*(1+M2/100),2)</f>
        <v>9.93</v>
      </c>
      <c r="M41" s="18">
        <f>ROUND(K41*L41,2)</f>
        <v>17.87</v>
      </c>
    </row>
    <row r="42" spans="1:13" ht="15.2" customHeight="1" thickBot="1" x14ac:dyDescent="0.25">
      <c r="A42" s="19"/>
      <c r="B42" s="19"/>
      <c r="C42" s="19"/>
      <c r="D42" s="19"/>
      <c r="E42" s="20"/>
      <c r="F42" s="22" t="s">
        <v>87</v>
      </c>
      <c r="G42" s="22" t="s">
        <v>88</v>
      </c>
      <c r="H42" s="22" t="s">
        <v>89</v>
      </c>
      <c r="I42" s="22" t="s">
        <v>90</v>
      </c>
      <c r="J42" s="22" t="s">
        <v>91</v>
      </c>
      <c r="K42" s="22" t="s">
        <v>92</v>
      </c>
      <c r="L42" s="19"/>
      <c r="M42" s="19"/>
    </row>
    <row r="43" spans="1:13" ht="21.4" customHeight="1" thickBot="1" x14ac:dyDescent="0.25">
      <c r="A43" s="19"/>
      <c r="B43" s="19"/>
      <c r="C43" s="19"/>
      <c r="D43" s="23"/>
      <c r="E43" s="24" t="s">
        <v>93</v>
      </c>
      <c r="F43" s="25"/>
      <c r="G43" s="26">
        <v>1.2</v>
      </c>
      <c r="H43" s="26"/>
      <c r="I43" s="26">
        <v>1.5</v>
      </c>
      <c r="J43" s="28">
        <f>ROUND(G43*I43,3)</f>
        <v>1.8</v>
      </c>
      <c r="K43" s="31">
        <f>SUM(J43:J43)</f>
        <v>1.8</v>
      </c>
      <c r="L43" s="19"/>
      <c r="M43" s="19"/>
    </row>
    <row r="44" spans="1:13" ht="15.4" customHeight="1" thickBot="1" x14ac:dyDescent="0.25">
      <c r="A44" s="32"/>
      <c r="B44" s="32"/>
      <c r="C44" s="32"/>
      <c r="D44" s="33" t="s">
        <v>94</v>
      </c>
      <c r="E44" s="34"/>
      <c r="F44" s="34"/>
      <c r="G44" s="34"/>
      <c r="H44" s="34"/>
      <c r="I44" s="34"/>
      <c r="J44" s="34"/>
      <c r="K44" s="34"/>
      <c r="L44" s="35">
        <f>M6+M14+M18+M22+M27+M41</f>
        <v>5204.1500000000005</v>
      </c>
      <c r="M44" s="35">
        <f>ROUND(L44,2)</f>
        <v>5204.1499999999996</v>
      </c>
    </row>
    <row r="45" spans="1:13" ht="15.4" customHeight="1" thickBot="1" x14ac:dyDescent="0.25">
      <c r="A45" s="36" t="s">
        <v>95</v>
      </c>
      <c r="B45" s="36" t="s">
        <v>96</v>
      </c>
      <c r="C45" s="37"/>
      <c r="D45" s="47" t="s">
        <v>97</v>
      </c>
      <c r="E45" s="47"/>
      <c r="F45" s="47"/>
      <c r="G45" s="47"/>
      <c r="H45" s="47"/>
      <c r="I45" s="47"/>
      <c r="J45" s="47"/>
      <c r="K45" s="37"/>
      <c r="L45" s="38">
        <f>L64</f>
        <v>4774.3</v>
      </c>
      <c r="M45" s="38">
        <f>ROUND(L45,2)</f>
        <v>4774.3</v>
      </c>
    </row>
    <row r="46" spans="1:13" ht="15.4" customHeight="1" thickBot="1" x14ac:dyDescent="0.25">
      <c r="A46" s="10" t="s">
        <v>98</v>
      </c>
      <c r="B46" s="5" t="s">
        <v>99</v>
      </c>
      <c r="C46" s="5" t="s">
        <v>100</v>
      </c>
      <c r="D46" s="46" t="s">
        <v>101</v>
      </c>
      <c r="E46" s="46"/>
      <c r="F46" s="46"/>
      <c r="G46" s="46"/>
      <c r="H46" s="46"/>
      <c r="I46" s="46"/>
      <c r="J46" s="46"/>
      <c r="K46" s="17">
        <f>SUM(K48:K48)</f>
        <v>18.899999999999999</v>
      </c>
      <c r="L46" s="18">
        <f>ROUND(35.64*(1+M2/100),2)</f>
        <v>36.71</v>
      </c>
      <c r="M46" s="18">
        <f>ROUND(K46*L46,2)</f>
        <v>693.82</v>
      </c>
    </row>
    <row r="47" spans="1:13" ht="15.2" customHeight="1" thickBot="1" x14ac:dyDescent="0.25">
      <c r="A47" s="19"/>
      <c r="B47" s="19"/>
      <c r="C47" s="19"/>
      <c r="D47" s="19"/>
      <c r="E47" s="20"/>
      <c r="F47" s="22" t="s">
        <v>102</v>
      </c>
      <c r="G47" s="22" t="s">
        <v>103</v>
      </c>
      <c r="H47" s="22" t="s">
        <v>104</v>
      </c>
      <c r="I47" s="22" t="s">
        <v>105</v>
      </c>
      <c r="J47" s="22" t="s">
        <v>106</v>
      </c>
      <c r="K47" s="22" t="s">
        <v>107</v>
      </c>
      <c r="L47" s="19"/>
      <c r="M47" s="19"/>
    </row>
    <row r="48" spans="1:13" ht="21.4" customHeight="1" thickBot="1" x14ac:dyDescent="0.25">
      <c r="A48" s="19"/>
      <c r="B48" s="19"/>
      <c r="C48" s="19"/>
      <c r="D48" s="23"/>
      <c r="E48" s="24" t="s">
        <v>108</v>
      </c>
      <c r="F48" s="25"/>
      <c r="G48" s="26">
        <v>6.3</v>
      </c>
      <c r="H48" s="26"/>
      <c r="I48" s="26">
        <v>3</v>
      </c>
      <c r="J48" s="28">
        <f>ROUND(G48*I48,3)</f>
        <v>18.899999999999999</v>
      </c>
      <c r="K48" s="31">
        <f>SUM(J48:J48)</f>
        <v>18.899999999999999</v>
      </c>
      <c r="L48" s="19"/>
      <c r="M48" s="19"/>
    </row>
    <row r="49" spans="1:13" ht="15.4" customHeight="1" thickBot="1" x14ac:dyDescent="0.25">
      <c r="A49" s="10" t="s">
        <v>109</v>
      </c>
      <c r="B49" s="5" t="s">
        <v>110</v>
      </c>
      <c r="C49" s="5" t="s">
        <v>111</v>
      </c>
      <c r="D49" s="46" t="s">
        <v>112</v>
      </c>
      <c r="E49" s="46"/>
      <c r="F49" s="46"/>
      <c r="G49" s="46"/>
      <c r="H49" s="46"/>
      <c r="I49" s="46"/>
      <c r="J49" s="46"/>
      <c r="K49" s="17">
        <f>SUM(K51:K52)</f>
        <v>2</v>
      </c>
      <c r="L49" s="18">
        <f>ROUND(268.04*(1+M2/100),2)</f>
        <v>276.08</v>
      </c>
      <c r="M49" s="18">
        <f>ROUND(K49*L49,2)</f>
        <v>552.16</v>
      </c>
    </row>
    <row r="50" spans="1:13" ht="15.2" customHeight="1" thickBot="1" x14ac:dyDescent="0.25">
      <c r="A50" s="19"/>
      <c r="B50" s="19"/>
      <c r="C50" s="19"/>
      <c r="D50" s="19"/>
      <c r="E50" s="20"/>
      <c r="F50" s="22" t="s">
        <v>113</v>
      </c>
      <c r="G50" s="22" t="s">
        <v>114</v>
      </c>
      <c r="H50" s="22" t="s">
        <v>115</v>
      </c>
      <c r="I50" s="22" t="s">
        <v>116</v>
      </c>
      <c r="J50" s="22" t="s">
        <v>117</v>
      </c>
      <c r="K50" s="22" t="s">
        <v>118</v>
      </c>
      <c r="L50" s="19"/>
      <c r="M50" s="19"/>
    </row>
    <row r="51" spans="1:13" ht="15.2" customHeight="1" thickBot="1" x14ac:dyDescent="0.25">
      <c r="A51" s="19"/>
      <c r="B51" s="19"/>
      <c r="C51" s="19"/>
      <c r="D51" s="23"/>
      <c r="E51" s="24" t="s">
        <v>119</v>
      </c>
      <c r="F51" s="25">
        <v>1</v>
      </c>
      <c r="G51" s="26"/>
      <c r="H51" s="26"/>
      <c r="I51" s="26"/>
      <c r="J51" s="28">
        <f>ROUND(F51,3)</f>
        <v>1</v>
      </c>
      <c r="K51" s="29"/>
      <c r="L51" s="19"/>
      <c r="M51" s="19"/>
    </row>
    <row r="52" spans="1:13" ht="15.2" customHeight="1" thickBot="1" x14ac:dyDescent="0.25">
      <c r="A52" s="19"/>
      <c r="B52" s="19"/>
      <c r="C52" s="19"/>
      <c r="D52" s="23"/>
      <c r="E52" s="5" t="s">
        <v>120</v>
      </c>
      <c r="F52" s="3">
        <v>1</v>
      </c>
      <c r="G52" s="17"/>
      <c r="H52" s="17"/>
      <c r="I52" s="17"/>
      <c r="J52" s="27">
        <f>ROUND(F52,3)</f>
        <v>1</v>
      </c>
      <c r="K52" s="30">
        <f>SUM(J51:J52)</f>
        <v>2</v>
      </c>
      <c r="L52" s="19"/>
      <c r="M52" s="19"/>
    </row>
    <row r="53" spans="1:13" ht="39.75" customHeight="1" thickBot="1" x14ac:dyDescent="0.25">
      <c r="A53" s="10" t="s">
        <v>121</v>
      </c>
      <c r="B53" s="5" t="s">
        <v>122</v>
      </c>
      <c r="C53" s="5" t="s">
        <v>123</v>
      </c>
      <c r="D53" s="46" t="s">
        <v>124</v>
      </c>
      <c r="E53" s="46"/>
      <c r="F53" s="46"/>
      <c r="G53" s="46"/>
      <c r="H53" s="46"/>
      <c r="I53" s="46"/>
      <c r="J53" s="46"/>
      <c r="K53" s="17">
        <f>SUM(K55:K57)</f>
        <v>7</v>
      </c>
      <c r="L53" s="18">
        <f>ROUND(199.36*(1+M2/100),2)</f>
        <v>205.34</v>
      </c>
      <c r="M53" s="18">
        <f>ROUND(K53*L53,2)</f>
        <v>1437.38</v>
      </c>
    </row>
    <row r="54" spans="1:13" ht="15.2" customHeight="1" thickBot="1" x14ac:dyDescent="0.25">
      <c r="A54" s="19"/>
      <c r="B54" s="19"/>
      <c r="C54" s="19"/>
      <c r="D54" s="19"/>
      <c r="E54" s="20"/>
      <c r="F54" s="22" t="s">
        <v>125</v>
      </c>
      <c r="G54" s="22" t="s">
        <v>126</v>
      </c>
      <c r="H54" s="22" t="s">
        <v>127</v>
      </c>
      <c r="I54" s="22" t="s">
        <v>128</v>
      </c>
      <c r="J54" s="22" t="s">
        <v>129</v>
      </c>
      <c r="K54" s="22" t="s">
        <v>130</v>
      </c>
      <c r="L54" s="19"/>
      <c r="M54" s="19"/>
    </row>
    <row r="55" spans="1:13" ht="15.2" customHeight="1" thickBot="1" x14ac:dyDescent="0.25">
      <c r="A55" s="19"/>
      <c r="B55" s="19"/>
      <c r="C55" s="19"/>
      <c r="D55" s="23"/>
      <c r="E55" s="24" t="s">
        <v>131</v>
      </c>
      <c r="F55" s="25">
        <v>2</v>
      </c>
      <c r="G55" s="26"/>
      <c r="H55" s="26"/>
      <c r="I55" s="26"/>
      <c r="J55" s="28">
        <f>ROUND(F55,3)</f>
        <v>2</v>
      </c>
      <c r="K55" s="29"/>
      <c r="L55" s="19"/>
      <c r="M55" s="19"/>
    </row>
    <row r="56" spans="1:13" ht="15.2" customHeight="1" thickBot="1" x14ac:dyDescent="0.25">
      <c r="A56" s="19"/>
      <c r="B56" s="19"/>
      <c r="C56" s="19"/>
      <c r="D56" s="23"/>
      <c r="E56" s="5" t="s">
        <v>132</v>
      </c>
      <c r="F56" s="3">
        <v>1</v>
      </c>
      <c r="G56" s="17"/>
      <c r="H56" s="17"/>
      <c r="I56" s="17"/>
      <c r="J56" s="27">
        <f>ROUND(F56,3)</f>
        <v>1</v>
      </c>
      <c r="K56" s="19"/>
      <c r="L56" s="19"/>
      <c r="M56" s="19"/>
    </row>
    <row r="57" spans="1:13" ht="15.2" customHeight="1" thickBot="1" x14ac:dyDescent="0.25">
      <c r="A57" s="19"/>
      <c r="B57" s="19"/>
      <c r="C57" s="19"/>
      <c r="D57" s="23"/>
      <c r="E57" s="5" t="s">
        <v>133</v>
      </c>
      <c r="F57" s="3">
        <v>4</v>
      </c>
      <c r="G57" s="17"/>
      <c r="H57" s="17"/>
      <c r="I57" s="17"/>
      <c r="J57" s="27">
        <f>ROUND(F57,3)</f>
        <v>4</v>
      </c>
      <c r="K57" s="30">
        <f>SUM(J55:J57)</f>
        <v>7</v>
      </c>
      <c r="L57" s="19"/>
      <c r="M57" s="19"/>
    </row>
    <row r="58" spans="1:13" ht="15.4" customHeight="1" thickBot="1" x14ac:dyDescent="0.25">
      <c r="A58" s="10" t="s">
        <v>134</v>
      </c>
      <c r="B58" s="5" t="s">
        <v>135</v>
      </c>
      <c r="C58" s="5" t="s">
        <v>136</v>
      </c>
      <c r="D58" s="46" t="s">
        <v>137</v>
      </c>
      <c r="E58" s="46"/>
      <c r="F58" s="46"/>
      <c r="G58" s="46"/>
      <c r="H58" s="46"/>
      <c r="I58" s="46"/>
      <c r="J58" s="46"/>
      <c r="K58" s="17">
        <f>SUM(K60:K60)</f>
        <v>1</v>
      </c>
      <c r="L58" s="18">
        <f>ROUND(1020.835*(1+M2/100),2)</f>
        <v>1051.46</v>
      </c>
      <c r="M58" s="18">
        <f>ROUND(K58*L58,2)</f>
        <v>1051.46</v>
      </c>
    </row>
    <row r="59" spans="1:13" ht="15.2" customHeight="1" thickBot="1" x14ac:dyDescent="0.25">
      <c r="A59" s="19"/>
      <c r="B59" s="19"/>
      <c r="C59" s="19"/>
      <c r="D59" s="19"/>
      <c r="E59" s="20"/>
      <c r="F59" s="22" t="s">
        <v>138</v>
      </c>
      <c r="G59" s="22" t="s">
        <v>139</v>
      </c>
      <c r="H59" s="22" t="s">
        <v>140</v>
      </c>
      <c r="I59" s="22" t="s">
        <v>141</v>
      </c>
      <c r="J59" s="22" t="s">
        <v>142</v>
      </c>
      <c r="K59" s="22" t="s">
        <v>143</v>
      </c>
      <c r="L59" s="19"/>
      <c r="M59" s="19"/>
    </row>
    <row r="60" spans="1:13" ht="15.2" customHeight="1" thickBot="1" x14ac:dyDescent="0.25">
      <c r="A60" s="19"/>
      <c r="B60" s="19"/>
      <c r="C60" s="19"/>
      <c r="D60" s="23"/>
      <c r="E60" s="24" t="s">
        <v>144</v>
      </c>
      <c r="F60" s="25">
        <v>1</v>
      </c>
      <c r="G60" s="26"/>
      <c r="H60" s="26"/>
      <c r="I60" s="26"/>
      <c r="J60" s="28">
        <f>ROUND(F60,3)</f>
        <v>1</v>
      </c>
      <c r="K60" s="31">
        <f>SUM(J60:J60)</f>
        <v>1</v>
      </c>
      <c r="L60" s="19"/>
      <c r="M60" s="19"/>
    </row>
    <row r="61" spans="1:13" ht="15.4" customHeight="1" thickBot="1" x14ac:dyDescent="0.25">
      <c r="A61" s="10" t="s">
        <v>145</v>
      </c>
      <c r="B61" s="5" t="s">
        <v>146</v>
      </c>
      <c r="C61" s="5" t="s">
        <v>147</v>
      </c>
      <c r="D61" s="46" t="s">
        <v>148</v>
      </c>
      <c r="E61" s="46"/>
      <c r="F61" s="46"/>
      <c r="G61" s="46"/>
      <c r="H61" s="46"/>
      <c r="I61" s="46"/>
      <c r="J61" s="46"/>
      <c r="K61" s="17">
        <f>SUM(K63:K63)</f>
        <v>1</v>
      </c>
      <c r="L61" s="18">
        <f>ROUND(1009.2*(1+M2/100),2)</f>
        <v>1039.48</v>
      </c>
      <c r="M61" s="18">
        <f>ROUND(K61*L61,2)</f>
        <v>1039.48</v>
      </c>
    </row>
    <row r="62" spans="1:13" ht="15.2" customHeight="1" thickBot="1" x14ac:dyDescent="0.25">
      <c r="A62" s="19"/>
      <c r="B62" s="19"/>
      <c r="C62" s="19"/>
      <c r="D62" s="19"/>
      <c r="E62" s="20"/>
      <c r="F62" s="22" t="s">
        <v>149</v>
      </c>
      <c r="G62" s="22" t="s">
        <v>150</v>
      </c>
      <c r="H62" s="22" t="s">
        <v>151</v>
      </c>
      <c r="I62" s="22" t="s">
        <v>152</v>
      </c>
      <c r="J62" s="22" t="s">
        <v>153</v>
      </c>
      <c r="K62" s="22" t="s">
        <v>154</v>
      </c>
      <c r="L62" s="19"/>
      <c r="M62" s="19"/>
    </row>
    <row r="63" spans="1:13" ht="21.4" customHeight="1" thickBot="1" x14ac:dyDescent="0.25">
      <c r="A63" s="19"/>
      <c r="B63" s="19"/>
      <c r="C63" s="19"/>
      <c r="D63" s="23"/>
      <c r="E63" s="24" t="s">
        <v>155</v>
      </c>
      <c r="F63" s="25">
        <v>1</v>
      </c>
      <c r="G63" s="26"/>
      <c r="H63" s="26"/>
      <c r="I63" s="26"/>
      <c r="J63" s="28">
        <f>ROUND(F63,3)</f>
        <v>1</v>
      </c>
      <c r="K63" s="31">
        <f>SUM(J63:J63)</f>
        <v>1</v>
      </c>
      <c r="L63" s="19"/>
      <c r="M63" s="19"/>
    </row>
    <row r="64" spans="1:13" ht="15.4" customHeight="1" thickBot="1" x14ac:dyDescent="0.25">
      <c r="A64" s="32"/>
      <c r="B64" s="32"/>
      <c r="C64" s="32"/>
      <c r="D64" s="33" t="s">
        <v>156</v>
      </c>
      <c r="E64" s="34"/>
      <c r="F64" s="34"/>
      <c r="G64" s="34"/>
      <c r="H64" s="34"/>
      <c r="I64" s="34"/>
      <c r="J64" s="34"/>
      <c r="K64" s="34"/>
      <c r="L64" s="35">
        <f>M46+M49+M53+M58+M61</f>
        <v>4774.3</v>
      </c>
      <c r="M64" s="35">
        <f>ROUND(L64,2)</f>
        <v>4774.3</v>
      </c>
    </row>
    <row r="65" spans="1:13" ht="15.4" customHeight="1" thickBot="1" x14ac:dyDescent="0.25">
      <c r="A65" s="36" t="s">
        <v>157</v>
      </c>
      <c r="B65" s="36" t="s">
        <v>158</v>
      </c>
      <c r="C65" s="37"/>
      <c r="D65" s="47" t="s">
        <v>159</v>
      </c>
      <c r="E65" s="47"/>
      <c r="F65" s="47"/>
      <c r="G65" s="47"/>
      <c r="H65" s="47"/>
      <c r="I65" s="47"/>
      <c r="J65" s="47"/>
      <c r="K65" s="37"/>
      <c r="L65" s="38">
        <f>L81</f>
        <v>17732.93</v>
      </c>
      <c r="M65" s="38">
        <f>ROUND(L65,2)</f>
        <v>17732.93</v>
      </c>
    </row>
    <row r="66" spans="1:13" ht="15.4" customHeight="1" thickBot="1" x14ac:dyDescent="0.25">
      <c r="A66" s="10" t="s">
        <v>160</v>
      </c>
      <c r="B66" s="5" t="s">
        <v>161</v>
      </c>
      <c r="C66" s="5" t="s">
        <v>162</v>
      </c>
      <c r="D66" s="46" t="s">
        <v>163</v>
      </c>
      <c r="E66" s="46"/>
      <c r="F66" s="46"/>
      <c r="G66" s="46"/>
      <c r="H66" s="46"/>
      <c r="I66" s="46"/>
      <c r="J66" s="46"/>
      <c r="K66" s="17">
        <f>SUM(K68:K71)</f>
        <v>4.5</v>
      </c>
      <c r="L66" s="18">
        <f>ROUND(541.53*(1+M2/100),2)</f>
        <v>557.78</v>
      </c>
      <c r="M66" s="18">
        <f>ROUND(K66*L66,2)</f>
        <v>2510.0100000000002</v>
      </c>
    </row>
    <row r="67" spans="1:13" ht="15.2" customHeight="1" thickBot="1" x14ac:dyDescent="0.25">
      <c r="A67" s="19"/>
      <c r="B67" s="19"/>
      <c r="C67" s="19"/>
      <c r="D67" s="19"/>
      <c r="E67" s="20"/>
      <c r="F67" s="22" t="s">
        <v>164</v>
      </c>
      <c r="G67" s="22" t="s">
        <v>165</v>
      </c>
      <c r="H67" s="22" t="s">
        <v>166</v>
      </c>
      <c r="I67" s="22" t="s">
        <v>167</v>
      </c>
      <c r="J67" s="22" t="s">
        <v>168</v>
      </c>
      <c r="K67" s="22" t="s">
        <v>169</v>
      </c>
      <c r="L67" s="19"/>
      <c r="M67" s="19"/>
    </row>
    <row r="68" spans="1:13" ht="15.2" customHeight="1" thickBot="1" x14ac:dyDescent="0.25">
      <c r="A68" s="19"/>
      <c r="B68" s="19"/>
      <c r="C68" s="19"/>
      <c r="D68" s="23"/>
      <c r="E68" s="24" t="s">
        <v>170</v>
      </c>
      <c r="F68" s="25">
        <v>2</v>
      </c>
      <c r="G68" s="26"/>
      <c r="H68" s="26"/>
      <c r="I68" s="26"/>
      <c r="J68" s="28">
        <f>ROUND(F68,3)</f>
        <v>2</v>
      </c>
      <c r="K68" s="29"/>
      <c r="L68" s="19"/>
      <c r="M68" s="19"/>
    </row>
    <row r="69" spans="1:13" ht="15.2" customHeight="1" thickBot="1" x14ac:dyDescent="0.25">
      <c r="A69" s="19"/>
      <c r="B69" s="19"/>
      <c r="C69" s="19"/>
      <c r="D69" s="23"/>
      <c r="E69" s="5" t="s">
        <v>171</v>
      </c>
      <c r="F69" s="3">
        <v>1</v>
      </c>
      <c r="G69" s="17"/>
      <c r="H69" s="17"/>
      <c r="I69" s="17"/>
      <c r="J69" s="27">
        <f>ROUND(F69,3)</f>
        <v>1</v>
      </c>
      <c r="K69" s="19"/>
      <c r="L69" s="19"/>
      <c r="M69" s="19"/>
    </row>
    <row r="70" spans="1:13" ht="15.2" customHeight="1" thickBot="1" x14ac:dyDescent="0.25">
      <c r="A70" s="19"/>
      <c r="B70" s="19"/>
      <c r="C70" s="19"/>
      <c r="D70" s="23"/>
      <c r="E70" s="5" t="s">
        <v>172</v>
      </c>
      <c r="F70" s="3">
        <v>1</v>
      </c>
      <c r="G70" s="17"/>
      <c r="H70" s="17"/>
      <c r="I70" s="17"/>
      <c r="J70" s="27">
        <f>ROUND(F70,3)</f>
        <v>1</v>
      </c>
      <c r="K70" s="19"/>
      <c r="L70" s="19"/>
      <c r="M70" s="19"/>
    </row>
    <row r="71" spans="1:13" ht="15.2" customHeight="1" thickBot="1" x14ac:dyDescent="0.25">
      <c r="A71" s="19"/>
      <c r="B71" s="19"/>
      <c r="C71" s="19"/>
      <c r="D71" s="23"/>
      <c r="E71" s="5" t="s">
        <v>173</v>
      </c>
      <c r="F71" s="3">
        <v>0.5</v>
      </c>
      <c r="G71" s="17"/>
      <c r="H71" s="17"/>
      <c r="I71" s="17"/>
      <c r="J71" s="27">
        <f>ROUND(F71,3)</f>
        <v>0.5</v>
      </c>
      <c r="K71" s="30">
        <f>SUM(J68:J71)</f>
        <v>4.5</v>
      </c>
      <c r="L71" s="19"/>
      <c r="M71" s="19"/>
    </row>
    <row r="72" spans="1:13" ht="49.15" customHeight="1" thickBot="1" x14ac:dyDescent="0.25">
      <c r="A72" s="10" t="s">
        <v>174</v>
      </c>
      <c r="B72" s="5" t="s">
        <v>175</v>
      </c>
      <c r="C72" s="5" t="s">
        <v>176</v>
      </c>
      <c r="D72" s="46" t="s">
        <v>177</v>
      </c>
      <c r="E72" s="46"/>
      <c r="F72" s="46"/>
      <c r="G72" s="46"/>
      <c r="H72" s="46"/>
      <c r="I72" s="46"/>
      <c r="J72" s="46"/>
      <c r="K72" s="17">
        <f>ROUND(1,2)</f>
        <v>1</v>
      </c>
      <c r="L72" s="18">
        <f>ROUND(5600.82*(1+M2/100),2)</f>
        <v>5768.84</v>
      </c>
      <c r="M72" s="18">
        <f>ROUND(K72*L72,2)</f>
        <v>5768.84</v>
      </c>
    </row>
    <row r="73" spans="1:13" ht="15.4" customHeight="1" thickBot="1" x14ac:dyDescent="0.25">
      <c r="A73" s="10" t="s">
        <v>178</v>
      </c>
      <c r="B73" s="5" t="s">
        <v>179</v>
      </c>
      <c r="C73" s="5" t="s">
        <v>180</v>
      </c>
      <c r="D73" s="46" t="s">
        <v>181</v>
      </c>
      <c r="E73" s="46"/>
      <c r="F73" s="46"/>
      <c r="G73" s="46"/>
      <c r="H73" s="46"/>
      <c r="I73" s="46"/>
      <c r="J73" s="46"/>
      <c r="K73" s="17">
        <f>SUM(K75:K78)</f>
        <v>3.5</v>
      </c>
      <c r="L73" s="18">
        <f>ROUND(703.99*(1+M2/100),2)</f>
        <v>725.11</v>
      </c>
      <c r="M73" s="18">
        <f>ROUND(K73*L73,2)</f>
        <v>2537.89</v>
      </c>
    </row>
    <row r="74" spans="1:13" ht="15.2" customHeight="1" thickBot="1" x14ac:dyDescent="0.25">
      <c r="A74" s="19"/>
      <c r="B74" s="19"/>
      <c r="C74" s="19"/>
      <c r="D74" s="19"/>
      <c r="E74" s="20"/>
      <c r="F74" s="22" t="s">
        <v>182</v>
      </c>
      <c r="G74" s="22" t="s">
        <v>183</v>
      </c>
      <c r="H74" s="22" t="s">
        <v>184</v>
      </c>
      <c r="I74" s="22" t="s">
        <v>185</v>
      </c>
      <c r="J74" s="22" t="s">
        <v>186</v>
      </c>
      <c r="K74" s="22" t="s">
        <v>187</v>
      </c>
      <c r="L74" s="19"/>
      <c r="M74" s="19"/>
    </row>
    <row r="75" spans="1:13" ht="15.2" customHeight="1" thickBot="1" x14ac:dyDescent="0.25">
      <c r="A75" s="19"/>
      <c r="B75" s="19"/>
      <c r="C75" s="19"/>
      <c r="D75" s="23"/>
      <c r="E75" s="24" t="s">
        <v>188</v>
      </c>
      <c r="F75" s="25">
        <v>2</v>
      </c>
      <c r="G75" s="26"/>
      <c r="H75" s="26"/>
      <c r="I75" s="26"/>
      <c r="J75" s="28">
        <f>ROUND(F75,3)</f>
        <v>2</v>
      </c>
      <c r="K75" s="29"/>
      <c r="L75" s="19"/>
      <c r="M75" s="19"/>
    </row>
    <row r="76" spans="1:13" ht="15.2" customHeight="1" thickBot="1" x14ac:dyDescent="0.25">
      <c r="A76" s="19"/>
      <c r="B76" s="19"/>
      <c r="C76" s="19"/>
      <c r="D76" s="23"/>
      <c r="E76" s="5" t="s">
        <v>189</v>
      </c>
      <c r="F76" s="3">
        <v>1</v>
      </c>
      <c r="G76" s="17"/>
      <c r="H76" s="17"/>
      <c r="I76" s="17"/>
      <c r="J76" s="27">
        <f>ROUND(F76,3)</f>
        <v>1</v>
      </c>
      <c r="K76" s="19"/>
      <c r="L76" s="19"/>
      <c r="M76" s="19"/>
    </row>
    <row r="77" spans="1:13" ht="15.2" customHeight="1" thickBot="1" x14ac:dyDescent="0.25">
      <c r="A77" s="19"/>
      <c r="B77" s="19"/>
      <c r="C77" s="19"/>
      <c r="D77" s="23"/>
      <c r="E77" s="5" t="s">
        <v>190</v>
      </c>
      <c r="F77" s="3">
        <v>0.5</v>
      </c>
      <c r="G77" s="17"/>
      <c r="H77" s="17"/>
      <c r="I77" s="17"/>
      <c r="J77" s="27">
        <f>ROUND(F77,3)</f>
        <v>0.5</v>
      </c>
      <c r="K77" s="19"/>
      <c r="L77" s="19"/>
      <c r="M77" s="19"/>
    </row>
    <row r="78" spans="1:13" ht="15.2" customHeight="1" thickBot="1" x14ac:dyDescent="0.25">
      <c r="A78" s="19"/>
      <c r="B78" s="19"/>
      <c r="C78" s="19"/>
      <c r="D78" s="23"/>
      <c r="E78" s="5" t="s">
        <v>191</v>
      </c>
      <c r="F78" s="3"/>
      <c r="G78" s="17"/>
      <c r="H78" s="17"/>
      <c r="I78" s="17"/>
      <c r="J78" s="21" t="s">
        <v>192</v>
      </c>
      <c r="K78" s="30">
        <f>SUM(J75:J78)</f>
        <v>3.5</v>
      </c>
      <c r="L78" s="19"/>
      <c r="M78" s="19"/>
    </row>
    <row r="79" spans="1:13" ht="15.4" customHeight="1" thickBot="1" x14ac:dyDescent="0.25">
      <c r="A79" s="10" t="s">
        <v>193</v>
      </c>
      <c r="B79" s="5" t="s">
        <v>194</v>
      </c>
      <c r="C79" s="5" t="s">
        <v>195</v>
      </c>
      <c r="D79" s="46" t="s">
        <v>196</v>
      </c>
      <c r="E79" s="46"/>
      <c r="F79" s="46"/>
      <c r="G79" s="46"/>
      <c r="H79" s="46"/>
      <c r="I79" s="46"/>
      <c r="J79" s="46"/>
      <c r="K79" s="17">
        <f>ROUND(4,2)</f>
        <v>4</v>
      </c>
      <c r="L79" s="18">
        <f>ROUND(866.42*(1+M2/100),2)</f>
        <v>892.41</v>
      </c>
      <c r="M79" s="18">
        <f>ROUND(K79*L79,2)</f>
        <v>3569.64</v>
      </c>
    </row>
    <row r="80" spans="1:13" ht="15.4" customHeight="1" thickBot="1" x14ac:dyDescent="0.25">
      <c r="A80" s="10" t="s">
        <v>197</v>
      </c>
      <c r="B80" s="5" t="s">
        <v>198</v>
      </c>
      <c r="C80" s="5" t="s">
        <v>199</v>
      </c>
      <c r="D80" s="46" t="s">
        <v>200</v>
      </c>
      <c r="E80" s="46"/>
      <c r="F80" s="46"/>
      <c r="G80" s="46"/>
      <c r="H80" s="46"/>
      <c r="I80" s="46"/>
      <c r="J80" s="46"/>
      <c r="K80" s="17">
        <f>ROUND(1,2)</f>
        <v>1</v>
      </c>
      <c r="L80" s="18">
        <f>ROUND(3249.08*(1+M2/100),2)</f>
        <v>3346.55</v>
      </c>
      <c r="M80" s="18">
        <f>ROUND(K80*L80,2)</f>
        <v>3346.55</v>
      </c>
    </row>
    <row r="81" spans="1:13" ht="15.4" customHeight="1" thickBot="1" x14ac:dyDescent="0.25">
      <c r="A81" s="32"/>
      <c r="B81" s="32"/>
      <c r="C81" s="32"/>
      <c r="D81" s="33" t="s">
        <v>201</v>
      </c>
      <c r="E81" s="34"/>
      <c r="F81" s="34"/>
      <c r="G81" s="34"/>
      <c r="H81" s="34"/>
      <c r="I81" s="34"/>
      <c r="J81" s="34"/>
      <c r="K81" s="34"/>
      <c r="L81" s="35">
        <f>M66+M72+M73+M79+M80</f>
        <v>17732.93</v>
      </c>
      <c r="M81" s="35">
        <f>ROUND(L81,2)</f>
        <v>17732.93</v>
      </c>
    </row>
    <row r="82" spans="1:13" ht="15.4" customHeight="1" thickBot="1" x14ac:dyDescent="0.25">
      <c r="A82" s="36" t="s">
        <v>202</v>
      </c>
      <c r="B82" s="36" t="s">
        <v>203</v>
      </c>
      <c r="C82" s="37"/>
      <c r="D82" s="47" t="s">
        <v>204</v>
      </c>
      <c r="E82" s="47"/>
      <c r="F82" s="47"/>
      <c r="G82" s="47"/>
      <c r="H82" s="47"/>
      <c r="I82" s="47"/>
      <c r="J82" s="47"/>
      <c r="K82" s="37"/>
      <c r="L82" s="38">
        <f>L121</f>
        <v>36496.959999999992</v>
      </c>
      <c r="M82" s="38">
        <f>ROUND(L82,2)</f>
        <v>36496.959999999999</v>
      </c>
    </row>
    <row r="83" spans="1:13" ht="30.6" customHeight="1" thickBot="1" x14ac:dyDescent="0.25">
      <c r="A83" s="10" t="s">
        <v>205</v>
      </c>
      <c r="B83" s="5" t="s">
        <v>206</v>
      </c>
      <c r="C83" s="5" t="s">
        <v>207</v>
      </c>
      <c r="D83" s="46" t="s">
        <v>208</v>
      </c>
      <c r="E83" s="46"/>
      <c r="F83" s="46"/>
      <c r="G83" s="46"/>
      <c r="H83" s="46"/>
      <c r="I83" s="46"/>
      <c r="J83" s="46"/>
      <c r="K83" s="17">
        <f>SUM(K85:K86)</f>
        <v>3</v>
      </c>
      <c r="L83" s="18">
        <f>ROUND(304.05*(1+M2/100),2)</f>
        <v>313.17</v>
      </c>
      <c r="M83" s="18">
        <f>ROUND(K83*L83,2)</f>
        <v>939.51</v>
      </c>
    </row>
    <row r="84" spans="1:13" ht="15.2" customHeight="1" thickBot="1" x14ac:dyDescent="0.25">
      <c r="A84" s="19"/>
      <c r="B84" s="19"/>
      <c r="C84" s="19"/>
      <c r="D84" s="19"/>
      <c r="E84" s="20"/>
      <c r="F84" s="22" t="s">
        <v>209</v>
      </c>
      <c r="G84" s="22" t="s">
        <v>210</v>
      </c>
      <c r="H84" s="22" t="s">
        <v>211</v>
      </c>
      <c r="I84" s="22" t="s">
        <v>212</v>
      </c>
      <c r="J84" s="22" t="s">
        <v>213</v>
      </c>
      <c r="K84" s="22" t="s">
        <v>214</v>
      </c>
      <c r="L84" s="19"/>
      <c r="M84" s="19"/>
    </row>
    <row r="85" spans="1:13" ht="15.2" customHeight="1" thickBot="1" x14ac:dyDescent="0.25">
      <c r="A85" s="19"/>
      <c r="B85" s="19"/>
      <c r="C85" s="19"/>
      <c r="D85" s="23"/>
      <c r="E85" s="24" t="s">
        <v>215</v>
      </c>
      <c r="F85" s="25">
        <v>1</v>
      </c>
      <c r="G85" s="26"/>
      <c r="H85" s="26"/>
      <c r="I85" s="26"/>
      <c r="J85" s="28">
        <f>ROUND(F85,3)</f>
        <v>1</v>
      </c>
      <c r="K85" s="29"/>
      <c r="L85" s="19"/>
      <c r="M85" s="19"/>
    </row>
    <row r="86" spans="1:13" ht="15.2" customHeight="1" thickBot="1" x14ac:dyDescent="0.25">
      <c r="A86" s="19"/>
      <c r="B86" s="19"/>
      <c r="C86" s="19"/>
      <c r="D86" s="23"/>
      <c r="E86" s="5" t="s">
        <v>216</v>
      </c>
      <c r="F86" s="3">
        <v>2</v>
      </c>
      <c r="G86" s="17"/>
      <c r="H86" s="17"/>
      <c r="I86" s="17"/>
      <c r="J86" s="27">
        <f>ROUND(F86,3)</f>
        <v>2</v>
      </c>
      <c r="K86" s="30">
        <f>SUM(J85:J86)</f>
        <v>3</v>
      </c>
      <c r="L86" s="19"/>
      <c r="M86" s="19"/>
    </row>
    <row r="87" spans="1:13" ht="39.75" customHeight="1" thickBot="1" x14ac:dyDescent="0.25">
      <c r="A87" s="10" t="s">
        <v>217</v>
      </c>
      <c r="B87" s="5" t="s">
        <v>218</v>
      </c>
      <c r="C87" s="5" t="s">
        <v>219</v>
      </c>
      <c r="D87" s="46" t="s">
        <v>220</v>
      </c>
      <c r="E87" s="46"/>
      <c r="F87" s="46"/>
      <c r="G87" s="46"/>
      <c r="H87" s="46"/>
      <c r="I87" s="46"/>
      <c r="J87" s="46"/>
      <c r="K87" s="17">
        <f>SUM(K89:K90)</f>
        <v>2</v>
      </c>
      <c r="L87" s="18">
        <f>ROUND(180.89*(1+M2/100),2)</f>
        <v>186.32</v>
      </c>
      <c r="M87" s="18">
        <f>ROUND(K87*L87,2)</f>
        <v>372.64</v>
      </c>
    </row>
    <row r="88" spans="1:13" ht="15.2" customHeight="1" thickBot="1" x14ac:dyDescent="0.25">
      <c r="A88" s="19"/>
      <c r="B88" s="19"/>
      <c r="C88" s="19"/>
      <c r="D88" s="19"/>
      <c r="E88" s="20"/>
      <c r="F88" s="22" t="s">
        <v>221</v>
      </c>
      <c r="G88" s="22" t="s">
        <v>222</v>
      </c>
      <c r="H88" s="22" t="s">
        <v>223</v>
      </c>
      <c r="I88" s="22" t="s">
        <v>224</v>
      </c>
      <c r="J88" s="22" t="s">
        <v>225</v>
      </c>
      <c r="K88" s="22" t="s">
        <v>226</v>
      </c>
      <c r="L88" s="19"/>
      <c r="M88" s="19"/>
    </row>
    <row r="89" spans="1:13" ht="15.2" customHeight="1" thickBot="1" x14ac:dyDescent="0.25">
      <c r="A89" s="19"/>
      <c r="B89" s="19"/>
      <c r="C89" s="19"/>
      <c r="D89" s="23"/>
      <c r="E89" s="24" t="s">
        <v>227</v>
      </c>
      <c r="F89" s="25">
        <v>1</v>
      </c>
      <c r="G89" s="26"/>
      <c r="H89" s="26"/>
      <c r="I89" s="26"/>
      <c r="J89" s="28">
        <f>ROUND(F89,3)</f>
        <v>1</v>
      </c>
      <c r="K89" s="29"/>
      <c r="L89" s="19"/>
      <c r="M89" s="19"/>
    </row>
    <row r="90" spans="1:13" ht="15.2" customHeight="1" thickBot="1" x14ac:dyDescent="0.25">
      <c r="A90" s="19"/>
      <c r="B90" s="19"/>
      <c r="C90" s="19"/>
      <c r="D90" s="23"/>
      <c r="E90" s="5" t="s">
        <v>228</v>
      </c>
      <c r="F90" s="3">
        <v>1</v>
      </c>
      <c r="G90" s="17"/>
      <c r="H90" s="17"/>
      <c r="I90" s="17"/>
      <c r="J90" s="27">
        <f>ROUND(F90,3)</f>
        <v>1</v>
      </c>
      <c r="K90" s="30">
        <f>SUM(J89:J90)</f>
        <v>2</v>
      </c>
      <c r="L90" s="19"/>
      <c r="M90" s="19"/>
    </row>
    <row r="91" spans="1:13" ht="21.4" customHeight="1" thickBot="1" x14ac:dyDescent="0.25">
      <c r="A91" s="10" t="s">
        <v>229</v>
      </c>
      <c r="B91" s="5" t="s">
        <v>230</v>
      </c>
      <c r="C91" s="5" t="s">
        <v>231</v>
      </c>
      <c r="D91" s="46" t="s">
        <v>232</v>
      </c>
      <c r="E91" s="46"/>
      <c r="F91" s="46"/>
      <c r="G91" s="46"/>
      <c r="H91" s="46"/>
      <c r="I91" s="46"/>
      <c r="J91" s="46"/>
      <c r="K91" s="17">
        <f>SUM(K93:K94)</f>
        <v>2</v>
      </c>
      <c r="L91" s="18">
        <f>ROUND(356.8*(1+M2/100),2)</f>
        <v>367.5</v>
      </c>
      <c r="M91" s="18">
        <f>ROUND(K91*L91,2)</f>
        <v>735</v>
      </c>
    </row>
    <row r="92" spans="1:13" ht="15.2" customHeight="1" thickBot="1" x14ac:dyDescent="0.25">
      <c r="A92" s="19"/>
      <c r="B92" s="19"/>
      <c r="C92" s="19"/>
      <c r="D92" s="19"/>
      <c r="E92" s="20"/>
      <c r="F92" s="22" t="s">
        <v>233</v>
      </c>
      <c r="G92" s="22" t="s">
        <v>234</v>
      </c>
      <c r="H92" s="22" t="s">
        <v>235</v>
      </c>
      <c r="I92" s="22" t="s">
        <v>236</v>
      </c>
      <c r="J92" s="22" t="s">
        <v>237</v>
      </c>
      <c r="K92" s="22" t="s">
        <v>238</v>
      </c>
      <c r="L92" s="19"/>
      <c r="M92" s="19"/>
    </row>
    <row r="93" spans="1:13" ht="15.2" customHeight="1" thickBot="1" x14ac:dyDescent="0.25">
      <c r="A93" s="19"/>
      <c r="B93" s="19"/>
      <c r="C93" s="19"/>
      <c r="D93" s="23"/>
      <c r="E93" s="24" t="s">
        <v>239</v>
      </c>
      <c r="F93" s="25">
        <v>1</v>
      </c>
      <c r="G93" s="26"/>
      <c r="H93" s="26"/>
      <c r="I93" s="26"/>
      <c r="J93" s="28">
        <f>ROUND(F93,3)</f>
        <v>1</v>
      </c>
      <c r="K93" s="29"/>
      <c r="L93" s="19"/>
      <c r="M93" s="19"/>
    </row>
    <row r="94" spans="1:13" ht="15.2" customHeight="1" thickBot="1" x14ac:dyDescent="0.25">
      <c r="A94" s="19"/>
      <c r="B94" s="19"/>
      <c r="C94" s="19"/>
      <c r="D94" s="23"/>
      <c r="E94" s="5" t="s">
        <v>240</v>
      </c>
      <c r="F94" s="3">
        <v>1</v>
      </c>
      <c r="G94" s="17"/>
      <c r="H94" s="17"/>
      <c r="I94" s="17"/>
      <c r="J94" s="27">
        <f>ROUND(F94,3)</f>
        <v>1</v>
      </c>
      <c r="K94" s="30">
        <f>SUM(J93:J94)</f>
        <v>2</v>
      </c>
      <c r="L94" s="19"/>
      <c r="M94" s="19"/>
    </row>
    <row r="95" spans="1:13" ht="15.4" customHeight="1" thickBot="1" x14ac:dyDescent="0.25">
      <c r="A95" s="10" t="s">
        <v>241</v>
      </c>
      <c r="B95" s="5" t="s">
        <v>242</v>
      </c>
      <c r="C95" s="5" t="s">
        <v>243</v>
      </c>
      <c r="D95" s="46" t="s">
        <v>244</v>
      </c>
      <c r="E95" s="46"/>
      <c r="F95" s="46"/>
      <c r="G95" s="46"/>
      <c r="H95" s="46"/>
      <c r="I95" s="46"/>
      <c r="J95" s="46"/>
      <c r="K95" s="17">
        <f>SUM(K97:K97)</f>
        <v>5</v>
      </c>
      <c r="L95" s="18">
        <f>ROUND(1949.36*(1+M2/100),2)</f>
        <v>2007.84</v>
      </c>
      <c r="M95" s="18">
        <f>ROUND(K95*L95,2)</f>
        <v>10039.200000000001</v>
      </c>
    </row>
    <row r="96" spans="1:13" ht="15.2" customHeight="1" thickBot="1" x14ac:dyDescent="0.25">
      <c r="A96" s="19"/>
      <c r="B96" s="19"/>
      <c r="C96" s="19"/>
      <c r="D96" s="19"/>
      <c r="E96" s="20"/>
      <c r="F96" s="22" t="s">
        <v>245</v>
      </c>
      <c r="G96" s="22" t="s">
        <v>246</v>
      </c>
      <c r="H96" s="22" t="s">
        <v>247</v>
      </c>
      <c r="I96" s="22" t="s">
        <v>248</v>
      </c>
      <c r="J96" s="22" t="s">
        <v>249</v>
      </c>
      <c r="K96" s="22" t="s">
        <v>250</v>
      </c>
      <c r="L96" s="19"/>
      <c r="M96" s="19"/>
    </row>
    <row r="97" spans="1:13" ht="15.2" customHeight="1" thickBot="1" x14ac:dyDescent="0.25">
      <c r="A97" s="19"/>
      <c r="B97" s="19"/>
      <c r="C97" s="19"/>
      <c r="D97" s="23"/>
      <c r="E97" s="24"/>
      <c r="F97" s="25">
        <v>5</v>
      </c>
      <c r="G97" s="26"/>
      <c r="H97" s="26"/>
      <c r="I97" s="26"/>
      <c r="J97" s="28">
        <f>ROUND(F97,3)</f>
        <v>5</v>
      </c>
      <c r="K97" s="31">
        <f>SUM(J97:J97)</f>
        <v>5</v>
      </c>
      <c r="L97" s="19"/>
      <c r="M97" s="19"/>
    </row>
    <row r="98" spans="1:13" ht="21.4" customHeight="1" thickBot="1" x14ac:dyDescent="0.25">
      <c r="A98" s="10" t="s">
        <v>251</v>
      </c>
      <c r="B98" s="5" t="s">
        <v>252</v>
      </c>
      <c r="C98" s="5" t="s">
        <v>253</v>
      </c>
      <c r="D98" s="46" t="s">
        <v>254</v>
      </c>
      <c r="E98" s="46"/>
      <c r="F98" s="46"/>
      <c r="G98" s="46"/>
      <c r="H98" s="46"/>
      <c r="I98" s="46"/>
      <c r="J98" s="46"/>
      <c r="K98" s="17">
        <f>ROUND(1,2)</f>
        <v>1</v>
      </c>
      <c r="L98" s="18">
        <f>ROUND(1624.66*(1+M2/100),2)</f>
        <v>1673.4</v>
      </c>
      <c r="M98" s="18">
        <f>ROUND(K98*L98,2)</f>
        <v>1673.4</v>
      </c>
    </row>
    <row r="99" spans="1:13" ht="15.4" customHeight="1" thickBot="1" x14ac:dyDescent="0.25">
      <c r="A99" s="10" t="s">
        <v>255</v>
      </c>
      <c r="B99" s="5" t="s">
        <v>256</v>
      </c>
      <c r="C99" s="5" t="s">
        <v>257</v>
      </c>
      <c r="D99" s="46" t="s">
        <v>258</v>
      </c>
      <c r="E99" s="46"/>
      <c r="F99" s="46"/>
      <c r="G99" s="46"/>
      <c r="H99" s="46"/>
      <c r="I99" s="46"/>
      <c r="J99" s="46"/>
      <c r="K99" s="17">
        <f>SUM(K101:K102)</f>
        <v>28.5</v>
      </c>
      <c r="L99" s="18">
        <f>ROUND(98.85*(1+M2/100),2)</f>
        <v>101.82</v>
      </c>
      <c r="M99" s="18">
        <f>ROUND(K99*L99,2)</f>
        <v>2901.87</v>
      </c>
    </row>
    <row r="100" spans="1:13" ht="15.2" customHeight="1" thickBot="1" x14ac:dyDescent="0.25">
      <c r="A100" s="19"/>
      <c r="B100" s="19"/>
      <c r="C100" s="19"/>
      <c r="D100" s="19"/>
      <c r="E100" s="20"/>
      <c r="F100" s="22" t="s">
        <v>259</v>
      </c>
      <c r="G100" s="22" t="s">
        <v>260</v>
      </c>
      <c r="H100" s="22" t="s">
        <v>261</v>
      </c>
      <c r="I100" s="22" t="s">
        <v>262</v>
      </c>
      <c r="J100" s="22" t="s">
        <v>263</v>
      </c>
      <c r="K100" s="22" t="s">
        <v>264</v>
      </c>
      <c r="L100" s="19"/>
      <c r="M100" s="19"/>
    </row>
    <row r="101" spans="1:13" ht="21.4" customHeight="1" thickBot="1" x14ac:dyDescent="0.25">
      <c r="A101" s="19"/>
      <c r="B101" s="19"/>
      <c r="C101" s="19"/>
      <c r="D101" s="23"/>
      <c r="E101" s="24" t="s">
        <v>265</v>
      </c>
      <c r="F101" s="25">
        <v>8.5</v>
      </c>
      <c r="G101" s="26"/>
      <c r="H101" s="26"/>
      <c r="I101" s="26"/>
      <c r="J101" s="28">
        <f>ROUND(F101,3)</f>
        <v>8.5</v>
      </c>
      <c r="K101" s="29"/>
      <c r="L101" s="19"/>
      <c r="M101" s="19"/>
    </row>
    <row r="102" spans="1:13" ht="15.2" customHeight="1" thickBot="1" x14ac:dyDescent="0.25">
      <c r="A102" s="19"/>
      <c r="B102" s="19"/>
      <c r="C102" s="19"/>
      <c r="D102" s="23"/>
      <c r="E102" s="5"/>
      <c r="F102" s="3">
        <v>20</v>
      </c>
      <c r="G102" s="17"/>
      <c r="H102" s="17"/>
      <c r="I102" s="17"/>
      <c r="J102" s="27">
        <f>ROUND(F102,3)</f>
        <v>20</v>
      </c>
      <c r="K102" s="30">
        <f>SUM(J101:J102)</f>
        <v>28.5</v>
      </c>
      <c r="L102" s="19"/>
      <c r="M102" s="19"/>
    </row>
    <row r="103" spans="1:13" ht="15.4" customHeight="1" thickBot="1" x14ac:dyDescent="0.25">
      <c r="A103" s="10" t="s">
        <v>266</v>
      </c>
      <c r="B103" s="5" t="s">
        <v>267</v>
      </c>
      <c r="C103" s="5" t="s">
        <v>268</v>
      </c>
      <c r="D103" s="46" t="s">
        <v>269</v>
      </c>
      <c r="E103" s="46"/>
      <c r="F103" s="46"/>
      <c r="G103" s="46"/>
      <c r="H103" s="46"/>
      <c r="I103" s="46"/>
      <c r="J103" s="46"/>
      <c r="K103" s="17">
        <f>SUM(K105:K105)</f>
        <v>13</v>
      </c>
      <c r="L103" s="18">
        <f>ROUND(220.38*(1+M2/100),2)</f>
        <v>226.99</v>
      </c>
      <c r="M103" s="18">
        <f>ROUND(K103*L103,2)</f>
        <v>2950.87</v>
      </c>
    </row>
    <row r="104" spans="1:13" ht="15.2" customHeight="1" thickBot="1" x14ac:dyDescent="0.25">
      <c r="A104" s="19"/>
      <c r="B104" s="19"/>
      <c r="C104" s="19"/>
      <c r="D104" s="19"/>
      <c r="E104" s="20"/>
      <c r="F104" s="22" t="s">
        <v>270</v>
      </c>
      <c r="G104" s="22" t="s">
        <v>271</v>
      </c>
      <c r="H104" s="22" t="s">
        <v>272</v>
      </c>
      <c r="I104" s="22" t="s">
        <v>273</v>
      </c>
      <c r="J104" s="22" t="s">
        <v>274</v>
      </c>
      <c r="K104" s="22" t="s">
        <v>275</v>
      </c>
      <c r="L104" s="19"/>
      <c r="M104" s="19"/>
    </row>
    <row r="105" spans="1:13" ht="21.4" customHeight="1" thickBot="1" x14ac:dyDescent="0.25">
      <c r="A105" s="19"/>
      <c r="B105" s="19"/>
      <c r="C105" s="19"/>
      <c r="D105" s="23"/>
      <c r="E105" s="24" t="s">
        <v>276</v>
      </c>
      <c r="F105" s="25">
        <v>13</v>
      </c>
      <c r="G105" s="26"/>
      <c r="H105" s="26"/>
      <c r="I105" s="26"/>
      <c r="J105" s="28">
        <f>ROUND(F105,3)</f>
        <v>13</v>
      </c>
      <c r="K105" s="31">
        <f>SUM(J105:J105)</f>
        <v>13</v>
      </c>
      <c r="L105" s="19"/>
      <c r="M105" s="19"/>
    </row>
    <row r="106" spans="1:13" ht="15.4" customHeight="1" thickBot="1" x14ac:dyDescent="0.25">
      <c r="A106" s="10" t="s">
        <v>277</v>
      </c>
      <c r="B106" s="5" t="s">
        <v>278</v>
      </c>
      <c r="C106" s="5" t="s">
        <v>279</v>
      </c>
      <c r="D106" s="46" t="s">
        <v>280</v>
      </c>
      <c r="E106" s="46"/>
      <c r="F106" s="46"/>
      <c r="G106" s="46"/>
      <c r="H106" s="46"/>
      <c r="I106" s="46"/>
      <c r="J106" s="46"/>
      <c r="K106" s="17">
        <f>SUM(K108:K108)</f>
        <v>1</v>
      </c>
      <c r="L106" s="18">
        <f>ROUND(522.69*(1+M2/100),2)</f>
        <v>538.37</v>
      </c>
      <c r="M106" s="18">
        <f>ROUND(K106*L106,2)</f>
        <v>538.37</v>
      </c>
    </row>
    <row r="107" spans="1:13" ht="15.2" customHeight="1" thickBot="1" x14ac:dyDescent="0.25">
      <c r="A107" s="19"/>
      <c r="B107" s="19"/>
      <c r="C107" s="19"/>
      <c r="D107" s="19"/>
      <c r="E107" s="20"/>
      <c r="F107" s="22" t="s">
        <v>281</v>
      </c>
      <c r="G107" s="22" t="s">
        <v>282</v>
      </c>
      <c r="H107" s="22" t="s">
        <v>283</v>
      </c>
      <c r="I107" s="22" t="s">
        <v>284</v>
      </c>
      <c r="J107" s="22" t="s">
        <v>285</v>
      </c>
      <c r="K107" s="22" t="s">
        <v>286</v>
      </c>
      <c r="L107" s="19"/>
      <c r="M107" s="19"/>
    </row>
    <row r="108" spans="1:13" ht="15.2" customHeight="1" thickBot="1" x14ac:dyDescent="0.25">
      <c r="A108" s="19"/>
      <c r="B108" s="19"/>
      <c r="C108" s="19"/>
      <c r="D108" s="23"/>
      <c r="E108" s="24" t="s">
        <v>287</v>
      </c>
      <c r="F108" s="25">
        <v>1</v>
      </c>
      <c r="G108" s="26"/>
      <c r="H108" s="26"/>
      <c r="I108" s="26"/>
      <c r="J108" s="28">
        <f>ROUND(F108,3)</f>
        <v>1</v>
      </c>
      <c r="K108" s="31">
        <f>SUM(J108:J108)</f>
        <v>1</v>
      </c>
      <c r="L108" s="19"/>
      <c r="M108" s="19"/>
    </row>
    <row r="109" spans="1:13" ht="15.4" customHeight="1" thickBot="1" x14ac:dyDescent="0.25">
      <c r="A109" s="10" t="s">
        <v>288</v>
      </c>
      <c r="B109" s="5" t="s">
        <v>289</v>
      </c>
      <c r="C109" s="5" t="s">
        <v>290</v>
      </c>
      <c r="D109" s="46" t="s">
        <v>291</v>
      </c>
      <c r="E109" s="46"/>
      <c r="F109" s="46"/>
      <c r="G109" s="46"/>
      <c r="H109" s="46"/>
      <c r="I109" s="46"/>
      <c r="J109" s="46"/>
      <c r="K109" s="17">
        <f>SUM(K111:K111)</f>
        <v>1</v>
      </c>
      <c r="L109" s="18">
        <f>ROUND(376.23*(1+M2/100),2)</f>
        <v>387.52</v>
      </c>
      <c r="M109" s="18">
        <f>ROUND(K109*L109,2)</f>
        <v>387.52</v>
      </c>
    </row>
    <row r="110" spans="1:13" ht="15.2" customHeight="1" thickBot="1" x14ac:dyDescent="0.25">
      <c r="A110" s="19"/>
      <c r="B110" s="19"/>
      <c r="C110" s="19"/>
      <c r="D110" s="19"/>
      <c r="E110" s="20"/>
      <c r="F110" s="22" t="s">
        <v>292</v>
      </c>
      <c r="G110" s="22" t="s">
        <v>293</v>
      </c>
      <c r="H110" s="22" t="s">
        <v>294</v>
      </c>
      <c r="I110" s="22" t="s">
        <v>295</v>
      </c>
      <c r="J110" s="22" t="s">
        <v>296</v>
      </c>
      <c r="K110" s="22" t="s">
        <v>297</v>
      </c>
      <c r="L110" s="19"/>
      <c r="M110" s="19"/>
    </row>
    <row r="111" spans="1:13" ht="15.2" customHeight="1" thickBot="1" x14ac:dyDescent="0.25">
      <c r="A111" s="19"/>
      <c r="B111" s="19"/>
      <c r="C111" s="19"/>
      <c r="D111" s="23"/>
      <c r="E111" s="24" t="s">
        <v>298</v>
      </c>
      <c r="F111" s="25">
        <v>1</v>
      </c>
      <c r="G111" s="26"/>
      <c r="H111" s="26"/>
      <c r="I111" s="26"/>
      <c r="J111" s="28">
        <f>ROUND(F111,3)</f>
        <v>1</v>
      </c>
      <c r="K111" s="31">
        <f>SUM(J111:J111)</f>
        <v>1</v>
      </c>
      <c r="L111" s="19"/>
      <c r="M111" s="19"/>
    </row>
    <row r="112" spans="1:13" ht="15.4" customHeight="1" thickBot="1" x14ac:dyDescent="0.25">
      <c r="A112" s="10" t="s">
        <v>299</v>
      </c>
      <c r="B112" s="5" t="s">
        <v>300</v>
      </c>
      <c r="C112" s="5" t="s">
        <v>301</v>
      </c>
      <c r="D112" s="46" t="s">
        <v>302</v>
      </c>
      <c r="E112" s="46"/>
      <c r="F112" s="46"/>
      <c r="G112" s="46"/>
      <c r="H112" s="46"/>
      <c r="I112" s="46"/>
      <c r="J112" s="46"/>
      <c r="K112" s="17">
        <f>SUM(K114:K114)</f>
        <v>1</v>
      </c>
      <c r="L112" s="18">
        <f>ROUND(1622.11*(1+M2/100),2)</f>
        <v>1670.77</v>
      </c>
      <c r="M112" s="18">
        <f>ROUND(K112*L112,2)</f>
        <v>1670.77</v>
      </c>
    </row>
    <row r="113" spans="1:13" ht="15.2" customHeight="1" thickBot="1" x14ac:dyDescent="0.25">
      <c r="A113" s="19"/>
      <c r="B113" s="19"/>
      <c r="C113" s="19"/>
      <c r="D113" s="19"/>
      <c r="E113" s="20"/>
      <c r="F113" s="22" t="s">
        <v>303</v>
      </c>
      <c r="G113" s="22" t="s">
        <v>304</v>
      </c>
      <c r="H113" s="22" t="s">
        <v>305</v>
      </c>
      <c r="I113" s="22" t="s">
        <v>306</v>
      </c>
      <c r="J113" s="22" t="s">
        <v>307</v>
      </c>
      <c r="K113" s="22" t="s">
        <v>308</v>
      </c>
      <c r="L113" s="19"/>
      <c r="M113" s="19"/>
    </row>
    <row r="114" spans="1:13" ht="15.2" customHeight="1" thickBot="1" x14ac:dyDescent="0.25">
      <c r="A114" s="19"/>
      <c r="B114" s="19"/>
      <c r="C114" s="19"/>
      <c r="D114" s="23"/>
      <c r="E114" s="24" t="s">
        <v>309</v>
      </c>
      <c r="F114" s="25">
        <v>1</v>
      </c>
      <c r="G114" s="26"/>
      <c r="H114" s="26"/>
      <c r="I114" s="26"/>
      <c r="J114" s="28">
        <f>ROUND(F114,3)</f>
        <v>1</v>
      </c>
      <c r="K114" s="31">
        <f>SUM(J114:J114)</f>
        <v>1</v>
      </c>
      <c r="L114" s="19"/>
      <c r="M114" s="19"/>
    </row>
    <row r="115" spans="1:13" ht="15.4" customHeight="1" thickBot="1" x14ac:dyDescent="0.25">
      <c r="A115" s="10" t="s">
        <v>310</v>
      </c>
      <c r="B115" s="5" t="s">
        <v>311</v>
      </c>
      <c r="C115" s="5" t="s">
        <v>312</v>
      </c>
      <c r="D115" s="46" t="s">
        <v>313</v>
      </c>
      <c r="E115" s="46"/>
      <c r="F115" s="46"/>
      <c r="G115" s="46"/>
      <c r="H115" s="46"/>
      <c r="I115" s="46"/>
      <c r="J115" s="46"/>
      <c r="K115" s="17">
        <f>ROUND(1,2)</f>
        <v>1</v>
      </c>
      <c r="L115" s="18">
        <f>ROUND(1066.621*(1+M2/100),2)</f>
        <v>1098.6199999999999</v>
      </c>
      <c r="M115" s="18">
        <f>ROUND(K115*L115,2)</f>
        <v>1098.6199999999999</v>
      </c>
    </row>
    <row r="116" spans="1:13" ht="15.4" customHeight="1" thickBot="1" x14ac:dyDescent="0.25">
      <c r="A116" s="10" t="s">
        <v>314</v>
      </c>
      <c r="B116" s="5" t="s">
        <v>315</v>
      </c>
      <c r="C116" s="5" t="s">
        <v>316</v>
      </c>
      <c r="D116" s="46" t="s">
        <v>317</v>
      </c>
      <c r="E116" s="46"/>
      <c r="F116" s="46"/>
      <c r="G116" s="46"/>
      <c r="H116" s="46"/>
      <c r="I116" s="46"/>
      <c r="J116" s="46"/>
      <c r="K116" s="17">
        <f>ROUND(1,2)</f>
        <v>1</v>
      </c>
      <c r="L116" s="18">
        <f>ROUND(11872.456*(1+M2/100),2)</f>
        <v>12228.63</v>
      </c>
      <c r="M116" s="18">
        <f>ROUND(K116*L116,2)</f>
        <v>12228.63</v>
      </c>
    </row>
    <row r="117" spans="1:13" ht="15.4" customHeight="1" thickBot="1" x14ac:dyDescent="0.25">
      <c r="A117" s="10" t="s">
        <v>318</v>
      </c>
      <c r="B117" s="5" t="s">
        <v>319</v>
      </c>
      <c r="C117" s="5" t="s">
        <v>320</v>
      </c>
      <c r="D117" s="46" t="s">
        <v>321</v>
      </c>
      <c r="E117" s="46"/>
      <c r="F117" s="46"/>
      <c r="G117" s="46"/>
      <c r="H117" s="46"/>
      <c r="I117" s="46"/>
      <c r="J117" s="46"/>
      <c r="K117" s="17">
        <f>SUM(K119:K119)</f>
        <v>1</v>
      </c>
      <c r="L117" s="18">
        <f>ROUND(253.26*(1+M2/100),2)</f>
        <v>260.86</v>
      </c>
      <c r="M117" s="18">
        <f>ROUND(K117*L117,2)</f>
        <v>260.86</v>
      </c>
    </row>
    <row r="118" spans="1:13" ht="15.2" customHeight="1" thickBot="1" x14ac:dyDescent="0.25">
      <c r="A118" s="19"/>
      <c r="B118" s="19"/>
      <c r="C118" s="19"/>
      <c r="D118" s="19"/>
      <c r="E118" s="20"/>
      <c r="F118" s="22" t="s">
        <v>322</v>
      </c>
      <c r="G118" s="22" t="s">
        <v>323</v>
      </c>
      <c r="H118" s="22" t="s">
        <v>324</v>
      </c>
      <c r="I118" s="22" t="s">
        <v>325</v>
      </c>
      <c r="J118" s="22" t="s">
        <v>326</v>
      </c>
      <c r="K118" s="22" t="s">
        <v>327</v>
      </c>
      <c r="L118" s="19"/>
      <c r="M118" s="19"/>
    </row>
    <row r="119" spans="1:13" ht="15.2" customHeight="1" thickBot="1" x14ac:dyDescent="0.25">
      <c r="A119" s="19"/>
      <c r="B119" s="19"/>
      <c r="C119" s="19"/>
      <c r="D119" s="23"/>
      <c r="E119" s="24" t="s">
        <v>328</v>
      </c>
      <c r="F119" s="25">
        <v>1</v>
      </c>
      <c r="G119" s="26"/>
      <c r="H119" s="26"/>
      <c r="I119" s="26"/>
      <c r="J119" s="28">
        <f>ROUND(F119,3)</f>
        <v>1</v>
      </c>
      <c r="K119" s="31">
        <f>SUM(J119:J119)</f>
        <v>1</v>
      </c>
      <c r="L119" s="19"/>
      <c r="M119" s="19"/>
    </row>
    <row r="120" spans="1:13" ht="15.4" customHeight="1" thickBot="1" x14ac:dyDescent="0.25">
      <c r="A120" s="10" t="s">
        <v>329</v>
      </c>
      <c r="B120" s="5" t="s">
        <v>330</v>
      </c>
      <c r="C120" s="5" t="s">
        <v>331</v>
      </c>
      <c r="D120" s="46" t="s">
        <v>332</v>
      </c>
      <c r="E120" s="46"/>
      <c r="F120" s="46"/>
      <c r="G120" s="46"/>
      <c r="H120" s="46"/>
      <c r="I120" s="46"/>
      <c r="J120" s="46"/>
      <c r="K120" s="17">
        <f>ROUND(1,2)</f>
        <v>1</v>
      </c>
      <c r="L120" s="18">
        <f>ROUND(679.32*(1+M2/100),2)</f>
        <v>699.7</v>
      </c>
      <c r="M120" s="18">
        <f>ROUND(K120*L120,2)</f>
        <v>699.7</v>
      </c>
    </row>
    <row r="121" spans="1:13" ht="15.4" customHeight="1" thickBot="1" x14ac:dyDescent="0.25">
      <c r="A121" s="32"/>
      <c r="B121" s="32"/>
      <c r="C121" s="32"/>
      <c r="D121" s="33" t="s">
        <v>333</v>
      </c>
      <c r="E121" s="34"/>
      <c r="F121" s="34"/>
      <c r="G121" s="34"/>
      <c r="H121" s="34"/>
      <c r="I121" s="34"/>
      <c r="J121" s="34"/>
      <c r="K121" s="34"/>
      <c r="L121" s="35">
        <f>M83+M87+M91+M95+M98+M99+M103+M106+M109+M112+M115+M116+M117+M120</f>
        <v>36496.959999999992</v>
      </c>
      <c r="M121" s="35">
        <f>ROUND(L121,2)</f>
        <v>36496.959999999999</v>
      </c>
    </row>
    <row r="122" spans="1:13" ht="15.4" customHeight="1" thickBot="1" x14ac:dyDescent="0.25">
      <c r="A122" s="36" t="s">
        <v>334</v>
      </c>
      <c r="B122" s="36" t="s">
        <v>335</v>
      </c>
      <c r="C122" s="37"/>
      <c r="D122" s="47" t="s">
        <v>336</v>
      </c>
      <c r="E122" s="47"/>
      <c r="F122" s="47"/>
      <c r="G122" s="47"/>
      <c r="H122" s="47"/>
      <c r="I122" s="47"/>
      <c r="J122" s="47"/>
      <c r="K122" s="37"/>
      <c r="L122" s="38">
        <f>L178</f>
        <v>35245.5</v>
      </c>
      <c r="M122" s="38">
        <f>ROUND(L122,2)</f>
        <v>35245.5</v>
      </c>
    </row>
    <row r="123" spans="1:13" ht="15.4" customHeight="1" thickBot="1" x14ac:dyDescent="0.25">
      <c r="A123" s="10" t="s">
        <v>337</v>
      </c>
      <c r="B123" s="5" t="s">
        <v>338</v>
      </c>
      <c r="C123" s="5" t="s">
        <v>339</v>
      </c>
      <c r="D123" s="46" t="s">
        <v>340</v>
      </c>
      <c r="E123" s="46"/>
      <c r="F123" s="46"/>
      <c r="G123" s="46"/>
      <c r="H123" s="46"/>
      <c r="I123" s="46"/>
      <c r="J123" s="46"/>
      <c r="K123" s="17">
        <f>SUM(K125:K132)</f>
        <v>153.70000000000002</v>
      </c>
      <c r="L123" s="18">
        <f>ROUND(15.087*(1+M2/100),2)</f>
        <v>15.54</v>
      </c>
      <c r="M123" s="18">
        <f>ROUND(K123*L123,2)</f>
        <v>2388.5</v>
      </c>
    </row>
    <row r="124" spans="1:13" ht="15.2" customHeight="1" thickBot="1" x14ac:dyDescent="0.25">
      <c r="A124" s="19"/>
      <c r="B124" s="19"/>
      <c r="C124" s="19"/>
      <c r="D124" s="19"/>
      <c r="E124" s="20"/>
      <c r="F124" s="22" t="s">
        <v>341</v>
      </c>
      <c r="G124" s="22" t="s">
        <v>342</v>
      </c>
      <c r="H124" s="22" t="s">
        <v>343</v>
      </c>
      <c r="I124" s="22" t="s">
        <v>344</v>
      </c>
      <c r="J124" s="22" t="s">
        <v>345</v>
      </c>
      <c r="K124" s="22" t="s">
        <v>346</v>
      </c>
      <c r="L124" s="19"/>
      <c r="M124" s="19"/>
    </row>
    <row r="125" spans="1:13" ht="21.4" customHeight="1" thickBot="1" x14ac:dyDescent="0.25">
      <c r="A125" s="19"/>
      <c r="B125" s="19"/>
      <c r="C125" s="19"/>
      <c r="D125" s="23"/>
      <c r="E125" s="24" t="s">
        <v>347</v>
      </c>
      <c r="F125" s="25">
        <v>2</v>
      </c>
      <c r="G125" s="26">
        <v>6.3</v>
      </c>
      <c r="H125" s="26"/>
      <c r="I125" s="26"/>
      <c r="J125" s="28">
        <f>ROUND(F125*G125,3)</f>
        <v>12.6</v>
      </c>
      <c r="K125" s="29"/>
      <c r="L125" s="19"/>
      <c r="M125" s="19"/>
    </row>
    <row r="126" spans="1:13" ht="15.2" customHeight="1" thickBot="1" x14ac:dyDescent="0.25">
      <c r="A126" s="19"/>
      <c r="B126" s="19"/>
      <c r="C126" s="19"/>
      <c r="D126" s="23"/>
      <c r="E126" s="5" t="s">
        <v>348</v>
      </c>
      <c r="F126" s="3"/>
      <c r="G126" s="17">
        <v>32.5</v>
      </c>
      <c r="H126" s="17"/>
      <c r="I126" s="17"/>
      <c r="J126" s="27">
        <f t="shared" ref="J126:J131" si="2">ROUND(G126,3)</f>
        <v>32.5</v>
      </c>
      <c r="K126" s="19"/>
      <c r="L126" s="19"/>
      <c r="M126" s="19"/>
    </row>
    <row r="127" spans="1:13" ht="15.2" customHeight="1" thickBot="1" x14ac:dyDescent="0.25">
      <c r="A127" s="19"/>
      <c r="B127" s="19"/>
      <c r="C127" s="19"/>
      <c r="D127" s="23"/>
      <c r="E127" s="5"/>
      <c r="F127" s="3"/>
      <c r="G127" s="17">
        <v>9.1</v>
      </c>
      <c r="H127" s="17"/>
      <c r="I127" s="17"/>
      <c r="J127" s="27">
        <f t="shared" si="2"/>
        <v>9.1</v>
      </c>
      <c r="K127" s="19"/>
      <c r="L127" s="19"/>
      <c r="M127" s="19"/>
    </row>
    <row r="128" spans="1:13" ht="15.2" customHeight="1" thickBot="1" x14ac:dyDescent="0.25">
      <c r="A128" s="19"/>
      <c r="B128" s="19"/>
      <c r="C128" s="19"/>
      <c r="D128" s="23"/>
      <c r="E128" s="5" t="s">
        <v>349</v>
      </c>
      <c r="F128" s="3"/>
      <c r="G128" s="17">
        <v>28.8</v>
      </c>
      <c r="H128" s="17"/>
      <c r="I128" s="17"/>
      <c r="J128" s="27">
        <f t="shared" si="2"/>
        <v>28.8</v>
      </c>
      <c r="K128" s="19"/>
      <c r="L128" s="19"/>
      <c r="M128" s="19"/>
    </row>
    <row r="129" spans="1:13" ht="15.2" customHeight="1" thickBot="1" x14ac:dyDescent="0.25">
      <c r="A129" s="19"/>
      <c r="B129" s="19"/>
      <c r="C129" s="19"/>
      <c r="D129" s="23"/>
      <c r="E129" s="5"/>
      <c r="F129" s="3"/>
      <c r="G129" s="17">
        <v>28.8</v>
      </c>
      <c r="H129" s="17"/>
      <c r="I129" s="17"/>
      <c r="J129" s="27">
        <f t="shared" si="2"/>
        <v>28.8</v>
      </c>
      <c r="K129" s="19"/>
      <c r="L129" s="19"/>
      <c r="M129" s="19"/>
    </row>
    <row r="130" spans="1:13" ht="15.2" customHeight="1" thickBot="1" x14ac:dyDescent="0.25">
      <c r="A130" s="19"/>
      <c r="B130" s="19"/>
      <c r="C130" s="19"/>
      <c r="D130" s="23"/>
      <c r="E130" s="5"/>
      <c r="F130" s="3"/>
      <c r="G130" s="17">
        <v>30.5</v>
      </c>
      <c r="H130" s="17"/>
      <c r="I130" s="17"/>
      <c r="J130" s="27">
        <f t="shared" si="2"/>
        <v>30.5</v>
      </c>
      <c r="K130" s="19"/>
      <c r="L130" s="19"/>
      <c r="M130" s="19"/>
    </row>
    <row r="131" spans="1:13" ht="15.2" customHeight="1" thickBot="1" x14ac:dyDescent="0.25">
      <c r="A131" s="19"/>
      <c r="B131" s="19"/>
      <c r="C131" s="19"/>
      <c r="D131" s="23"/>
      <c r="E131" s="5"/>
      <c r="F131" s="3"/>
      <c r="G131" s="17">
        <v>11.4</v>
      </c>
      <c r="H131" s="17"/>
      <c r="I131" s="17"/>
      <c r="J131" s="27">
        <f t="shared" si="2"/>
        <v>11.4</v>
      </c>
      <c r="K131" s="19"/>
      <c r="L131" s="19"/>
      <c r="M131" s="19"/>
    </row>
    <row r="132" spans="1:13" ht="15.2" customHeight="1" thickBot="1" x14ac:dyDescent="0.25">
      <c r="A132" s="19"/>
      <c r="B132" s="19"/>
      <c r="C132" s="19"/>
      <c r="D132" s="23"/>
      <c r="E132" s="5"/>
      <c r="F132" s="3"/>
      <c r="G132" s="17"/>
      <c r="H132" s="17"/>
      <c r="I132" s="17"/>
      <c r="J132" s="21" t="s">
        <v>350</v>
      </c>
      <c r="K132" s="30">
        <f>SUM(J125:J132)</f>
        <v>153.70000000000002</v>
      </c>
      <c r="L132" s="19"/>
      <c r="M132" s="19"/>
    </row>
    <row r="133" spans="1:13" ht="15.4" customHeight="1" thickBot="1" x14ac:dyDescent="0.25">
      <c r="A133" s="10" t="s">
        <v>351</v>
      </c>
      <c r="B133" s="5" t="s">
        <v>352</v>
      </c>
      <c r="C133" s="5" t="s">
        <v>353</v>
      </c>
      <c r="D133" s="46" t="s">
        <v>354</v>
      </c>
      <c r="E133" s="46"/>
      <c r="F133" s="46"/>
      <c r="G133" s="46"/>
      <c r="H133" s="46"/>
      <c r="I133" s="46"/>
      <c r="J133" s="46"/>
      <c r="K133" s="17">
        <f>SUM(K135:K135)</f>
        <v>37.799999999999997</v>
      </c>
      <c r="L133" s="18">
        <f>ROUND(14.66*(1+M2/100),2)</f>
        <v>15.1</v>
      </c>
      <c r="M133" s="18">
        <f>ROUND(K133*L133,2)</f>
        <v>570.78</v>
      </c>
    </row>
    <row r="134" spans="1:13" ht="15.2" customHeight="1" thickBot="1" x14ac:dyDescent="0.25">
      <c r="A134" s="19"/>
      <c r="B134" s="19"/>
      <c r="C134" s="19"/>
      <c r="D134" s="19"/>
      <c r="E134" s="20"/>
      <c r="F134" s="22" t="s">
        <v>355</v>
      </c>
      <c r="G134" s="22" t="s">
        <v>356</v>
      </c>
      <c r="H134" s="22" t="s">
        <v>357</v>
      </c>
      <c r="I134" s="22" t="s">
        <v>358</v>
      </c>
      <c r="J134" s="22" t="s">
        <v>359</v>
      </c>
      <c r="K134" s="22" t="s">
        <v>360</v>
      </c>
      <c r="L134" s="19"/>
      <c r="M134" s="19"/>
    </row>
    <row r="135" spans="1:13" ht="21.4" customHeight="1" thickBot="1" x14ac:dyDescent="0.25">
      <c r="A135" s="19"/>
      <c r="B135" s="19"/>
      <c r="C135" s="19"/>
      <c r="D135" s="23"/>
      <c r="E135" s="24" t="s">
        <v>361</v>
      </c>
      <c r="F135" s="25">
        <v>2</v>
      </c>
      <c r="G135" s="26">
        <v>6.3</v>
      </c>
      <c r="H135" s="26"/>
      <c r="I135" s="26">
        <v>3</v>
      </c>
      <c r="J135" s="28">
        <f>ROUND(F135*G135*I135,3)</f>
        <v>37.799999999999997</v>
      </c>
      <c r="K135" s="31">
        <f>SUM(J135:J135)</f>
        <v>37.799999999999997</v>
      </c>
      <c r="L135" s="19"/>
      <c r="M135" s="19"/>
    </row>
    <row r="136" spans="1:13" ht="30.6" customHeight="1" thickBot="1" x14ac:dyDescent="0.25">
      <c r="A136" s="10" t="s">
        <v>362</v>
      </c>
      <c r="B136" s="5" t="s">
        <v>363</v>
      </c>
      <c r="C136" s="5" t="s">
        <v>364</v>
      </c>
      <c r="D136" s="46" t="s">
        <v>365</v>
      </c>
      <c r="E136" s="46"/>
      <c r="F136" s="46"/>
      <c r="G136" s="46"/>
      <c r="H136" s="46"/>
      <c r="I136" s="46"/>
      <c r="J136" s="46"/>
      <c r="K136" s="17">
        <f>SUM(K138:K140)</f>
        <v>96</v>
      </c>
      <c r="L136" s="18">
        <f>ROUND(37.9*(1+M2/100),2)</f>
        <v>39.04</v>
      </c>
      <c r="M136" s="18">
        <f>ROUND(K136*L136,2)</f>
        <v>3747.84</v>
      </c>
    </row>
    <row r="137" spans="1:13" ht="15.2" customHeight="1" thickBot="1" x14ac:dyDescent="0.25">
      <c r="A137" s="19"/>
      <c r="B137" s="19"/>
      <c r="C137" s="19"/>
      <c r="D137" s="19"/>
      <c r="E137" s="20"/>
      <c r="F137" s="22" t="s">
        <v>366</v>
      </c>
      <c r="G137" s="22" t="s">
        <v>367</v>
      </c>
      <c r="H137" s="22" t="s">
        <v>368</v>
      </c>
      <c r="I137" s="22" t="s">
        <v>369</v>
      </c>
      <c r="J137" s="22" t="s">
        <v>370</v>
      </c>
      <c r="K137" s="22" t="s">
        <v>371</v>
      </c>
      <c r="L137" s="19"/>
      <c r="M137" s="19"/>
    </row>
    <row r="138" spans="1:13" ht="21.4" customHeight="1" thickBot="1" x14ac:dyDescent="0.25">
      <c r="A138" s="19"/>
      <c r="B138" s="19"/>
      <c r="C138" s="19"/>
      <c r="D138" s="23"/>
      <c r="E138" s="24" t="s">
        <v>372</v>
      </c>
      <c r="F138" s="25">
        <v>3.8</v>
      </c>
      <c r="G138" s="26"/>
      <c r="H138" s="26"/>
      <c r="I138" s="26">
        <v>3</v>
      </c>
      <c r="J138" s="28">
        <f>ROUND(F138*I138,3)</f>
        <v>11.4</v>
      </c>
      <c r="K138" s="29"/>
      <c r="L138" s="19"/>
      <c r="M138" s="19"/>
    </row>
    <row r="139" spans="1:13" ht="21.4" customHeight="1" thickBot="1" x14ac:dyDescent="0.25">
      <c r="A139" s="19"/>
      <c r="B139" s="19"/>
      <c r="C139" s="19"/>
      <c r="D139" s="23"/>
      <c r="E139" s="5" t="s">
        <v>373</v>
      </c>
      <c r="F139" s="3">
        <v>10.7</v>
      </c>
      <c r="G139" s="17"/>
      <c r="H139" s="17"/>
      <c r="I139" s="17">
        <v>3</v>
      </c>
      <c r="J139" s="27">
        <f>ROUND(F139*I139,3)</f>
        <v>32.1</v>
      </c>
      <c r="K139" s="19"/>
      <c r="L139" s="19"/>
      <c r="M139" s="19"/>
    </row>
    <row r="140" spans="1:13" ht="15.2" customHeight="1" thickBot="1" x14ac:dyDescent="0.25">
      <c r="A140" s="19"/>
      <c r="B140" s="19"/>
      <c r="C140" s="19"/>
      <c r="D140" s="23"/>
      <c r="E140" s="5" t="s">
        <v>374</v>
      </c>
      <c r="F140" s="3">
        <v>17.5</v>
      </c>
      <c r="G140" s="17"/>
      <c r="H140" s="17"/>
      <c r="I140" s="17">
        <v>3</v>
      </c>
      <c r="J140" s="27">
        <f>ROUND(F140*I140,3)</f>
        <v>52.5</v>
      </c>
      <c r="K140" s="30">
        <f>SUM(J138:J140)</f>
        <v>96</v>
      </c>
      <c r="L140" s="19"/>
      <c r="M140" s="19"/>
    </row>
    <row r="141" spans="1:13" ht="15.4" customHeight="1" thickBot="1" x14ac:dyDescent="0.25">
      <c r="A141" s="10" t="s">
        <v>375</v>
      </c>
      <c r="B141" s="5" t="s">
        <v>376</v>
      </c>
      <c r="C141" s="5" t="s">
        <v>377</v>
      </c>
      <c r="D141" s="46" t="s">
        <v>378</v>
      </c>
      <c r="E141" s="46"/>
      <c r="F141" s="46"/>
      <c r="G141" s="46"/>
      <c r="H141" s="46"/>
      <c r="I141" s="46"/>
      <c r="J141" s="46"/>
      <c r="K141" s="17">
        <f>SUM(K143:K150)</f>
        <v>961.1</v>
      </c>
      <c r="L141" s="18">
        <f>ROUND(9.85*(1+M2/100),2)</f>
        <v>10.15</v>
      </c>
      <c r="M141" s="18">
        <f>ROUND(K141*L141,2)</f>
        <v>9755.17</v>
      </c>
    </row>
    <row r="142" spans="1:13" ht="15.2" customHeight="1" thickBot="1" x14ac:dyDescent="0.25">
      <c r="A142" s="19"/>
      <c r="B142" s="19"/>
      <c r="C142" s="19"/>
      <c r="D142" s="19"/>
      <c r="E142" s="20"/>
      <c r="F142" s="22" t="s">
        <v>379</v>
      </c>
      <c r="G142" s="22" t="s">
        <v>380</v>
      </c>
      <c r="H142" s="22" t="s">
        <v>381</v>
      </c>
      <c r="I142" s="22" t="s">
        <v>382</v>
      </c>
      <c r="J142" s="22" t="s">
        <v>383</v>
      </c>
      <c r="K142" s="22" t="s">
        <v>384</v>
      </c>
      <c r="L142" s="19"/>
      <c r="M142" s="19"/>
    </row>
    <row r="143" spans="1:13" ht="21.4" customHeight="1" thickBot="1" x14ac:dyDescent="0.25">
      <c r="A143" s="19"/>
      <c r="B143" s="19"/>
      <c r="C143" s="19"/>
      <c r="D143" s="23"/>
      <c r="E143" s="24" t="s">
        <v>385</v>
      </c>
      <c r="F143" s="25">
        <v>2</v>
      </c>
      <c r="G143" s="26">
        <v>6.3</v>
      </c>
      <c r="H143" s="26"/>
      <c r="I143" s="26">
        <v>3</v>
      </c>
      <c r="J143" s="28">
        <f>ROUND(F143*G143*I143,3)</f>
        <v>37.799999999999997</v>
      </c>
      <c r="K143" s="29"/>
      <c r="L143" s="19"/>
      <c r="M143" s="19"/>
    </row>
    <row r="144" spans="1:13" ht="15.2" customHeight="1" thickBot="1" x14ac:dyDescent="0.25">
      <c r="A144" s="19"/>
      <c r="B144" s="19"/>
      <c r="C144" s="19"/>
      <c r="D144" s="23"/>
      <c r="E144" s="5" t="s">
        <v>386</v>
      </c>
      <c r="F144" s="3"/>
      <c r="G144" s="17">
        <v>32.5</v>
      </c>
      <c r="H144" s="17"/>
      <c r="I144" s="17">
        <v>3</v>
      </c>
      <c r="J144" s="27">
        <f t="shared" ref="J144:J150" si="3">ROUND(G144*I144,3)</f>
        <v>97.5</v>
      </c>
      <c r="K144" s="19"/>
      <c r="L144" s="19"/>
      <c r="M144" s="19"/>
    </row>
    <row r="145" spans="1:13" ht="15.2" customHeight="1" thickBot="1" x14ac:dyDescent="0.25">
      <c r="A145" s="19"/>
      <c r="B145" s="19"/>
      <c r="C145" s="19"/>
      <c r="D145" s="23"/>
      <c r="E145" s="5"/>
      <c r="F145" s="3"/>
      <c r="G145" s="17">
        <v>9.1</v>
      </c>
      <c r="H145" s="17"/>
      <c r="I145" s="17">
        <v>3</v>
      </c>
      <c r="J145" s="27">
        <f t="shared" si="3"/>
        <v>27.3</v>
      </c>
      <c r="K145" s="19"/>
      <c r="L145" s="19"/>
      <c r="M145" s="19"/>
    </row>
    <row r="146" spans="1:13" ht="15.2" customHeight="1" thickBot="1" x14ac:dyDescent="0.25">
      <c r="A146" s="19"/>
      <c r="B146" s="19"/>
      <c r="C146" s="19"/>
      <c r="D146" s="23"/>
      <c r="E146" s="5" t="s">
        <v>387</v>
      </c>
      <c r="F146" s="3"/>
      <c r="G146" s="17">
        <v>28.8</v>
      </c>
      <c r="H146" s="17"/>
      <c r="I146" s="17">
        <v>3</v>
      </c>
      <c r="J146" s="27">
        <f t="shared" si="3"/>
        <v>86.4</v>
      </c>
      <c r="K146" s="19"/>
      <c r="L146" s="19"/>
      <c r="M146" s="19"/>
    </row>
    <row r="147" spans="1:13" ht="15.2" customHeight="1" thickBot="1" x14ac:dyDescent="0.25">
      <c r="A147" s="19"/>
      <c r="B147" s="19"/>
      <c r="C147" s="19"/>
      <c r="D147" s="23"/>
      <c r="E147" s="5"/>
      <c r="F147" s="3"/>
      <c r="G147" s="17">
        <v>28.8</v>
      </c>
      <c r="H147" s="17"/>
      <c r="I147" s="17">
        <v>3</v>
      </c>
      <c r="J147" s="27">
        <f t="shared" si="3"/>
        <v>86.4</v>
      </c>
      <c r="K147" s="19"/>
      <c r="L147" s="19"/>
      <c r="M147" s="19"/>
    </row>
    <row r="148" spans="1:13" ht="15.2" customHeight="1" thickBot="1" x14ac:dyDescent="0.25">
      <c r="A148" s="19"/>
      <c r="B148" s="19"/>
      <c r="C148" s="19"/>
      <c r="D148" s="23"/>
      <c r="E148" s="5"/>
      <c r="F148" s="3"/>
      <c r="G148" s="17">
        <v>30.5</v>
      </c>
      <c r="H148" s="17"/>
      <c r="I148" s="17">
        <v>3</v>
      </c>
      <c r="J148" s="27">
        <f t="shared" si="3"/>
        <v>91.5</v>
      </c>
      <c r="K148" s="19"/>
      <c r="L148" s="19"/>
      <c r="M148" s="19"/>
    </row>
    <row r="149" spans="1:13" ht="15.2" customHeight="1" thickBot="1" x14ac:dyDescent="0.25">
      <c r="A149" s="19"/>
      <c r="B149" s="19"/>
      <c r="C149" s="19"/>
      <c r="D149" s="23"/>
      <c r="E149" s="5"/>
      <c r="F149" s="3"/>
      <c r="G149" s="17">
        <v>11.4</v>
      </c>
      <c r="H149" s="17"/>
      <c r="I149" s="17">
        <v>3</v>
      </c>
      <c r="J149" s="27">
        <f t="shared" si="3"/>
        <v>34.200000000000003</v>
      </c>
      <c r="K149" s="19"/>
      <c r="L149" s="19"/>
      <c r="M149" s="19"/>
    </row>
    <row r="150" spans="1:13" ht="30.6" customHeight="1" thickBot="1" x14ac:dyDescent="0.25">
      <c r="A150" s="19"/>
      <c r="B150" s="19"/>
      <c r="C150" s="19"/>
      <c r="D150" s="23"/>
      <c r="E150" s="5" t="s">
        <v>388</v>
      </c>
      <c r="F150" s="3"/>
      <c r="G150" s="17">
        <v>250</v>
      </c>
      <c r="H150" s="17"/>
      <c r="I150" s="17">
        <v>2</v>
      </c>
      <c r="J150" s="27">
        <f t="shared" si="3"/>
        <v>500</v>
      </c>
      <c r="K150" s="30">
        <f>SUM(J143:J150)</f>
        <v>961.1</v>
      </c>
      <c r="L150" s="19"/>
      <c r="M150" s="19"/>
    </row>
    <row r="151" spans="1:13" ht="15.4" customHeight="1" thickBot="1" x14ac:dyDescent="0.25">
      <c r="A151" s="10" t="s">
        <v>389</v>
      </c>
      <c r="B151" s="5" t="s">
        <v>390</v>
      </c>
      <c r="C151" s="5" t="s">
        <v>391</v>
      </c>
      <c r="D151" s="46" t="s">
        <v>392</v>
      </c>
      <c r="E151" s="46"/>
      <c r="F151" s="46"/>
      <c r="G151" s="46"/>
      <c r="H151" s="46"/>
      <c r="I151" s="46"/>
      <c r="J151" s="46"/>
      <c r="K151" s="17">
        <f>SUM(K153:K162)</f>
        <v>316</v>
      </c>
      <c r="L151" s="18">
        <f>ROUND(27.85*(1+M2/100),2)</f>
        <v>28.69</v>
      </c>
      <c r="M151" s="18">
        <f>ROUND(K151*L151,2)</f>
        <v>9066.0400000000009</v>
      </c>
    </row>
    <row r="152" spans="1:13" ht="15.2" customHeight="1" thickBot="1" x14ac:dyDescent="0.25">
      <c r="A152" s="19"/>
      <c r="B152" s="19"/>
      <c r="C152" s="19"/>
      <c r="D152" s="19"/>
      <c r="E152" s="20"/>
      <c r="F152" s="22" t="s">
        <v>393</v>
      </c>
      <c r="G152" s="22" t="s">
        <v>394</v>
      </c>
      <c r="H152" s="22" t="s">
        <v>395</v>
      </c>
      <c r="I152" s="22" t="s">
        <v>396</v>
      </c>
      <c r="J152" s="22" t="s">
        <v>397</v>
      </c>
      <c r="K152" s="22" t="s">
        <v>398</v>
      </c>
      <c r="L152" s="19"/>
      <c r="M152" s="19"/>
    </row>
    <row r="153" spans="1:13" ht="21.4" customHeight="1" thickBot="1" x14ac:dyDescent="0.25">
      <c r="A153" s="19"/>
      <c r="B153" s="19"/>
      <c r="C153" s="19"/>
      <c r="D153" s="23"/>
      <c r="E153" s="24" t="s">
        <v>399</v>
      </c>
      <c r="F153" s="25">
        <v>3.8</v>
      </c>
      <c r="G153" s="26"/>
      <c r="H153" s="26"/>
      <c r="I153" s="26"/>
      <c r="J153" s="28">
        <f t="shared" ref="J153:J162" si="4">ROUND(F153,3)</f>
        <v>3.8</v>
      </c>
      <c r="K153" s="29"/>
      <c r="L153" s="19"/>
      <c r="M153" s="19"/>
    </row>
    <row r="154" spans="1:13" ht="21.4" customHeight="1" thickBot="1" x14ac:dyDescent="0.25">
      <c r="A154" s="19"/>
      <c r="B154" s="19"/>
      <c r="C154" s="19"/>
      <c r="D154" s="23"/>
      <c r="E154" s="5" t="s">
        <v>400</v>
      </c>
      <c r="F154" s="3">
        <v>6.5</v>
      </c>
      <c r="G154" s="17"/>
      <c r="H154" s="17"/>
      <c r="I154" s="17"/>
      <c r="J154" s="27">
        <f t="shared" si="4"/>
        <v>6.5</v>
      </c>
      <c r="K154" s="19"/>
      <c r="L154" s="19"/>
      <c r="M154" s="19"/>
    </row>
    <row r="155" spans="1:13" ht="15.2" customHeight="1" thickBot="1" x14ac:dyDescent="0.25">
      <c r="A155" s="19"/>
      <c r="B155" s="19"/>
      <c r="C155" s="19"/>
      <c r="D155" s="23"/>
      <c r="E155" s="5" t="s">
        <v>401</v>
      </c>
      <c r="F155" s="3">
        <v>50.5</v>
      </c>
      <c r="G155" s="17"/>
      <c r="H155" s="17"/>
      <c r="I155" s="17"/>
      <c r="J155" s="27">
        <f t="shared" si="4"/>
        <v>50.5</v>
      </c>
      <c r="K155" s="19"/>
      <c r="L155" s="19"/>
      <c r="M155" s="19"/>
    </row>
    <row r="156" spans="1:13" ht="15.2" customHeight="1" thickBot="1" x14ac:dyDescent="0.25">
      <c r="A156" s="19"/>
      <c r="B156" s="19"/>
      <c r="C156" s="19"/>
      <c r="D156" s="23"/>
      <c r="E156" s="5"/>
      <c r="F156" s="3">
        <v>5.5</v>
      </c>
      <c r="G156" s="17"/>
      <c r="H156" s="17"/>
      <c r="I156" s="17"/>
      <c r="J156" s="27">
        <f t="shared" si="4"/>
        <v>5.5</v>
      </c>
      <c r="K156" s="19"/>
      <c r="L156" s="19"/>
      <c r="M156" s="19"/>
    </row>
    <row r="157" spans="1:13" ht="15.2" customHeight="1" thickBot="1" x14ac:dyDescent="0.25">
      <c r="A157" s="19"/>
      <c r="B157" s="19"/>
      <c r="C157" s="19"/>
      <c r="D157" s="23"/>
      <c r="E157" s="5"/>
      <c r="F157" s="3">
        <v>51.6</v>
      </c>
      <c r="G157" s="17"/>
      <c r="H157" s="17"/>
      <c r="I157" s="17"/>
      <c r="J157" s="27">
        <f t="shared" si="4"/>
        <v>51.6</v>
      </c>
      <c r="K157" s="19"/>
      <c r="L157" s="19"/>
      <c r="M157" s="19"/>
    </row>
    <row r="158" spans="1:13" ht="15.2" customHeight="1" thickBot="1" x14ac:dyDescent="0.25">
      <c r="A158" s="19"/>
      <c r="B158" s="19"/>
      <c r="C158" s="19"/>
      <c r="D158" s="23"/>
      <c r="E158" s="5"/>
      <c r="F158" s="3">
        <v>55</v>
      </c>
      <c r="G158" s="17"/>
      <c r="H158" s="17"/>
      <c r="I158" s="17"/>
      <c r="J158" s="27">
        <f t="shared" si="4"/>
        <v>55</v>
      </c>
      <c r="K158" s="19"/>
      <c r="L158" s="19"/>
      <c r="M158" s="19"/>
    </row>
    <row r="159" spans="1:13" ht="15.2" customHeight="1" thickBot="1" x14ac:dyDescent="0.25">
      <c r="A159" s="19"/>
      <c r="B159" s="19"/>
      <c r="C159" s="19"/>
      <c r="D159" s="23"/>
      <c r="E159" s="5" t="s">
        <v>402</v>
      </c>
      <c r="F159" s="3">
        <v>36.1</v>
      </c>
      <c r="G159" s="17"/>
      <c r="H159" s="17"/>
      <c r="I159" s="17"/>
      <c r="J159" s="27">
        <f t="shared" si="4"/>
        <v>36.1</v>
      </c>
      <c r="K159" s="19"/>
      <c r="L159" s="19"/>
      <c r="M159" s="19"/>
    </row>
    <row r="160" spans="1:13" ht="15.2" customHeight="1" thickBot="1" x14ac:dyDescent="0.25">
      <c r="A160" s="19"/>
      <c r="B160" s="19"/>
      <c r="C160" s="19"/>
      <c r="D160" s="23"/>
      <c r="E160" s="5"/>
      <c r="F160" s="3">
        <v>36.5</v>
      </c>
      <c r="G160" s="17"/>
      <c r="H160" s="17"/>
      <c r="I160" s="17"/>
      <c r="J160" s="27">
        <f t="shared" si="4"/>
        <v>36.5</v>
      </c>
      <c r="K160" s="19"/>
      <c r="L160" s="19"/>
      <c r="M160" s="19"/>
    </row>
    <row r="161" spans="1:13" ht="15.2" customHeight="1" thickBot="1" x14ac:dyDescent="0.25">
      <c r="A161" s="19"/>
      <c r="B161" s="19"/>
      <c r="C161" s="19"/>
      <c r="D161" s="23"/>
      <c r="E161" s="5"/>
      <c r="F161" s="3">
        <v>57</v>
      </c>
      <c r="G161" s="17"/>
      <c r="H161" s="17"/>
      <c r="I161" s="17"/>
      <c r="J161" s="27">
        <f t="shared" si="4"/>
        <v>57</v>
      </c>
      <c r="K161" s="19"/>
      <c r="L161" s="19"/>
      <c r="M161" s="19"/>
    </row>
    <row r="162" spans="1:13" ht="15.2" customHeight="1" thickBot="1" x14ac:dyDescent="0.25">
      <c r="A162" s="19"/>
      <c r="B162" s="19"/>
      <c r="C162" s="19"/>
      <c r="D162" s="23"/>
      <c r="E162" s="5"/>
      <c r="F162" s="3">
        <v>13.5</v>
      </c>
      <c r="G162" s="17"/>
      <c r="H162" s="17"/>
      <c r="I162" s="17"/>
      <c r="J162" s="27">
        <f t="shared" si="4"/>
        <v>13.5</v>
      </c>
      <c r="K162" s="30">
        <f>SUM(J153:J162)</f>
        <v>316</v>
      </c>
      <c r="L162" s="19"/>
      <c r="M162" s="19"/>
    </row>
    <row r="163" spans="1:13" ht="15.4" customHeight="1" thickBot="1" x14ac:dyDescent="0.25">
      <c r="A163" s="10" t="s">
        <v>403</v>
      </c>
      <c r="B163" s="5" t="s">
        <v>404</v>
      </c>
      <c r="C163" s="5" t="s">
        <v>405</v>
      </c>
      <c r="D163" s="46" t="s">
        <v>406</v>
      </c>
      <c r="E163" s="46"/>
      <c r="F163" s="46"/>
      <c r="G163" s="46"/>
      <c r="H163" s="46"/>
      <c r="I163" s="46"/>
      <c r="J163" s="46"/>
      <c r="K163" s="17">
        <f>SUM(K165:K166)</f>
        <v>75</v>
      </c>
      <c r="L163" s="18">
        <f>ROUND(14.06*(1+M2/100),2)</f>
        <v>14.48</v>
      </c>
      <c r="M163" s="18">
        <f>ROUND(K163*L163,2)</f>
        <v>1086</v>
      </c>
    </row>
    <row r="164" spans="1:13" ht="15.2" customHeight="1" thickBot="1" x14ac:dyDescent="0.25">
      <c r="A164" s="19"/>
      <c r="B164" s="19"/>
      <c r="C164" s="19"/>
      <c r="D164" s="19"/>
      <c r="E164" s="20"/>
      <c r="F164" s="22" t="s">
        <v>407</v>
      </c>
      <c r="G164" s="22" t="s">
        <v>408</v>
      </c>
      <c r="H164" s="22" t="s">
        <v>409</v>
      </c>
      <c r="I164" s="22" t="s">
        <v>410</v>
      </c>
      <c r="J164" s="22" t="s">
        <v>411</v>
      </c>
      <c r="K164" s="22" t="s">
        <v>412</v>
      </c>
      <c r="L164" s="19"/>
      <c r="M164" s="19"/>
    </row>
    <row r="165" spans="1:13" ht="15.2" customHeight="1" thickBot="1" x14ac:dyDescent="0.25">
      <c r="A165" s="19"/>
      <c r="B165" s="19"/>
      <c r="C165" s="19"/>
      <c r="D165" s="23"/>
      <c r="E165" s="24" t="s">
        <v>413</v>
      </c>
      <c r="F165" s="25">
        <v>100</v>
      </c>
      <c r="G165" s="26">
        <v>0.3</v>
      </c>
      <c r="H165" s="26"/>
      <c r="I165" s="26"/>
      <c r="J165" s="28">
        <f>ROUND(F165*G165,3)</f>
        <v>30</v>
      </c>
      <c r="K165" s="29"/>
      <c r="L165" s="19"/>
      <c r="M165" s="19"/>
    </row>
    <row r="166" spans="1:13" ht="15.2" customHeight="1" thickBot="1" x14ac:dyDescent="0.25">
      <c r="A166" s="19"/>
      <c r="B166" s="19"/>
      <c r="C166" s="19"/>
      <c r="D166" s="23"/>
      <c r="E166" s="5" t="s">
        <v>414</v>
      </c>
      <c r="F166" s="3">
        <v>150</v>
      </c>
      <c r="G166" s="17">
        <v>0.3</v>
      </c>
      <c r="H166" s="17"/>
      <c r="I166" s="17"/>
      <c r="J166" s="27">
        <f>ROUND(F166*G166,3)</f>
        <v>45</v>
      </c>
      <c r="K166" s="30">
        <f>SUM(J165:J166)</f>
        <v>75</v>
      </c>
      <c r="L166" s="19"/>
      <c r="M166" s="19"/>
    </row>
    <row r="167" spans="1:13" ht="15.4" customHeight="1" thickBot="1" x14ac:dyDescent="0.25">
      <c r="A167" s="10" t="s">
        <v>415</v>
      </c>
      <c r="B167" s="5" t="s">
        <v>416</v>
      </c>
      <c r="C167" s="5" t="s">
        <v>417</v>
      </c>
      <c r="D167" s="46" t="s">
        <v>418</v>
      </c>
      <c r="E167" s="46"/>
      <c r="F167" s="46"/>
      <c r="G167" s="46"/>
      <c r="H167" s="46"/>
      <c r="I167" s="46"/>
      <c r="J167" s="46"/>
      <c r="K167" s="17">
        <f>SUM(K169:K170)</f>
        <v>60</v>
      </c>
      <c r="L167" s="18">
        <f>ROUND(56.1*(1+M2/100),2)</f>
        <v>57.78</v>
      </c>
      <c r="M167" s="18">
        <f>ROUND(K167*L167,2)</f>
        <v>3466.8</v>
      </c>
    </row>
    <row r="168" spans="1:13" ht="15.2" customHeight="1" thickBot="1" x14ac:dyDescent="0.25">
      <c r="A168" s="19"/>
      <c r="B168" s="19"/>
      <c r="C168" s="19"/>
      <c r="D168" s="19"/>
      <c r="E168" s="20"/>
      <c r="F168" s="22" t="s">
        <v>419</v>
      </c>
      <c r="G168" s="22" t="s">
        <v>420</v>
      </c>
      <c r="H168" s="22" t="s">
        <v>421</v>
      </c>
      <c r="I168" s="22" t="s">
        <v>422</v>
      </c>
      <c r="J168" s="22" t="s">
        <v>423</v>
      </c>
      <c r="K168" s="22" t="s">
        <v>424</v>
      </c>
      <c r="L168" s="19"/>
      <c r="M168" s="19"/>
    </row>
    <row r="169" spans="1:13" ht="15.2" customHeight="1" thickBot="1" x14ac:dyDescent="0.25">
      <c r="A169" s="19"/>
      <c r="B169" s="19"/>
      <c r="C169" s="19"/>
      <c r="D169" s="23"/>
      <c r="E169" s="24" t="s">
        <v>425</v>
      </c>
      <c r="F169" s="25">
        <v>30</v>
      </c>
      <c r="G169" s="26"/>
      <c r="H169" s="26"/>
      <c r="I169" s="26"/>
      <c r="J169" s="28">
        <f>ROUND(F169,3)</f>
        <v>30</v>
      </c>
      <c r="K169" s="29"/>
      <c r="L169" s="19"/>
      <c r="M169" s="19"/>
    </row>
    <row r="170" spans="1:13" ht="15.2" customHeight="1" thickBot="1" x14ac:dyDescent="0.25">
      <c r="A170" s="19"/>
      <c r="B170" s="19"/>
      <c r="C170" s="19"/>
      <c r="D170" s="23"/>
      <c r="E170" s="5" t="s">
        <v>426</v>
      </c>
      <c r="F170" s="3">
        <v>30</v>
      </c>
      <c r="G170" s="17"/>
      <c r="H170" s="17"/>
      <c r="I170" s="17"/>
      <c r="J170" s="27">
        <f>ROUND(F170,3)</f>
        <v>30</v>
      </c>
      <c r="K170" s="30">
        <f>SUM(J169:J170)</f>
        <v>60</v>
      </c>
      <c r="L170" s="19"/>
      <c r="M170" s="19"/>
    </row>
    <row r="171" spans="1:13" ht="15.4" customHeight="1" thickBot="1" x14ac:dyDescent="0.25">
      <c r="A171" s="10" t="s">
        <v>427</v>
      </c>
      <c r="B171" s="5" t="s">
        <v>428</v>
      </c>
      <c r="C171" s="5" t="s">
        <v>429</v>
      </c>
      <c r="D171" s="46" t="s">
        <v>430</v>
      </c>
      <c r="E171" s="46"/>
      <c r="F171" s="46"/>
      <c r="G171" s="46"/>
      <c r="H171" s="46"/>
      <c r="I171" s="46"/>
      <c r="J171" s="46"/>
      <c r="K171" s="17">
        <f>SUM(K173:K175)</f>
        <v>96.9</v>
      </c>
      <c r="L171" s="18">
        <f>ROUND(22.93*(1+M2/100),2)</f>
        <v>23.62</v>
      </c>
      <c r="M171" s="18">
        <f>ROUND(K171*L171,2)</f>
        <v>2288.7800000000002</v>
      </c>
    </row>
    <row r="172" spans="1:13" ht="15.2" customHeight="1" thickBot="1" x14ac:dyDescent="0.25">
      <c r="A172" s="19"/>
      <c r="B172" s="19"/>
      <c r="C172" s="19"/>
      <c r="D172" s="19"/>
      <c r="E172" s="20"/>
      <c r="F172" s="22" t="s">
        <v>431</v>
      </c>
      <c r="G172" s="22" t="s">
        <v>432</v>
      </c>
      <c r="H172" s="22" t="s">
        <v>433</v>
      </c>
      <c r="I172" s="22" t="s">
        <v>434</v>
      </c>
      <c r="J172" s="22" t="s">
        <v>435</v>
      </c>
      <c r="K172" s="22" t="s">
        <v>436</v>
      </c>
      <c r="L172" s="19"/>
      <c r="M172" s="19"/>
    </row>
    <row r="173" spans="1:13" ht="21.4" customHeight="1" thickBot="1" x14ac:dyDescent="0.25">
      <c r="A173" s="19"/>
      <c r="B173" s="19"/>
      <c r="C173" s="19"/>
      <c r="D173" s="23"/>
      <c r="E173" s="24" t="s">
        <v>437</v>
      </c>
      <c r="F173" s="25">
        <v>3.8</v>
      </c>
      <c r="G173" s="26"/>
      <c r="H173" s="26"/>
      <c r="I173" s="26">
        <v>3</v>
      </c>
      <c r="J173" s="28">
        <f>ROUND(F173*I173,3)</f>
        <v>11.4</v>
      </c>
      <c r="K173" s="29"/>
      <c r="L173" s="19"/>
      <c r="M173" s="19"/>
    </row>
    <row r="174" spans="1:13" ht="21.4" customHeight="1" thickBot="1" x14ac:dyDescent="0.25">
      <c r="A174" s="19"/>
      <c r="B174" s="19"/>
      <c r="C174" s="19"/>
      <c r="D174" s="23"/>
      <c r="E174" s="5" t="s">
        <v>438</v>
      </c>
      <c r="F174" s="3">
        <v>10.7</v>
      </c>
      <c r="G174" s="17"/>
      <c r="H174" s="17"/>
      <c r="I174" s="17">
        <v>3</v>
      </c>
      <c r="J174" s="27">
        <f>ROUND(F174*I174,3)</f>
        <v>32.1</v>
      </c>
      <c r="K174" s="19"/>
      <c r="L174" s="19"/>
      <c r="M174" s="19"/>
    </row>
    <row r="175" spans="1:13" ht="15.2" customHeight="1" thickBot="1" x14ac:dyDescent="0.25">
      <c r="A175" s="19"/>
      <c r="B175" s="19"/>
      <c r="C175" s="19"/>
      <c r="D175" s="23"/>
      <c r="E175" s="5" t="s">
        <v>439</v>
      </c>
      <c r="F175" s="3">
        <v>17.8</v>
      </c>
      <c r="G175" s="17"/>
      <c r="H175" s="17"/>
      <c r="I175" s="17">
        <v>3</v>
      </c>
      <c r="J175" s="27">
        <f>ROUND(F175*I175,3)</f>
        <v>53.4</v>
      </c>
      <c r="K175" s="30">
        <f>SUM(J173:J175)</f>
        <v>96.9</v>
      </c>
      <c r="L175" s="19"/>
      <c r="M175" s="19"/>
    </row>
    <row r="176" spans="1:13" ht="30.6" customHeight="1" thickBot="1" x14ac:dyDescent="0.25">
      <c r="A176" s="10" t="s">
        <v>440</v>
      </c>
      <c r="B176" s="5" t="s">
        <v>441</v>
      </c>
      <c r="C176" s="5" t="s">
        <v>442</v>
      </c>
      <c r="D176" s="46" t="s">
        <v>443</v>
      </c>
      <c r="E176" s="46"/>
      <c r="F176" s="46"/>
      <c r="G176" s="46"/>
      <c r="H176" s="46"/>
      <c r="I176" s="46"/>
      <c r="J176" s="46"/>
      <c r="K176" s="17">
        <f>ROUND(100,2)</f>
        <v>100</v>
      </c>
      <c r="L176" s="18">
        <f>ROUND(14.573*(1+M2/100),2)</f>
        <v>15.01</v>
      </c>
      <c r="M176" s="18">
        <f>ROUND(K176*L176,2)</f>
        <v>1501</v>
      </c>
    </row>
    <row r="177" spans="1:13" ht="15.4" customHeight="1" thickBot="1" x14ac:dyDescent="0.25">
      <c r="A177" s="10" t="s">
        <v>444</v>
      </c>
      <c r="B177" s="5" t="s">
        <v>445</v>
      </c>
      <c r="C177" s="5" t="s">
        <v>446</v>
      </c>
      <c r="D177" s="46" t="s">
        <v>447</v>
      </c>
      <c r="E177" s="46"/>
      <c r="F177" s="46"/>
      <c r="G177" s="46"/>
      <c r="H177" s="46"/>
      <c r="I177" s="46"/>
      <c r="J177" s="46"/>
      <c r="K177" s="17">
        <f>ROUND(1,2)</f>
        <v>1</v>
      </c>
      <c r="L177" s="18">
        <f>ROUND(1334.55*(1+M2/100),2)</f>
        <v>1374.59</v>
      </c>
      <c r="M177" s="18">
        <f>ROUND(K177*L177,2)</f>
        <v>1374.59</v>
      </c>
    </row>
    <row r="178" spans="1:13" ht="15.4" customHeight="1" thickBot="1" x14ac:dyDescent="0.25">
      <c r="A178" s="32"/>
      <c r="B178" s="32"/>
      <c r="C178" s="32"/>
      <c r="D178" s="33" t="s">
        <v>448</v>
      </c>
      <c r="E178" s="34"/>
      <c r="F178" s="34"/>
      <c r="G178" s="34"/>
      <c r="H178" s="34"/>
      <c r="I178" s="34"/>
      <c r="J178" s="34"/>
      <c r="K178" s="34"/>
      <c r="L178" s="35">
        <f>M123+M133+M136+M141+M151+M163+M167+M171+M176+M177</f>
        <v>35245.5</v>
      </c>
      <c r="M178" s="35">
        <f>ROUND(L178,2)</f>
        <v>35245.5</v>
      </c>
    </row>
    <row r="179" spans="1:13" ht="15.4" customHeight="1" thickBot="1" x14ac:dyDescent="0.25">
      <c r="A179" s="36" t="s">
        <v>449</v>
      </c>
      <c r="B179" s="36" t="s">
        <v>450</v>
      </c>
      <c r="C179" s="37"/>
      <c r="D179" s="47" t="s">
        <v>451</v>
      </c>
      <c r="E179" s="47"/>
      <c r="F179" s="47"/>
      <c r="G179" s="47"/>
      <c r="H179" s="47"/>
      <c r="I179" s="47"/>
      <c r="J179" s="47"/>
      <c r="K179" s="37"/>
      <c r="L179" s="38">
        <f>L181</f>
        <v>10397.92</v>
      </c>
      <c r="M179" s="38">
        <f>ROUND(L179,2)</f>
        <v>10397.92</v>
      </c>
    </row>
    <row r="180" spans="1:13" ht="21.4" customHeight="1" thickBot="1" x14ac:dyDescent="0.25">
      <c r="A180" s="10" t="s">
        <v>452</v>
      </c>
      <c r="B180" s="5" t="s">
        <v>453</v>
      </c>
      <c r="C180" s="5" t="s">
        <v>454</v>
      </c>
      <c r="D180" s="46" t="s">
        <v>455</v>
      </c>
      <c r="E180" s="46"/>
      <c r="F180" s="46"/>
      <c r="G180" s="46"/>
      <c r="H180" s="46"/>
      <c r="I180" s="46"/>
      <c r="J180" s="46"/>
      <c r="K180" s="17">
        <f>ROUND(52,2)</f>
        <v>52</v>
      </c>
      <c r="L180" s="18">
        <f>ROUND(194.14*(1+M2/100),2)</f>
        <v>199.96</v>
      </c>
      <c r="M180" s="18">
        <f>ROUND(K180*L180,2)</f>
        <v>10397.92</v>
      </c>
    </row>
    <row r="181" spans="1:13" ht="15.4" customHeight="1" thickBot="1" x14ac:dyDescent="0.25">
      <c r="A181" s="32"/>
      <c r="B181" s="32"/>
      <c r="C181" s="32"/>
      <c r="D181" s="33" t="s">
        <v>456</v>
      </c>
      <c r="E181" s="34"/>
      <c r="F181" s="34"/>
      <c r="G181" s="34"/>
      <c r="H181" s="34"/>
      <c r="I181" s="34"/>
      <c r="J181" s="34"/>
      <c r="K181" s="34"/>
      <c r="L181" s="35">
        <f>M180</f>
        <v>10397.92</v>
      </c>
      <c r="M181" s="35">
        <f>ROUND(L181,2)</f>
        <v>10397.92</v>
      </c>
    </row>
    <row r="182" spans="1:13" ht="15.4" customHeight="1" thickBot="1" x14ac:dyDescent="0.25">
      <c r="A182" s="36" t="s">
        <v>457</v>
      </c>
      <c r="B182" s="36" t="s">
        <v>458</v>
      </c>
      <c r="C182" s="37"/>
      <c r="D182" s="47" t="s">
        <v>459</v>
      </c>
      <c r="E182" s="47"/>
      <c r="F182" s="47"/>
      <c r="G182" s="47"/>
      <c r="H182" s="47"/>
      <c r="I182" s="47"/>
      <c r="J182" s="47"/>
      <c r="K182" s="37"/>
      <c r="L182" s="38">
        <f>L184</f>
        <v>869.25</v>
      </c>
      <c r="M182" s="38">
        <f>ROUND(L182,2)</f>
        <v>869.25</v>
      </c>
    </row>
    <row r="183" spans="1:13" ht="15.4" customHeight="1" thickBot="1" x14ac:dyDescent="0.25">
      <c r="A183" s="10" t="s">
        <v>460</v>
      </c>
      <c r="B183" s="5" t="s">
        <v>461</v>
      </c>
      <c r="C183" s="5" t="s">
        <v>462</v>
      </c>
      <c r="D183" s="46" t="s">
        <v>463</v>
      </c>
      <c r="E183" s="46"/>
      <c r="F183" s="46"/>
      <c r="G183" s="46"/>
      <c r="H183" s="46"/>
      <c r="I183" s="46"/>
      <c r="J183" s="46"/>
      <c r="K183" s="17">
        <f>ROUND(1,2)</f>
        <v>1</v>
      </c>
      <c r="L183" s="18">
        <f>ROUND(843.932*(1+M2/100),2)</f>
        <v>869.25</v>
      </c>
      <c r="M183" s="18">
        <f>ROUND(K183*L183,2)</f>
        <v>869.25</v>
      </c>
    </row>
    <row r="184" spans="1:13" ht="15.4" customHeight="1" thickBot="1" x14ac:dyDescent="0.25">
      <c r="A184" s="32"/>
      <c r="B184" s="32"/>
      <c r="C184" s="32"/>
      <c r="D184" s="33" t="s">
        <v>464</v>
      </c>
      <c r="E184" s="34"/>
      <c r="F184" s="34"/>
      <c r="G184" s="34"/>
      <c r="H184" s="34"/>
      <c r="I184" s="34"/>
      <c r="J184" s="34"/>
      <c r="K184" s="34"/>
      <c r="L184" s="35">
        <f>M183</f>
        <v>869.25</v>
      </c>
      <c r="M184" s="35">
        <f>ROUND(L184,2)</f>
        <v>869.25</v>
      </c>
    </row>
    <row r="185" spans="1:13" ht="15.4" customHeight="1" thickBot="1" x14ac:dyDescent="0.25">
      <c r="A185" s="36" t="s">
        <v>465</v>
      </c>
      <c r="B185" s="36" t="s">
        <v>466</v>
      </c>
      <c r="C185" s="37"/>
      <c r="D185" s="47" t="s">
        <v>467</v>
      </c>
      <c r="E185" s="47"/>
      <c r="F185" s="47"/>
      <c r="G185" s="47"/>
      <c r="H185" s="47"/>
      <c r="I185" s="47"/>
      <c r="J185" s="47"/>
      <c r="K185" s="37"/>
      <c r="L185" s="38">
        <f>L187</f>
        <v>500</v>
      </c>
      <c r="M185" s="38">
        <f>ROUND(L185,2)</f>
        <v>500</v>
      </c>
    </row>
    <row r="186" spans="1:13" ht="15.4" customHeight="1" thickBot="1" x14ac:dyDescent="0.25">
      <c r="A186" s="10" t="s">
        <v>468</v>
      </c>
      <c r="B186" s="5" t="s">
        <v>469</v>
      </c>
      <c r="C186" s="5" t="s">
        <v>470</v>
      </c>
      <c r="D186" s="46" t="s">
        <v>471</v>
      </c>
      <c r="E186" s="46"/>
      <c r="F186" s="46"/>
      <c r="G186" s="46"/>
      <c r="H186" s="46"/>
      <c r="I186" s="46"/>
      <c r="J186" s="46"/>
      <c r="K186" s="17">
        <f>ROUND(1,2)</f>
        <v>1</v>
      </c>
      <c r="L186" s="18">
        <f>ROUND(485.437*(1+M2/100),2)</f>
        <v>500</v>
      </c>
      <c r="M186" s="18">
        <f>ROUND(K186*L186,2)</f>
        <v>500</v>
      </c>
    </row>
    <row r="187" spans="1:13" ht="15.4" customHeight="1" thickBot="1" x14ac:dyDescent="0.25">
      <c r="A187" s="32"/>
      <c r="B187" s="32"/>
      <c r="C187" s="32"/>
      <c r="D187" s="33" t="s">
        <v>472</v>
      </c>
      <c r="E187" s="34"/>
      <c r="F187" s="34"/>
      <c r="G187" s="34"/>
      <c r="H187" s="34"/>
      <c r="I187" s="34"/>
      <c r="J187" s="34"/>
      <c r="K187" s="34"/>
      <c r="L187" s="35">
        <f>M186</f>
        <v>500</v>
      </c>
      <c r="M187" s="35">
        <f>ROUND(L187,2)</f>
        <v>500</v>
      </c>
    </row>
    <row r="188" spans="1:13" ht="25.15" customHeight="1" thickBot="1" x14ac:dyDescent="0.25">
      <c r="A188" s="39"/>
      <c r="B188" s="39"/>
      <c r="C188" s="39"/>
      <c r="D188" s="40" t="s">
        <v>473</v>
      </c>
      <c r="E188" s="41"/>
      <c r="F188" s="41"/>
      <c r="G188" s="41"/>
      <c r="H188" s="41"/>
      <c r="I188" s="41"/>
      <c r="J188" s="41"/>
      <c r="K188" s="41"/>
      <c r="L188" s="42">
        <f>M44+M64+M81+M121+M178+M181+M184+M187</f>
        <v>111221.01</v>
      </c>
      <c r="M188" s="42">
        <f>ROUND(L188,2)</f>
        <v>111221.01</v>
      </c>
    </row>
  </sheetData>
  <mergeCells count="54">
    <mergeCell ref="D182:J182"/>
    <mergeCell ref="D183:J183"/>
    <mergeCell ref="D185:J185"/>
    <mergeCell ref="D186:J186"/>
    <mergeCell ref="D171:J171"/>
    <mergeCell ref="D176:J176"/>
    <mergeCell ref="D177:J177"/>
    <mergeCell ref="D179:J179"/>
    <mergeCell ref="D180:J180"/>
    <mergeCell ref="D136:J136"/>
    <mergeCell ref="D141:J141"/>
    <mergeCell ref="D151:J151"/>
    <mergeCell ref="D163:J163"/>
    <mergeCell ref="D167:J167"/>
    <mergeCell ref="D117:J117"/>
    <mergeCell ref="D120:J120"/>
    <mergeCell ref="D122:J122"/>
    <mergeCell ref="D123:J123"/>
    <mergeCell ref="D133:J133"/>
    <mergeCell ref="D106:J106"/>
    <mergeCell ref="D109:J109"/>
    <mergeCell ref="D112:J112"/>
    <mergeCell ref="D115:J115"/>
    <mergeCell ref="D116:J116"/>
    <mergeCell ref="D91:J91"/>
    <mergeCell ref="D95:J95"/>
    <mergeCell ref="D98:J98"/>
    <mergeCell ref="D99:J99"/>
    <mergeCell ref="D103:J103"/>
    <mergeCell ref="D79:J79"/>
    <mergeCell ref="D80:J80"/>
    <mergeCell ref="D82:J82"/>
    <mergeCell ref="D83:J83"/>
    <mergeCell ref="D87:J87"/>
    <mergeCell ref="D61:J61"/>
    <mergeCell ref="D65:J65"/>
    <mergeCell ref="D66:J66"/>
    <mergeCell ref="D72:J72"/>
    <mergeCell ref="D73:J73"/>
    <mergeCell ref="D45:J45"/>
    <mergeCell ref="D46:J46"/>
    <mergeCell ref="D49:J49"/>
    <mergeCell ref="D53:J53"/>
    <mergeCell ref="D58:J58"/>
    <mergeCell ref="D14:J14"/>
    <mergeCell ref="D18:J18"/>
    <mergeCell ref="D22:J22"/>
    <mergeCell ref="D27:J27"/>
    <mergeCell ref="D41:J41"/>
    <mergeCell ref="B1:M1"/>
    <mergeCell ref="A2:C2"/>
    <mergeCell ref="D4:J4"/>
    <mergeCell ref="D5:J5"/>
    <mergeCell ref="D6:J6"/>
  </mergeCells>
  <pageMargins left="0.62007900000000005" right="0.472441" top="0.472441" bottom="0.472441" header="0" footer="0"/>
  <pageSetup paperSize="9" orientation="landscape" r:id="rId1"/>
  <rowBreaks count="2" manualBreakCount="2">
    <brk max="16383" man="1"/>
    <brk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Full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dc:creator>
  <cp:lastModifiedBy>Ajuntament del Cogul</cp:lastModifiedBy>
  <dcterms:created xsi:type="dcterms:W3CDTF">2024-12-19T15:24:57Z</dcterms:created>
  <dcterms:modified xsi:type="dcterms:W3CDTF">2024-12-19T15:24:57Z</dcterms:modified>
</cp:coreProperties>
</file>